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cmf\Desi\Rajesh\TIPS (IN PROGRESS)\Input\"/>
    </mc:Choice>
  </mc:AlternateContent>
  <xr:revisionPtr revIDLastSave="0" documentId="13_ncr:1_{5E77061E-EB28-434E-ABC1-28E0FF319BB9}" xr6:coauthVersionLast="46" xr6:coauthVersionMax="46" xr10:uidLastSave="{00000000-0000-0000-0000-000000000000}"/>
  <bookViews>
    <workbookView xWindow="-19310" yWindow="-1280" windowWidth="19420" windowHeight="10420" xr2:uid="{69FDFDEB-916A-4DBA-8005-81D6DD11E136}"/>
  </bookViews>
  <sheets>
    <sheet name="Sheet1" sheetId="1" r:id="rId1"/>
  </sheets>
  <definedNames>
    <definedName name="SpreadsheetBuilder_1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776" i="1" l="1"/>
  <c r="I776" i="1"/>
  <c r="T775" i="1"/>
  <c r="I775" i="1"/>
  <c r="T774" i="1"/>
  <c r="I774" i="1"/>
  <c r="T773" i="1"/>
  <c r="I773" i="1"/>
  <c r="T772" i="1"/>
  <c r="I772" i="1"/>
  <c r="T771" i="1"/>
  <c r="I771" i="1"/>
  <c r="T770" i="1"/>
  <c r="I770" i="1"/>
  <c r="T769" i="1"/>
  <c r="I769" i="1"/>
  <c r="T768" i="1"/>
  <c r="I768" i="1"/>
  <c r="T767" i="1"/>
  <c r="I767" i="1"/>
  <c r="T766" i="1"/>
  <c r="I766" i="1"/>
  <c r="T765" i="1"/>
  <c r="I765" i="1"/>
  <c r="T764" i="1"/>
  <c r="I764" i="1"/>
  <c r="T763" i="1"/>
  <c r="I763" i="1"/>
  <c r="T762" i="1"/>
  <c r="I762" i="1"/>
  <c r="T761" i="1"/>
  <c r="I761" i="1"/>
  <c r="T760" i="1"/>
  <c r="I760" i="1"/>
  <c r="T759" i="1"/>
  <c r="I759" i="1"/>
  <c r="T758" i="1"/>
  <c r="I758" i="1"/>
  <c r="T757" i="1"/>
  <c r="I757" i="1"/>
  <c r="T756" i="1"/>
  <c r="I756" i="1"/>
  <c r="T755" i="1"/>
  <c r="I755" i="1"/>
  <c r="T754" i="1"/>
  <c r="I754" i="1"/>
  <c r="T753" i="1"/>
  <c r="I753" i="1"/>
  <c r="T752" i="1"/>
  <c r="I752" i="1"/>
  <c r="T751" i="1"/>
  <c r="I751" i="1"/>
  <c r="T750" i="1"/>
  <c r="I750" i="1"/>
  <c r="T749" i="1"/>
  <c r="I749" i="1"/>
  <c r="T748" i="1"/>
  <c r="I748" i="1"/>
  <c r="T747" i="1"/>
  <c r="I747" i="1"/>
  <c r="T746" i="1"/>
  <c r="I746" i="1"/>
  <c r="T745" i="1"/>
  <c r="I745" i="1"/>
  <c r="T744" i="1"/>
  <c r="I744" i="1"/>
  <c r="T743" i="1"/>
  <c r="I743" i="1"/>
  <c r="T742" i="1"/>
  <c r="I742" i="1"/>
  <c r="T741" i="1"/>
  <c r="I741" i="1"/>
  <c r="T740" i="1"/>
  <c r="I740" i="1"/>
  <c r="T739" i="1"/>
  <c r="I739" i="1"/>
  <c r="T738" i="1"/>
  <c r="I738" i="1"/>
  <c r="T737" i="1"/>
  <c r="I737" i="1"/>
  <c r="T736" i="1"/>
  <c r="I736" i="1"/>
  <c r="T735" i="1"/>
  <c r="S776" i="1"/>
  <c r="H776" i="1"/>
  <c r="S775" i="1"/>
  <c r="H775" i="1"/>
  <c r="S774" i="1"/>
  <c r="H774" i="1"/>
  <c r="S773" i="1"/>
  <c r="H773" i="1"/>
  <c r="S772" i="1"/>
  <c r="H772" i="1"/>
  <c r="S771" i="1"/>
  <c r="H771" i="1"/>
  <c r="S770" i="1"/>
  <c r="H770" i="1"/>
  <c r="S769" i="1"/>
  <c r="H769" i="1"/>
  <c r="S768" i="1"/>
  <c r="H768" i="1"/>
  <c r="S767" i="1"/>
  <c r="H767" i="1"/>
  <c r="S766" i="1"/>
  <c r="H766" i="1"/>
  <c r="S765" i="1"/>
  <c r="H765" i="1"/>
  <c r="S764" i="1"/>
  <c r="H764" i="1"/>
  <c r="S763" i="1"/>
  <c r="H763" i="1"/>
  <c r="S762" i="1"/>
  <c r="H762" i="1"/>
  <c r="S761" i="1"/>
  <c r="H761" i="1"/>
  <c r="S760" i="1"/>
  <c r="H760" i="1"/>
  <c r="S759" i="1"/>
  <c r="H759" i="1"/>
  <c r="S758" i="1"/>
  <c r="H758" i="1"/>
  <c r="S757" i="1"/>
  <c r="H757" i="1"/>
  <c r="S756" i="1"/>
  <c r="H756" i="1"/>
  <c r="S755" i="1"/>
  <c r="H755" i="1"/>
  <c r="S754" i="1"/>
  <c r="H754" i="1"/>
  <c r="S753" i="1"/>
  <c r="H753" i="1"/>
  <c r="S752" i="1"/>
  <c r="H752" i="1"/>
  <c r="S751" i="1"/>
  <c r="H751" i="1"/>
  <c r="S750" i="1"/>
  <c r="H750" i="1"/>
  <c r="S749" i="1"/>
  <c r="H749" i="1"/>
  <c r="S748" i="1"/>
  <c r="H748" i="1"/>
  <c r="S747" i="1"/>
  <c r="H747" i="1"/>
  <c r="S746" i="1"/>
  <c r="H746" i="1"/>
  <c r="S745" i="1"/>
  <c r="H745" i="1"/>
  <c r="S744" i="1"/>
  <c r="H744" i="1"/>
  <c r="S743" i="1"/>
  <c r="H743" i="1"/>
  <c r="S742" i="1"/>
  <c r="H742" i="1"/>
  <c r="S741" i="1"/>
  <c r="H741" i="1"/>
  <c r="S740" i="1"/>
  <c r="H740" i="1"/>
  <c r="S739" i="1"/>
  <c r="H739" i="1"/>
  <c r="S738" i="1"/>
  <c r="H738" i="1"/>
  <c r="S737" i="1"/>
  <c r="H737" i="1"/>
  <c r="S736" i="1"/>
  <c r="H736" i="1"/>
  <c r="S735" i="1"/>
  <c r="H735" i="1"/>
  <c r="S734" i="1"/>
  <c r="H734" i="1"/>
  <c r="S733" i="1"/>
  <c r="H733" i="1"/>
  <c r="S732" i="1"/>
  <c r="H732" i="1"/>
  <c r="S731" i="1"/>
  <c r="H731" i="1"/>
  <c r="S730" i="1"/>
  <c r="H730" i="1"/>
  <c r="S729" i="1"/>
  <c r="H729" i="1"/>
  <c r="S728" i="1"/>
  <c r="H728" i="1"/>
  <c r="S727" i="1"/>
  <c r="H727" i="1"/>
  <c r="S726" i="1"/>
  <c r="H726" i="1"/>
  <c r="S725" i="1"/>
  <c r="H725" i="1"/>
  <c r="S724" i="1"/>
  <c r="H724" i="1"/>
  <c r="S723" i="1"/>
  <c r="H723" i="1"/>
  <c r="S722" i="1"/>
  <c r="H722" i="1"/>
  <c r="S721" i="1"/>
  <c r="H721" i="1"/>
  <c r="S720" i="1"/>
  <c r="H720" i="1"/>
  <c r="S719" i="1"/>
  <c r="H719" i="1"/>
  <c r="S718" i="1"/>
  <c r="H718" i="1"/>
  <c r="S717" i="1"/>
  <c r="H717" i="1"/>
  <c r="S716" i="1"/>
  <c r="H716" i="1"/>
  <c r="S715" i="1"/>
  <c r="H715" i="1"/>
  <c r="S714" i="1"/>
  <c r="H714" i="1"/>
  <c r="S713" i="1"/>
  <c r="Q776" i="1"/>
  <c r="G776" i="1"/>
  <c r="Q775" i="1"/>
  <c r="G775" i="1"/>
  <c r="Q774" i="1"/>
  <c r="G774" i="1"/>
  <c r="Q773" i="1"/>
  <c r="G773" i="1"/>
  <c r="Q772" i="1"/>
  <c r="G772" i="1"/>
  <c r="Q771" i="1"/>
  <c r="G771" i="1"/>
  <c r="Q770" i="1"/>
  <c r="G770" i="1"/>
  <c r="Q769" i="1"/>
  <c r="G769" i="1"/>
  <c r="Q768" i="1"/>
  <c r="G768" i="1"/>
  <c r="Q767" i="1"/>
  <c r="G767" i="1"/>
  <c r="Q766" i="1"/>
  <c r="G766" i="1"/>
  <c r="Q765" i="1"/>
  <c r="G765" i="1"/>
  <c r="Q764" i="1"/>
  <c r="G764" i="1"/>
  <c r="Q763" i="1"/>
  <c r="G763" i="1"/>
  <c r="Q762" i="1"/>
  <c r="G762" i="1"/>
  <c r="Q761" i="1"/>
  <c r="G761" i="1"/>
  <c r="Q760" i="1"/>
  <c r="G760" i="1"/>
  <c r="Q759" i="1"/>
  <c r="G759" i="1"/>
  <c r="Q758" i="1"/>
  <c r="G758" i="1"/>
  <c r="Q757" i="1"/>
  <c r="G757" i="1"/>
  <c r="Q756" i="1"/>
  <c r="G756" i="1"/>
  <c r="Q755" i="1"/>
  <c r="G755" i="1"/>
  <c r="Q754" i="1"/>
  <c r="G754" i="1"/>
  <c r="Q753" i="1"/>
  <c r="G753" i="1"/>
  <c r="Q752" i="1"/>
  <c r="G752" i="1"/>
  <c r="Q751" i="1"/>
  <c r="G751" i="1"/>
  <c r="Q750" i="1"/>
  <c r="G750" i="1"/>
  <c r="Q749" i="1"/>
  <c r="G749" i="1"/>
  <c r="Q748" i="1"/>
  <c r="G748" i="1"/>
  <c r="Q747" i="1"/>
  <c r="G747" i="1"/>
  <c r="Q746" i="1"/>
  <c r="G746" i="1"/>
  <c r="Q745" i="1"/>
  <c r="G745" i="1"/>
  <c r="Q744" i="1"/>
  <c r="G744" i="1"/>
  <c r="Q743" i="1"/>
  <c r="G743" i="1"/>
  <c r="Q742" i="1"/>
  <c r="G742" i="1"/>
  <c r="Q741" i="1"/>
  <c r="G741" i="1"/>
  <c r="Q740" i="1"/>
  <c r="G740" i="1"/>
  <c r="Q739" i="1"/>
  <c r="G739" i="1"/>
  <c r="Q738" i="1"/>
  <c r="G738" i="1"/>
  <c r="Q737" i="1"/>
  <c r="G737" i="1"/>
  <c r="Q736" i="1"/>
  <c r="G736" i="1"/>
  <c r="Q735" i="1"/>
  <c r="P776" i="1"/>
  <c r="F776" i="1"/>
  <c r="P775" i="1"/>
  <c r="F775" i="1"/>
  <c r="P774" i="1"/>
  <c r="F774" i="1"/>
  <c r="P773" i="1"/>
  <c r="F773" i="1"/>
  <c r="P772" i="1"/>
  <c r="F772" i="1"/>
  <c r="P771" i="1"/>
  <c r="F771" i="1"/>
  <c r="P770" i="1"/>
  <c r="F770" i="1"/>
  <c r="P769" i="1"/>
  <c r="F769" i="1"/>
  <c r="P768" i="1"/>
  <c r="F768" i="1"/>
  <c r="P767" i="1"/>
  <c r="F767" i="1"/>
  <c r="P766" i="1"/>
  <c r="F766" i="1"/>
  <c r="P765" i="1"/>
  <c r="F765" i="1"/>
  <c r="P764" i="1"/>
  <c r="F764" i="1"/>
  <c r="P763" i="1"/>
  <c r="F763" i="1"/>
  <c r="P762" i="1"/>
  <c r="F762" i="1"/>
  <c r="P761" i="1"/>
  <c r="F761" i="1"/>
  <c r="P760" i="1"/>
  <c r="F760" i="1"/>
  <c r="P759" i="1"/>
  <c r="F759" i="1"/>
  <c r="P758" i="1"/>
  <c r="F758" i="1"/>
  <c r="P757" i="1"/>
  <c r="F757" i="1"/>
  <c r="P756" i="1"/>
  <c r="F756" i="1"/>
  <c r="P755" i="1"/>
  <c r="F755" i="1"/>
  <c r="P754" i="1"/>
  <c r="F754" i="1"/>
  <c r="P753" i="1"/>
  <c r="F753" i="1"/>
  <c r="P752" i="1"/>
  <c r="F752" i="1"/>
  <c r="P751" i="1"/>
  <c r="F751" i="1"/>
  <c r="P750" i="1"/>
  <c r="F750" i="1"/>
  <c r="P749" i="1"/>
  <c r="F749" i="1"/>
  <c r="P748" i="1"/>
  <c r="F748" i="1"/>
  <c r="P747" i="1"/>
  <c r="F747" i="1"/>
  <c r="P746" i="1"/>
  <c r="F746" i="1"/>
  <c r="P745" i="1"/>
  <c r="F745" i="1"/>
  <c r="P744" i="1"/>
  <c r="F744" i="1"/>
  <c r="P743" i="1"/>
  <c r="F743" i="1"/>
  <c r="P742" i="1"/>
  <c r="F742" i="1"/>
  <c r="P741" i="1"/>
  <c r="F741" i="1"/>
  <c r="P740" i="1"/>
  <c r="F740" i="1"/>
  <c r="P739" i="1"/>
  <c r="F739" i="1"/>
  <c r="P738" i="1"/>
  <c r="F738" i="1"/>
  <c r="P737" i="1"/>
  <c r="F737" i="1"/>
  <c r="P736" i="1"/>
  <c r="F736" i="1"/>
  <c r="P735" i="1"/>
  <c r="F735" i="1"/>
  <c r="P734" i="1"/>
  <c r="F734" i="1"/>
  <c r="P733" i="1"/>
  <c r="F733" i="1"/>
  <c r="P732" i="1"/>
  <c r="F732" i="1"/>
  <c r="P731" i="1"/>
  <c r="F731" i="1"/>
  <c r="P730" i="1"/>
  <c r="F730" i="1"/>
  <c r="P729" i="1"/>
  <c r="F729" i="1"/>
  <c r="P728" i="1"/>
  <c r="F728" i="1"/>
  <c r="P727" i="1"/>
  <c r="F727" i="1"/>
  <c r="P726" i="1"/>
  <c r="F726" i="1"/>
  <c r="P725" i="1"/>
  <c r="F725" i="1"/>
  <c r="P724" i="1"/>
  <c r="F724" i="1"/>
  <c r="P723" i="1"/>
  <c r="F723" i="1"/>
  <c r="P722" i="1"/>
  <c r="F722" i="1"/>
  <c r="P721" i="1"/>
  <c r="F721" i="1"/>
  <c r="P720" i="1"/>
  <c r="F720" i="1"/>
  <c r="P719" i="1"/>
  <c r="F719" i="1"/>
  <c r="P718" i="1"/>
  <c r="F718" i="1"/>
  <c r="P717" i="1"/>
  <c r="F717" i="1"/>
  <c r="P716" i="1"/>
  <c r="O776" i="1"/>
  <c r="E776" i="1"/>
  <c r="O775" i="1"/>
  <c r="E775" i="1"/>
  <c r="O774" i="1"/>
  <c r="E774" i="1"/>
  <c r="O773" i="1"/>
  <c r="E773" i="1"/>
  <c r="O772" i="1"/>
  <c r="E772" i="1"/>
  <c r="O771" i="1"/>
  <c r="E771" i="1"/>
  <c r="O770" i="1"/>
  <c r="E770" i="1"/>
  <c r="O769" i="1"/>
  <c r="E769" i="1"/>
  <c r="O768" i="1"/>
  <c r="E768" i="1"/>
  <c r="O767" i="1"/>
  <c r="E767" i="1"/>
  <c r="O766" i="1"/>
  <c r="E766" i="1"/>
  <c r="O765" i="1"/>
  <c r="E765" i="1"/>
  <c r="O764" i="1"/>
  <c r="E764" i="1"/>
  <c r="O763" i="1"/>
  <c r="E763" i="1"/>
  <c r="O762" i="1"/>
  <c r="E762" i="1"/>
  <c r="O761" i="1"/>
  <c r="E761" i="1"/>
  <c r="O760" i="1"/>
  <c r="E760" i="1"/>
  <c r="O759" i="1"/>
  <c r="E759" i="1"/>
  <c r="O758" i="1"/>
  <c r="E758" i="1"/>
  <c r="O757" i="1"/>
  <c r="E757" i="1"/>
  <c r="O756" i="1"/>
  <c r="E756" i="1"/>
  <c r="O755" i="1"/>
  <c r="E755" i="1"/>
  <c r="O754" i="1"/>
  <c r="E754" i="1"/>
  <c r="O753" i="1"/>
  <c r="E753" i="1"/>
  <c r="O752" i="1"/>
  <c r="E752" i="1"/>
  <c r="O751" i="1"/>
  <c r="E751" i="1"/>
  <c r="O750" i="1"/>
  <c r="E750" i="1"/>
  <c r="O749" i="1"/>
  <c r="E749" i="1"/>
  <c r="O748" i="1"/>
  <c r="E748" i="1"/>
  <c r="O747" i="1"/>
  <c r="E747" i="1"/>
  <c r="O746" i="1"/>
  <c r="E746" i="1"/>
  <c r="O745" i="1"/>
  <c r="E745" i="1"/>
  <c r="O744" i="1"/>
  <c r="E744" i="1"/>
  <c r="O743" i="1"/>
  <c r="E743" i="1"/>
  <c r="O742" i="1"/>
  <c r="E742" i="1"/>
  <c r="O741" i="1"/>
  <c r="E741" i="1"/>
  <c r="O740" i="1"/>
  <c r="E740" i="1"/>
  <c r="O739" i="1"/>
  <c r="E739" i="1"/>
  <c r="O738" i="1"/>
  <c r="E738" i="1"/>
  <c r="O737" i="1"/>
  <c r="E737" i="1"/>
  <c r="O736" i="1"/>
  <c r="E736" i="1"/>
  <c r="O735" i="1"/>
  <c r="E735" i="1"/>
  <c r="O734" i="1"/>
  <c r="E734" i="1"/>
  <c r="O733" i="1"/>
  <c r="E733" i="1"/>
  <c r="O732" i="1"/>
  <c r="E732" i="1"/>
  <c r="O731" i="1"/>
  <c r="E731" i="1"/>
  <c r="O730" i="1"/>
  <c r="E730" i="1"/>
  <c r="O729" i="1"/>
  <c r="E729" i="1"/>
  <c r="O728" i="1"/>
  <c r="E728" i="1"/>
  <c r="O727" i="1"/>
  <c r="E727" i="1"/>
  <c r="O726" i="1"/>
  <c r="E726" i="1"/>
  <c r="O725" i="1"/>
  <c r="E725" i="1"/>
  <c r="O724" i="1"/>
  <c r="E724" i="1"/>
  <c r="O723" i="1"/>
  <c r="E723" i="1"/>
  <c r="O722" i="1"/>
  <c r="E722" i="1"/>
  <c r="O721" i="1"/>
  <c r="E721" i="1"/>
  <c r="O720" i="1"/>
  <c r="E720" i="1"/>
  <c r="O719" i="1"/>
  <c r="E719" i="1"/>
  <c r="O718" i="1"/>
  <c r="E718" i="1"/>
  <c r="O717" i="1"/>
  <c r="E717" i="1"/>
  <c r="O716" i="1"/>
  <c r="E716" i="1"/>
  <c r="O715" i="1"/>
  <c r="E715" i="1"/>
  <c r="O714" i="1"/>
  <c r="E714" i="1"/>
  <c r="O713" i="1"/>
  <c r="L776" i="1"/>
  <c r="J775" i="1"/>
  <c r="C774" i="1"/>
  <c r="L772" i="1"/>
  <c r="J771" i="1"/>
  <c r="C770" i="1"/>
  <c r="L768" i="1"/>
  <c r="J767" i="1"/>
  <c r="C766" i="1"/>
  <c r="L764" i="1"/>
  <c r="J763" i="1"/>
  <c r="C762" i="1"/>
  <c r="L760" i="1"/>
  <c r="J759" i="1"/>
  <c r="C758" i="1"/>
  <c r="L756" i="1"/>
  <c r="J755" i="1"/>
  <c r="C754" i="1"/>
  <c r="L752" i="1"/>
  <c r="J751" i="1"/>
  <c r="C750" i="1"/>
  <c r="L748" i="1"/>
  <c r="J747" i="1"/>
  <c r="C746" i="1"/>
  <c r="L744" i="1"/>
  <c r="J743" i="1"/>
  <c r="C742" i="1"/>
  <c r="L740" i="1"/>
  <c r="J739" i="1"/>
  <c r="C738" i="1"/>
  <c r="L736" i="1"/>
  <c r="J735" i="1"/>
  <c r="L734" i="1"/>
  <c r="T733" i="1"/>
  <c r="C733" i="1"/>
  <c r="G732" i="1"/>
  <c r="J731" i="1"/>
  <c r="L730" i="1"/>
  <c r="T729" i="1"/>
  <c r="C729" i="1"/>
  <c r="G728" i="1"/>
  <c r="J727" i="1"/>
  <c r="L726" i="1"/>
  <c r="T725" i="1"/>
  <c r="C725" i="1"/>
  <c r="G724" i="1"/>
  <c r="J723" i="1"/>
  <c r="L722" i="1"/>
  <c r="T721" i="1"/>
  <c r="C721" i="1"/>
  <c r="G720" i="1"/>
  <c r="J719" i="1"/>
  <c r="L718" i="1"/>
  <c r="T717" i="1"/>
  <c r="C717" i="1"/>
  <c r="G716" i="1"/>
  <c r="L715" i="1"/>
  <c r="B715" i="1"/>
  <c r="G714" i="1"/>
  <c r="L713" i="1"/>
  <c r="D713" i="1"/>
  <c r="L712" i="1"/>
  <c r="D712" i="1"/>
  <c r="L711" i="1"/>
  <c r="D711" i="1"/>
  <c r="L710" i="1"/>
  <c r="D710" i="1"/>
  <c r="L709" i="1"/>
  <c r="D709" i="1"/>
  <c r="L708" i="1"/>
  <c r="D708" i="1"/>
  <c r="L707" i="1"/>
  <c r="D707" i="1"/>
  <c r="L706" i="1"/>
  <c r="D706" i="1"/>
  <c r="L705" i="1"/>
  <c r="D705" i="1"/>
  <c r="L704" i="1"/>
  <c r="D704" i="1"/>
  <c r="L703" i="1"/>
  <c r="D703" i="1"/>
  <c r="L702" i="1"/>
  <c r="D702" i="1"/>
  <c r="L701" i="1"/>
  <c r="D701" i="1"/>
  <c r="L700" i="1"/>
  <c r="D700" i="1"/>
  <c r="L699" i="1"/>
  <c r="D699" i="1"/>
  <c r="L698" i="1"/>
  <c r="D698" i="1"/>
  <c r="L697" i="1"/>
  <c r="D697" i="1"/>
  <c r="L696" i="1"/>
  <c r="D696" i="1"/>
  <c r="L695" i="1"/>
  <c r="D695" i="1"/>
  <c r="L694" i="1"/>
  <c r="D694" i="1"/>
  <c r="L693" i="1"/>
  <c r="D693" i="1"/>
  <c r="L692" i="1"/>
  <c r="D692" i="1"/>
  <c r="L691" i="1"/>
  <c r="D691" i="1"/>
  <c r="L690" i="1"/>
  <c r="D690" i="1"/>
  <c r="L689" i="1"/>
  <c r="D689" i="1"/>
  <c r="L688" i="1"/>
  <c r="D688" i="1"/>
  <c r="L687" i="1"/>
  <c r="D687" i="1"/>
  <c r="L686" i="1"/>
  <c r="D686" i="1"/>
  <c r="L685" i="1"/>
  <c r="D685" i="1"/>
  <c r="L684" i="1"/>
  <c r="D684" i="1"/>
  <c r="L683" i="1"/>
  <c r="D683" i="1"/>
  <c r="L682" i="1"/>
  <c r="D682" i="1"/>
  <c r="L681" i="1"/>
  <c r="D681" i="1"/>
  <c r="L680" i="1"/>
  <c r="D680" i="1"/>
  <c r="K776" i="1"/>
  <c r="C775" i="1"/>
  <c r="K773" i="1"/>
  <c r="C772" i="1"/>
  <c r="K770" i="1"/>
  <c r="C769" i="1"/>
  <c r="D776" i="1"/>
  <c r="L774" i="1"/>
  <c r="D773" i="1"/>
  <c r="L771" i="1"/>
  <c r="D770" i="1"/>
  <c r="K768" i="1"/>
  <c r="C767" i="1"/>
  <c r="K765" i="1"/>
  <c r="C764" i="1"/>
  <c r="K762" i="1"/>
  <c r="C761" i="1"/>
  <c r="K759" i="1"/>
  <c r="B758" i="1"/>
  <c r="J756" i="1"/>
  <c r="B755" i="1"/>
  <c r="J753" i="1"/>
  <c r="B752" i="1"/>
  <c r="J750" i="1"/>
  <c r="B749" i="1"/>
  <c r="D747" i="1"/>
  <c r="L745" i="1"/>
  <c r="D744" i="1"/>
  <c r="L742" i="1"/>
  <c r="D741" i="1"/>
  <c r="L739" i="1"/>
  <c r="D738" i="1"/>
  <c r="K736" i="1"/>
  <c r="G735" i="1"/>
  <c r="I734" i="1"/>
  <c r="J733" i="1"/>
  <c r="K732" i="1"/>
  <c r="L731" i="1"/>
  <c r="Q730" i="1"/>
  <c r="Q729" i="1"/>
  <c r="T728" i="1"/>
  <c r="B728" i="1"/>
  <c r="C727" i="1"/>
  <c r="D726" i="1"/>
  <c r="G725" i="1"/>
  <c r="I724" i="1"/>
  <c r="I723" i="1"/>
  <c r="J722" i="1"/>
  <c r="K721" i="1"/>
  <c r="L720" i="1"/>
  <c r="Q719" i="1"/>
  <c r="T718" i="1"/>
  <c r="B718" i="1"/>
  <c r="B717" i="1"/>
  <c r="D716" i="1"/>
  <c r="I715" i="1"/>
  <c r="L714" i="1"/>
  <c r="T713" i="1"/>
  <c r="F713" i="1"/>
  <c r="O712" i="1"/>
  <c r="C712" i="1"/>
  <c r="J711" i="1"/>
  <c r="T710" i="1"/>
  <c r="H710" i="1"/>
  <c r="Q709" i="1"/>
  <c r="F709" i="1"/>
  <c r="O708" i="1"/>
  <c r="C708" i="1"/>
  <c r="J707" i="1"/>
  <c r="T706" i="1"/>
  <c r="H706" i="1"/>
  <c r="Q705" i="1"/>
  <c r="F705" i="1"/>
  <c r="O704" i="1"/>
  <c r="C704" i="1"/>
  <c r="J703" i="1"/>
  <c r="T702" i="1"/>
  <c r="H702" i="1"/>
  <c r="Q701" i="1"/>
  <c r="F701" i="1"/>
  <c r="O700" i="1"/>
  <c r="C700" i="1"/>
  <c r="J699" i="1"/>
  <c r="T698" i="1"/>
  <c r="H698" i="1"/>
  <c r="Q697" i="1"/>
  <c r="F697" i="1"/>
  <c r="O696" i="1"/>
  <c r="C696" i="1"/>
  <c r="J695" i="1"/>
  <c r="T694" i="1"/>
  <c r="H694" i="1"/>
  <c r="Q693" i="1"/>
  <c r="F693" i="1"/>
  <c r="O692" i="1"/>
  <c r="C692" i="1"/>
  <c r="J691" i="1"/>
  <c r="T690" i="1"/>
  <c r="H690" i="1"/>
  <c r="Q689" i="1"/>
  <c r="F689" i="1"/>
  <c r="O688" i="1"/>
  <c r="C688" i="1"/>
  <c r="J687" i="1"/>
  <c r="T686" i="1"/>
  <c r="H686" i="1"/>
  <c r="Q685" i="1"/>
  <c r="F685" i="1"/>
  <c r="O684" i="1"/>
  <c r="C684" i="1"/>
  <c r="J683" i="1"/>
  <c r="T682" i="1"/>
  <c r="H682" i="1"/>
  <c r="Q681" i="1"/>
  <c r="F681" i="1"/>
  <c r="O680" i="1"/>
  <c r="C680" i="1"/>
  <c r="K679" i="1"/>
  <c r="C679" i="1"/>
  <c r="K678" i="1"/>
  <c r="C678" i="1"/>
  <c r="K677" i="1"/>
  <c r="C677" i="1"/>
  <c r="K676" i="1"/>
  <c r="C676" i="1"/>
  <c r="K675" i="1"/>
  <c r="C675" i="1"/>
  <c r="K674" i="1"/>
  <c r="C674" i="1"/>
  <c r="K673" i="1"/>
  <c r="C673" i="1"/>
  <c r="K672" i="1"/>
  <c r="C672" i="1"/>
  <c r="C776" i="1"/>
  <c r="K774" i="1"/>
  <c r="C773" i="1"/>
  <c r="K771" i="1"/>
  <c r="B770" i="1"/>
  <c r="J768" i="1"/>
  <c r="B767" i="1"/>
  <c r="J765" i="1"/>
  <c r="B764" i="1"/>
  <c r="J762" i="1"/>
  <c r="B761" i="1"/>
  <c r="D759" i="1"/>
  <c r="L757" i="1"/>
  <c r="D756" i="1"/>
  <c r="L754" i="1"/>
  <c r="D753" i="1"/>
  <c r="L751" i="1"/>
  <c r="D750" i="1"/>
  <c r="K748" i="1"/>
  <c r="C747" i="1"/>
  <c r="K745" i="1"/>
  <c r="C744" i="1"/>
  <c r="K742" i="1"/>
  <c r="C741" i="1"/>
  <c r="K739" i="1"/>
  <c r="B738" i="1"/>
  <c r="J736" i="1"/>
  <c r="D735" i="1"/>
  <c r="G734" i="1"/>
  <c r="I733" i="1"/>
  <c r="J732" i="1"/>
  <c r="K731" i="1"/>
  <c r="K730" i="1"/>
  <c r="L729" i="1"/>
  <c r="Q728" i="1"/>
  <c r="T727" i="1"/>
  <c r="B727" i="1"/>
  <c r="C726" i="1"/>
  <c r="D725" i="1"/>
  <c r="D724" i="1"/>
  <c r="G723" i="1"/>
  <c r="I722" i="1"/>
  <c r="J721" i="1"/>
  <c r="K720" i="1"/>
  <c r="L719" i="1"/>
  <c r="Q718" i="1"/>
  <c r="Q717" i="1"/>
  <c r="T716" i="1"/>
  <c r="C716" i="1"/>
  <c r="G715" i="1"/>
  <c r="K714" i="1"/>
  <c r="Q713" i="1"/>
  <c r="E713" i="1"/>
  <c r="K712" i="1"/>
  <c r="B712" i="1"/>
  <c r="I711" i="1"/>
  <c r="S710" i="1"/>
  <c r="G710" i="1"/>
  <c r="P709" i="1"/>
  <c r="E709" i="1"/>
  <c r="K708" i="1"/>
  <c r="B708" i="1"/>
  <c r="I707" i="1"/>
  <c r="S706" i="1"/>
  <c r="G706" i="1"/>
  <c r="P705" i="1"/>
  <c r="E705" i="1"/>
  <c r="J776" i="1"/>
  <c r="B774" i="1"/>
  <c r="D771" i="1"/>
  <c r="D769" i="1"/>
  <c r="L766" i="1"/>
  <c r="B765" i="1"/>
  <c r="B763" i="1"/>
  <c r="K760" i="1"/>
  <c r="L758" i="1"/>
  <c r="B757" i="1"/>
  <c r="K754" i="1"/>
  <c r="K752" i="1"/>
  <c r="L750" i="1"/>
  <c r="J748" i="1"/>
  <c r="K746" i="1"/>
  <c r="K744" i="1"/>
  <c r="J742" i="1"/>
  <c r="J740" i="1"/>
  <c r="K738" i="1"/>
  <c r="D736" i="1"/>
  <c r="T734" i="1"/>
  <c r="L733" i="1"/>
  <c r="I732" i="1"/>
  <c r="D731" i="1"/>
  <c r="C730" i="1"/>
  <c r="L728" i="1"/>
  <c r="K727" i="1"/>
  <c r="I726" i="1"/>
  <c r="B725" i="1"/>
  <c r="T723" i="1"/>
  <c r="Q722" i="1"/>
  <c r="I721" i="1"/>
  <c r="D720" i="1"/>
  <c r="C719" i="1"/>
  <c r="L717" i="1"/>
  <c r="K716" i="1"/>
  <c r="K715" i="1"/>
  <c r="J714" i="1"/>
  <c r="J713" i="1"/>
  <c r="Q712" i="1"/>
  <c r="T711" i="1"/>
  <c r="F711" i="1"/>
  <c r="J710" i="1"/>
  <c r="O709" i="1"/>
  <c r="T708" i="1"/>
  <c r="F708" i="1"/>
  <c r="H707" i="1"/>
  <c r="O706" i="1"/>
  <c r="T705" i="1"/>
  <c r="C705" i="1"/>
  <c r="I704" i="1"/>
  <c r="Q703" i="1"/>
  <c r="E703" i="1"/>
  <c r="J702" i="1"/>
  <c r="S701" i="1"/>
  <c r="E701" i="1"/>
  <c r="J700" i="1"/>
  <c r="S699" i="1"/>
  <c r="F699" i="1"/>
  <c r="K698" i="1"/>
  <c r="T697" i="1"/>
  <c r="G697" i="1"/>
  <c r="K696" i="1"/>
  <c r="T695" i="1"/>
  <c r="G695" i="1"/>
  <c r="O694" i="1"/>
  <c r="B694" i="1"/>
  <c r="H693" i="1"/>
  <c r="P692" i="1"/>
  <c r="B692" i="1"/>
  <c r="H691" i="1"/>
  <c r="P690" i="1"/>
  <c r="C690" i="1"/>
  <c r="I689" i="1"/>
  <c r="Q688" i="1"/>
  <c r="E688" i="1"/>
  <c r="I687" i="1"/>
  <c r="Q686" i="1"/>
  <c r="E686" i="1"/>
  <c r="J685" i="1"/>
  <c r="S684" i="1"/>
  <c r="F684" i="1"/>
  <c r="K683" i="1"/>
  <c r="S682" i="1"/>
  <c r="F682" i="1"/>
  <c r="K681" i="1"/>
  <c r="T680" i="1"/>
  <c r="G680" i="1"/>
  <c r="O679" i="1"/>
  <c r="D679" i="1"/>
  <c r="J678" i="1"/>
  <c r="T677" i="1"/>
  <c r="H677" i="1"/>
  <c r="Q676" i="1"/>
  <c r="F676" i="1"/>
  <c r="O675" i="1"/>
  <c r="D675" i="1"/>
  <c r="J674" i="1"/>
  <c r="T673" i="1"/>
  <c r="H673" i="1"/>
  <c r="Q672" i="1"/>
  <c r="F672" i="1"/>
  <c r="O671" i="1"/>
  <c r="E671" i="1"/>
  <c r="O670" i="1"/>
  <c r="E670" i="1"/>
  <c r="O669" i="1"/>
  <c r="E669" i="1"/>
  <c r="O668" i="1"/>
  <c r="E668" i="1"/>
  <c r="O667" i="1"/>
  <c r="E667" i="1"/>
  <c r="O666" i="1"/>
  <c r="E666" i="1"/>
  <c r="O665" i="1"/>
  <c r="E665" i="1"/>
  <c r="O664" i="1"/>
  <c r="E664" i="1"/>
  <c r="O663" i="1"/>
  <c r="E663" i="1"/>
  <c r="O662" i="1"/>
  <c r="E662" i="1"/>
  <c r="O661" i="1"/>
  <c r="E661" i="1"/>
  <c r="O660" i="1"/>
  <c r="E660" i="1"/>
  <c r="O659" i="1"/>
  <c r="E659" i="1"/>
  <c r="O658" i="1"/>
  <c r="E658" i="1"/>
  <c r="O657" i="1"/>
  <c r="E657" i="1"/>
  <c r="O656" i="1"/>
  <c r="E656" i="1"/>
  <c r="O655" i="1"/>
  <c r="E655" i="1"/>
  <c r="O654" i="1"/>
  <c r="E654" i="1"/>
  <c r="O653" i="1"/>
  <c r="E653" i="1"/>
  <c r="O652" i="1"/>
  <c r="E652" i="1"/>
  <c r="O651" i="1"/>
  <c r="E651" i="1"/>
  <c r="O650" i="1"/>
  <c r="E650" i="1"/>
  <c r="O649" i="1"/>
  <c r="E649" i="1"/>
  <c r="O648" i="1"/>
  <c r="E648" i="1"/>
  <c r="O647" i="1"/>
  <c r="E647" i="1"/>
  <c r="O646" i="1"/>
  <c r="E646" i="1"/>
  <c r="O645" i="1"/>
  <c r="E645" i="1"/>
  <c r="O644" i="1"/>
  <c r="E644" i="1"/>
  <c r="O643" i="1"/>
  <c r="E643" i="1"/>
  <c r="O642" i="1"/>
  <c r="E642" i="1"/>
  <c r="O641" i="1"/>
  <c r="E641" i="1"/>
  <c r="O640" i="1"/>
  <c r="E640" i="1"/>
  <c r="O639" i="1"/>
  <c r="E639" i="1"/>
  <c r="O638" i="1"/>
  <c r="E638" i="1"/>
  <c r="O637" i="1"/>
  <c r="E637" i="1"/>
  <c r="O636" i="1"/>
  <c r="E636" i="1"/>
  <c r="O635" i="1"/>
  <c r="E635" i="1"/>
  <c r="O634" i="1"/>
  <c r="E634" i="1"/>
  <c r="O633" i="1"/>
  <c r="E633" i="1"/>
  <c r="O632" i="1"/>
  <c r="E632" i="1"/>
  <c r="O631" i="1"/>
  <c r="E631" i="1"/>
  <c r="O630" i="1"/>
  <c r="E630" i="1"/>
  <c r="O629" i="1"/>
  <c r="E629" i="1"/>
  <c r="O628" i="1"/>
  <c r="E628" i="1"/>
  <c r="O627" i="1"/>
  <c r="E627" i="1"/>
  <c r="O626" i="1"/>
  <c r="E626" i="1"/>
  <c r="O625" i="1"/>
  <c r="E625" i="1"/>
  <c r="O624" i="1"/>
  <c r="E624" i="1"/>
  <c r="O623" i="1"/>
  <c r="E623" i="1"/>
  <c r="O622" i="1"/>
  <c r="E622" i="1"/>
  <c r="O621" i="1"/>
  <c r="E621" i="1"/>
  <c r="O620" i="1"/>
  <c r="E620" i="1"/>
  <c r="O619" i="1"/>
  <c r="E619" i="1"/>
  <c r="O618" i="1"/>
  <c r="E618" i="1"/>
  <c r="O617" i="1"/>
  <c r="E617" i="1"/>
  <c r="O616" i="1"/>
  <c r="E616" i="1"/>
  <c r="O615" i="1"/>
  <c r="E615" i="1"/>
  <c r="O614" i="1"/>
  <c r="E614" i="1"/>
  <c r="O613" i="1"/>
  <c r="E613" i="1"/>
  <c r="O612" i="1"/>
  <c r="E612" i="1"/>
  <c r="O611" i="1"/>
  <c r="E611" i="1"/>
  <c r="O610" i="1"/>
  <c r="E610" i="1"/>
  <c r="O609" i="1"/>
  <c r="E609" i="1"/>
  <c r="O608" i="1"/>
  <c r="E608" i="1"/>
  <c r="O607" i="1"/>
  <c r="E607" i="1"/>
  <c r="O606" i="1"/>
  <c r="E606" i="1"/>
  <c r="O605" i="1"/>
  <c r="E605" i="1"/>
  <c r="O604" i="1"/>
  <c r="E604" i="1"/>
  <c r="O603" i="1"/>
  <c r="E603" i="1"/>
  <c r="O602" i="1"/>
  <c r="E602" i="1"/>
  <c r="O601" i="1"/>
  <c r="E601" i="1"/>
  <c r="O600" i="1"/>
  <c r="E600" i="1"/>
  <c r="O599" i="1"/>
  <c r="E599" i="1"/>
  <c r="O598" i="1"/>
  <c r="E598" i="1"/>
  <c r="O597" i="1"/>
  <c r="E597" i="1"/>
  <c r="O596" i="1"/>
  <c r="E596" i="1"/>
  <c r="O595" i="1"/>
  <c r="B776" i="1"/>
  <c r="L773" i="1"/>
  <c r="C771" i="1"/>
  <c r="B769" i="1"/>
  <c r="K766" i="1"/>
  <c r="K764" i="1"/>
  <c r="L762" i="1"/>
  <c r="J760" i="1"/>
  <c r="K758" i="1"/>
  <c r="K756" i="1"/>
  <c r="J754" i="1"/>
  <c r="J752" i="1"/>
  <c r="K750" i="1"/>
  <c r="D748" i="1"/>
  <c r="J746" i="1"/>
  <c r="J744" i="1"/>
  <c r="D742" i="1"/>
  <c r="D740" i="1"/>
  <c r="J738" i="1"/>
  <c r="C736" i="1"/>
  <c r="Q734" i="1"/>
  <c r="K733" i="1"/>
  <c r="D732" i="1"/>
  <c r="C731" i="1"/>
  <c r="B730" i="1"/>
  <c r="K728" i="1"/>
  <c r="I727" i="1"/>
  <c r="G726" i="1"/>
  <c r="T724" i="1"/>
  <c r="Q723" i="1"/>
  <c r="K722" i="1"/>
  <c r="G721" i="1"/>
  <c r="C720" i="1"/>
  <c r="B719" i="1"/>
  <c r="K717" i="1"/>
  <c r="J716" i="1"/>
  <c r="J715" i="1"/>
  <c r="I714" i="1"/>
  <c r="I713" i="1"/>
  <c r="P712" i="1"/>
  <c r="S711" i="1"/>
  <c r="E711" i="1"/>
  <c r="I710" i="1"/>
  <c r="K709" i="1"/>
  <c r="S708" i="1"/>
  <c r="E708" i="1"/>
  <c r="G707" i="1"/>
  <c r="K706" i="1"/>
  <c r="S705" i="1"/>
  <c r="B705" i="1"/>
  <c r="H704" i="1"/>
  <c r="P703" i="1"/>
  <c r="C703" i="1"/>
  <c r="I702" i="1"/>
  <c r="P701" i="1"/>
  <c r="C701" i="1"/>
  <c r="I700" i="1"/>
  <c r="Q699" i="1"/>
  <c r="E699" i="1"/>
  <c r="J698" i="1"/>
  <c r="S697" i="1"/>
  <c r="E697" i="1"/>
  <c r="J696" i="1"/>
  <c r="S695" i="1"/>
  <c r="F695" i="1"/>
  <c r="K694" i="1"/>
  <c r="T693" i="1"/>
  <c r="G693" i="1"/>
  <c r="K692" i="1"/>
  <c r="T691" i="1"/>
  <c r="G691" i="1"/>
  <c r="O690" i="1"/>
  <c r="B690" i="1"/>
  <c r="H689" i="1"/>
  <c r="P688" i="1"/>
  <c r="B688" i="1"/>
  <c r="H687" i="1"/>
  <c r="P686" i="1"/>
  <c r="C686" i="1"/>
  <c r="I685" i="1"/>
  <c r="Q684" i="1"/>
  <c r="E684" i="1"/>
  <c r="I683" i="1"/>
  <c r="Q682" i="1"/>
  <c r="E682" i="1"/>
  <c r="J681" i="1"/>
  <c r="S680" i="1"/>
  <c r="F680" i="1"/>
  <c r="L679" i="1"/>
  <c r="B679" i="1"/>
  <c r="I678" i="1"/>
  <c r="S677" i="1"/>
  <c r="G677" i="1"/>
  <c r="P676" i="1"/>
  <c r="E676" i="1"/>
  <c r="L675" i="1"/>
  <c r="B675" i="1"/>
  <c r="I674" i="1"/>
  <c r="S673" i="1"/>
  <c r="G673" i="1"/>
  <c r="P672" i="1"/>
  <c r="E672" i="1"/>
  <c r="L671" i="1"/>
  <c r="D671" i="1"/>
  <c r="L670" i="1"/>
  <c r="D670" i="1"/>
  <c r="L669" i="1"/>
  <c r="D669" i="1"/>
  <c r="L668" i="1"/>
  <c r="D668" i="1"/>
  <c r="L667" i="1"/>
  <c r="D667" i="1"/>
  <c r="L666" i="1"/>
  <c r="D666" i="1"/>
  <c r="L665" i="1"/>
  <c r="D665" i="1"/>
  <c r="L664" i="1"/>
  <c r="D664" i="1"/>
  <c r="L663" i="1"/>
  <c r="D663" i="1"/>
  <c r="L662" i="1"/>
  <c r="D662" i="1"/>
  <c r="L661" i="1"/>
  <c r="D661" i="1"/>
  <c r="L660" i="1"/>
  <c r="D660" i="1"/>
  <c r="L659" i="1"/>
  <c r="D659" i="1"/>
  <c r="L658" i="1"/>
  <c r="D658" i="1"/>
  <c r="L657" i="1"/>
  <c r="D657" i="1"/>
  <c r="L656" i="1"/>
  <c r="D656" i="1"/>
  <c r="L655" i="1"/>
  <c r="D655" i="1"/>
  <c r="L654" i="1"/>
  <c r="D654" i="1"/>
  <c r="L653" i="1"/>
  <c r="D653" i="1"/>
  <c r="L652" i="1"/>
  <c r="D652" i="1"/>
  <c r="L651" i="1"/>
  <c r="D651" i="1"/>
  <c r="L650" i="1"/>
  <c r="D650" i="1"/>
  <c r="L649" i="1"/>
  <c r="D649" i="1"/>
  <c r="L648" i="1"/>
  <c r="D648" i="1"/>
  <c r="L647" i="1"/>
  <c r="D647" i="1"/>
  <c r="L646" i="1"/>
  <c r="D646" i="1"/>
  <c r="L645" i="1"/>
  <c r="D645" i="1"/>
  <c r="L644" i="1"/>
  <c r="D644" i="1"/>
  <c r="L643" i="1"/>
  <c r="D643" i="1"/>
  <c r="L642" i="1"/>
  <c r="D642" i="1"/>
  <c r="L641" i="1"/>
  <c r="D641" i="1"/>
  <c r="L640" i="1"/>
  <c r="D640" i="1"/>
  <c r="L639" i="1"/>
  <c r="D639" i="1"/>
  <c r="L638" i="1"/>
  <c r="D638" i="1"/>
  <c r="L637" i="1"/>
  <c r="D637" i="1"/>
  <c r="L636" i="1"/>
  <c r="D636" i="1"/>
  <c r="L635" i="1"/>
  <c r="D635" i="1"/>
  <c r="L634" i="1"/>
  <c r="D634" i="1"/>
  <c r="L633" i="1"/>
  <c r="D633" i="1"/>
  <c r="L632" i="1"/>
  <c r="D632" i="1"/>
  <c r="L631" i="1"/>
  <c r="D631" i="1"/>
  <c r="L630" i="1"/>
  <c r="D630" i="1"/>
  <c r="L629" i="1"/>
  <c r="D629" i="1"/>
  <c r="L628" i="1"/>
  <c r="D628" i="1"/>
  <c r="L627" i="1"/>
  <c r="D627" i="1"/>
  <c r="L626" i="1"/>
  <c r="D626" i="1"/>
  <c r="L625" i="1"/>
  <c r="D625" i="1"/>
  <c r="L624" i="1"/>
  <c r="D624" i="1"/>
  <c r="L623" i="1"/>
  <c r="D623" i="1"/>
  <c r="L622" i="1"/>
  <c r="D622" i="1"/>
  <c r="L621" i="1"/>
  <c r="D621" i="1"/>
  <c r="L620" i="1"/>
  <c r="D620" i="1"/>
  <c r="L619" i="1"/>
  <c r="D619" i="1"/>
  <c r="L618" i="1"/>
  <c r="D618" i="1"/>
  <c r="L617" i="1"/>
  <c r="D617" i="1"/>
  <c r="L616" i="1"/>
  <c r="D616" i="1"/>
  <c r="L615" i="1"/>
  <c r="D615" i="1"/>
  <c r="L614" i="1"/>
  <c r="D614" i="1"/>
  <c r="L613" i="1"/>
  <c r="D613" i="1"/>
  <c r="L612" i="1"/>
  <c r="D612" i="1"/>
  <c r="L611" i="1"/>
  <c r="D611" i="1"/>
  <c r="L610" i="1"/>
  <c r="D610" i="1"/>
  <c r="L609" i="1"/>
  <c r="D609" i="1"/>
  <c r="L608" i="1"/>
  <c r="D608" i="1"/>
  <c r="L607" i="1"/>
  <c r="D607" i="1"/>
  <c r="L606" i="1"/>
  <c r="D606" i="1"/>
  <c r="L605" i="1"/>
  <c r="D605" i="1"/>
  <c r="L604" i="1"/>
  <c r="D604" i="1"/>
  <c r="L603" i="1"/>
  <c r="D603" i="1"/>
  <c r="L602" i="1"/>
  <c r="D602" i="1"/>
  <c r="L601" i="1"/>
  <c r="D601" i="1"/>
  <c r="L600" i="1"/>
  <c r="D600" i="1"/>
  <c r="L599" i="1"/>
  <c r="D599" i="1"/>
  <c r="L598" i="1"/>
  <c r="D598" i="1"/>
  <c r="L597" i="1"/>
  <c r="D597" i="1"/>
  <c r="L596" i="1"/>
  <c r="L775" i="1"/>
  <c r="J773" i="1"/>
  <c r="B771" i="1"/>
  <c r="D768" i="1"/>
  <c r="J766" i="1"/>
  <c r="J764" i="1"/>
  <c r="D762" i="1"/>
  <c r="D760" i="1"/>
  <c r="J758" i="1"/>
  <c r="C756" i="1"/>
  <c r="D754" i="1"/>
  <c r="D752" i="1"/>
  <c r="B750" i="1"/>
  <c r="C748" i="1"/>
  <c r="D746" i="1"/>
  <c r="B744" i="1"/>
  <c r="B742" i="1"/>
  <c r="C740" i="1"/>
  <c r="L737" i="1"/>
  <c r="B736" i="1"/>
  <c r="K734" i="1"/>
  <c r="G733" i="1"/>
  <c r="C732" i="1"/>
  <c r="B731" i="1"/>
  <c r="K729" i="1"/>
  <c r="J728" i="1"/>
  <c r="G727" i="1"/>
  <c r="B726" i="1"/>
  <c r="Q724" i="1"/>
  <c r="L723" i="1"/>
  <c r="G722" i="1"/>
  <c r="D721" i="1"/>
  <c r="B720" i="1"/>
  <c r="K718" i="1"/>
  <c r="J717" i="1"/>
  <c r="I716" i="1"/>
  <c r="F715" i="1"/>
  <c r="F714" i="1"/>
  <c r="H713" i="1"/>
  <c r="J712" i="1"/>
  <c r="Q711" i="1"/>
  <c r="C711" i="1"/>
  <c r="F710" i="1"/>
  <c r="J709" i="1"/>
  <c r="Q708" i="1"/>
  <c r="T707" i="1"/>
  <c r="F707" i="1"/>
  <c r="J706" i="1"/>
  <c r="O705" i="1"/>
  <c r="T704" i="1"/>
  <c r="G704" i="1"/>
  <c r="O703" i="1"/>
  <c r="B703" i="1"/>
  <c r="G702" i="1"/>
  <c r="O701" i="1"/>
  <c r="B701" i="1"/>
  <c r="H700" i="1"/>
  <c r="P699" i="1"/>
  <c r="C699" i="1"/>
  <c r="I698" i="1"/>
  <c r="P697" i="1"/>
  <c r="C697" i="1"/>
  <c r="I696" i="1"/>
  <c r="Q695" i="1"/>
  <c r="E695" i="1"/>
  <c r="J694" i="1"/>
  <c r="S693" i="1"/>
  <c r="E693" i="1"/>
  <c r="J692" i="1"/>
  <c r="S691" i="1"/>
  <c r="F691" i="1"/>
  <c r="K690" i="1"/>
  <c r="T689" i="1"/>
  <c r="G689" i="1"/>
  <c r="K688" i="1"/>
  <c r="T687" i="1"/>
  <c r="G687" i="1"/>
  <c r="O686" i="1"/>
  <c r="B686" i="1"/>
  <c r="H685" i="1"/>
  <c r="P684" i="1"/>
  <c r="B684" i="1"/>
  <c r="H683" i="1"/>
  <c r="P682" i="1"/>
  <c r="C682" i="1"/>
  <c r="I681" i="1"/>
  <c r="Q680" i="1"/>
  <c r="E680" i="1"/>
  <c r="J679" i="1"/>
  <c r="T678" i="1"/>
  <c r="H678" i="1"/>
  <c r="Q677" i="1"/>
  <c r="F677" i="1"/>
  <c r="O676" i="1"/>
  <c r="D676" i="1"/>
  <c r="J675" i="1"/>
  <c r="T674" i="1"/>
  <c r="H674" i="1"/>
  <c r="Q673" i="1"/>
  <c r="F673" i="1"/>
  <c r="O672" i="1"/>
  <c r="D672" i="1"/>
  <c r="K671" i="1"/>
  <c r="C671" i="1"/>
  <c r="K670" i="1"/>
  <c r="C670" i="1"/>
  <c r="K669" i="1"/>
  <c r="C669" i="1"/>
  <c r="K668" i="1"/>
  <c r="C668" i="1"/>
  <c r="K667" i="1"/>
  <c r="K775" i="1"/>
  <c r="D772" i="1"/>
  <c r="B768" i="1"/>
  <c r="C765" i="1"/>
  <c r="K761" i="1"/>
  <c r="D758" i="1"/>
  <c r="D755" i="1"/>
  <c r="K751" i="1"/>
  <c r="C749" i="1"/>
  <c r="D745" i="1"/>
  <c r="L741" i="1"/>
  <c r="B739" i="1"/>
  <c r="K735" i="1"/>
  <c r="Q733" i="1"/>
  <c r="Q731" i="1"/>
  <c r="J729" i="1"/>
  <c r="Q727" i="1"/>
  <c r="L725" i="1"/>
  <c r="B724" i="1"/>
  <c r="B722" i="1"/>
  <c r="T719" i="1"/>
  <c r="D718" i="1"/>
  <c r="B716" i="1"/>
  <c r="P714" i="1"/>
  <c r="B713" i="1"/>
  <c r="P711" i="1"/>
  <c r="O710" i="1"/>
  <c r="H709" i="1"/>
  <c r="G708" i="1"/>
  <c r="B707" i="1"/>
  <c r="K705" i="1"/>
  <c r="K704" i="1"/>
  <c r="I703" i="1"/>
  <c r="K702" i="1"/>
  <c r="I701" i="1"/>
  <c r="G700" i="1"/>
  <c r="H699" i="1"/>
  <c r="F698" i="1"/>
  <c r="H697" i="1"/>
  <c r="F696" i="1"/>
  <c r="C695" i="1"/>
  <c r="E694" i="1"/>
  <c r="B693" i="1"/>
  <c r="E692" i="1"/>
  <c r="B691" i="1"/>
  <c r="S689" i="1"/>
  <c r="T688" i="1"/>
  <c r="Q687" i="1"/>
  <c r="S686" i="1"/>
  <c r="P685" i="1"/>
  <c r="K684" i="1"/>
  <c r="P683" i="1"/>
  <c r="K682" i="1"/>
  <c r="O681" i="1"/>
  <c r="J680" i="1"/>
  <c r="I679" i="1"/>
  <c r="O678" i="1"/>
  <c r="O677" i="1"/>
  <c r="S676" i="1"/>
  <c r="S675" i="1"/>
  <c r="S674" i="1"/>
  <c r="D674" i="1"/>
  <c r="D673" i="1"/>
  <c r="G672" i="1"/>
  <c r="H671" i="1"/>
  <c r="J670" i="1"/>
  <c r="Q669" i="1"/>
  <c r="T668" i="1"/>
  <c r="F668" i="1"/>
  <c r="H667" i="1"/>
  <c r="P666" i="1"/>
  <c r="B666" i="1"/>
  <c r="H665" i="1"/>
  <c r="P664" i="1"/>
  <c r="B664" i="1"/>
  <c r="H663" i="1"/>
  <c r="P662" i="1"/>
  <c r="B662" i="1"/>
  <c r="H661" i="1"/>
  <c r="P660" i="1"/>
  <c r="B660" i="1"/>
  <c r="H659" i="1"/>
  <c r="P658" i="1"/>
  <c r="B658" i="1"/>
  <c r="H657" i="1"/>
  <c r="P656" i="1"/>
  <c r="B656" i="1"/>
  <c r="H655" i="1"/>
  <c r="P654" i="1"/>
  <c r="B654" i="1"/>
  <c r="H653" i="1"/>
  <c r="P652" i="1"/>
  <c r="B652" i="1"/>
  <c r="H651" i="1"/>
  <c r="P650" i="1"/>
  <c r="B650" i="1"/>
  <c r="H649" i="1"/>
  <c r="P648" i="1"/>
  <c r="B648" i="1"/>
  <c r="H647" i="1"/>
  <c r="P646" i="1"/>
  <c r="B646" i="1"/>
  <c r="H645" i="1"/>
  <c r="P644" i="1"/>
  <c r="B644" i="1"/>
  <c r="H643" i="1"/>
  <c r="P642" i="1"/>
  <c r="B642" i="1"/>
  <c r="H641" i="1"/>
  <c r="P640" i="1"/>
  <c r="B640" i="1"/>
  <c r="H639" i="1"/>
  <c r="P638" i="1"/>
  <c r="B638" i="1"/>
  <c r="H637" i="1"/>
  <c r="P636" i="1"/>
  <c r="B636" i="1"/>
  <c r="H635" i="1"/>
  <c r="P634" i="1"/>
  <c r="B634" i="1"/>
  <c r="H633" i="1"/>
  <c r="P632" i="1"/>
  <c r="B632" i="1"/>
  <c r="H631" i="1"/>
  <c r="P630" i="1"/>
  <c r="B630" i="1"/>
  <c r="H629" i="1"/>
  <c r="P628" i="1"/>
  <c r="B628" i="1"/>
  <c r="H627" i="1"/>
  <c r="P626" i="1"/>
  <c r="B626" i="1"/>
  <c r="H625" i="1"/>
  <c r="D775" i="1"/>
  <c r="B772" i="1"/>
  <c r="L767" i="1"/>
  <c r="D764" i="1"/>
  <c r="J761" i="1"/>
  <c r="K757" i="1"/>
  <c r="C755" i="1"/>
  <c r="D751" i="1"/>
  <c r="B748" i="1"/>
  <c r="C745" i="1"/>
  <c r="K741" i="1"/>
  <c r="L738" i="1"/>
  <c r="I735" i="1"/>
  <c r="D733" i="1"/>
  <c r="I731" i="1"/>
  <c r="I729" i="1"/>
  <c r="L727" i="1"/>
  <c r="K725" i="1"/>
  <c r="K723" i="1"/>
  <c r="Q721" i="1"/>
  <c r="K719" i="1"/>
  <c r="C718" i="1"/>
  <c r="T715" i="1"/>
  <c r="D714" i="1"/>
  <c r="T712" i="1"/>
  <c r="O711" i="1"/>
  <c r="K710" i="1"/>
  <c r="G709" i="1"/>
  <c r="S707" i="1"/>
  <c r="Q706" i="1"/>
  <c r="J705" i="1"/>
  <c r="J704" i="1"/>
  <c r="H703" i="1"/>
  <c r="F702" i="1"/>
  <c r="H701" i="1"/>
  <c r="F700" i="1"/>
  <c r="G699" i="1"/>
  <c r="E698" i="1"/>
  <c r="B697" i="1"/>
  <c r="E696" i="1"/>
  <c r="B695" i="1"/>
  <c r="C694" i="1"/>
  <c r="T692" i="1"/>
  <c r="Q691" i="1"/>
  <c r="S690" i="1"/>
  <c r="P689" i="1"/>
  <c r="S688" i="1"/>
  <c r="P687" i="1"/>
  <c r="K686" i="1"/>
  <c r="O685" i="1"/>
  <c r="J684" i="1"/>
  <c r="O683" i="1"/>
  <c r="J682" i="1"/>
  <c r="H681" i="1"/>
  <c r="I680" i="1"/>
  <c r="H679" i="1"/>
  <c r="L678" i="1"/>
  <c r="L677" i="1"/>
  <c r="L676" i="1"/>
  <c r="Q675" i="1"/>
  <c r="Q674" i="1"/>
  <c r="B674" i="1"/>
  <c r="B673" i="1"/>
  <c r="B672" i="1"/>
  <c r="G671" i="1"/>
  <c r="I670" i="1"/>
  <c r="P669" i="1"/>
  <c r="S668" i="1"/>
  <c r="B668" i="1"/>
  <c r="G667" i="1"/>
  <c r="K666" i="1"/>
  <c r="T665" i="1"/>
  <c r="G665" i="1"/>
  <c r="K664" i="1"/>
  <c r="T663" i="1"/>
  <c r="G663" i="1"/>
  <c r="K662" i="1"/>
  <c r="T661" i="1"/>
  <c r="G661" i="1"/>
  <c r="K660" i="1"/>
  <c r="T659" i="1"/>
  <c r="G659" i="1"/>
  <c r="K658" i="1"/>
  <c r="T657" i="1"/>
  <c r="G657" i="1"/>
  <c r="K656" i="1"/>
  <c r="T655" i="1"/>
  <c r="G655" i="1"/>
  <c r="K654" i="1"/>
  <c r="T653" i="1"/>
  <c r="G653" i="1"/>
  <c r="K652" i="1"/>
  <c r="T651" i="1"/>
  <c r="G651" i="1"/>
  <c r="K650" i="1"/>
  <c r="T649" i="1"/>
  <c r="G649" i="1"/>
  <c r="K648" i="1"/>
  <c r="T647" i="1"/>
  <c r="G647" i="1"/>
  <c r="K646" i="1"/>
  <c r="T645" i="1"/>
  <c r="G645" i="1"/>
  <c r="K644" i="1"/>
  <c r="T643" i="1"/>
  <c r="G643" i="1"/>
  <c r="K642" i="1"/>
  <c r="T641" i="1"/>
  <c r="G641" i="1"/>
  <c r="K640" i="1"/>
  <c r="T639" i="1"/>
  <c r="G639" i="1"/>
  <c r="K638" i="1"/>
  <c r="T637" i="1"/>
  <c r="G637" i="1"/>
  <c r="K636" i="1"/>
  <c r="T635" i="1"/>
  <c r="G635" i="1"/>
  <c r="K634" i="1"/>
  <c r="T633" i="1"/>
  <c r="G633" i="1"/>
  <c r="K632" i="1"/>
  <c r="T631" i="1"/>
  <c r="G631" i="1"/>
  <c r="K630" i="1"/>
  <c r="T629" i="1"/>
  <c r="G629" i="1"/>
  <c r="K628" i="1"/>
  <c r="T627" i="1"/>
  <c r="G627" i="1"/>
  <c r="K626" i="1"/>
  <c r="T625" i="1"/>
  <c r="G625" i="1"/>
  <c r="K624" i="1"/>
  <c r="T623" i="1"/>
  <c r="G623" i="1"/>
  <c r="K622" i="1"/>
  <c r="T621" i="1"/>
  <c r="G621" i="1"/>
  <c r="K620" i="1"/>
  <c r="T619" i="1"/>
  <c r="G619" i="1"/>
  <c r="K618" i="1"/>
  <c r="T617" i="1"/>
  <c r="G617" i="1"/>
  <c r="K616" i="1"/>
  <c r="T615" i="1"/>
  <c r="G615" i="1"/>
  <c r="K614" i="1"/>
  <c r="T613" i="1"/>
  <c r="G613" i="1"/>
  <c r="K612" i="1"/>
  <c r="T611" i="1"/>
  <c r="G611" i="1"/>
  <c r="K610" i="1"/>
  <c r="T609" i="1"/>
  <c r="G609" i="1"/>
  <c r="K608" i="1"/>
  <c r="T607" i="1"/>
  <c r="G607" i="1"/>
  <c r="K606" i="1"/>
  <c r="T605" i="1"/>
  <c r="G605" i="1"/>
  <c r="K604" i="1"/>
  <c r="T603" i="1"/>
  <c r="G603" i="1"/>
  <c r="K602" i="1"/>
  <c r="T601" i="1"/>
  <c r="G601" i="1"/>
  <c r="K600" i="1"/>
  <c r="T599" i="1"/>
  <c r="G599" i="1"/>
  <c r="K598" i="1"/>
  <c r="T597" i="1"/>
  <c r="G597" i="1"/>
  <c r="K596" i="1"/>
  <c r="B596" i="1"/>
  <c r="I595" i="1"/>
  <c r="T594" i="1"/>
  <c r="I594" i="1"/>
  <c r="T593" i="1"/>
  <c r="I593" i="1"/>
  <c r="T592" i="1"/>
  <c r="I592" i="1"/>
  <c r="T591" i="1"/>
  <c r="I591" i="1"/>
  <c r="T590" i="1"/>
  <c r="I590" i="1"/>
  <c r="T589" i="1"/>
  <c r="I589" i="1"/>
  <c r="T588" i="1"/>
  <c r="I588" i="1"/>
  <c r="T587" i="1"/>
  <c r="I587" i="1"/>
  <c r="T586" i="1"/>
  <c r="I586" i="1"/>
  <c r="T585" i="1"/>
  <c r="I585" i="1"/>
  <c r="T584" i="1"/>
  <c r="I584" i="1"/>
  <c r="T583" i="1"/>
  <c r="I583" i="1"/>
  <c r="T582" i="1"/>
  <c r="I582" i="1"/>
  <c r="T581" i="1"/>
  <c r="I581" i="1"/>
  <c r="T580" i="1"/>
  <c r="I580" i="1"/>
  <c r="T579" i="1"/>
  <c r="I579" i="1"/>
  <c r="T578" i="1"/>
  <c r="I578" i="1"/>
  <c r="T577" i="1"/>
  <c r="I577" i="1"/>
  <c r="T576" i="1"/>
  <c r="I576" i="1"/>
  <c r="T575" i="1"/>
  <c r="I575" i="1"/>
  <c r="T574" i="1"/>
  <c r="I574" i="1"/>
  <c r="T573" i="1"/>
  <c r="I573" i="1"/>
  <c r="T572" i="1"/>
  <c r="I572" i="1"/>
  <c r="T571" i="1"/>
  <c r="I571" i="1"/>
  <c r="T570" i="1"/>
  <c r="I570" i="1"/>
  <c r="T569" i="1"/>
  <c r="I569" i="1"/>
  <c r="T568" i="1"/>
  <c r="I568" i="1"/>
  <c r="T567" i="1"/>
  <c r="I567" i="1"/>
  <c r="T566" i="1"/>
  <c r="I566" i="1"/>
  <c r="T565" i="1"/>
  <c r="I565" i="1"/>
  <c r="T564" i="1"/>
  <c r="I564" i="1"/>
  <c r="T563" i="1"/>
  <c r="I563" i="1"/>
  <c r="T562" i="1"/>
  <c r="B775" i="1"/>
  <c r="L770" i="1"/>
  <c r="K767" i="1"/>
  <c r="L763" i="1"/>
  <c r="D761" i="1"/>
  <c r="J757" i="1"/>
  <c r="B754" i="1"/>
  <c r="C751" i="1"/>
  <c r="L747" i="1"/>
  <c r="B745" i="1"/>
  <c r="J741" i="1"/>
  <c r="K737" i="1"/>
  <c r="C735" i="1"/>
  <c r="B733" i="1"/>
  <c r="G731" i="1"/>
  <c r="G729" i="1"/>
  <c r="D727" i="1"/>
  <c r="J725" i="1"/>
  <c r="D723" i="1"/>
  <c r="L721" i="1"/>
  <c r="I719" i="1"/>
  <c r="I717" i="1"/>
  <c r="Q715" i="1"/>
  <c r="C714" i="1"/>
  <c r="S712" i="1"/>
  <c r="K711" i="1"/>
  <c r="E710" i="1"/>
  <c r="C709" i="1"/>
  <c r="Q707" i="1"/>
  <c r="P706" i="1"/>
  <c r="I705" i="1"/>
  <c r="F704" i="1"/>
  <c r="G703" i="1"/>
  <c r="E702" i="1"/>
  <c r="G701" i="1"/>
  <c r="E700" i="1"/>
  <c r="B699" i="1"/>
  <c r="C698" i="1"/>
  <c r="T696" i="1"/>
  <c r="B696" i="1"/>
  <c r="S694" i="1"/>
  <c r="P693" i="1"/>
  <c r="S692" i="1"/>
  <c r="P691" i="1"/>
  <c r="Q690" i="1"/>
  <c r="O689" i="1"/>
  <c r="J688" i="1"/>
  <c r="O687" i="1"/>
  <c r="J686" i="1"/>
  <c r="K685" i="1"/>
  <c r="I684" i="1"/>
  <c r="G683" i="1"/>
  <c r="I682" i="1"/>
  <c r="G681" i="1"/>
  <c r="H680" i="1"/>
  <c r="G679" i="1"/>
  <c r="G678" i="1"/>
  <c r="J677" i="1"/>
  <c r="J676" i="1"/>
  <c r="P675" i="1"/>
  <c r="P674" i="1"/>
  <c r="P673" i="1"/>
  <c r="T672" i="1"/>
  <c r="T671" i="1"/>
  <c r="F671" i="1"/>
  <c r="H670" i="1"/>
  <c r="J669" i="1"/>
  <c r="Q668" i="1"/>
  <c r="T667" i="1"/>
  <c r="F667" i="1"/>
  <c r="J666" i="1"/>
  <c r="S665" i="1"/>
  <c r="F665" i="1"/>
  <c r="J664" i="1"/>
  <c r="S663" i="1"/>
  <c r="F663" i="1"/>
  <c r="J662" i="1"/>
  <c r="S661" i="1"/>
  <c r="F661" i="1"/>
  <c r="J660" i="1"/>
  <c r="S659" i="1"/>
  <c r="F659" i="1"/>
  <c r="J658" i="1"/>
  <c r="S657" i="1"/>
  <c r="F657" i="1"/>
  <c r="J656" i="1"/>
  <c r="S655" i="1"/>
  <c r="F655" i="1"/>
  <c r="J654" i="1"/>
  <c r="S653" i="1"/>
  <c r="F653" i="1"/>
  <c r="J652" i="1"/>
  <c r="S651" i="1"/>
  <c r="F651" i="1"/>
  <c r="J650" i="1"/>
  <c r="S649" i="1"/>
  <c r="F649" i="1"/>
  <c r="J648" i="1"/>
  <c r="S647" i="1"/>
  <c r="F647" i="1"/>
  <c r="J646" i="1"/>
  <c r="S645" i="1"/>
  <c r="F645" i="1"/>
  <c r="J644" i="1"/>
  <c r="S643" i="1"/>
  <c r="F643" i="1"/>
  <c r="J642" i="1"/>
  <c r="S641" i="1"/>
  <c r="F641" i="1"/>
  <c r="J640" i="1"/>
  <c r="S639" i="1"/>
  <c r="F639" i="1"/>
  <c r="J638" i="1"/>
  <c r="S637" i="1"/>
  <c r="F637" i="1"/>
  <c r="J636" i="1"/>
  <c r="S635" i="1"/>
  <c r="F635" i="1"/>
  <c r="J634" i="1"/>
  <c r="S633" i="1"/>
  <c r="F633" i="1"/>
  <c r="J632" i="1"/>
  <c r="S631" i="1"/>
  <c r="F631" i="1"/>
  <c r="J630" i="1"/>
  <c r="S629" i="1"/>
  <c r="F629" i="1"/>
  <c r="J628" i="1"/>
  <c r="S627" i="1"/>
  <c r="F627" i="1"/>
  <c r="J626" i="1"/>
  <c r="S625" i="1"/>
  <c r="F625" i="1"/>
  <c r="J624" i="1"/>
  <c r="S623" i="1"/>
  <c r="F623" i="1"/>
  <c r="J622" i="1"/>
  <c r="S621" i="1"/>
  <c r="F621" i="1"/>
  <c r="J620" i="1"/>
  <c r="S619" i="1"/>
  <c r="F619" i="1"/>
  <c r="J618" i="1"/>
  <c r="S617" i="1"/>
  <c r="F617" i="1"/>
  <c r="J616" i="1"/>
  <c r="S615" i="1"/>
  <c r="F615" i="1"/>
  <c r="J614" i="1"/>
  <c r="S613" i="1"/>
  <c r="F613" i="1"/>
  <c r="J612" i="1"/>
  <c r="S611" i="1"/>
  <c r="F611" i="1"/>
  <c r="J610" i="1"/>
  <c r="S609" i="1"/>
  <c r="F609" i="1"/>
  <c r="J608" i="1"/>
  <c r="S607" i="1"/>
  <c r="F607" i="1"/>
  <c r="J606" i="1"/>
  <c r="S605" i="1"/>
  <c r="F605" i="1"/>
  <c r="J604" i="1"/>
  <c r="S603" i="1"/>
  <c r="F603" i="1"/>
  <c r="J602" i="1"/>
  <c r="S601" i="1"/>
  <c r="F601" i="1"/>
  <c r="J600" i="1"/>
  <c r="S599" i="1"/>
  <c r="F599" i="1"/>
  <c r="J598" i="1"/>
  <c r="S597" i="1"/>
  <c r="F597" i="1"/>
  <c r="J596" i="1"/>
  <c r="T595" i="1"/>
  <c r="H595" i="1"/>
  <c r="S594" i="1"/>
  <c r="H594" i="1"/>
  <c r="S593" i="1"/>
  <c r="H593" i="1"/>
  <c r="S592" i="1"/>
  <c r="H592" i="1"/>
  <c r="S591" i="1"/>
  <c r="H591" i="1"/>
  <c r="S590" i="1"/>
  <c r="H590" i="1"/>
  <c r="S589" i="1"/>
  <c r="H589" i="1"/>
  <c r="S588" i="1"/>
  <c r="H588" i="1"/>
  <c r="S587" i="1"/>
  <c r="H587" i="1"/>
  <c r="S586" i="1"/>
  <c r="H586" i="1"/>
  <c r="S585" i="1"/>
  <c r="H585" i="1"/>
  <c r="S584" i="1"/>
  <c r="H584" i="1"/>
  <c r="S583" i="1"/>
  <c r="H583" i="1"/>
  <c r="S582" i="1"/>
  <c r="H582" i="1"/>
  <c r="S581" i="1"/>
  <c r="H581" i="1"/>
  <c r="S580" i="1"/>
  <c r="H580" i="1"/>
  <c r="S579" i="1"/>
  <c r="H579" i="1"/>
  <c r="S578" i="1"/>
  <c r="H578" i="1"/>
  <c r="S577" i="1"/>
  <c r="H577" i="1"/>
  <c r="S576" i="1"/>
  <c r="H576" i="1"/>
  <c r="S575" i="1"/>
  <c r="H575" i="1"/>
  <c r="S574" i="1"/>
  <c r="H574" i="1"/>
  <c r="S573" i="1"/>
  <c r="H573" i="1"/>
  <c r="S572" i="1"/>
  <c r="H572" i="1"/>
  <c r="S571" i="1"/>
  <c r="H571" i="1"/>
  <c r="S570" i="1"/>
  <c r="H570" i="1"/>
  <c r="S569" i="1"/>
  <c r="H569" i="1"/>
  <c r="S568" i="1"/>
  <c r="H568" i="1"/>
  <c r="S567" i="1"/>
  <c r="H567" i="1"/>
  <c r="S566" i="1"/>
  <c r="H566" i="1"/>
  <c r="S565" i="1"/>
  <c r="H565" i="1"/>
  <c r="S564" i="1"/>
  <c r="H564" i="1"/>
  <c r="S563" i="1"/>
  <c r="H563" i="1"/>
  <c r="S562" i="1"/>
  <c r="H562" i="1"/>
  <c r="S561" i="1"/>
  <c r="H561" i="1"/>
  <c r="S560" i="1"/>
  <c r="H560" i="1"/>
  <c r="S559" i="1"/>
  <c r="H559" i="1"/>
  <c r="S558" i="1"/>
  <c r="H558" i="1"/>
  <c r="S557" i="1"/>
  <c r="H557" i="1"/>
  <c r="S556" i="1"/>
  <c r="J774" i="1"/>
  <c r="J770" i="1"/>
  <c r="D767" i="1"/>
  <c r="K763" i="1"/>
  <c r="C760" i="1"/>
  <c r="D757" i="1"/>
  <c r="L753" i="1"/>
  <c r="B751" i="1"/>
  <c r="K747" i="1"/>
  <c r="L743" i="1"/>
  <c r="B741" i="1"/>
  <c r="J737" i="1"/>
  <c r="B735" i="1"/>
  <c r="T732" i="1"/>
  <c r="T730" i="1"/>
  <c r="D729" i="1"/>
  <c r="T726" i="1"/>
  <c r="I725" i="1"/>
  <c r="C723" i="1"/>
  <c r="B721" i="1"/>
  <c r="G719" i="1"/>
  <c r="G717" i="1"/>
  <c r="P715" i="1"/>
  <c r="B714" i="1"/>
  <c r="I712" i="1"/>
  <c r="H711" i="1"/>
  <c r="C710" i="1"/>
  <c r="B709" i="1"/>
  <c r="P707" i="1"/>
  <c r="I706" i="1"/>
  <c r="H705" i="1"/>
  <c r="E704" i="1"/>
  <c r="F703" i="1"/>
  <c r="C702" i="1"/>
  <c r="T700" i="1"/>
  <c r="B700" i="1"/>
  <c r="S698" i="1"/>
  <c r="B698" i="1"/>
  <c r="S696" i="1"/>
  <c r="P695" i="1"/>
  <c r="Q694" i="1"/>
  <c r="O693" i="1"/>
  <c r="Q692" i="1"/>
  <c r="O691" i="1"/>
  <c r="J690" i="1"/>
  <c r="K689" i="1"/>
  <c r="I688" i="1"/>
  <c r="K687" i="1"/>
  <c r="I686" i="1"/>
  <c r="G685" i="1"/>
  <c r="H684" i="1"/>
  <c r="F683" i="1"/>
  <c r="G682" i="1"/>
  <c r="E681" i="1"/>
  <c r="B680" i="1"/>
  <c r="F679" i="1"/>
  <c r="F678" i="1"/>
  <c r="I677" i="1"/>
  <c r="I676" i="1"/>
  <c r="I675" i="1"/>
  <c r="O674" i="1"/>
  <c r="O673" i="1"/>
  <c r="S672" i="1"/>
  <c r="S671" i="1"/>
  <c r="B671" i="1"/>
  <c r="G670" i="1"/>
  <c r="I669" i="1"/>
  <c r="P668" i="1"/>
  <c r="S667" i="1"/>
  <c r="C667" i="1"/>
  <c r="I666" i="1"/>
  <c r="Q665" i="1"/>
  <c r="C665" i="1"/>
  <c r="I664" i="1"/>
  <c r="Q663" i="1"/>
  <c r="C663" i="1"/>
  <c r="I662" i="1"/>
  <c r="D774" i="1"/>
  <c r="D766" i="1"/>
  <c r="B760" i="1"/>
  <c r="K753" i="1"/>
  <c r="B747" i="1"/>
  <c r="K740" i="1"/>
  <c r="J734" i="1"/>
  <c r="J730" i="1"/>
  <c r="Q726" i="1"/>
  <c r="B723" i="1"/>
  <c r="D719" i="1"/>
  <c r="D715" i="1"/>
  <c r="H712" i="1"/>
  <c r="B710" i="1"/>
  <c r="O707" i="1"/>
  <c r="G705" i="1"/>
  <c r="S702" i="1"/>
  <c r="S700" i="1"/>
  <c r="Q698" i="1"/>
  <c r="Q696" i="1"/>
  <c r="P694" i="1"/>
  <c r="I692" i="1"/>
  <c r="I690" i="1"/>
  <c r="H688" i="1"/>
  <c r="G686" i="1"/>
  <c r="G684" i="1"/>
  <c r="B682" i="1"/>
  <c r="T679" i="1"/>
  <c r="E678" i="1"/>
  <c r="H676" i="1"/>
  <c r="L674" i="1"/>
  <c r="L672" i="1"/>
  <c r="T670" i="1"/>
  <c r="H669" i="1"/>
  <c r="Q667" i="1"/>
  <c r="H666" i="1"/>
  <c r="B665" i="1"/>
  <c r="P663" i="1"/>
  <c r="H662" i="1"/>
  <c r="I661" i="1"/>
  <c r="G660" i="1"/>
  <c r="C659" i="1"/>
  <c r="F658" i="1"/>
  <c r="B657" i="1"/>
  <c r="C656" i="1"/>
  <c r="T654" i="1"/>
  <c r="Q653" i="1"/>
  <c r="S652" i="1"/>
  <c r="P651" i="1"/>
  <c r="Q650" i="1"/>
  <c r="K649" i="1"/>
  <c r="I648" i="1"/>
  <c r="J647" i="1"/>
  <c r="H646" i="1"/>
  <c r="I645" i="1"/>
  <c r="G644" i="1"/>
  <c r="C643" i="1"/>
  <c r="F642" i="1"/>
  <c r="B641" i="1"/>
  <c r="C640" i="1"/>
  <c r="T638" i="1"/>
  <c r="Q637" i="1"/>
  <c r="S636" i="1"/>
  <c r="P635" i="1"/>
  <c r="Q634" i="1"/>
  <c r="K633" i="1"/>
  <c r="I632" i="1"/>
  <c r="J631" i="1"/>
  <c r="H630" i="1"/>
  <c r="I629" i="1"/>
  <c r="G628" i="1"/>
  <c r="C627" i="1"/>
  <c r="F626" i="1"/>
  <c r="B625" i="1"/>
  <c r="F624" i="1"/>
  <c r="H623" i="1"/>
  <c r="H622" i="1"/>
  <c r="J621" i="1"/>
  <c r="P620" i="1"/>
  <c r="P619" i="1"/>
  <c r="S618" i="1"/>
  <c r="B618" i="1"/>
  <c r="B617" i="1"/>
  <c r="F616" i="1"/>
  <c r="H615" i="1"/>
  <c r="H614" i="1"/>
  <c r="J613" i="1"/>
  <c r="P612" i="1"/>
  <c r="P611" i="1"/>
  <c r="S610" i="1"/>
  <c r="B610" i="1"/>
  <c r="B609" i="1"/>
  <c r="F608" i="1"/>
  <c r="H607" i="1"/>
  <c r="H606" i="1"/>
  <c r="J605" i="1"/>
  <c r="P604" i="1"/>
  <c r="P603" i="1"/>
  <c r="S602" i="1"/>
  <c r="B602" i="1"/>
  <c r="B601" i="1"/>
  <c r="F600" i="1"/>
  <c r="H599" i="1"/>
  <c r="H598" i="1"/>
  <c r="J597" i="1"/>
  <c r="P596" i="1"/>
  <c r="Q595" i="1"/>
  <c r="D595" i="1"/>
  <c r="J594" i="1"/>
  <c r="P593" i="1"/>
  <c r="D593" i="1"/>
  <c r="B773" i="1"/>
  <c r="B766" i="1"/>
  <c r="L759" i="1"/>
  <c r="C753" i="1"/>
  <c r="L746" i="1"/>
  <c r="B740" i="1"/>
  <c r="D734" i="1"/>
  <c r="I730" i="1"/>
  <c r="K726" i="1"/>
  <c r="T722" i="1"/>
  <c r="J718" i="1"/>
  <c r="C715" i="1"/>
  <c r="G712" i="1"/>
  <c r="T709" i="1"/>
  <c r="K707" i="1"/>
  <c r="S704" i="1"/>
  <c r="Q702" i="1"/>
  <c r="Q700" i="1"/>
  <c r="P698" i="1"/>
  <c r="P696" i="1"/>
  <c r="I694" i="1"/>
  <c r="H692" i="1"/>
  <c r="G690" i="1"/>
  <c r="G688" i="1"/>
  <c r="F686" i="1"/>
  <c r="T683" i="1"/>
  <c r="T681" i="1"/>
  <c r="S679" i="1"/>
  <c r="D678" i="1"/>
  <c r="G676" i="1"/>
  <c r="G674" i="1"/>
  <c r="J672" i="1"/>
  <c r="S670" i="1"/>
  <c r="G669" i="1"/>
  <c r="P667" i="1"/>
  <c r="G666" i="1"/>
  <c r="T664" i="1"/>
  <c r="K663" i="1"/>
  <c r="G662" i="1"/>
  <c r="C661" i="1"/>
  <c r="F660" i="1"/>
  <c r="B659" i="1"/>
  <c r="C658" i="1"/>
  <c r="T656" i="1"/>
  <c r="Q655" i="1"/>
  <c r="S654" i="1"/>
  <c r="P653" i="1"/>
  <c r="Q652" i="1"/>
  <c r="K651" i="1"/>
  <c r="I650" i="1"/>
  <c r="J649" i="1"/>
  <c r="H648" i="1"/>
  <c r="I647" i="1"/>
  <c r="G646" i="1"/>
  <c r="C645" i="1"/>
  <c r="F644" i="1"/>
  <c r="B643" i="1"/>
  <c r="C642" i="1"/>
  <c r="T640" i="1"/>
  <c r="Q639" i="1"/>
  <c r="S638" i="1"/>
  <c r="P637" i="1"/>
  <c r="Q636" i="1"/>
  <c r="K635" i="1"/>
  <c r="I634" i="1"/>
  <c r="J633" i="1"/>
  <c r="H632" i="1"/>
  <c r="I631" i="1"/>
  <c r="G630" i="1"/>
  <c r="C629" i="1"/>
  <c r="F628" i="1"/>
  <c r="B627" i="1"/>
  <c r="C626" i="1"/>
  <c r="T624" i="1"/>
  <c r="C624" i="1"/>
  <c r="C623" i="1"/>
  <c r="G622" i="1"/>
  <c r="I621" i="1"/>
  <c r="I620" i="1"/>
  <c r="K619" i="1"/>
  <c r="Q618" i="1"/>
  <c r="Q617" i="1"/>
  <c r="T616" i="1"/>
  <c r="C616" i="1"/>
  <c r="C615" i="1"/>
  <c r="G614" i="1"/>
  <c r="I613" i="1"/>
  <c r="I612" i="1"/>
  <c r="K611" i="1"/>
  <c r="Q610" i="1"/>
  <c r="Q609" i="1"/>
  <c r="T608" i="1"/>
  <c r="C608" i="1"/>
  <c r="C607" i="1"/>
  <c r="G606" i="1"/>
  <c r="I605" i="1"/>
  <c r="I604" i="1"/>
  <c r="K603" i="1"/>
  <c r="Q602" i="1"/>
  <c r="Q601" i="1"/>
  <c r="T600" i="1"/>
  <c r="C600" i="1"/>
  <c r="C599" i="1"/>
  <c r="G598" i="1"/>
  <c r="I597" i="1"/>
  <c r="I596" i="1"/>
  <c r="P595" i="1"/>
  <c r="C595" i="1"/>
  <c r="G594" i="1"/>
  <c r="O593" i="1"/>
  <c r="C593" i="1"/>
  <c r="G592" i="1"/>
  <c r="O591" i="1"/>
  <c r="C591" i="1"/>
  <c r="G590" i="1"/>
  <c r="O589" i="1"/>
  <c r="C589" i="1"/>
  <c r="K772" i="1"/>
  <c r="L765" i="1"/>
  <c r="C759" i="1"/>
  <c r="B753" i="1"/>
  <c r="B746" i="1"/>
  <c r="D739" i="1"/>
  <c r="C734" i="1"/>
  <c r="G730" i="1"/>
  <c r="J726" i="1"/>
  <c r="D722" i="1"/>
  <c r="I718" i="1"/>
  <c r="T714" i="1"/>
  <c r="F712" i="1"/>
  <c r="S709" i="1"/>
  <c r="E707" i="1"/>
  <c r="Q704" i="1"/>
  <c r="P702" i="1"/>
  <c r="P700" i="1"/>
  <c r="O698" i="1"/>
  <c r="H696" i="1"/>
  <c r="G694" i="1"/>
  <c r="G692" i="1"/>
  <c r="F690" i="1"/>
  <c r="F688" i="1"/>
  <c r="T685" i="1"/>
  <c r="S683" i="1"/>
  <c r="S681" i="1"/>
  <c r="Q679" i="1"/>
  <c r="B678" i="1"/>
  <c r="B676" i="1"/>
  <c r="F674" i="1"/>
  <c r="I672" i="1"/>
  <c r="Q670" i="1"/>
  <c r="F669" i="1"/>
  <c r="J667" i="1"/>
  <c r="F666" i="1"/>
  <c r="S664" i="1"/>
  <c r="J663" i="1"/>
  <c r="F662" i="1"/>
  <c r="B661" i="1"/>
  <c r="C660" i="1"/>
  <c r="T658" i="1"/>
  <c r="Q657" i="1"/>
  <c r="S656" i="1"/>
  <c r="P655" i="1"/>
  <c r="Q654" i="1"/>
  <c r="K653" i="1"/>
  <c r="I652" i="1"/>
  <c r="J651" i="1"/>
  <c r="H650" i="1"/>
  <c r="I649" i="1"/>
  <c r="G648" i="1"/>
  <c r="C647" i="1"/>
  <c r="F646" i="1"/>
  <c r="B645" i="1"/>
  <c r="C644" i="1"/>
  <c r="T642" i="1"/>
  <c r="Q641" i="1"/>
  <c r="S640" i="1"/>
  <c r="P639" i="1"/>
  <c r="Q638" i="1"/>
  <c r="K637" i="1"/>
  <c r="I636" i="1"/>
  <c r="J635" i="1"/>
  <c r="H634" i="1"/>
  <c r="I633" i="1"/>
  <c r="G632" i="1"/>
  <c r="C631" i="1"/>
  <c r="F630" i="1"/>
  <c r="B629" i="1"/>
  <c r="C628" i="1"/>
  <c r="T626" i="1"/>
  <c r="Q625" i="1"/>
  <c r="S624" i="1"/>
  <c r="B624" i="1"/>
  <c r="B623" i="1"/>
  <c r="F622" i="1"/>
  <c r="H621" i="1"/>
  <c r="H620" i="1"/>
  <c r="J619" i="1"/>
  <c r="P618" i="1"/>
  <c r="P617" i="1"/>
  <c r="S616" i="1"/>
  <c r="B616" i="1"/>
  <c r="B615" i="1"/>
  <c r="F614" i="1"/>
  <c r="H613" i="1"/>
  <c r="H612" i="1"/>
  <c r="J611" i="1"/>
  <c r="P610" i="1"/>
  <c r="P609" i="1"/>
  <c r="S608" i="1"/>
  <c r="B608" i="1"/>
  <c r="B607" i="1"/>
  <c r="F606" i="1"/>
  <c r="H605" i="1"/>
  <c r="H604" i="1"/>
  <c r="J603" i="1"/>
  <c r="P602" i="1"/>
  <c r="P601" i="1"/>
  <c r="S600" i="1"/>
  <c r="B600" i="1"/>
  <c r="B599" i="1"/>
  <c r="F598" i="1"/>
  <c r="H597" i="1"/>
  <c r="H596" i="1"/>
  <c r="L595" i="1"/>
  <c r="B595" i="1"/>
  <c r="F594" i="1"/>
  <c r="L593" i="1"/>
  <c r="B593" i="1"/>
  <c r="F592" i="1"/>
  <c r="L591" i="1"/>
  <c r="B591" i="1"/>
  <c r="F590" i="1"/>
  <c r="L589" i="1"/>
  <c r="B589" i="1"/>
  <c r="F588" i="1"/>
  <c r="L587" i="1"/>
  <c r="B587" i="1"/>
  <c r="F586" i="1"/>
  <c r="L585" i="1"/>
  <c r="B585" i="1"/>
  <c r="F584" i="1"/>
  <c r="L583" i="1"/>
  <c r="B583" i="1"/>
  <c r="F582" i="1"/>
  <c r="L581" i="1"/>
  <c r="B581" i="1"/>
  <c r="F580" i="1"/>
  <c r="L579" i="1"/>
  <c r="B579" i="1"/>
  <c r="F578" i="1"/>
  <c r="L577" i="1"/>
  <c r="B577" i="1"/>
  <c r="F576" i="1"/>
  <c r="L575" i="1"/>
  <c r="B575" i="1"/>
  <c r="J772" i="1"/>
  <c r="D765" i="1"/>
  <c r="B759" i="1"/>
  <c r="C752" i="1"/>
  <c r="J745" i="1"/>
  <c r="C739" i="1"/>
  <c r="B734" i="1"/>
  <c r="D730" i="1"/>
  <c r="Q725" i="1"/>
  <c r="C722" i="1"/>
  <c r="G718" i="1"/>
  <c r="Q714" i="1"/>
  <c r="E712" i="1"/>
  <c r="I709" i="1"/>
  <c r="C707" i="1"/>
  <c r="P704" i="1"/>
  <c r="O702" i="1"/>
  <c r="K700" i="1"/>
  <c r="G698" i="1"/>
  <c r="G696" i="1"/>
  <c r="F694" i="1"/>
  <c r="F692" i="1"/>
  <c r="E690" i="1"/>
  <c r="S687" i="1"/>
  <c r="S685" i="1"/>
  <c r="Q683" i="1"/>
  <c r="P681" i="1"/>
  <c r="P679" i="1"/>
  <c r="P677" i="1"/>
  <c r="T675" i="1"/>
  <c r="E674" i="1"/>
  <c r="H672" i="1"/>
  <c r="P670" i="1"/>
  <c r="B669" i="1"/>
  <c r="I667" i="1"/>
  <c r="C666" i="1"/>
  <c r="Q664" i="1"/>
  <c r="I663" i="1"/>
  <c r="C662" i="1"/>
  <c r="T660" i="1"/>
  <c r="Q659" i="1"/>
  <c r="S658" i="1"/>
  <c r="P657" i="1"/>
  <c r="Q656" i="1"/>
  <c r="K655" i="1"/>
  <c r="I654" i="1"/>
  <c r="J653" i="1"/>
  <c r="H652" i="1"/>
  <c r="I651" i="1"/>
  <c r="G650" i="1"/>
  <c r="C649" i="1"/>
  <c r="F648" i="1"/>
  <c r="B647" i="1"/>
  <c r="C646" i="1"/>
  <c r="T644" i="1"/>
  <c r="Q643" i="1"/>
  <c r="S642" i="1"/>
  <c r="P641" i="1"/>
  <c r="Q640" i="1"/>
  <c r="K639" i="1"/>
  <c r="I638" i="1"/>
  <c r="J637" i="1"/>
  <c r="H636" i="1"/>
  <c r="I635" i="1"/>
  <c r="G634" i="1"/>
  <c r="C633" i="1"/>
  <c r="F632" i="1"/>
  <c r="B631" i="1"/>
  <c r="C630" i="1"/>
  <c r="T628" i="1"/>
  <c r="Q627" i="1"/>
  <c r="S626" i="1"/>
  <c r="P625" i="1"/>
  <c r="Q624" i="1"/>
  <c r="Q623" i="1"/>
  <c r="T622" i="1"/>
  <c r="C622" i="1"/>
  <c r="C621" i="1"/>
  <c r="G620" i="1"/>
  <c r="I619" i="1"/>
  <c r="I618" i="1"/>
  <c r="K617" i="1"/>
  <c r="Q616" i="1"/>
  <c r="Q615" i="1"/>
  <c r="T614" i="1"/>
  <c r="C614" i="1"/>
  <c r="C613" i="1"/>
  <c r="G612" i="1"/>
  <c r="I611" i="1"/>
  <c r="I610" i="1"/>
  <c r="K609" i="1"/>
  <c r="Q608" i="1"/>
  <c r="Q607" i="1"/>
  <c r="T606" i="1"/>
  <c r="C606" i="1"/>
  <c r="C605" i="1"/>
  <c r="G604" i="1"/>
  <c r="I603" i="1"/>
  <c r="I602" i="1"/>
  <c r="K601" i="1"/>
  <c r="Q600" i="1"/>
  <c r="Q599" i="1"/>
  <c r="T598" i="1"/>
  <c r="C598" i="1"/>
  <c r="C597" i="1"/>
  <c r="G596" i="1"/>
  <c r="K595" i="1"/>
  <c r="Q594" i="1"/>
  <c r="E594" i="1"/>
  <c r="K593" i="1"/>
  <c r="Q592" i="1"/>
  <c r="E592" i="1"/>
  <c r="K591" i="1"/>
  <c r="Q590" i="1"/>
  <c r="E590" i="1"/>
  <c r="K589" i="1"/>
  <c r="Q588" i="1"/>
  <c r="E588" i="1"/>
  <c r="K587" i="1"/>
  <c r="Q586" i="1"/>
  <c r="E586" i="1"/>
  <c r="K585" i="1"/>
  <c r="Q584" i="1"/>
  <c r="E584" i="1"/>
  <c r="K583" i="1"/>
  <c r="Q582" i="1"/>
  <c r="E582" i="1"/>
  <c r="L769" i="1"/>
  <c r="C757" i="1"/>
  <c r="K743" i="1"/>
  <c r="Q732" i="1"/>
  <c r="L724" i="1"/>
  <c r="D717" i="1"/>
  <c r="G711" i="1"/>
  <c r="F706" i="1"/>
  <c r="B702" i="1"/>
  <c r="O697" i="1"/>
  <c r="K693" i="1"/>
  <c r="J689" i="1"/>
  <c r="E685" i="1"/>
  <c r="C681" i="1"/>
  <c r="E677" i="1"/>
  <c r="L673" i="1"/>
  <c r="F670" i="1"/>
  <c r="B667" i="1"/>
  <c r="H664" i="1"/>
  <c r="Q661" i="1"/>
  <c r="P659" i="1"/>
  <c r="K657" i="1"/>
  <c r="J655" i="1"/>
  <c r="I653" i="1"/>
  <c r="C651" i="1"/>
  <c r="B649" i="1"/>
  <c r="T646" i="1"/>
  <c r="S644" i="1"/>
  <c r="Q642" i="1"/>
  <c r="I640" i="1"/>
  <c r="H638" i="1"/>
  <c r="G636" i="1"/>
  <c r="F634" i="1"/>
  <c r="C632" i="1"/>
  <c r="Q629" i="1"/>
  <c r="P627" i="1"/>
  <c r="K625" i="1"/>
  <c r="P623" i="1"/>
  <c r="B622" i="1"/>
  <c r="F620" i="1"/>
  <c r="H618" i="1"/>
  <c r="P616" i="1"/>
  <c r="S614" i="1"/>
  <c r="B613" i="1"/>
  <c r="H611" i="1"/>
  <c r="J609" i="1"/>
  <c r="P607" i="1"/>
  <c r="B606" i="1"/>
  <c r="F604" i="1"/>
  <c r="H602" i="1"/>
  <c r="P600" i="1"/>
  <c r="S598" i="1"/>
  <c r="B597" i="1"/>
  <c r="J595" i="1"/>
  <c r="D594" i="1"/>
  <c r="P592" i="1"/>
  <c r="Q591" i="1"/>
  <c r="O590" i="1"/>
  <c r="P589" i="1"/>
  <c r="L588" i="1"/>
  <c r="P587" i="1"/>
  <c r="P586" i="1"/>
  <c r="B586" i="1"/>
  <c r="D585" i="1"/>
  <c r="D584" i="1"/>
  <c r="F583" i="1"/>
  <c r="J582" i="1"/>
  <c r="K581" i="1"/>
  <c r="P580" i="1"/>
  <c r="C580" i="1"/>
  <c r="F579" i="1"/>
  <c r="K578" i="1"/>
  <c r="P577" i="1"/>
  <c r="C577" i="1"/>
  <c r="E576" i="1"/>
  <c r="J575" i="1"/>
  <c r="O574" i="1"/>
  <c r="C574" i="1"/>
  <c r="G573" i="1"/>
  <c r="O572" i="1"/>
  <c r="C572" i="1"/>
  <c r="G571" i="1"/>
  <c r="O570" i="1"/>
  <c r="C570" i="1"/>
  <c r="G569" i="1"/>
  <c r="O568" i="1"/>
  <c r="C568" i="1"/>
  <c r="G567" i="1"/>
  <c r="O566" i="1"/>
  <c r="C566" i="1"/>
  <c r="G565" i="1"/>
  <c r="O564" i="1"/>
  <c r="C564" i="1"/>
  <c r="G563" i="1"/>
  <c r="O562" i="1"/>
  <c r="D562" i="1"/>
  <c r="K561" i="1"/>
  <c r="B561" i="1"/>
  <c r="I560" i="1"/>
  <c r="Q559" i="1"/>
  <c r="F559" i="1"/>
  <c r="O558" i="1"/>
  <c r="D558" i="1"/>
  <c r="K557" i="1"/>
  <c r="B557" i="1"/>
  <c r="I556" i="1"/>
  <c r="T555" i="1"/>
  <c r="I555" i="1"/>
  <c r="T554" i="1"/>
  <c r="I554" i="1"/>
  <c r="T553" i="1"/>
  <c r="I553" i="1"/>
  <c r="T552" i="1"/>
  <c r="I552" i="1"/>
  <c r="T551" i="1"/>
  <c r="I551" i="1"/>
  <c r="T550" i="1"/>
  <c r="I550" i="1"/>
  <c r="T549" i="1"/>
  <c r="I549" i="1"/>
  <c r="T548" i="1"/>
  <c r="I548" i="1"/>
  <c r="T547" i="1"/>
  <c r="I547" i="1"/>
  <c r="T546" i="1"/>
  <c r="I546" i="1"/>
  <c r="T545" i="1"/>
  <c r="I545" i="1"/>
  <c r="T544" i="1"/>
  <c r="I544" i="1"/>
  <c r="T543" i="1"/>
  <c r="I543" i="1"/>
  <c r="T542" i="1"/>
  <c r="I542" i="1"/>
  <c r="T541" i="1"/>
  <c r="I541" i="1"/>
  <c r="T540" i="1"/>
  <c r="I540" i="1"/>
  <c r="T539" i="1"/>
  <c r="I539" i="1"/>
  <c r="T538" i="1"/>
  <c r="I538" i="1"/>
  <c r="T537" i="1"/>
  <c r="I537" i="1"/>
  <c r="T536" i="1"/>
  <c r="I536" i="1"/>
  <c r="T535" i="1"/>
  <c r="I535" i="1"/>
  <c r="T534" i="1"/>
  <c r="I534" i="1"/>
  <c r="T533" i="1"/>
  <c r="I533" i="1"/>
  <c r="T532" i="1"/>
  <c r="I532" i="1"/>
  <c r="T531" i="1"/>
  <c r="I531" i="1"/>
  <c r="T530" i="1"/>
  <c r="I530" i="1"/>
  <c r="T529" i="1"/>
  <c r="I529" i="1"/>
  <c r="T528" i="1"/>
  <c r="I528" i="1"/>
  <c r="T527" i="1"/>
  <c r="I527" i="1"/>
  <c r="T526" i="1"/>
  <c r="I526" i="1"/>
  <c r="T525" i="1"/>
  <c r="I525" i="1"/>
  <c r="T524" i="1"/>
  <c r="I524" i="1"/>
  <c r="T523" i="1"/>
  <c r="I523" i="1"/>
  <c r="T522" i="1"/>
  <c r="I522" i="1"/>
  <c r="T521" i="1"/>
  <c r="I521" i="1"/>
  <c r="T520" i="1"/>
  <c r="I520" i="1"/>
  <c r="T519" i="1"/>
  <c r="I519" i="1"/>
  <c r="T518" i="1"/>
  <c r="I518" i="1"/>
  <c r="T517" i="1"/>
  <c r="I517" i="1"/>
  <c r="T516" i="1"/>
  <c r="I516" i="1"/>
  <c r="T515" i="1"/>
  <c r="I515" i="1"/>
  <c r="T514" i="1"/>
  <c r="I514" i="1"/>
  <c r="T513" i="1"/>
  <c r="I513" i="1"/>
  <c r="T512" i="1"/>
  <c r="I512" i="1"/>
  <c r="T511" i="1"/>
  <c r="I511" i="1"/>
  <c r="T510" i="1"/>
  <c r="I510" i="1"/>
  <c r="T509" i="1"/>
  <c r="I509" i="1"/>
  <c r="T508" i="1"/>
  <c r="I508" i="1"/>
  <c r="T507" i="1"/>
  <c r="I507" i="1"/>
  <c r="T506" i="1"/>
  <c r="I506" i="1"/>
  <c r="T505" i="1"/>
  <c r="I505" i="1"/>
  <c r="T504" i="1"/>
  <c r="I504" i="1"/>
  <c r="T503" i="1"/>
  <c r="I503" i="1"/>
  <c r="T502" i="1"/>
  <c r="I502" i="1"/>
  <c r="T501" i="1"/>
  <c r="I501" i="1"/>
  <c r="T500" i="1"/>
  <c r="I500" i="1"/>
  <c r="T499" i="1"/>
  <c r="I499" i="1"/>
  <c r="T498" i="1"/>
  <c r="I498" i="1"/>
  <c r="T497" i="1"/>
  <c r="I497" i="1"/>
  <c r="T496" i="1"/>
  <c r="I496" i="1"/>
  <c r="T495" i="1"/>
  <c r="I495" i="1"/>
  <c r="T494" i="1"/>
  <c r="I494" i="1"/>
  <c r="T493" i="1"/>
  <c r="I493" i="1"/>
  <c r="T492" i="1"/>
  <c r="I492" i="1"/>
  <c r="T491" i="1"/>
  <c r="I491" i="1"/>
  <c r="T490" i="1"/>
  <c r="I490" i="1"/>
  <c r="T489" i="1"/>
  <c r="I489" i="1"/>
  <c r="T488" i="1"/>
  <c r="I488" i="1"/>
  <c r="T487" i="1"/>
  <c r="I487" i="1"/>
  <c r="T486" i="1"/>
  <c r="I486" i="1"/>
  <c r="T485" i="1"/>
  <c r="I485" i="1"/>
  <c r="T484" i="1"/>
  <c r="I484" i="1"/>
  <c r="T483" i="1"/>
  <c r="I483" i="1"/>
  <c r="T482" i="1"/>
  <c r="I482" i="1"/>
  <c r="T481" i="1"/>
  <c r="I481" i="1"/>
  <c r="K769" i="1"/>
  <c r="B756" i="1"/>
  <c r="D743" i="1"/>
  <c r="L732" i="1"/>
  <c r="K724" i="1"/>
  <c r="Q716" i="1"/>
  <c r="B711" i="1"/>
  <c r="E706" i="1"/>
  <c r="T701" i="1"/>
  <c r="K697" i="1"/>
  <c r="J693" i="1"/>
  <c r="E689" i="1"/>
  <c r="C685" i="1"/>
  <c r="B681" i="1"/>
  <c r="D677" i="1"/>
  <c r="J673" i="1"/>
  <c r="B670" i="1"/>
  <c r="T666" i="1"/>
  <c r="G664" i="1"/>
  <c r="P661" i="1"/>
  <c r="K659" i="1"/>
  <c r="J657" i="1"/>
  <c r="I655" i="1"/>
  <c r="C653" i="1"/>
  <c r="B651" i="1"/>
  <c r="T648" i="1"/>
  <c r="S646" i="1"/>
  <c r="Q644" i="1"/>
  <c r="I642" i="1"/>
  <c r="H640" i="1"/>
  <c r="G638" i="1"/>
  <c r="F636" i="1"/>
  <c r="C634" i="1"/>
  <c r="Q631" i="1"/>
  <c r="P629" i="1"/>
  <c r="K627" i="1"/>
  <c r="J625" i="1"/>
  <c r="K623" i="1"/>
  <c r="Q621" i="1"/>
  <c r="C620" i="1"/>
  <c r="G618" i="1"/>
  <c r="I616" i="1"/>
  <c r="Q614" i="1"/>
  <c r="T612" i="1"/>
  <c r="C611" i="1"/>
  <c r="I609" i="1"/>
  <c r="K607" i="1"/>
  <c r="Q605" i="1"/>
  <c r="C604" i="1"/>
  <c r="G602" i="1"/>
  <c r="I600" i="1"/>
  <c r="Q598" i="1"/>
  <c r="T596" i="1"/>
  <c r="G595" i="1"/>
  <c r="C594" i="1"/>
  <c r="O592" i="1"/>
  <c r="P591" i="1"/>
  <c r="L590" i="1"/>
  <c r="J589" i="1"/>
  <c r="K588" i="1"/>
  <c r="O587" i="1"/>
  <c r="O586" i="1"/>
  <c r="Q585" i="1"/>
  <c r="C585" i="1"/>
  <c r="C584" i="1"/>
  <c r="E583" i="1"/>
  <c r="G582" i="1"/>
  <c r="J581" i="1"/>
  <c r="O580" i="1"/>
  <c r="B580" i="1"/>
  <c r="E579" i="1"/>
  <c r="J578" i="1"/>
  <c r="O577" i="1"/>
  <c r="Q576" i="1"/>
  <c r="D576" i="1"/>
  <c r="G575" i="1"/>
  <c r="L574" i="1"/>
  <c r="B574" i="1"/>
  <c r="F573" i="1"/>
  <c r="L572" i="1"/>
  <c r="B572" i="1"/>
  <c r="F571" i="1"/>
  <c r="L570" i="1"/>
  <c r="B570" i="1"/>
  <c r="F569" i="1"/>
  <c r="L568" i="1"/>
  <c r="B568" i="1"/>
  <c r="F567" i="1"/>
  <c r="L566" i="1"/>
  <c r="B566" i="1"/>
  <c r="F565" i="1"/>
  <c r="L564" i="1"/>
  <c r="B564" i="1"/>
  <c r="F563" i="1"/>
  <c r="L562" i="1"/>
  <c r="C562" i="1"/>
  <c r="J561" i="1"/>
  <c r="T560" i="1"/>
  <c r="G560" i="1"/>
  <c r="P559" i="1"/>
  <c r="E559" i="1"/>
  <c r="L558" i="1"/>
  <c r="C558" i="1"/>
  <c r="J557" i="1"/>
  <c r="T556" i="1"/>
  <c r="H556" i="1"/>
  <c r="S555" i="1"/>
  <c r="H555" i="1"/>
  <c r="S554" i="1"/>
  <c r="H554" i="1"/>
  <c r="S553" i="1"/>
  <c r="H553" i="1"/>
  <c r="S552" i="1"/>
  <c r="H552" i="1"/>
  <c r="S551" i="1"/>
  <c r="H551" i="1"/>
  <c r="S550" i="1"/>
  <c r="H550" i="1"/>
  <c r="S549" i="1"/>
  <c r="H549" i="1"/>
  <c r="S548" i="1"/>
  <c r="H548" i="1"/>
  <c r="S547" i="1"/>
  <c r="H547" i="1"/>
  <c r="S546" i="1"/>
  <c r="H546" i="1"/>
  <c r="S545" i="1"/>
  <c r="H545" i="1"/>
  <c r="S544" i="1"/>
  <c r="H544" i="1"/>
  <c r="S543" i="1"/>
  <c r="H543" i="1"/>
  <c r="S542" i="1"/>
  <c r="H542" i="1"/>
  <c r="S541" i="1"/>
  <c r="H541" i="1"/>
  <c r="S540" i="1"/>
  <c r="H540" i="1"/>
  <c r="S539" i="1"/>
  <c r="H539" i="1"/>
  <c r="S538" i="1"/>
  <c r="H538" i="1"/>
  <c r="S537" i="1"/>
  <c r="H537" i="1"/>
  <c r="S536" i="1"/>
  <c r="H536" i="1"/>
  <c r="S535" i="1"/>
  <c r="H535" i="1"/>
  <c r="S534" i="1"/>
  <c r="H534" i="1"/>
  <c r="S533" i="1"/>
  <c r="H533" i="1"/>
  <c r="S532" i="1"/>
  <c r="H532" i="1"/>
  <c r="S531" i="1"/>
  <c r="H531" i="1"/>
  <c r="S530" i="1"/>
  <c r="H530" i="1"/>
  <c r="S529" i="1"/>
  <c r="H529" i="1"/>
  <c r="S528" i="1"/>
  <c r="H528" i="1"/>
  <c r="S527" i="1"/>
  <c r="H527" i="1"/>
  <c r="S526" i="1"/>
  <c r="H526" i="1"/>
  <c r="S525" i="1"/>
  <c r="H525" i="1"/>
  <c r="S524" i="1"/>
  <c r="H524" i="1"/>
  <c r="S523" i="1"/>
  <c r="H523" i="1"/>
  <c r="S522" i="1"/>
  <c r="H522" i="1"/>
  <c r="S521" i="1"/>
  <c r="H521" i="1"/>
  <c r="S520" i="1"/>
  <c r="H520" i="1"/>
  <c r="S519" i="1"/>
  <c r="H519" i="1"/>
  <c r="S518" i="1"/>
  <c r="H518" i="1"/>
  <c r="S517" i="1"/>
  <c r="H517" i="1"/>
  <c r="S516" i="1"/>
  <c r="H516" i="1"/>
  <c r="S515" i="1"/>
  <c r="H515" i="1"/>
  <c r="S514" i="1"/>
  <c r="H514" i="1"/>
  <c r="S513" i="1"/>
  <c r="H513" i="1"/>
  <c r="S512" i="1"/>
  <c r="H512" i="1"/>
  <c r="S511" i="1"/>
  <c r="H511" i="1"/>
  <c r="S510" i="1"/>
  <c r="H510" i="1"/>
  <c r="S509" i="1"/>
  <c r="H509" i="1"/>
  <c r="S508" i="1"/>
  <c r="H508" i="1"/>
  <c r="S507" i="1"/>
  <c r="H507" i="1"/>
  <c r="S506" i="1"/>
  <c r="H506" i="1"/>
  <c r="S505" i="1"/>
  <c r="H505" i="1"/>
  <c r="S504" i="1"/>
  <c r="H504" i="1"/>
  <c r="S503" i="1"/>
  <c r="H503" i="1"/>
  <c r="S502" i="1"/>
  <c r="H502" i="1"/>
  <c r="S501" i="1"/>
  <c r="H501" i="1"/>
  <c r="S500" i="1"/>
  <c r="H500" i="1"/>
  <c r="S499" i="1"/>
  <c r="H499" i="1"/>
  <c r="S498" i="1"/>
  <c r="H498" i="1"/>
  <c r="S497" i="1"/>
  <c r="H497" i="1"/>
  <c r="S496" i="1"/>
  <c r="H496" i="1"/>
  <c r="S495" i="1"/>
  <c r="H495" i="1"/>
  <c r="S494" i="1"/>
  <c r="H494" i="1"/>
  <c r="S493" i="1"/>
  <c r="H493" i="1"/>
  <c r="S492" i="1"/>
  <c r="H492" i="1"/>
  <c r="S491" i="1"/>
  <c r="H491" i="1"/>
  <c r="S490" i="1"/>
  <c r="H490" i="1"/>
  <c r="S489" i="1"/>
  <c r="H489" i="1"/>
  <c r="S488" i="1"/>
  <c r="H488" i="1"/>
  <c r="S487" i="1"/>
  <c r="H487" i="1"/>
  <c r="S486" i="1"/>
  <c r="H486" i="1"/>
  <c r="S485" i="1"/>
  <c r="H485" i="1"/>
  <c r="S484" i="1"/>
  <c r="H484" i="1"/>
  <c r="S483" i="1"/>
  <c r="H483" i="1"/>
  <c r="S482" i="1"/>
  <c r="H482" i="1"/>
  <c r="S481" i="1"/>
  <c r="J769" i="1"/>
  <c r="L755" i="1"/>
  <c r="C743" i="1"/>
  <c r="B732" i="1"/>
  <c r="J724" i="1"/>
  <c r="L716" i="1"/>
  <c r="Q710" i="1"/>
  <c r="C706" i="1"/>
  <c r="K701" i="1"/>
  <c r="J697" i="1"/>
  <c r="I693" i="1"/>
  <c r="C689" i="1"/>
  <c r="B685" i="1"/>
  <c r="P680" i="1"/>
  <c r="B677" i="1"/>
  <c r="I673" i="1"/>
  <c r="T669" i="1"/>
  <c r="S666" i="1"/>
  <c r="F664" i="1"/>
  <c r="K661" i="1"/>
  <c r="J659" i="1"/>
  <c r="I657" i="1"/>
  <c r="C655" i="1"/>
  <c r="B653" i="1"/>
  <c r="T650" i="1"/>
  <c r="S648" i="1"/>
  <c r="Q646" i="1"/>
  <c r="I644" i="1"/>
  <c r="H642" i="1"/>
  <c r="G640" i="1"/>
  <c r="F638" i="1"/>
  <c r="C636" i="1"/>
  <c r="Q633" i="1"/>
  <c r="P631" i="1"/>
  <c r="K629" i="1"/>
  <c r="J627" i="1"/>
  <c r="I625" i="1"/>
  <c r="J623" i="1"/>
  <c r="P621" i="1"/>
  <c r="B620" i="1"/>
  <c r="F618" i="1"/>
  <c r="H616" i="1"/>
  <c r="P614" i="1"/>
  <c r="S612" i="1"/>
  <c r="B611" i="1"/>
  <c r="H609" i="1"/>
  <c r="J607" i="1"/>
  <c r="P605" i="1"/>
  <c r="B604" i="1"/>
  <c r="F602" i="1"/>
  <c r="H600" i="1"/>
  <c r="P598" i="1"/>
  <c r="S596" i="1"/>
  <c r="F595" i="1"/>
  <c r="B594" i="1"/>
  <c r="L592" i="1"/>
  <c r="J591" i="1"/>
  <c r="K590" i="1"/>
  <c r="G589" i="1"/>
  <c r="J588" i="1"/>
  <c r="J587" i="1"/>
  <c r="L586" i="1"/>
  <c r="P585" i="1"/>
  <c r="P584" i="1"/>
  <c r="B584" i="1"/>
  <c r="D583" i="1"/>
  <c r="D582" i="1"/>
  <c r="G581" i="1"/>
  <c r="L580" i="1"/>
  <c r="Q579" i="1"/>
  <c r="D579" i="1"/>
  <c r="G578" i="1"/>
  <c r="K577" i="1"/>
  <c r="P576" i="1"/>
  <c r="C576" i="1"/>
  <c r="F575" i="1"/>
  <c r="K574" i="1"/>
  <c r="Q573" i="1"/>
  <c r="E573" i="1"/>
  <c r="K572" i="1"/>
  <c r="Q571" i="1"/>
  <c r="E571" i="1"/>
  <c r="K570" i="1"/>
  <c r="Q569" i="1"/>
  <c r="E569" i="1"/>
  <c r="K568" i="1"/>
  <c r="Q567" i="1"/>
  <c r="E567" i="1"/>
  <c r="K566" i="1"/>
  <c r="Q565" i="1"/>
  <c r="E565" i="1"/>
  <c r="K564" i="1"/>
  <c r="Q563" i="1"/>
  <c r="E563" i="1"/>
  <c r="K562" i="1"/>
  <c r="B562" i="1"/>
  <c r="I561" i="1"/>
  <c r="Q560" i="1"/>
  <c r="F560" i="1"/>
  <c r="O559" i="1"/>
  <c r="D559" i="1"/>
  <c r="K558" i="1"/>
  <c r="B558" i="1"/>
  <c r="I557" i="1"/>
  <c r="Q556" i="1"/>
  <c r="G556" i="1"/>
  <c r="Q555" i="1"/>
  <c r="G555" i="1"/>
  <c r="Q554" i="1"/>
  <c r="G554" i="1"/>
  <c r="Q553" i="1"/>
  <c r="G553" i="1"/>
  <c r="Q552" i="1"/>
  <c r="G552" i="1"/>
  <c r="Q551" i="1"/>
  <c r="G551" i="1"/>
  <c r="Q550" i="1"/>
  <c r="G550" i="1"/>
  <c r="Q549" i="1"/>
  <c r="G549" i="1"/>
  <c r="Q548" i="1"/>
  <c r="G548" i="1"/>
  <c r="Q547" i="1"/>
  <c r="G547" i="1"/>
  <c r="Q546" i="1"/>
  <c r="G546" i="1"/>
  <c r="Q545" i="1"/>
  <c r="G545" i="1"/>
  <c r="Q544" i="1"/>
  <c r="G544" i="1"/>
  <c r="Q543" i="1"/>
  <c r="G543" i="1"/>
  <c r="Q542" i="1"/>
  <c r="G542" i="1"/>
  <c r="Q541" i="1"/>
  <c r="G541" i="1"/>
  <c r="Q540" i="1"/>
  <c r="G540" i="1"/>
  <c r="Q539" i="1"/>
  <c r="G539" i="1"/>
  <c r="Q538" i="1"/>
  <c r="G538" i="1"/>
  <c r="Q537" i="1"/>
  <c r="G537" i="1"/>
  <c r="Q536" i="1"/>
  <c r="G536" i="1"/>
  <c r="Q535" i="1"/>
  <c r="G535" i="1"/>
  <c r="Q534" i="1"/>
  <c r="G534" i="1"/>
  <c r="Q533" i="1"/>
  <c r="G533" i="1"/>
  <c r="Q532" i="1"/>
  <c r="G532" i="1"/>
  <c r="Q531" i="1"/>
  <c r="G531" i="1"/>
  <c r="Q530" i="1"/>
  <c r="G530" i="1"/>
  <c r="Q529" i="1"/>
  <c r="G529" i="1"/>
  <c r="Q528" i="1"/>
  <c r="G528" i="1"/>
  <c r="Q527" i="1"/>
  <c r="G527" i="1"/>
  <c r="Q526" i="1"/>
  <c r="G526" i="1"/>
  <c r="Q525" i="1"/>
  <c r="G525" i="1"/>
  <c r="Q524" i="1"/>
  <c r="G524" i="1"/>
  <c r="Q523" i="1"/>
  <c r="G523" i="1"/>
  <c r="Q522" i="1"/>
  <c r="G522" i="1"/>
  <c r="Q521" i="1"/>
  <c r="G521" i="1"/>
  <c r="Q520" i="1"/>
  <c r="G520" i="1"/>
  <c r="Q519" i="1"/>
  <c r="G519" i="1"/>
  <c r="Q518" i="1"/>
  <c r="G518" i="1"/>
  <c r="Q517" i="1"/>
  <c r="G517" i="1"/>
  <c r="Q516" i="1"/>
  <c r="G516" i="1"/>
  <c r="Q515" i="1"/>
  <c r="G515" i="1"/>
  <c r="Q514" i="1"/>
  <c r="G514" i="1"/>
  <c r="Q513" i="1"/>
  <c r="G513" i="1"/>
  <c r="Q512" i="1"/>
  <c r="G512" i="1"/>
  <c r="Q511" i="1"/>
  <c r="G511" i="1"/>
  <c r="Q510" i="1"/>
  <c r="G510" i="1"/>
  <c r="Q509" i="1"/>
  <c r="G509" i="1"/>
  <c r="Q508" i="1"/>
  <c r="G508" i="1"/>
  <c r="Q507" i="1"/>
  <c r="G507" i="1"/>
  <c r="Q506" i="1"/>
  <c r="G506" i="1"/>
  <c r="Q505" i="1"/>
  <c r="G505" i="1"/>
  <c r="Q504" i="1"/>
  <c r="G504" i="1"/>
  <c r="Q503" i="1"/>
  <c r="G503" i="1"/>
  <c r="Q502" i="1"/>
  <c r="G502" i="1"/>
  <c r="Q501" i="1"/>
  <c r="G501" i="1"/>
  <c r="Q500" i="1"/>
  <c r="G500" i="1"/>
  <c r="Q499" i="1"/>
  <c r="G499" i="1"/>
  <c r="Q498" i="1"/>
  <c r="G498" i="1"/>
  <c r="Q497" i="1"/>
  <c r="G497" i="1"/>
  <c r="Q496" i="1"/>
  <c r="G496" i="1"/>
  <c r="Q495" i="1"/>
  <c r="G495" i="1"/>
  <c r="Q494" i="1"/>
  <c r="G494" i="1"/>
  <c r="Q493" i="1"/>
  <c r="G493" i="1"/>
  <c r="Q492" i="1"/>
  <c r="G492" i="1"/>
  <c r="Q491" i="1"/>
  <c r="G491" i="1"/>
  <c r="Q490" i="1"/>
  <c r="G490" i="1"/>
  <c r="Q489" i="1"/>
  <c r="G489" i="1"/>
  <c r="Q488" i="1"/>
  <c r="G488" i="1"/>
  <c r="Q487" i="1"/>
  <c r="G487" i="1"/>
  <c r="Q486" i="1"/>
  <c r="G486" i="1"/>
  <c r="Q485" i="1"/>
  <c r="G485" i="1"/>
  <c r="Q484" i="1"/>
  <c r="G484" i="1"/>
  <c r="Q483" i="1"/>
  <c r="G483" i="1"/>
  <c r="Q482" i="1"/>
  <c r="G482" i="1"/>
  <c r="Q481" i="1"/>
  <c r="C768" i="1"/>
  <c r="K755" i="1"/>
  <c r="B743" i="1"/>
  <c r="T731" i="1"/>
  <c r="C724" i="1"/>
  <c r="F716" i="1"/>
  <c r="P710" i="1"/>
  <c r="B706" i="1"/>
  <c r="J701" i="1"/>
  <c r="I697" i="1"/>
  <c r="C693" i="1"/>
  <c r="B689" i="1"/>
  <c r="T684" i="1"/>
  <c r="K680" i="1"/>
  <c r="T676" i="1"/>
  <c r="E673" i="1"/>
  <c r="S669" i="1"/>
  <c r="Q666" i="1"/>
  <c r="C664" i="1"/>
  <c r="J661" i="1"/>
  <c r="I659" i="1"/>
  <c r="C657" i="1"/>
  <c r="B655" i="1"/>
  <c r="T652" i="1"/>
  <c r="S650" i="1"/>
  <c r="Q648" i="1"/>
  <c r="I646" i="1"/>
  <c r="H644" i="1"/>
  <c r="G642" i="1"/>
  <c r="F640" i="1"/>
  <c r="C638" i="1"/>
  <c r="Q635" i="1"/>
  <c r="P633" i="1"/>
  <c r="K631" i="1"/>
  <c r="J629" i="1"/>
  <c r="I627" i="1"/>
  <c r="C625" i="1"/>
  <c r="I623" i="1"/>
  <c r="K621" i="1"/>
  <c r="Q619" i="1"/>
  <c r="C618" i="1"/>
  <c r="G616" i="1"/>
  <c r="I614" i="1"/>
  <c r="Q612" i="1"/>
  <c r="T610" i="1"/>
  <c r="C609" i="1"/>
  <c r="I607" i="1"/>
  <c r="K605" i="1"/>
  <c r="Q603" i="1"/>
  <c r="C602" i="1"/>
  <c r="G600" i="1"/>
  <c r="I598" i="1"/>
  <c r="Q596" i="1"/>
  <c r="E595" i="1"/>
  <c r="Q593" i="1"/>
  <c r="K592" i="1"/>
  <c r="G591" i="1"/>
  <c r="J590" i="1"/>
  <c r="F589" i="1"/>
  <c r="G588" i="1"/>
  <c r="G587" i="1"/>
  <c r="K586" i="1"/>
  <c r="O585" i="1"/>
  <c r="O584" i="1"/>
  <c r="Q583" i="1"/>
  <c r="C583" i="1"/>
  <c r="C582" i="1"/>
  <c r="F581" i="1"/>
  <c r="K580" i="1"/>
  <c r="P579" i="1"/>
  <c r="C579" i="1"/>
  <c r="E578" i="1"/>
  <c r="J577" i="1"/>
  <c r="O576" i="1"/>
  <c r="B576" i="1"/>
  <c r="E575" i="1"/>
  <c r="J574" i="1"/>
  <c r="P573" i="1"/>
  <c r="D573" i="1"/>
  <c r="J572" i="1"/>
  <c r="P571" i="1"/>
  <c r="D571" i="1"/>
  <c r="J570" i="1"/>
  <c r="P569" i="1"/>
  <c r="D569" i="1"/>
  <c r="J568" i="1"/>
  <c r="P567" i="1"/>
  <c r="D567" i="1"/>
  <c r="J566" i="1"/>
  <c r="P565" i="1"/>
  <c r="D565" i="1"/>
  <c r="J564" i="1"/>
  <c r="P563" i="1"/>
  <c r="D563" i="1"/>
  <c r="J562" i="1"/>
  <c r="T561" i="1"/>
  <c r="G561" i="1"/>
  <c r="P560" i="1"/>
  <c r="E560" i="1"/>
  <c r="L559" i="1"/>
  <c r="C559" i="1"/>
  <c r="J558" i="1"/>
  <c r="T557" i="1"/>
  <c r="G557" i="1"/>
  <c r="P556" i="1"/>
  <c r="F556" i="1"/>
  <c r="P555" i="1"/>
  <c r="F555" i="1"/>
  <c r="P554" i="1"/>
  <c r="F554" i="1"/>
  <c r="P553" i="1"/>
  <c r="F553" i="1"/>
  <c r="P552" i="1"/>
  <c r="F552" i="1"/>
  <c r="P551" i="1"/>
  <c r="F551" i="1"/>
  <c r="P550" i="1"/>
  <c r="F550" i="1"/>
  <c r="P549" i="1"/>
  <c r="F549" i="1"/>
  <c r="P548" i="1"/>
  <c r="F548" i="1"/>
  <c r="P547" i="1"/>
  <c r="F547" i="1"/>
  <c r="P546" i="1"/>
  <c r="F546" i="1"/>
  <c r="P545" i="1"/>
  <c r="F545" i="1"/>
  <c r="P544" i="1"/>
  <c r="F544" i="1"/>
  <c r="P543" i="1"/>
  <c r="F543" i="1"/>
  <c r="P542" i="1"/>
  <c r="F542" i="1"/>
  <c r="P541" i="1"/>
  <c r="F541" i="1"/>
  <c r="P540" i="1"/>
  <c r="F540" i="1"/>
  <c r="P539" i="1"/>
  <c r="F539" i="1"/>
  <c r="P538" i="1"/>
  <c r="F538" i="1"/>
  <c r="P537" i="1"/>
  <c r="F537" i="1"/>
  <c r="P536" i="1"/>
  <c r="F536" i="1"/>
  <c r="P535" i="1"/>
  <c r="F535" i="1"/>
  <c r="P534" i="1"/>
  <c r="F534" i="1"/>
  <c r="P533" i="1"/>
  <c r="F533" i="1"/>
  <c r="P532" i="1"/>
  <c r="F532" i="1"/>
  <c r="P531" i="1"/>
  <c r="F531" i="1"/>
  <c r="P530" i="1"/>
  <c r="F530" i="1"/>
  <c r="P529" i="1"/>
  <c r="F529" i="1"/>
  <c r="P528" i="1"/>
  <c r="F528" i="1"/>
  <c r="P527" i="1"/>
  <c r="F527" i="1"/>
  <c r="P526" i="1"/>
  <c r="F526" i="1"/>
  <c r="P525" i="1"/>
  <c r="F525" i="1"/>
  <c r="P524" i="1"/>
  <c r="F524" i="1"/>
  <c r="P523" i="1"/>
  <c r="F523" i="1"/>
  <c r="P522" i="1"/>
  <c r="F522" i="1"/>
  <c r="P521" i="1"/>
  <c r="F521" i="1"/>
  <c r="P520" i="1"/>
  <c r="D763" i="1"/>
  <c r="D737" i="1"/>
  <c r="T720" i="1"/>
  <c r="P708" i="1"/>
  <c r="T699" i="1"/>
  <c r="K691" i="1"/>
  <c r="E683" i="1"/>
  <c r="H675" i="1"/>
  <c r="J668" i="1"/>
  <c r="B663" i="1"/>
  <c r="Q658" i="1"/>
  <c r="H654" i="1"/>
  <c r="F650" i="1"/>
  <c r="Q645" i="1"/>
  <c r="K641" i="1"/>
  <c r="I637" i="1"/>
  <c r="B633" i="1"/>
  <c r="S628" i="1"/>
  <c r="P624" i="1"/>
  <c r="B621" i="1"/>
  <c r="J617" i="1"/>
  <c r="B614" i="1"/>
  <c r="H610" i="1"/>
  <c r="S606" i="1"/>
  <c r="H603" i="1"/>
  <c r="P599" i="1"/>
  <c r="F596" i="1"/>
  <c r="J593" i="1"/>
  <c r="F591" i="1"/>
  <c r="E589" i="1"/>
  <c r="F587" i="1"/>
  <c r="J585" i="1"/>
  <c r="P583" i="1"/>
  <c r="B582" i="1"/>
  <c r="J580" i="1"/>
  <c r="Q578" i="1"/>
  <c r="G577" i="1"/>
  <c r="Q575" i="1"/>
  <c r="G574" i="1"/>
  <c r="C573" i="1"/>
  <c r="O571" i="1"/>
  <c r="G570" i="1"/>
  <c r="C569" i="1"/>
  <c r="O567" i="1"/>
  <c r="G566" i="1"/>
  <c r="C565" i="1"/>
  <c r="O563" i="1"/>
  <c r="I562" i="1"/>
  <c r="F561" i="1"/>
  <c r="D560" i="1"/>
  <c r="B559" i="1"/>
  <c r="Q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B520" i="1"/>
  <c r="D519" i="1"/>
  <c r="F518" i="1"/>
  <c r="K517" i="1"/>
  <c r="O516" i="1"/>
  <c r="B516" i="1"/>
  <c r="D515" i="1"/>
  <c r="F514" i="1"/>
  <c r="K513" i="1"/>
  <c r="O512" i="1"/>
  <c r="B512" i="1"/>
  <c r="D511" i="1"/>
  <c r="F510" i="1"/>
  <c r="K509" i="1"/>
  <c r="O508" i="1"/>
  <c r="B508" i="1"/>
  <c r="D507" i="1"/>
  <c r="F506" i="1"/>
  <c r="K505" i="1"/>
  <c r="O504" i="1"/>
  <c r="B504" i="1"/>
  <c r="D503" i="1"/>
  <c r="F502" i="1"/>
  <c r="K501" i="1"/>
  <c r="O500" i="1"/>
  <c r="B500" i="1"/>
  <c r="D499" i="1"/>
  <c r="F498" i="1"/>
  <c r="K497" i="1"/>
  <c r="O496" i="1"/>
  <c r="B496" i="1"/>
  <c r="D495" i="1"/>
  <c r="F494" i="1"/>
  <c r="K493" i="1"/>
  <c r="O492" i="1"/>
  <c r="B492" i="1"/>
  <c r="D491" i="1"/>
  <c r="F490" i="1"/>
  <c r="K489" i="1"/>
  <c r="O488" i="1"/>
  <c r="B488" i="1"/>
  <c r="D487" i="1"/>
  <c r="F486" i="1"/>
  <c r="K485" i="1"/>
  <c r="O484" i="1"/>
  <c r="B484" i="1"/>
  <c r="D483" i="1"/>
  <c r="F482" i="1"/>
  <c r="K481" i="1"/>
  <c r="B481" i="1"/>
  <c r="J480" i="1"/>
  <c r="B480" i="1"/>
  <c r="J479" i="1"/>
  <c r="B479" i="1"/>
  <c r="J478" i="1"/>
  <c r="B478" i="1"/>
  <c r="J477" i="1"/>
  <c r="B477" i="1"/>
  <c r="J476" i="1"/>
  <c r="B476" i="1"/>
  <c r="J475" i="1"/>
  <c r="B475" i="1"/>
  <c r="J474" i="1"/>
  <c r="B474" i="1"/>
  <c r="J473" i="1"/>
  <c r="B473" i="1"/>
  <c r="J472" i="1"/>
  <c r="B472" i="1"/>
  <c r="J471" i="1"/>
  <c r="B471" i="1"/>
  <c r="J470" i="1"/>
  <c r="B470" i="1"/>
  <c r="J469" i="1"/>
  <c r="B469" i="1"/>
  <c r="J468" i="1"/>
  <c r="B468" i="1"/>
  <c r="J467" i="1"/>
  <c r="B467" i="1"/>
  <c r="J466" i="1"/>
  <c r="B466" i="1"/>
  <c r="J465" i="1"/>
  <c r="B465" i="1"/>
  <c r="J464" i="1"/>
  <c r="B464" i="1"/>
  <c r="J463" i="1"/>
  <c r="B463" i="1"/>
  <c r="J462" i="1"/>
  <c r="B462" i="1"/>
  <c r="J461" i="1"/>
  <c r="B461" i="1"/>
  <c r="J460" i="1"/>
  <c r="B460" i="1"/>
  <c r="J459" i="1"/>
  <c r="B459" i="1"/>
  <c r="J458" i="1"/>
  <c r="B458" i="1"/>
  <c r="J457" i="1"/>
  <c r="B457" i="1"/>
  <c r="J456" i="1"/>
  <c r="B456" i="1"/>
  <c r="J455" i="1"/>
  <c r="B455" i="1"/>
  <c r="J454" i="1"/>
  <c r="B454" i="1"/>
  <c r="J453" i="1"/>
  <c r="B453" i="1"/>
  <c r="J452" i="1"/>
  <c r="B452" i="1"/>
  <c r="J451" i="1"/>
  <c r="B451" i="1"/>
  <c r="J450" i="1"/>
  <c r="B450" i="1"/>
  <c r="J449" i="1"/>
  <c r="B449" i="1"/>
  <c r="J448" i="1"/>
  <c r="B448" i="1"/>
  <c r="J447" i="1"/>
  <c r="B447" i="1"/>
  <c r="J446" i="1"/>
  <c r="B446" i="1"/>
  <c r="J445" i="1"/>
  <c r="B445" i="1"/>
  <c r="J444" i="1"/>
  <c r="B444" i="1"/>
  <c r="J443" i="1"/>
  <c r="B443" i="1"/>
  <c r="J442" i="1"/>
  <c r="B442" i="1"/>
  <c r="J441" i="1"/>
  <c r="B441" i="1"/>
  <c r="J440" i="1"/>
  <c r="B440" i="1"/>
  <c r="J439" i="1"/>
  <c r="B439" i="1"/>
  <c r="J438" i="1"/>
  <c r="B438" i="1"/>
  <c r="J437" i="1"/>
  <c r="B437" i="1"/>
  <c r="J436" i="1"/>
  <c r="B436" i="1"/>
  <c r="J435" i="1"/>
  <c r="B435" i="1"/>
  <c r="J434" i="1"/>
  <c r="B434" i="1"/>
  <c r="J433" i="1"/>
  <c r="B433" i="1"/>
  <c r="J432" i="1"/>
  <c r="B432" i="1"/>
  <c r="J431" i="1"/>
  <c r="B431" i="1"/>
  <c r="J430" i="1"/>
  <c r="B430" i="1"/>
  <c r="J429" i="1"/>
  <c r="B429" i="1"/>
  <c r="J428" i="1"/>
  <c r="B428" i="1"/>
  <c r="J427" i="1"/>
  <c r="B427" i="1"/>
  <c r="J426" i="1"/>
  <c r="B426" i="1"/>
  <c r="J425" i="1"/>
  <c r="B425" i="1"/>
  <c r="J424" i="1"/>
  <c r="B424" i="1"/>
  <c r="J423" i="1"/>
  <c r="B423" i="1"/>
  <c r="J422" i="1"/>
  <c r="B422" i="1"/>
  <c r="J421" i="1"/>
  <c r="B421" i="1"/>
  <c r="J420" i="1"/>
  <c r="B420" i="1"/>
  <c r="J419" i="1"/>
  <c r="B419" i="1"/>
  <c r="J418" i="1"/>
  <c r="B418" i="1"/>
  <c r="J417" i="1"/>
  <c r="B417" i="1"/>
  <c r="J416" i="1"/>
  <c r="B416" i="1"/>
  <c r="J415" i="1"/>
  <c r="B415" i="1"/>
  <c r="J414" i="1"/>
  <c r="B414" i="1"/>
  <c r="J413" i="1"/>
  <c r="B413" i="1"/>
  <c r="J412" i="1"/>
  <c r="B412" i="1"/>
  <c r="J411" i="1"/>
  <c r="B411" i="1"/>
  <c r="J410" i="1"/>
  <c r="B410" i="1"/>
  <c r="J409" i="1"/>
  <c r="B409" i="1"/>
  <c r="J408" i="1"/>
  <c r="B408" i="1"/>
  <c r="J407" i="1"/>
  <c r="B407" i="1"/>
  <c r="J406" i="1"/>
  <c r="B406" i="1"/>
  <c r="J405" i="1"/>
  <c r="B405" i="1"/>
  <c r="J404" i="1"/>
  <c r="B404" i="1"/>
  <c r="J403" i="1"/>
  <c r="B403" i="1"/>
  <c r="J402" i="1"/>
  <c r="B402" i="1"/>
  <c r="J401" i="1"/>
  <c r="B401" i="1"/>
  <c r="J400" i="1"/>
  <c r="B400" i="1"/>
  <c r="J399" i="1"/>
  <c r="B399" i="1"/>
  <c r="J398" i="1"/>
  <c r="B398" i="1"/>
  <c r="J397" i="1"/>
  <c r="B397" i="1"/>
  <c r="J396" i="1"/>
  <c r="B396" i="1"/>
  <c r="J395" i="1"/>
  <c r="B395" i="1"/>
  <c r="J394" i="1"/>
  <c r="B394" i="1"/>
  <c r="J393" i="1"/>
  <c r="B393" i="1"/>
  <c r="C763" i="1"/>
  <c r="C737" i="1"/>
  <c r="Q720" i="1"/>
  <c r="J708" i="1"/>
  <c r="O699" i="1"/>
  <c r="I691" i="1"/>
  <c r="C683" i="1"/>
  <c r="G675" i="1"/>
  <c r="I668" i="1"/>
  <c r="T662" i="1"/>
  <c r="I658" i="1"/>
  <c r="G654" i="1"/>
  <c r="C650" i="1"/>
  <c r="P645" i="1"/>
  <c r="J641" i="1"/>
  <c r="C637" i="1"/>
  <c r="T632" i="1"/>
  <c r="Q628" i="1"/>
  <c r="I624" i="1"/>
  <c r="T620" i="1"/>
  <c r="I617" i="1"/>
  <c r="Q613" i="1"/>
  <c r="G610" i="1"/>
  <c r="Q606" i="1"/>
  <c r="C603" i="1"/>
  <c r="K599" i="1"/>
  <c r="D596" i="1"/>
  <c r="G593" i="1"/>
  <c r="E591" i="1"/>
  <c r="D589" i="1"/>
  <c r="E587" i="1"/>
  <c r="G585" i="1"/>
  <c r="O583" i="1"/>
  <c r="Q581" i="1"/>
  <c r="G580" i="1"/>
  <c r="P578" i="1"/>
  <c r="F577" i="1"/>
  <c r="P575" i="1"/>
  <c r="F574" i="1"/>
  <c r="B573" i="1"/>
  <c r="L571" i="1"/>
  <c r="F570" i="1"/>
  <c r="B569" i="1"/>
  <c r="L567" i="1"/>
  <c r="F566" i="1"/>
  <c r="B565" i="1"/>
  <c r="L563" i="1"/>
  <c r="G562" i="1"/>
  <c r="E561" i="1"/>
  <c r="C560" i="1"/>
  <c r="T558" i="1"/>
  <c r="P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P519" i="1"/>
  <c r="C519" i="1"/>
  <c r="E518" i="1"/>
  <c r="J517" i="1"/>
  <c r="L516" i="1"/>
  <c r="P515" i="1"/>
  <c r="C515" i="1"/>
  <c r="E514" i="1"/>
  <c r="J513" i="1"/>
  <c r="L512" i="1"/>
  <c r="P511" i="1"/>
  <c r="C511" i="1"/>
  <c r="E510" i="1"/>
  <c r="J509" i="1"/>
  <c r="L508" i="1"/>
  <c r="P507" i="1"/>
  <c r="C507" i="1"/>
  <c r="E506" i="1"/>
  <c r="J505" i="1"/>
  <c r="L504" i="1"/>
  <c r="P503" i="1"/>
  <c r="C503" i="1"/>
  <c r="E502" i="1"/>
  <c r="J501" i="1"/>
  <c r="L500" i="1"/>
  <c r="P499" i="1"/>
  <c r="C499" i="1"/>
  <c r="E498" i="1"/>
  <c r="J497" i="1"/>
  <c r="L496" i="1"/>
  <c r="P495" i="1"/>
  <c r="C495" i="1"/>
  <c r="E494" i="1"/>
  <c r="J493" i="1"/>
  <c r="L492" i="1"/>
  <c r="P491" i="1"/>
  <c r="C491" i="1"/>
  <c r="E490" i="1"/>
  <c r="J489" i="1"/>
  <c r="L488" i="1"/>
  <c r="P487" i="1"/>
  <c r="C487" i="1"/>
  <c r="E486" i="1"/>
  <c r="J485" i="1"/>
  <c r="L484" i="1"/>
  <c r="P483" i="1"/>
  <c r="C483" i="1"/>
  <c r="E482" i="1"/>
  <c r="J481" i="1"/>
  <c r="T480" i="1"/>
  <c r="I480" i="1"/>
  <c r="T479" i="1"/>
  <c r="I479" i="1"/>
  <c r="T478" i="1"/>
  <c r="I478" i="1"/>
  <c r="T477" i="1"/>
  <c r="I477" i="1"/>
  <c r="T476" i="1"/>
  <c r="I476" i="1"/>
  <c r="T475" i="1"/>
  <c r="I475" i="1"/>
  <c r="T474" i="1"/>
  <c r="I474" i="1"/>
  <c r="T473" i="1"/>
  <c r="I473" i="1"/>
  <c r="T472" i="1"/>
  <c r="I472" i="1"/>
  <c r="T471" i="1"/>
  <c r="I471" i="1"/>
  <c r="T470" i="1"/>
  <c r="I470" i="1"/>
  <c r="T469" i="1"/>
  <c r="I469" i="1"/>
  <c r="T468" i="1"/>
  <c r="I468" i="1"/>
  <c r="T467" i="1"/>
  <c r="I467" i="1"/>
  <c r="T466" i="1"/>
  <c r="I466" i="1"/>
  <c r="T465" i="1"/>
  <c r="I465" i="1"/>
  <c r="T464" i="1"/>
  <c r="I464" i="1"/>
  <c r="T463" i="1"/>
  <c r="I463" i="1"/>
  <c r="T462" i="1"/>
  <c r="I462" i="1"/>
  <c r="T461" i="1"/>
  <c r="I461" i="1"/>
  <c r="T460" i="1"/>
  <c r="I460" i="1"/>
  <c r="T459" i="1"/>
  <c r="I459" i="1"/>
  <c r="T458" i="1"/>
  <c r="I458" i="1"/>
  <c r="T457" i="1"/>
  <c r="I457" i="1"/>
  <c r="T456" i="1"/>
  <c r="I456" i="1"/>
  <c r="T455" i="1"/>
  <c r="I455" i="1"/>
  <c r="T454" i="1"/>
  <c r="I454" i="1"/>
  <c r="T453" i="1"/>
  <c r="I453" i="1"/>
  <c r="T452" i="1"/>
  <c r="I452" i="1"/>
  <c r="T451" i="1"/>
  <c r="I451" i="1"/>
  <c r="T450" i="1"/>
  <c r="I450" i="1"/>
  <c r="T449" i="1"/>
  <c r="I449" i="1"/>
  <c r="T448" i="1"/>
  <c r="I448" i="1"/>
  <c r="T447" i="1"/>
  <c r="I447" i="1"/>
  <c r="T446" i="1"/>
  <c r="I446" i="1"/>
  <c r="T445" i="1"/>
  <c r="I445" i="1"/>
  <c r="T444" i="1"/>
  <c r="I444" i="1"/>
  <c r="T443" i="1"/>
  <c r="I443" i="1"/>
  <c r="T442" i="1"/>
  <c r="I442" i="1"/>
  <c r="T441" i="1"/>
  <c r="I441" i="1"/>
  <c r="T440" i="1"/>
  <c r="I440" i="1"/>
  <c r="T439" i="1"/>
  <c r="I439" i="1"/>
  <c r="T438" i="1"/>
  <c r="I438" i="1"/>
  <c r="T437" i="1"/>
  <c r="I437" i="1"/>
  <c r="T436" i="1"/>
  <c r="I436" i="1"/>
  <c r="T435" i="1"/>
  <c r="I435" i="1"/>
  <c r="T434" i="1"/>
  <c r="I434" i="1"/>
  <c r="T433" i="1"/>
  <c r="I433" i="1"/>
  <c r="T432" i="1"/>
  <c r="I432" i="1"/>
  <c r="T431" i="1"/>
  <c r="I431" i="1"/>
  <c r="T430" i="1"/>
  <c r="I430" i="1"/>
  <c r="T429" i="1"/>
  <c r="I429" i="1"/>
  <c r="T428" i="1"/>
  <c r="I428" i="1"/>
  <c r="T427" i="1"/>
  <c r="I427" i="1"/>
  <c r="T426" i="1"/>
  <c r="I426" i="1"/>
  <c r="T425" i="1"/>
  <c r="I425" i="1"/>
  <c r="T424" i="1"/>
  <c r="I424" i="1"/>
  <c r="T423" i="1"/>
  <c r="I423" i="1"/>
  <c r="T422" i="1"/>
  <c r="I422" i="1"/>
  <c r="T421" i="1"/>
  <c r="I421" i="1"/>
  <c r="T420" i="1"/>
  <c r="I420" i="1"/>
  <c r="T419" i="1"/>
  <c r="I419" i="1"/>
  <c r="T418" i="1"/>
  <c r="I418" i="1"/>
  <c r="T417" i="1"/>
  <c r="I417" i="1"/>
  <c r="T416" i="1"/>
  <c r="I416" i="1"/>
  <c r="T415" i="1"/>
  <c r="I415" i="1"/>
  <c r="T414" i="1"/>
  <c r="I414" i="1"/>
  <c r="T413" i="1"/>
  <c r="I413" i="1"/>
  <c r="T412" i="1"/>
  <c r="I412" i="1"/>
  <c r="T411" i="1"/>
  <c r="I411" i="1"/>
  <c r="T410" i="1"/>
  <c r="I410" i="1"/>
  <c r="T409" i="1"/>
  <c r="I409" i="1"/>
  <c r="T408" i="1"/>
  <c r="I408" i="1"/>
  <c r="T407" i="1"/>
  <c r="I407" i="1"/>
  <c r="T406" i="1"/>
  <c r="I406" i="1"/>
  <c r="T405" i="1"/>
  <c r="I405" i="1"/>
  <c r="T404" i="1"/>
  <c r="I404" i="1"/>
  <c r="T403" i="1"/>
  <c r="I403" i="1"/>
  <c r="T402" i="1"/>
  <c r="I402" i="1"/>
  <c r="T401" i="1"/>
  <c r="I401" i="1"/>
  <c r="T400" i="1"/>
  <c r="I400" i="1"/>
  <c r="T399" i="1"/>
  <c r="I399" i="1"/>
  <c r="T398" i="1"/>
  <c r="I398" i="1"/>
  <c r="B762" i="1"/>
  <c r="B737" i="1"/>
  <c r="J720" i="1"/>
  <c r="I708" i="1"/>
  <c r="K699" i="1"/>
  <c r="E691" i="1"/>
  <c r="B683" i="1"/>
  <c r="F675" i="1"/>
  <c r="H668" i="1"/>
  <c r="S662" i="1"/>
  <c r="H658" i="1"/>
  <c r="F654" i="1"/>
  <c r="Q649" i="1"/>
  <c r="K645" i="1"/>
  <c r="I641" i="1"/>
  <c r="B637" i="1"/>
  <c r="S632" i="1"/>
  <c r="I628" i="1"/>
  <c r="H624" i="1"/>
  <c r="S620" i="1"/>
  <c r="H617" i="1"/>
  <c r="P613" i="1"/>
  <c r="F610" i="1"/>
  <c r="P606" i="1"/>
  <c r="B603" i="1"/>
  <c r="J599" i="1"/>
  <c r="C596" i="1"/>
  <c r="F593" i="1"/>
  <c r="D591" i="1"/>
  <c r="P588" i="1"/>
  <c r="D587" i="1"/>
  <c r="F585" i="1"/>
  <c r="J583" i="1"/>
  <c r="P581" i="1"/>
  <c r="E580" i="1"/>
  <c r="O578" i="1"/>
  <c r="E577" i="1"/>
  <c r="O575" i="1"/>
  <c r="E574" i="1"/>
  <c r="Q572" i="1"/>
  <c r="K571" i="1"/>
  <c r="E570" i="1"/>
  <c r="Q568" i="1"/>
  <c r="K567" i="1"/>
  <c r="E566" i="1"/>
  <c r="Q564" i="1"/>
  <c r="K563" i="1"/>
  <c r="F562" i="1"/>
  <c r="D561" i="1"/>
  <c r="B560" i="1"/>
  <c r="Q558" i="1"/>
  <c r="O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O519" i="1"/>
  <c r="B519" i="1"/>
  <c r="D518" i="1"/>
  <c r="F517" i="1"/>
  <c r="K516" i="1"/>
  <c r="O515" i="1"/>
  <c r="B515" i="1"/>
  <c r="D514" i="1"/>
  <c r="F513" i="1"/>
  <c r="K512" i="1"/>
  <c r="O511" i="1"/>
  <c r="B511" i="1"/>
  <c r="D510" i="1"/>
  <c r="F509" i="1"/>
  <c r="K508" i="1"/>
  <c r="O507" i="1"/>
  <c r="B507" i="1"/>
  <c r="D506" i="1"/>
  <c r="F505" i="1"/>
  <c r="K504" i="1"/>
  <c r="O503" i="1"/>
  <c r="B503" i="1"/>
  <c r="D502" i="1"/>
  <c r="F501" i="1"/>
  <c r="K500" i="1"/>
  <c r="O499" i="1"/>
  <c r="B499" i="1"/>
  <c r="D498" i="1"/>
  <c r="F497" i="1"/>
  <c r="K496" i="1"/>
  <c r="O495" i="1"/>
  <c r="B495" i="1"/>
  <c r="D494" i="1"/>
  <c r="F493" i="1"/>
  <c r="K492" i="1"/>
  <c r="O491" i="1"/>
  <c r="B491" i="1"/>
  <c r="D490" i="1"/>
  <c r="F489" i="1"/>
  <c r="K488" i="1"/>
  <c r="O487" i="1"/>
  <c r="B487" i="1"/>
  <c r="D486" i="1"/>
  <c r="F485" i="1"/>
  <c r="K484" i="1"/>
  <c r="O483" i="1"/>
  <c r="B483" i="1"/>
  <c r="D482" i="1"/>
  <c r="H481" i="1"/>
  <c r="S480" i="1"/>
  <c r="H480" i="1"/>
  <c r="S479" i="1"/>
  <c r="H479" i="1"/>
  <c r="S478" i="1"/>
  <c r="H478" i="1"/>
  <c r="S477" i="1"/>
  <c r="H477" i="1"/>
  <c r="S476" i="1"/>
  <c r="H476" i="1"/>
  <c r="S475" i="1"/>
  <c r="H475" i="1"/>
  <c r="S474" i="1"/>
  <c r="H474" i="1"/>
  <c r="S473" i="1"/>
  <c r="H473" i="1"/>
  <c r="S472" i="1"/>
  <c r="H472" i="1"/>
  <c r="S471" i="1"/>
  <c r="H471" i="1"/>
  <c r="S470" i="1"/>
  <c r="H470" i="1"/>
  <c r="S469" i="1"/>
  <c r="H469" i="1"/>
  <c r="S468" i="1"/>
  <c r="H468" i="1"/>
  <c r="S467" i="1"/>
  <c r="H467" i="1"/>
  <c r="S466" i="1"/>
  <c r="H466" i="1"/>
  <c r="S465" i="1"/>
  <c r="H465" i="1"/>
  <c r="S464" i="1"/>
  <c r="H464" i="1"/>
  <c r="S463" i="1"/>
  <c r="H463" i="1"/>
  <c r="S462" i="1"/>
  <c r="H462" i="1"/>
  <c r="S461" i="1"/>
  <c r="H461" i="1"/>
  <c r="S460" i="1"/>
  <c r="H460" i="1"/>
  <c r="S459" i="1"/>
  <c r="H459" i="1"/>
  <c r="S458" i="1"/>
  <c r="H458" i="1"/>
  <c r="S457" i="1"/>
  <c r="H457" i="1"/>
  <c r="S456" i="1"/>
  <c r="H456" i="1"/>
  <c r="S455" i="1"/>
  <c r="H455" i="1"/>
  <c r="S454" i="1"/>
  <c r="H454" i="1"/>
  <c r="S453" i="1"/>
  <c r="H453" i="1"/>
  <c r="S452" i="1"/>
  <c r="H452" i="1"/>
  <c r="S451" i="1"/>
  <c r="H451" i="1"/>
  <c r="S450" i="1"/>
  <c r="H450" i="1"/>
  <c r="S449" i="1"/>
  <c r="H449" i="1"/>
  <c r="S448" i="1"/>
  <c r="H448" i="1"/>
  <c r="S447" i="1"/>
  <c r="H447" i="1"/>
  <c r="S446" i="1"/>
  <c r="H446" i="1"/>
  <c r="S445" i="1"/>
  <c r="H445" i="1"/>
  <c r="S444" i="1"/>
  <c r="H444" i="1"/>
  <c r="S443" i="1"/>
  <c r="H443" i="1"/>
  <c r="S442" i="1"/>
  <c r="H442" i="1"/>
  <c r="S441" i="1"/>
  <c r="H441" i="1"/>
  <c r="S440" i="1"/>
  <c r="H440" i="1"/>
  <c r="S439" i="1"/>
  <c r="H439" i="1"/>
  <c r="S438" i="1"/>
  <c r="H438" i="1"/>
  <c r="S437" i="1"/>
  <c r="H437" i="1"/>
  <c r="S436" i="1"/>
  <c r="H436" i="1"/>
  <c r="S435" i="1"/>
  <c r="H435" i="1"/>
  <c r="S434" i="1"/>
  <c r="H434" i="1"/>
  <c r="S433" i="1"/>
  <c r="H433" i="1"/>
  <c r="S432" i="1"/>
  <c r="H432" i="1"/>
  <c r="S431" i="1"/>
  <c r="H431" i="1"/>
  <c r="S430" i="1"/>
  <c r="H430" i="1"/>
  <c r="S429" i="1"/>
  <c r="H429" i="1"/>
  <c r="S428" i="1"/>
  <c r="H428" i="1"/>
  <c r="S427" i="1"/>
  <c r="H427" i="1"/>
  <c r="L749" i="1"/>
  <c r="B729" i="1"/>
  <c r="P713" i="1"/>
  <c r="B704" i="1"/>
  <c r="O695" i="1"/>
  <c r="F687" i="1"/>
  <c r="E679" i="1"/>
  <c r="Q671" i="1"/>
  <c r="P665" i="1"/>
  <c r="S660" i="1"/>
  <c r="I656" i="1"/>
  <c r="G652" i="1"/>
  <c r="C648" i="1"/>
  <c r="P643" i="1"/>
  <c r="J639" i="1"/>
  <c r="C635" i="1"/>
  <c r="T630" i="1"/>
  <c r="Q626" i="1"/>
  <c r="S622" i="1"/>
  <c r="H619" i="1"/>
  <c r="P615" i="1"/>
  <c r="F612" i="1"/>
  <c r="P608" i="1"/>
  <c r="B605" i="1"/>
  <c r="J601" i="1"/>
  <c r="B598" i="1"/>
  <c r="P594" i="1"/>
  <c r="J592" i="1"/>
  <c r="D590" i="1"/>
  <c r="D588" i="1"/>
  <c r="J586" i="1"/>
  <c r="L584" i="1"/>
  <c r="P582" i="1"/>
  <c r="E581" i="1"/>
  <c r="O579" i="1"/>
  <c r="D578" i="1"/>
  <c r="L576" i="1"/>
  <c r="D575" i="1"/>
  <c r="O573" i="1"/>
  <c r="G572" i="1"/>
  <c r="C571" i="1"/>
  <c r="O569" i="1"/>
  <c r="G568" i="1"/>
  <c r="C567" i="1"/>
  <c r="O565" i="1"/>
  <c r="G564" i="1"/>
  <c r="C563" i="1"/>
  <c r="Q561" i="1"/>
  <c r="O560" i="1"/>
  <c r="K559" i="1"/>
  <c r="I558" i="1"/>
  <c r="F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F520" i="1"/>
  <c r="K519" i="1"/>
  <c r="O518" i="1"/>
  <c r="B518" i="1"/>
  <c r="D517" i="1"/>
  <c r="F516" i="1"/>
  <c r="K515" i="1"/>
  <c r="O514" i="1"/>
  <c r="B514" i="1"/>
  <c r="D513" i="1"/>
  <c r="F512" i="1"/>
  <c r="K511" i="1"/>
  <c r="O510" i="1"/>
  <c r="B510" i="1"/>
  <c r="D509" i="1"/>
  <c r="F508" i="1"/>
  <c r="K507" i="1"/>
  <c r="O506" i="1"/>
  <c r="B506" i="1"/>
  <c r="D505" i="1"/>
  <c r="F504" i="1"/>
  <c r="K503" i="1"/>
  <c r="O502" i="1"/>
  <c r="B502" i="1"/>
  <c r="D501" i="1"/>
  <c r="F500" i="1"/>
  <c r="K499" i="1"/>
  <c r="O498" i="1"/>
  <c r="B498" i="1"/>
  <c r="D497" i="1"/>
  <c r="F496" i="1"/>
  <c r="K495" i="1"/>
  <c r="O494" i="1"/>
  <c r="B494" i="1"/>
  <c r="D493" i="1"/>
  <c r="F492" i="1"/>
  <c r="K491" i="1"/>
  <c r="O490" i="1"/>
  <c r="B490" i="1"/>
  <c r="D489" i="1"/>
  <c r="F488" i="1"/>
  <c r="K487" i="1"/>
  <c r="O486" i="1"/>
  <c r="B486" i="1"/>
  <c r="D485" i="1"/>
  <c r="F484" i="1"/>
  <c r="K483" i="1"/>
  <c r="O482" i="1"/>
  <c r="B482" i="1"/>
  <c r="F481" i="1"/>
  <c r="P480" i="1"/>
  <c r="F480" i="1"/>
  <c r="P479" i="1"/>
  <c r="F479" i="1"/>
  <c r="P478" i="1"/>
  <c r="F478" i="1"/>
  <c r="P477" i="1"/>
  <c r="F477" i="1"/>
  <c r="P476" i="1"/>
  <c r="F476" i="1"/>
  <c r="P475" i="1"/>
  <c r="F475" i="1"/>
  <c r="P474" i="1"/>
  <c r="F474" i="1"/>
  <c r="P473" i="1"/>
  <c r="F473" i="1"/>
  <c r="P472" i="1"/>
  <c r="F472" i="1"/>
  <c r="P471" i="1"/>
  <c r="F471" i="1"/>
  <c r="P470" i="1"/>
  <c r="F470" i="1"/>
  <c r="P469" i="1"/>
  <c r="F469" i="1"/>
  <c r="P468" i="1"/>
  <c r="F468" i="1"/>
  <c r="P467" i="1"/>
  <c r="F467" i="1"/>
  <c r="P466" i="1"/>
  <c r="F466" i="1"/>
  <c r="P465" i="1"/>
  <c r="F465" i="1"/>
  <c r="P464" i="1"/>
  <c r="F464" i="1"/>
  <c r="P463" i="1"/>
  <c r="F463" i="1"/>
  <c r="P462" i="1"/>
  <c r="F462" i="1"/>
  <c r="P461" i="1"/>
  <c r="F461" i="1"/>
  <c r="P460" i="1"/>
  <c r="F460" i="1"/>
  <c r="P459" i="1"/>
  <c r="F459" i="1"/>
  <c r="P458" i="1"/>
  <c r="F458" i="1"/>
  <c r="P457" i="1"/>
  <c r="F457" i="1"/>
  <c r="P456" i="1"/>
  <c r="F456" i="1"/>
  <c r="P455" i="1"/>
  <c r="F455" i="1"/>
  <c r="P454" i="1"/>
  <c r="F454" i="1"/>
  <c r="P453" i="1"/>
  <c r="F453" i="1"/>
  <c r="P452" i="1"/>
  <c r="F452" i="1"/>
  <c r="P451" i="1"/>
  <c r="F451" i="1"/>
  <c r="P450" i="1"/>
  <c r="F450" i="1"/>
  <c r="P449" i="1"/>
  <c r="F449" i="1"/>
  <c r="P448" i="1"/>
  <c r="F448" i="1"/>
  <c r="P447" i="1"/>
  <c r="F447" i="1"/>
  <c r="P446" i="1"/>
  <c r="F446" i="1"/>
  <c r="P445" i="1"/>
  <c r="F445" i="1"/>
  <c r="P444" i="1"/>
  <c r="F444" i="1"/>
  <c r="P443" i="1"/>
  <c r="F443" i="1"/>
  <c r="P442" i="1"/>
  <c r="F442" i="1"/>
  <c r="P441" i="1"/>
  <c r="F441" i="1"/>
  <c r="P440" i="1"/>
  <c r="F440" i="1"/>
  <c r="P439" i="1"/>
  <c r="F439" i="1"/>
  <c r="P438" i="1"/>
  <c r="F438" i="1"/>
  <c r="P437" i="1"/>
  <c r="F437" i="1"/>
  <c r="P436" i="1"/>
  <c r="F436" i="1"/>
  <c r="P435" i="1"/>
  <c r="F435" i="1"/>
  <c r="P434" i="1"/>
  <c r="F434" i="1"/>
  <c r="P433" i="1"/>
  <c r="F433" i="1"/>
  <c r="P432" i="1"/>
  <c r="F432" i="1"/>
  <c r="P431" i="1"/>
  <c r="F431" i="1"/>
  <c r="P430" i="1"/>
  <c r="F430" i="1"/>
  <c r="P429" i="1"/>
  <c r="F429" i="1"/>
  <c r="P428" i="1"/>
  <c r="F428" i="1"/>
  <c r="P427" i="1"/>
  <c r="F427" i="1"/>
  <c r="P426" i="1"/>
  <c r="F426" i="1"/>
  <c r="P425" i="1"/>
  <c r="F425" i="1"/>
  <c r="P424" i="1"/>
  <c r="F424" i="1"/>
  <c r="P423" i="1"/>
  <c r="F423" i="1"/>
  <c r="P422" i="1"/>
  <c r="L761" i="1"/>
  <c r="I720" i="1"/>
  <c r="I699" i="1"/>
  <c r="O682" i="1"/>
  <c r="G668" i="1"/>
  <c r="G658" i="1"/>
  <c r="P649" i="1"/>
  <c r="C641" i="1"/>
  <c r="Q632" i="1"/>
  <c r="G624" i="1"/>
  <c r="C617" i="1"/>
  <c r="C610" i="1"/>
  <c r="T602" i="1"/>
  <c r="S595" i="1"/>
  <c r="P590" i="1"/>
  <c r="C587" i="1"/>
  <c r="G583" i="1"/>
  <c r="D580" i="1"/>
  <c r="D577" i="1"/>
  <c r="D574" i="1"/>
  <c r="J571" i="1"/>
  <c r="P568" i="1"/>
  <c r="D566" i="1"/>
  <c r="J563" i="1"/>
  <c r="C561" i="1"/>
  <c r="P558" i="1"/>
  <c r="J556" i="1"/>
  <c r="J554" i="1"/>
  <c r="J552" i="1"/>
  <c r="J550" i="1"/>
  <c r="J548" i="1"/>
  <c r="J546" i="1"/>
  <c r="J544" i="1"/>
  <c r="J542" i="1"/>
  <c r="J540" i="1"/>
  <c r="J538" i="1"/>
  <c r="J536" i="1"/>
  <c r="J534" i="1"/>
  <c r="J532" i="1"/>
  <c r="J530" i="1"/>
  <c r="J528" i="1"/>
  <c r="J526" i="1"/>
  <c r="J524" i="1"/>
  <c r="J522" i="1"/>
  <c r="J520" i="1"/>
  <c r="P518" i="1"/>
  <c r="E517" i="1"/>
  <c r="L515" i="1"/>
  <c r="C514" i="1"/>
  <c r="J512" i="1"/>
  <c r="P510" i="1"/>
  <c r="E509" i="1"/>
  <c r="L507" i="1"/>
  <c r="C506" i="1"/>
  <c r="J504" i="1"/>
  <c r="P502" i="1"/>
  <c r="E501" i="1"/>
  <c r="L499" i="1"/>
  <c r="C498" i="1"/>
  <c r="J496" i="1"/>
  <c r="P494" i="1"/>
  <c r="E493" i="1"/>
  <c r="L491" i="1"/>
  <c r="C490" i="1"/>
  <c r="J488" i="1"/>
  <c r="P486" i="1"/>
  <c r="E485" i="1"/>
  <c r="L483" i="1"/>
  <c r="C482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S426" i="1"/>
  <c r="D426" i="1"/>
  <c r="G425" i="1"/>
  <c r="K424" i="1"/>
  <c r="O423" i="1"/>
  <c r="S422" i="1"/>
  <c r="E422" i="1"/>
  <c r="K421" i="1"/>
  <c r="Q420" i="1"/>
  <c r="E420" i="1"/>
  <c r="K419" i="1"/>
  <c r="Q418" i="1"/>
  <c r="E418" i="1"/>
  <c r="K417" i="1"/>
  <c r="Q416" i="1"/>
  <c r="E416" i="1"/>
  <c r="K415" i="1"/>
  <c r="Q414" i="1"/>
  <c r="E414" i="1"/>
  <c r="K413" i="1"/>
  <c r="Q412" i="1"/>
  <c r="E412" i="1"/>
  <c r="K411" i="1"/>
  <c r="Q410" i="1"/>
  <c r="E410" i="1"/>
  <c r="K409" i="1"/>
  <c r="Q408" i="1"/>
  <c r="E408" i="1"/>
  <c r="K407" i="1"/>
  <c r="Q406" i="1"/>
  <c r="E406" i="1"/>
  <c r="K405" i="1"/>
  <c r="Q404" i="1"/>
  <c r="E404" i="1"/>
  <c r="K403" i="1"/>
  <c r="Q402" i="1"/>
  <c r="E402" i="1"/>
  <c r="K401" i="1"/>
  <c r="Q400" i="1"/>
  <c r="E400" i="1"/>
  <c r="K399" i="1"/>
  <c r="Q398" i="1"/>
  <c r="E398" i="1"/>
  <c r="L397" i="1"/>
  <c r="C397" i="1"/>
  <c r="I396" i="1"/>
  <c r="S395" i="1"/>
  <c r="G395" i="1"/>
  <c r="P394" i="1"/>
  <c r="E394" i="1"/>
  <c r="L393" i="1"/>
  <c r="C393" i="1"/>
  <c r="J392" i="1"/>
  <c r="B392" i="1"/>
  <c r="J391" i="1"/>
  <c r="B391" i="1"/>
  <c r="J390" i="1"/>
  <c r="B390" i="1"/>
  <c r="J389" i="1"/>
  <c r="B389" i="1"/>
  <c r="J388" i="1"/>
  <c r="B388" i="1"/>
  <c r="J387" i="1"/>
  <c r="B387" i="1"/>
  <c r="J386" i="1"/>
  <c r="B386" i="1"/>
  <c r="J385" i="1"/>
  <c r="B385" i="1"/>
  <c r="J384" i="1"/>
  <c r="B384" i="1"/>
  <c r="J383" i="1"/>
  <c r="B383" i="1"/>
  <c r="J382" i="1"/>
  <c r="B382" i="1"/>
  <c r="J381" i="1"/>
  <c r="B381" i="1"/>
  <c r="J380" i="1"/>
  <c r="B380" i="1"/>
  <c r="J379" i="1"/>
  <c r="B379" i="1"/>
  <c r="J378" i="1"/>
  <c r="B378" i="1"/>
  <c r="J377" i="1"/>
  <c r="B377" i="1"/>
  <c r="J376" i="1"/>
  <c r="B376" i="1"/>
  <c r="J375" i="1"/>
  <c r="B375" i="1"/>
  <c r="J374" i="1"/>
  <c r="B374" i="1"/>
  <c r="J373" i="1"/>
  <c r="B373" i="1"/>
  <c r="J372" i="1"/>
  <c r="B372" i="1"/>
  <c r="J371" i="1"/>
  <c r="B371" i="1"/>
  <c r="J370" i="1"/>
  <c r="B370" i="1"/>
  <c r="J369" i="1"/>
  <c r="B369" i="1"/>
  <c r="J368" i="1"/>
  <c r="B368" i="1"/>
  <c r="J367" i="1"/>
  <c r="B367" i="1"/>
  <c r="J366" i="1"/>
  <c r="B366" i="1"/>
  <c r="J365" i="1"/>
  <c r="B365" i="1"/>
  <c r="J364" i="1"/>
  <c r="B364" i="1"/>
  <c r="J363" i="1"/>
  <c r="B363" i="1"/>
  <c r="J362" i="1"/>
  <c r="B362" i="1"/>
  <c r="J361" i="1"/>
  <c r="B361" i="1"/>
  <c r="J360" i="1"/>
  <c r="B360" i="1"/>
  <c r="J359" i="1"/>
  <c r="B359" i="1"/>
  <c r="J358" i="1"/>
  <c r="B358" i="1"/>
  <c r="J357" i="1"/>
  <c r="B357" i="1"/>
  <c r="J356" i="1"/>
  <c r="B356" i="1"/>
  <c r="J355" i="1"/>
  <c r="B355" i="1"/>
  <c r="J354" i="1"/>
  <c r="B354" i="1"/>
  <c r="J353" i="1"/>
  <c r="B353" i="1"/>
  <c r="J352" i="1"/>
  <c r="B352" i="1"/>
  <c r="J351" i="1"/>
  <c r="B351" i="1"/>
  <c r="J350" i="1"/>
  <c r="B350" i="1"/>
  <c r="J349" i="1"/>
  <c r="B349" i="1"/>
  <c r="J348" i="1"/>
  <c r="B348" i="1"/>
  <c r="J347" i="1"/>
  <c r="B347" i="1"/>
  <c r="J346" i="1"/>
  <c r="B346" i="1"/>
  <c r="J345" i="1"/>
  <c r="B345" i="1"/>
  <c r="J344" i="1"/>
  <c r="B344" i="1"/>
  <c r="J343" i="1"/>
  <c r="K749" i="1"/>
  <c r="K713" i="1"/>
  <c r="K695" i="1"/>
  <c r="S678" i="1"/>
  <c r="K665" i="1"/>
  <c r="H656" i="1"/>
  <c r="Q647" i="1"/>
  <c r="I639" i="1"/>
  <c r="S630" i="1"/>
  <c r="Q622" i="1"/>
  <c r="K615" i="1"/>
  <c r="I608" i="1"/>
  <c r="I601" i="1"/>
  <c r="O594" i="1"/>
  <c r="C590" i="1"/>
  <c r="G586" i="1"/>
  <c r="O582" i="1"/>
  <c r="K579" i="1"/>
  <c r="K576" i="1"/>
  <c r="L573" i="1"/>
  <c r="B571" i="1"/>
  <c r="F568" i="1"/>
  <c r="L565" i="1"/>
  <c r="B563" i="1"/>
  <c r="L560" i="1"/>
  <c r="G558" i="1"/>
  <c r="D556" i="1"/>
  <c r="D554" i="1"/>
  <c r="D552" i="1"/>
  <c r="D550" i="1"/>
  <c r="D548" i="1"/>
  <c r="D546" i="1"/>
  <c r="D544" i="1"/>
  <c r="D542" i="1"/>
  <c r="D540" i="1"/>
  <c r="D538" i="1"/>
  <c r="D536" i="1"/>
  <c r="D534" i="1"/>
  <c r="D532" i="1"/>
  <c r="D530" i="1"/>
  <c r="D528" i="1"/>
  <c r="D526" i="1"/>
  <c r="D524" i="1"/>
  <c r="D522" i="1"/>
  <c r="E520" i="1"/>
  <c r="L518" i="1"/>
  <c r="C517" i="1"/>
  <c r="J515" i="1"/>
  <c r="P513" i="1"/>
  <c r="E512" i="1"/>
  <c r="L510" i="1"/>
  <c r="C509" i="1"/>
  <c r="J507" i="1"/>
  <c r="P505" i="1"/>
  <c r="E504" i="1"/>
  <c r="L502" i="1"/>
  <c r="C501" i="1"/>
  <c r="J499" i="1"/>
  <c r="P497" i="1"/>
  <c r="E496" i="1"/>
  <c r="L494" i="1"/>
  <c r="C493" i="1"/>
  <c r="J491" i="1"/>
  <c r="P489" i="1"/>
  <c r="E488" i="1"/>
  <c r="L486" i="1"/>
  <c r="C485" i="1"/>
  <c r="J483" i="1"/>
  <c r="P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Q426" i="1"/>
  <c r="C426" i="1"/>
  <c r="E425" i="1"/>
  <c r="H424" i="1"/>
  <c r="L423" i="1"/>
  <c r="Q422" i="1"/>
  <c r="D422" i="1"/>
  <c r="H421" i="1"/>
  <c r="P420" i="1"/>
  <c r="D420" i="1"/>
  <c r="H419" i="1"/>
  <c r="P418" i="1"/>
  <c r="D418" i="1"/>
  <c r="H417" i="1"/>
  <c r="P416" i="1"/>
  <c r="D416" i="1"/>
  <c r="H415" i="1"/>
  <c r="P414" i="1"/>
  <c r="D414" i="1"/>
  <c r="H413" i="1"/>
  <c r="P412" i="1"/>
  <c r="D412" i="1"/>
  <c r="H411" i="1"/>
  <c r="P410" i="1"/>
  <c r="D410" i="1"/>
  <c r="H409" i="1"/>
  <c r="P408" i="1"/>
  <c r="D408" i="1"/>
  <c r="H407" i="1"/>
  <c r="P406" i="1"/>
  <c r="D406" i="1"/>
  <c r="H405" i="1"/>
  <c r="P404" i="1"/>
  <c r="D404" i="1"/>
  <c r="H403" i="1"/>
  <c r="P402" i="1"/>
  <c r="D402" i="1"/>
  <c r="H401" i="1"/>
  <c r="P400" i="1"/>
  <c r="D400" i="1"/>
  <c r="H399" i="1"/>
  <c r="P398" i="1"/>
  <c r="D398" i="1"/>
  <c r="K397" i="1"/>
  <c r="T396" i="1"/>
  <c r="H396" i="1"/>
  <c r="Q395" i="1"/>
  <c r="F395" i="1"/>
  <c r="O394" i="1"/>
  <c r="D394" i="1"/>
  <c r="K393" i="1"/>
  <c r="T392" i="1"/>
  <c r="I392" i="1"/>
  <c r="T391" i="1"/>
  <c r="I391" i="1"/>
  <c r="T390" i="1"/>
  <c r="I390" i="1"/>
  <c r="T389" i="1"/>
  <c r="I389" i="1"/>
  <c r="T388" i="1"/>
  <c r="I388" i="1"/>
  <c r="T387" i="1"/>
  <c r="I387" i="1"/>
  <c r="T386" i="1"/>
  <c r="I386" i="1"/>
  <c r="T385" i="1"/>
  <c r="I385" i="1"/>
  <c r="T384" i="1"/>
  <c r="I384" i="1"/>
  <c r="T383" i="1"/>
  <c r="I383" i="1"/>
  <c r="T382" i="1"/>
  <c r="I382" i="1"/>
  <c r="T381" i="1"/>
  <c r="I381" i="1"/>
  <c r="T380" i="1"/>
  <c r="I380" i="1"/>
  <c r="T379" i="1"/>
  <c r="I379" i="1"/>
  <c r="T378" i="1"/>
  <c r="I378" i="1"/>
  <c r="T377" i="1"/>
  <c r="I377" i="1"/>
  <c r="T376" i="1"/>
  <c r="I376" i="1"/>
  <c r="T375" i="1"/>
  <c r="I375" i="1"/>
  <c r="T374" i="1"/>
  <c r="I374" i="1"/>
  <c r="T373" i="1"/>
  <c r="I373" i="1"/>
  <c r="J749" i="1"/>
  <c r="G713" i="1"/>
  <c r="I695" i="1"/>
  <c r="Q678" i="1"/>
  <c r="J665" i="1"/>
  <c r="G656" i="1"/>
  <c r="P647" i="1"/>
  <c r="C639" i="1"/>
  <c r="Q630" i="1"/>
  <c r="P622" i="1"/>
  <c r="J615" i="1"/>
  <c r="H608" i="1"/>
  <c r="H601" i="1"/>
  <c r="L594" i="1"/>
  <c r="B590" i="1"/>
  <c r="D586" i="1"/>
  <c r="L582" i="1"/>
  <c r="J579" i="1"/>
  <c r="J576" i="1"/>
  <c r="K573" i="1"/>
  <c r="Q570" i="1"/>
  <c r="E568" i="1"/>
  <c r="K565" i="1"/>
  <c r="Q562" i="1"/>
  <c r="K560" i="1"/>
  <c r="F558" i="1"/>
  <c r="C556" i="1"/>
  <c r="C554" i="1"/>
  <c r="C552" i="1"/>
  <c r="C550" i="1"/>
  <c r="C548" i="1"/>
  <c r="C546" i="1"/>
  <c r="C544" i="1"/>
  <c r="C542" i="1"/>
  <c r="C540" i="1"/>
  <c r="C538" i="1"/>
  <c r="C536" i="1"/>
  <c r="C534" i="1"/>
  <c r="C532" i="1"/>
  <c r="C530" i="1"/>
  <c r="C528" i="1"/>
  <c r="C526" i="1"/>
  <c r="C524" i="1"/>
  <c r="C522" i="1"/>
  <c r="D520" i="1"/>
  <c r="K518" i="1"/>
  <c r="B517" i="1"/>
  <c r="F515" i="1"/>
  <c r="O513" i="1"/>
  <c r="D512" i="1"/>
  <c r="K510" i="1"/>
  <c r="B509" i="1"/>
  <c r="F507" i="1"/>
  <c r="O505" i="1"/>
  <c r="D504" i="1"/>
  <c r="K502" i="1"/>
  <c r="B501" i="1"/>
  <c r="F499" i="1"/>
  <c r="O497" i="1"/>
  <c r="D496" i="1"/>
  <c r="K494" i="1"/>
  <c r="B493" i="1"/>
  <c r="F491" i="1"/>
  <c r="O489" i="1"/>
  <c r="D488" i="1"/>
  <c r="K486" i="1"/>
  <c r="B485" i="1"/>
  <c r="F483" i="1"/>
  <c r="O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O426" i="1"/>
  <c r="S425" i="1"/>
  <c r="D425" i="1"/>
  <c r="G424" i="1"/>
  <c r="K423" i="1"/>
  <c r="O422" i="1"/>
  <c r="C422" i="1"/>
  <c r="G421" i="1"/>
  <c r="O420" i="1"/>
  <c r="C420" i="1"/>
  <c r="G419" i="1"/>
  <c r="O418" i="1"/>
  <c r="C418" i="1"/>
  <c r="G417" i="1"/>
  <c r="O416" i="1"/>
  <c r="C416" i="1"/>
  <c r="G415" i="1"/>
  <c r="O414" i="1"/>
  <c r="C414" i="1"/>
  <c r="G413" i="1"/>
  <c r="O412" i="1"/>
  <c r="C412" i="1"/>
  <c r="G411" i="1"/>
  <c r="O410" i="1"/>
  <c r="C410" i="1"/>
  <c r="G409" i="1"/>
  <c r="O408" i="1"/>
  <c r="C408" i="1"/>
  <c r="G407" i="1"/>
  <c r="O406" i="1"/>
  <c r="C406" i="1"/>
  <c r="G405" i="1"/>
  <c r="O404" i="1"/>
  <c r="C404" i="1"/>
  <c r="G403" i="1"/>
  <c r="O402" i="1"/>
  <c r="C402" i="1"/>
  <c r="G401" i="1"/>
  <c r="O400" i="1"/>
  <c r="C400" i="1"/>
  <c r="G399" i="1"/>
  <c r="O398" i="1"/>
  <c r="C398" i="1"/>
  <c r="I397" i="1"/>
  <c r="S396" i="1"/>
  <c r="G396" i="1"/>
  <c r="P395" i="1"/>
  <c r="E395" i="1"/>
  <c r="L394" i="1"/>
  <c r="C394" i="1"/>
  <c r="I393" i="1"/>
  <c r="S392" i="1"/>
  <c r="H392" i="1"/>
  <c r="S391" i="1"/>
  <c r="H391" i="1"/>
  <c r="S390" i="1"/>
  <c r="H390" i="1"/>
  <c r="S389" i="1"/>
  <c r="H389" i="1"/>
  <c r="S388" i="1"/>
  <c r="H388" i="1"/>
  <c r="S387" i="1"/>
  <c r="H387" i="1"/>
  <c r="S386" i="1"/>
  <c r="H386" i="1"/>
  <c r="S385" i="1"/>
  <c r="H385" i="1"/>
  <c r="S384" i="1"/>
  <c r="H384" i="1"/>
  <c r="S383" i="1"/>
  <c r="H383" i="1"/>
  <c r="S382" i="1"/>
  <c r="H382" i="1"/>
  <c r="S381" i="1"/>
  <c r="H381" i="1"/>
  <c r="S380" i="1"/>
  <c r="H380" i="1"/>
  <c r="S379" i="1"/>
  <c r="H379" i="1"/>
  <c r="S378" i="1"/>
  <c r="H378" i="1"/>
  <c r="S377" i="1"/>
  <c r="H377" i="1"/>
  <c r="S376" i="1"/>
  <c r="H376" i="1"/>
  <c r="S375" i="1"/>
  <c r="H375" i="1"/>
  <c r="S374" i="1"/>
  <c r="H374" i="1"/>
  <c r="S373" i="1"/>
  <c r="H373" i="1"/>
  <c r="S372" i="1"/>
  <c r="H372" i="1"/>
  <c r="S371" i="1"/>
  <c r="H371" i="1"/>
  <c r="S370" i="1"/>
  <c r="H370" i="1"/>
  <c r="S369" i="1"/>
  <c r="H369" i="1"/>
  <c r="S368" i="1"/>
  <c r="H368" i="1"/>
  <c r="S367" i="1"/>
  <c r="H367" i="1"/>
  <c r="S366" i="1"/>
  <c r="H366" i="1"/>
  <c r="S365" i="1"/>
  <c r="D749" i="1"/>
  <c r="C713" i="1"/>
  <c r="H695" i="1"/>
  <c r="P678" i="1"/>
  <c r="I665" i="1"/>
  <c r="F656" i="1"/>
  <c r="K647" i="1"/>
  <c r="B639" i="1"/>
  <c r="I630" i="1"/>
  <c r="I622" i="1"/>
  <c r="I615" i="1"/>
  <c r="G608" i="1"/>
  <c r="C601" i="1"/>
  <c r="K594" i="1"/>
  <c r="Q589" i="1"/>
  <c r="C586" i="1"/>
  <c r="K582" i="1"/>
  <c r="G579" i="1"/>
  <c r="G576" i="1"/>
  <c r="J573" i="1"/>
  <c r="P570" i="1"/>
  <c r="D568" i="1"/>
  <c r="J565" i="1"/>
  <c r="P562" i="1"/>
  <c r="J560" i="1"/>
  <c r="E558" i="1"/>
  <c r="B556" i="1"/>
  <c r="B554" i="1"/>
  <c r="B552" i="1"/>
  <c r="B550" i="1"/>
  <c r="B548" i="1"/>
  <c r="B546" i="1"/>
  <c r="B544" i="1"/>
  <c r="B542" i="1"/>
  <c r="B540" i="1"/>
  <c r="B538" i="1"/>
  <c r="B536" i="1"/>
  <c r="B534" i="1"/>
  <c r="B532" i="1"/>
  <c r="B530" i="1"/>
  <c r="B528" i="1"/>
  <c r="B526" i="1"/>
  <c r="B524" i="1"/>
  <c r="B522" i="1"/>
  <c r="C520" i="1"/>
  <c r="J518" i="1"/>
  <c r="P516" i="1"/>
  <c r="E515" i="1"/>
  <c r="L513" i="1"/>
  <c r="C512" i="1"/>
  <c r="J510" i="1"/>
  <c r="P508" i="1"/>
  <c r="E507" i="1"/>
  <c r="L505" i="1"/>
  <c r="C504" i="1"/>
  <c r="J502" i="1"/>
  <c r="P500" i="1"/>
  <c r="E499" i="1"/>
  <c r="L497" i="1"/>
  <c r="C496" i="1"/>
  <c r="J494" i="1"/>
  <c r="P492" i="1"/>
  <c r="E491" i="1"/>
  <c r="L489" i="1"/>
  <c r="C488" i="1"/>
  <c r="J486" i="1"/>
  <c r="P484" i="1"/>
  <c r="E483" i="1"/>
  <c r="L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L426" i="1"/>
  <c r="Q425" i="1"/>
  <c r="C425" i="1"/>
  <c r="E424" i="1"/>
  <c r="H423" i="1"/>
  <c r="L422" i="1"/>
  <c r="S421" i="1"/>
  <c r="F421" i="1"/>
  <c r="L420" i="1"/>
  <c r="S419" i="1"/>
  <c r="F419" i="1"/>
  <c r="L418" i="1"/>
  <c r="S417" i="1"/>
  <c r="F417" i="1"/>
  <c r="L416" i="1"/>
  <c r="S415" i="1"/>
  <c r="F415" i="1"/>
  <c r="L414" i="1"/>
  <c r="S413" i="1"/>
  <c r="F413" i="1"/>
  <c r="L412" i="1"/>
  <c r="S411" i="1"/>
  <c r="F411" i="1"/>
  <c r="L410" i="1"/>
  <c r="S409" i="1"/>
  <c r="F409" i="1"/>
  <c r="L408" i="1"/>
  <c r="S407" i="1"/>
  <c r="F407" i="1"/>
  <c r="L406" i="1"/>
  <c r="S405" i="1"/>
  <c r="F405" i="1"/>
  <c r="L404" i="1"/>
  <c r="S403" i="1"/>
  <c r="F403" i="1"/>
  <c r="L402" i="1"/>
  <c r="S401" i="1"/>
  <c r="F401" i="1"/>
  <c r="L400" i="1"/>
  <c r="S399" i="1"/>
  <c r="F399" i="1"/>
  <c r="L398" i="1"/>
  <c r="T397" i="1"/>
  <c r="H397" i="1"/>
  <c r="Q396" i="1"/>
  <c r="F396" i="1"/>
  <c r="O395" i="1"/>
  <c r="D395" i="1"/>
  <c r="K394" i="1"/>
  <c r="T393" i="1"/>
  <c r="H393" i="1"/>
  <c r="Q392" i="1"/>
  <c r="G392" i="1"/>
  <c r="Q391" i="1"/>
  <c r="G391" i="1"/>
  <c r="Q390" i="1"/>
  <c r="G390" i="1"/>
  <c r="Q389" i="1"/>
  <c r="G389" i="1"/>
  <c r="Q388" i="1"/>
  <c r="G388" i="1"/>
  <c r="Q387" i="1"/>
  <c r="G387" i="1"/>
  <c r="Q386" i="1"/>
  <c r="G386" i="1"/>
  <c r="Q385" i="1"/>
  <c r="G385" i="1"/>
  <c r="Q384" i="1"/>
  <c r="G384" i="1"/>
  <c r="Q383" i="1"/>
  <c r="G383" i="1"/>
  <c r="Q382" i="1"/>
  <c r="G382" i="1"/>
  <c r="Q381" i="1"/>
  <c r="G381" i="1"/>
  <c r="Q380" i="1"/>
  <c r="G380" i="1"/>
  <c r="Q379" i="1"/>
  <c r="G379" i="1"/>
  <c r="Q378" i="1"/>
  <c r="G378" i="1"/>
  <c r="Q377" i="1"/>
  <c r="G377" i="1"/>
  <c r="Q376" i="1"/>
  <c r="G376" i="1"/>
  <c r="Q375" i="1"/>
  <c r="G375" i="1"/>
  <c r="Q374" i="1"/>
  <c r="G374" i="1"/>
  <c r="Q373" i="1"/>
  <c r="G373" i="1"/>
  <c r="Q372" i="1"/>
  <c r="G372" i="1"/>
  <c r="Q371" i="1"/>
  <c r="G371" i="1"/>
  <c r="Q370" i="1"/>
  <c r="G370" i="1"/>
  <c r="Q369" i="1"/>
  <c r="G369" i="1"/>
  <c r="Q368" i="1"/>
  <c r="G368" i="1"/>
  <c r="Q367" i="1"/>
  <c r="G367" i="1"/>
  <c r="Q366" i="1"/>
  <c r="G366" i="1"/>
  <c r="Q365" i="1"/>
  <c r="G365" i="1"/>
  <c r="Q364" i="1"/>
  <c r="G364" i="1"/>
  <c r="Q363" i="1"/>
  <c r="G363" i="1"/>
  <c r="Q362" i="1"/>
  <c r="G362" i="1"/>
  <c r="Q361" i="1"/>
  <c r="G361" i="1"/>
  <c r="Q360" i="1"/>
  <c r="G360" i="1"/>
  <c r="Q359" i="1"/>
  <c r="G359" i="1"/>
  <c r="Q358" i="1"/>
  <c r="G358" i="1"/>
  <c r="Q357" i="1"/>
  <c r="G357" i="1"/>
  <c r="Q356" i="1"/>
  <c r="G356" i="1"/>
  <c r="Q355" i="1"/>
  <c r="G355" i="1"/>
  <c r="Q354" i="1"/>
  <c r="G354" i="1"/>
  <c r="Q353" i="1"/>
  <c r="G353" i="1"/>
  <c r="Q352" i="1"/>
  <c r="L735" i="1"/>
  <c r="H708" i="1"/>
  <c r="C691" i="1"/>
  <c r="E675" i="1"/>
  <c r="Q662" i="1"/>
  <c r="C654" i="1"/>
  <c r="J645" i="1"/>
  <c r="T636" i="1"/>
  <c r="H628" i="1"/>
  <c r="Q620" i="1"/>
  <c r="K613" i="1"/>
  <c r="I606" i="1"/>
  <c r="I599" i="1"/>
  <c r="E593" i="1"/>
  <c r="O588" i="1"/>
  <c r="E585" i="1"/>
  <c r="O581" i="1"/>
  <c r="L578" i="1"/>
  <c r="K575" i="1"/>
  <c r="P572" i="1"/>
  <c r="D570" i="1"/>
  <c r="J567" i="1"/>
  <c r="P564" i="1"/>
  <c r="E562" i="1"/>
  <c r="T559" i="1"/>
  <c r="L557" i="1"/>
  <c r="J555" i="1"/>
  <c r="J553" i="1"/>
  <c r="J551" i="1"/>
  <c r="J549" i="1"/>
  <c r="J547" i="1"/>
  <c r="J545" i="1"/>
  <c r="J543" i="1"/>
  <c r="J541" i="1"/>
  <c r="J539" i="1"/>
  <c r="J537" i="1"/>
  <c r="J535" i="1"/>
  <c r="J533" i="1"/>
  <c r="J531" i="1"/>
  <c r="J529" i="1"/>
  <c r="J527" i="1"/>
  <c r="J525" i="1"/>
  <c r="J523" i="1"/>
  <c r="J521" i="1"/>
  <c r="L519" i="1"/>
  <c r="C518" i="1"/>
  <c r="J516" i="1"/>
  <c r="P514" i="1"/>
  <c r="E513" i="1"/>
  <c r="L511" i="1"/>
  <c r="C510" i="1"/>
  <c r="J508" i="1"/>
  <c r="P506" i="1"/>
  <c r="E505" i="1"/>
  <c r="L503" i="1"/>
  <c r="C502" i="1"/>
  <c r="J500" i="1"/>
  <c r="P498" i="1"/>
  <c r="E497" i="1"/>
  <c r="L495" i="1"/>
  <c r="C494" i="1"/>
  <c r="J492" i="1"/>
  <c r="P490" i="1"/>
  <c r="E489" i="1"/>
  <c r="L487" i="1"/>
  <c r="C486" i="1"/>
  <c r="J484" i="1"/>
  <c r="P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K426" i="1"/>
  <c r="O425" i="1"/>
  <c r="S424" i="1"/>
  <c r="D424" i="1"/>
  <c r="G423" i="1"/>
  <c r="K422" i="1"/>
  <c r="Q421" i="1"/>
  <c r="E421" i="1"/>
  <c r="K420" i="1"/>
  <c r="Q419" i="1"/>
  <c r="E419" i="1"/>
  <c r="K418" i="1"/>
  <c r="Q417" i="1"/>
  <c r="E417" i="1"/>
  <c r="K416" i="1"/>
  <c r="Q415" i="1"/>
  <c r="E415" i="1"/>
  <c r="K414" i="1"/>
  <c r="Q413" i="1"/>
  <c r="E413" i="1"/>
  <c r="K412" i="1"/>
  <c r="Q411" i="1"/>
  <c r="E411" i="1"/>
  <c r="K410" i="1"/>
  <c r="Q409" i="1"/>
  <c r="E409" i="1"/>
  <c r="K408" i="1"/>
  <c r="Q407" i="1"/>
  <c r="E407" i="1"/>
  <c r="K406" i="1"/>
  <c r="Q405" i="1"/>
  <c r="E405" i="1"/>
  <c r="K404" i="1"/>
  <c r="Q403" i="1"/>
  <c r="E403" i="1"/>
  <c r="K402" i="1"/>
  <c r="Q401" i="1"/>
  <c r="E401" i="1"/>
  <c r="K400" i="1"/>
  <c r="Q399" i="1"/>
  <c r="E399" i="1"/>
  <c r="K398" i="1"/>
  <c r="S397" i="1"/>
  <c r="G397" i="1"/>
  <c r="P396" i="1"/>
  <c r="E396" i="1"/>
  <c r="L395" i="1"/>
  <c r="C395" i="1"/>
  <c r="I394" i="1"/>
  <c r="S393" i="1"/>
  <c r="G393" i="1"/>
  <c r="P392" i="1"/>
  <c r="F392" i="1"/>
  <c r="P391" i="1"/>
  <c r="F391" i="1"/>
  <c r="P390" i="1"/>
  <c r="F390" i="1"/>
  <c r="P389" i="1"/>
  <c r="F389" i="1"/>
  <c r="P388" i="1"/>
  <c r="F388" i="1"/>
  <c r="P387" i="1"/>
  <c r="I728" i="1"/>
  <c r="B687" i="1"/>
  <c r="C652" i="1"/>
  <c r="I626" i="1"/>
  <c r="Q611" i="1"/>
  <c r="C592" i="1"/>
  <c r="D581" i="1"/>
  <c r="P574" i="1"/>
  <c r="Q566" i="1"/>
  <c r="J559" i="1"/>
  <c r="B555" i="1"/>
  <c r="C549" i="1"/>
  <c r="D543" i="1"/>
  <c r="B539" i="1"/>
  <c r="C533" i="1"/>
  <c r="D527" i="1"/>
  <c r="B523" i="1"/>
  <c r="O517" i="1"/>
  <c r="C513" i="1"/>
  <c r="L509" i="1"/>
  <c r="B505" i="1"/>
  <c r="E500" i="1"/>
  <c r="P496" i="1"/>
  <c r="D492" i="1"/>
  <c r="J487" i="1"/>
  <c r="C484" i="1"/>
  <c r="D480" i="1"/>
  <c r="E477" i="1"/>
  <c r="C475" i="1"/>
  <c r="D472" i="1"/>
  <c r="E469" i="1"/>
  <c r="C467" i="1"/>
  <c r="D464" i="1"/>
  <c r="E461" i="1"/>
  <c r="C459" i="1"/>
  <c r="D456" i="1"/>
  <c r="E453" i="1"/>
  <c r="C451" i="1"/>
  <c r="D448" i="1"/>
  <c r="E445" i="1"/>
  <c r="C443" i="1"/>
  <c r="D440" i="1"/>
  <c r="E437" i="1"/>
  <c r="C435" i="1"/>
  <c r="D432" i="1"/>
  <c r="E429" i="1"/>
  <c r="C427" i="1"/>
  <c r="O424" i="1"/>
  <c r="H422" i="1"/>
  <c r="S420" i="1"/>
  <c r="C419" i="1"/>
  <c r="D417" i="1"/>
  <c r="L415" i="1"/>
  <c r="O413" i="1"/>
  <c r="P411" i="1"/>
  <c r="F410" i="1"/>
  <c r="G408" i="1"/>
  <c r="H406" i="1"/>
  <c r="S404" i="1"/>
  <c r="C403" i="1"/>
  <c r="D401" i="1"/>
  <c r="L399" i="1"/>
  <c r="P397" i="1"/>
  <c r="D396" i="1"/>
  <c r="Q394" i="1"/>
  <c r="E393" i="1"/>
  <c r="O391" i="1"/>
  <c r="K390" i="1"/>
  <c r="D389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P372" i="1"/>
  <c r="C372" i="1"/>
  <c r="E371" i="1"/>
  <c r="I370" i="1"/>
  <c r="L369" i="1"/>
  <c r="P368" i="1"/>
  <c r="C368" i="1"/>
  <c r="E367" i="1"/>
  <c r="I366" i="1"/>
  <c r="L365" i="1"/>
  <c r="T364" i="1"/>
  <c r="F364" i="1"/>
  <c r="L363" i="1"/>
  <c r="T362" i="1"/>
  <c r="F362" i="1"/>
  <c r="L361" i="1"/>
  <c r="T360" i="1"/>
  <c r="F360" i="1"/>
  <c r="L359" i="1"/>
  <c r="T358" i="1"/>
  <c r="F358" i="1"/>
  <c r="L357" i="1"/>
  <c r="T356" i="1"/>
  <c r="F356" i="1"/>
  <c r="L355" i="1"/>
  <c r="T354" i="1"/>
  <c r="F354" i="1"/>
  <c r="L353" i="1"/>
  <c r="T352" i="1"/>
  <c r="G352" i="1"/>
  <c r="P351" i="1"/>
  <c r="E351" i="1"/>
  <c r="L350" i="1"/>
  <c r="C350" i="1"/>
  <c r="I349" i="1"/>
  <c r="S348" i="1"/>
  <c r="G348" i="1"/>
  <c r="P347" i="1"/>
  <c r="E347" i="1"/>
  <c r="L346" i="1"/>
  <c r="C346" i="1"/>
  <c r="I345" i="1"/>
  <c r="S344" i="1"/>
  <c r="G344" i="1"/>
  <c r="P343" i="1"/>
  <c r="E343" i="1"/>
  <c r="O342" i="1"/>
  <c r="E342" i="1"/>
  <c r="O341" i="1"/>
  <c r="E341" i="1"/>
  <c r="O340" i="1"/>
  <c r="E340" i="1"/>
  <c r="O339" i="1"/>
  <c r="E339" i="1"/>
  <c r="O338" i="1"/>
  <c r="E338" i="1"/>
  <c r="O337" i="1"/>
  <c r="E337" i="1"/>
  <c r="O336" i="1"/>
  <c r="E336" i="1"/>
  <c r="O335" i="1"/>
  <c r="E335" i="1"/>
  <c r="O334" i="1"/>
  <c r="E334" i="1"/>
  <c r="O333" i="1"/>
  <c r="E333" i="1"/>
  <c r="O332" i="1"/>
  <c r="E332" i="1"/>
  <c r="O331" i="1"/>
  <c r="E331" i="1"/>
  <c r="O330" i="1"/>
  <c r="E330" i="1"/>
  <c r="O329" i="1"/>
  <c r="E329" i="1"/>
  <c r="O328" i="1"/>
  <c r="E328" i="1"/>
  <c r="O327" i="1"/>
  <c r="E327" i="1"/>
  <c r="O326" i="1"/>
  <c r="E326" i="1"/>
  <c r="O325" i="1"/>
  <c r="E325" i="1"/>
  <c r="O324" i="1"/>
  <c r="E324" i="1"/>
  <c r="O323" i="1"/>
  <c r="E323" i="1"/>
  <c r="O322" i="1"/>
  <c r="E322" i="1"/>
  <c r="O321" i="1"/>
  <c r="E321" i="1"/>
  <c r="O320" i="1"/>
  <c r="E320" i="1"/>
  <c r="O319" i="1"/>
  <c r="E319" i="1"/>
  <c r="O318" i="1"/>
  <c r="E318" i="1"/>
  <c r="O317" i="1"/>
  <c r="E317" i="1"/>
  <c r="O316" i="1"/>
  <c r="E316" i="1"/>
  <c r="O315" i="1"/>
  <c r="E315" i="1"/>
  <c r="O314" i="1"/>
  <c r="E314" i="1"/>
  <c r="O313" i="1"/>
  <c r="E313" i="1"/>
  <c r="O312" i="1"/>
  <c r="E312" i="1"/>
  <c r="O311" i="1"/>
  <c r="E311" i="1"/>
  <c r="O310" i="1"/>
  <c r="E310" i="1"/>
  <c r="O309" i="1"/>
  <c r="E309" i="1"/>
  <c r="O308" i="1"/>
  <c r="E308" i="1"/>
  <c r="O307" i="1"/>
  <c r="E307" i="1"/>
  <c r="O306" i="1"/>
  <c r="E306" i="1"/>
  <c r="O305" i="1"/>
  <c r="E305" i="1"/>
  <c r="O304" i="1"/>
  <c r="E304" i="1"/>
  <c r="O303" i="1"/>
  <c r="E303" i="1"/>
  <c r="O302" i="1"/>
  <c r="E302" i="1"/>
  <c r="O301" i="1"/>
  <c r="E301" i="1"/>
  <c r="O300" i="1"/>
  <c r="E300" i="1"/>
  <c r="O299" i="1"/>
  <c r="E299" i="1"/>
  <c r="O298" i="1"/>
  <c r="E298" i="1"/>
  <c r="O297" i="1"/>
  <c r="E297" i="1"/>
  <c r="O296" i="1"/>
  <c r="E296" i="1"/>
  <c r="O295" i="1"/>
  <c r="E295" i="1"/>
  <c r="O294" i="1"/>
  <c r="E294" i="1"/>
  <c r="O293" i="1"/>
  <c r="E293" i="1"/>
  <c r="O292" i="1"/>
  <c r="E292" i="1"/>
  <c r="O291" i="1"/>
  <c r="E291" i="1"/>
  <c r="O290" i="1"/>
  <c r="E290" i="1"/>
  <c r="O289" i="1"/>
  <c r="E289" i="1"/>
  <c r="O288" i="1"/>
  <c r="E288" i="1"/>
  <c r="O287" i="1"/>
  <c r="E287" i="1"/>
  <c r="O286" i="1"/>
  <c r="E286" i="1"/>
  <c r="O285" i="1"/>
  <c r="E285" i="1"/>
  <c r="O284" i="1"/>
  <c r="E284" i="1"/>
  <c r="O283" i="1"/>
  <c r="E283" i="1"/>
  <c r="O282" i="1"/>
  <c r="E282" i="1"/>
  <c r="O281" i="1"/>
  <c r="E281" i="1"/>
  <c r="O280" i="1"/>
  <c r="E280" i="1"/>
  <c r="O279" i="1"/>
  <c r="E279" i="1"/>
  <c r="O278" i="1"/>
  <c r="E278" i="1"/>
  <c r="O277" i="1"/>
  <c r="E277" i="1"/>
  <c r="O276" i="1"/>
  <c r="E276" i="1"/>
  <c r="O275" i="1"/>
  <c r="E275" i="1"/>
  <c r="O274" i="1"/>
  <c r="E274" i="1"/>
  <c r="O273" i="1"/>
  <c r="E273" i="1"/>
  <c r="O272" i="1"/>
  <c r="E272" i="1"/>
  <c r="O271" i="1"/>
  <c r="E271" i="1"/>
  <c r="O270" i="1"/>
  <c r="E270" i="1"/>
  <c r="O269" i="1"/>
  <c r="E269" i="1"/>
  <c r="O268" i="1"/>
  <c r="E268" i="1"/>
  <c r="O267" i="1"/>
  <c r="E267" i="1"/>
  <c r="O266" i="1"/>
  <c r="E266" i="1"/>
  <c r="O265" i="1"/>
  <c r="E265" i="1"/>
  <c r="O264" i="1"/>
  <c r="E264" i="1"/>
  <c r="O263" i="1"/>
  <c r="E263" i="1"/>
  <c r="O262" i="1"/>
  <c r="E262" i="1"/>
  <c r="O261" i="1"/>
  <c r="E261" i="1"/>
  <c r="O260" i="1"/>
  <c r="E260" i="1"/>
  <c r="O259" i="1"/>
  <c r="E259" i="1"/>
  <c r="O258" i="1"/>
  <c r="E258" i="1"/>
  <c r="O257" i="1"/>
  <c r="E257" i="1"/>
  <c r="O256" i="1"/>
  <c r="E256" i="1"/>
  <c r="O255" i="1"/>
  <c r="E255" i="1"/>
  <c r="O254" i="1"/>
  <c r="E254" i="1"/>
  <c r="O253" i="1"/>
  <c r="E253" i="1"/>
  <c r="O252" i="1"/>
  <c r="E252" i="1"/>
  <c r="O251" i="1"/>
  <c r="E251" i="1"/>
  <c r="O250" i="1"/>
  <c r="E250" i="1"/>
  <c r="O249" i="1"/>
  <c r="E249" i="1"/>
  <c r="O248" i="1"/>
  <c r="E248" i="1"/>
  <c r="O247" i="1"/>
  <c r="E247" i="1"/>
  <c r="O246" i="1"/>
  <c r="E246" i="1"/>
  <c r="O245" i="1"/>
  <c r="E245" i="1"/>
  <c r="O244" i="1"/>
  <c r="E244" i="1"/>
  <c r="O243" i="1"/>
  <c r="E243" i="1"/>
  <c r="O242" i="1"/>
  <c r="E242" i="1"/>
  <c r="O241" i="1"/>
  <c r="E241" i="1"/>
  <c r="O240" i="1"/>
  <c r="E240" i="1"/>
  <c r="O239" i="1"/>
  <c r="E239" i="1"/>
  <c r="O238" i="1"/>
  <c r="E238" i="1"/>
  <c r="O237" i="1"/>
  <c r="E237" i="1"/>
  <c r="O236" i="1"/>
  <c r="E236" i="1"/>
  <c r="O235" i="1"/>
  <c r="E235" i="1"/>
  <c r="O234" i="1"/>
  <c r="E234" i="1"/>
  <c r="O233" i="1"/>
  <c r="E233" i="1"/>
  <c r="O232" i="1"/>
  <c r="E232" i="1"/>
  <c r="O231" i="1"/>
  <c r="E231" i="1"/>
  <c r="O230" i="1"/>
  <c r="E230" i="1"/>
  <c r="O229" i="1"/>
  <c r="E229" i="1"/>
  <c r="O228" i="1"/>
  <c r="E228" i="1"/>
  <c r="O227" i="1"/>
  <c r="E227" i="1"/>
  <c r="O226" i="1"/>
  <c r="E226" i="1"/>
  <c r="O225" i="1"/>
  <c r="E225" i="1"/>
  <c r="O224" i="1"/>
  <c r="E224" i="1"/>
  <c r="O223" i="1"/>
  <c r="E223" i="1"/>
  <c r="O222" i="1"/>
  <c r="E222" i="1"/>
  <c r="O221" i="1"/>
  <c r="E221" i="1"/>
  <c r="O220" i="1"/>
  <c r="E220" i="1"/>
  <c r="O219" i="1"/>
  <c r="E219" i="1"/>
  <c r="O218" i="1"/>
  <c r="E218" i="1"/>
  <c r="O217" i="1"/>
  <c r="E217" i="1"/>
  <c r="O216" i="1"/>
  <c r="E216" i="1"/>
  <c r="O215" i="1"/>
  <c r="E215" i="1"/>
  <c r="O214" i="1"/>
  <c r="E214" i="1"/>
  <c r="O213" i="1"/>
  <c r="E213" i="1"/>
  <c r="O212" i="1"/>
  <c r="E212" i="1"/>
  <c r="O211" i="1"/>
  <c r="E211" i="1"/>
  <c r="O210" i="1"/>
  <c r="E210" i="1"/>
  <c r="O209" i="1"/>
  <c r="E209" i="1"/>
  <c r="O208" i="1"/>
  <c r="E208" i="1"/>
  <c r="O207" i="1"/>
  <c r="E207" i="1"/>
  <c r="O206" i="1"/>
  <c r="E206" i="1"/>
  <c r="O205" i="1"/>
  <c r="E205" i="1"/>
  <c r="O204" i="1"/>
  <c r="E204" i="1"/>
  <c r="O203" i="1"/>
  <c r="E203" i="1"/>
  <c r="O202" i="1"/>
  <c r="E202" i="1"/>
  <c r="O201" i="1"/>
  <c r="E201" i="1"/>
  <c r="O200" i="1"/>
  <c r="E200" i="1"/>
  <c r="O199" i="1"/>
  <c r="E199" i="1"/>
  <c r="O198" i="1"/>
  <c r="E198" i="1"/>
  <c r="O197" i="1"/>
  <c r="E197" i="1"/>
  <c r="O196" i="1"/>
  <c r="E196" i="1"/>
  <c r="O195" i="1"/>
  <c r="E195" i="1"/>
  <c r="O194" i="1"/>
  <c r="E194" i="1"/>
  <c r="O193" i="1"/>
  <c r="E193" i="1"/>
  <c r="O192" i="1"/>
  <c r="E192" i="1"/>
  <c r="O191" i="1"/>
  <c r="E191" i="1"/>
  <c r="O190" i="1"/>
  <c r="E190" i="1"/>
  <c r="O189" i="1"/>
  <c r="E189" i="1"/>
  <c r="O188" i="1"/>
  <c r="E188" i="1"/>
  <c r="O187" i="1"/>
  <c r="E187" i="1"/>
  <c r="O186" i="1"/>
  <c r="E186" i="1"/>
  <c r="O185" i="1"/>
  <c r="E185" i="1"/>
  <c r="O184" i="1"/>
  <c r="E184" i="1"/>
  <c r="O183" i="1"/>
  <c r="E183" i="1"/>
  <c r="O182" i="1"/>
  <c r="E182" i="1"/>
  <c r="O181" i="1"/>
  <c r="E181" i="1"/>
  <c r="O180" i="1"/>
  <c r="E180" i="1"/>
  <c r="O179" i="1"/>
  <c r="E179" i="1"/>
  <c r="O178" i="1"/>
  <c r="E178" i="1"/>
  <c r="O177" i="1"/>
  <c r="E177" i="1"/>
  <c r="O176" i="1"/>
  <c r="E176" i="1"/>
  <c r="O175" i="1"/>
  <c r="E175" i="1"/>
  <c r="O174" i="1"/>
  <c r="E174" i="1"/>
  <c r="O173" i="1"/>
  <c r="E173" i="1"/>
  <c r="O172" i="1"/>
  <c r="E172" i="1"/>
  <c r="O171" i="1"/>
  <c r="E171" i="1"/>
  <c r="O170" i="1"/>
  <c r="E170" i="1"/>
  <c r="O169" i="1"/>
  <c r="E169" i="1"/>
  <c r="O168" i="1"/>
  <c r="E168" i="1"/>
  <c r="O167" i="1"/>
  <c r="E167" i="1"/>
  <c r="O166" i="1"/>
  <c r="E166" i="1"/>
  <c r="O165" i="1"/>
  <c r="E165" i="1"/>
  <c r="O164" i="1"/>
  <c r="E164" i="1"/>
  <c r="O163" i="1"/>
  <c r="E163" i="1"/>
  <c r="O162" i="1"/>
  <c r="E162" i="1"/>
  <c r="O161" i="1"/>
  <c r="E161" i="1"/>
  <c r="O160" i="1"/>
  <c r="E160" i="1"/>
  <c r="O159" i="1"/>
  <c r="E159" i="1"/>
  <c r="O158" i="1"/>
  <c r="E158" i="1"/>
  <c r="O157" i="1"/>
  <c r="E157" i="1"/>
  <c r="O156" i="1"/>
  <c r="E156" i="1"/>
  <c r="O155" i="1"/>
  <c r="E155" i="1"/>
  <c r="O154" i="1"/>
  <c r="E154" i="1"/>
  <c r="O153" i="1"/>
  <c r="E153" i="1"/>
  <c r="O152" i="1"/>
  <c r="D728" i="1"/>
  <c r="P671" i="1"/>
  <c r="Q651" i="1"/>
  <c r="H626" i="1"/>
  <c r="T604" i="1"/>
  <c r="B592" i="1"/>
  <c r="C581" i="1"/>
  <c r="F572" i="1"/>
  <c r="P566" i="1"/>
  <c r="I559" i="1"/>
  <c r="D553" i="1"/>
  <c r="B549" i="1"/>
  <c r="C543" i="1"/>
  <c r="D537" i="1"/>
  <c r="B533" i="1"/>
  <c r="C527" i="1"/>
  <c r="D521" i="1"/>
  <c r="L517" i="1"/>
  <c r="B513" i="1"/>
  <c r="E508" i="1"/>
  <c r="P504" i="1"/>
  <c r="D500" i="1"/>
  <c r="J495" i="1"/>
  <c r="C492" i="1"/>
  <c r="F487" i="1"/>
  <c r="L482" i="1"/>
  <c r="C480" i="1"/>
  <c r="D477" i="1"/>
  <c r="E474" i="1"/>
  <c r="C472" i="1"/>
  <c r="D469" i="1"/>
  <c r="E466" i="1"/>
  <c r="C464" i="1"/>
  <c r="D461" i="1"/>
  <c r="E458" i="1"/>
  <c r="C456" i="1"/>
  <c r="D453" i="1"/>
  <c r="E450" i="1"/>
  <c r="C448" i="1"/>
  <c r="D445" i="1"/>
  <c r="E442" i="1"/>
  <c r="C440" i="1"/>
  <c r="D437" i="1"/>
  <c r="E434" i="1"/>
  <c r="C432" i="1"/>
  <c r="D429" i="1"/>
  <c r="H426" i="1"/>
  <c r="L424" i="1"/>
  <c r="G422" i="1"/>
  <c r="H420" i="1"/>
  <c r="S418" i="1"/>
  <c r="C417" i="1"/>
  <c r="D415" i="1"/>
  <c r="L413" i="1"/>
  <c r="O411" i="1"/>
  <c r="P409" i="1"/>
  <c r="F408" i="1"/>
  <c r="G406" i="1"/>
  <c r="H404" i="1"/>
  <c r="S402" i="1"/>
  <c r="C401" i="1"/>
  <c r="D399" i="1"/>
  <c r="O397" i="1"/>
  <c r="C396" i="1"/>
  <c r="H394" i="1"/>
  <c r="D393" i="1"/>
  <c r="L391" i="1"/>
  <c r="E390" i="1"/>
  <c r="C389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O372" i="1"/>
  <c r="T371" i="1"/>
  <c r="D371" i="1"/>
  <c r="F370" i="1"/>
  <c r="K369" i="1"/>
  <c r="O368" i="1"/>
  <c r="T367" i="1"/>
  <c r="D367" i="1"/>
  <c r="F366" i="1"/>
  <c r="K365" i="1"/>
  <c r="S364" i="1"/>
  <c r="E364" i="1"/>
  <c r="K363" i="1"/>
  <c r="S362" i="1"/>
  <c r="E362" i="1"/>
  <c r="K361" i="1"/>
  <c r="S360" i="1"/>
  <c r="E360" i="1"/>
  <c r="K359" i="1"/>
  <c r="S358" i="1"/>
  <c r="E358" i="1"/>
  <c r="K357" i="1"/>
  <c r="S356" i="1"/>
  <c r="E356" i="1"/>
  <c r="K355" i="1"/>
  <c r="S354" i="1"/>
  <c r="E354" i="1"/>
  <c r="K353" i="1"/>
  <c r="S352" i="1"/>
  <c r="F352" i="1"/>
  <c r="O351" i="1"/>
  <c r="D351" i="1"/>
  <c r="K350" i="1"/>
  <c r="T349" i="1"/>
  <c r="H349" i="1"/>
  <c r="Q348" i="1"/>
  <c r="F348" i="1"/>
  <c r="O347" i="1"/>
  <c r="D347" i="1"/>
  <c r="K346" i="1"/>
  <c r="T345" i="1"/>
  <c r="H345" i="1"/>
  <c r="Q344" i="1"/>
  <c r="F344" i="1"/>
  <c r="O343" i="1"/>
  <c r="D343" i="1"/>
  <c r="L342" i="1"/>
  <c r="D342" i="1"/>
  <c r="L341" i="1"/>
  <c r="D341" i="1"/>
  <c r="L340" i="1"/>
  <c r="D340" i="1"/>
  <c r="L339" i="1"/>
  <c r="D339" i="1"/>
  <c r="L338" i="1"/>
  <c r="D338" i="1"/>
  <c r="L337" i="1"/>
  <c r="D337" i="1"/>
  <c r="L336" i="1"/>
  <c r="D336" i="1"/>
  <c r="L335" i="1"/>
  <c r="D335" i="1"/>
  <c r="L334" i="1"/>
  <c r="D334" i="1"/>
  <c r="L333" i="1"/>
  <c r="D333" i="1"/>
  <c r="L332" i="1"/>
  <c r="D332" i="1"/>
  <c r="L331" i="1"/>
  <c r="D331" i="1"/>
  <c r="L330" i="1"/>
  <c r="D330" i="1"/>
  <c r="L329" i="1"/>
  <c r="D329" i="1"/>
  <c r="L328" i="1"/>
  <c r="D328" i="1"/>
  <c r="L327" i="1"/>
  <c r="D327" i="1"/>
  <c r="L326" i="1"/>
  <c r="D326" i="1"/>
  <c r="L325" i="1"/>
  <c r="D325" i="1"/>
  <c r="L324" i="1"/>
  <c r="D324" i="1"/>
  <c r="L323" i="1"/>
  <c r="D323" i="1"/>
  <c r="L322" i="1"/>
  <c r="D322" i="1"/>
  <c r="L321" i="1"/>
  <c r="D321" i="1"/>
  <c r="L320" i="1"/>
  <c r="D320" i="1"/>
  <c r="L319" i="1"/>
  <c r="D319" i="1"/>
  <c r="L318" i="1"/>
  <c r="D318" i="1"/>
  <c r="L317" i="1"/>
  <c r="D317" i="1"/>
  <c r="L316" i="1"/>
  <c r="D316" i="1"/>
  <c r="L315" i="1"/>
  <c r="D315" i="1"/>
  <c r="L314" i="1"/>
  <c r="D314" i="1"/>
  <c r="L313" i="1"/>
  <c r="D313" i="1"/>
  <c r="L312" i="1"/>
  <c r="D312" i="1"/>
  <c r="L311" i="1"/>
  <c r="D311" i="1"/>
  <c r="L310" i="1"/>
  <c r="D310" i="1"/>
  <c r="L309" i="1"/>
  <c r="D309" i="1"/>
  <c r="L308" i="1"/>
  <c r="D308" i="1"/>
  <c r="L307" i="1"/>
  <c r="D307" i="1"/>
  <c r="L306" i="1"/>
  <c r="D306" i="1"/>
  <c r="L305" i="1"/>
  <c r="D305" i="1"/>
  <c r="L304" i="1"/>
  <c r="D304" i="1"/>
  <c r="L303" i="1"/>
  <c r="D303" i="1"/>
  <c r="L302" i="1"/>
  <c r="D302" i="1"/>
  <c r="L301" i="1"/>
  <c r="D301" i="1"/>
  <c r="L300" i="1"/>
  <c r="D300" i="1"/>
  <c r="L299" i="1"/>
  <c r="D299" i="1"/>
  <c r="L298" i="1"/>
  <c r="D298" i="1"/>
  <c r="L297" i="1"/>
  <c r="D297" i="1"/>
  <c r="L296" i="1"/>
  <c r="D296" i="1"/>
  <c r="L295" i="1"/>
  <c r="D295" i="1"/>
  <c r="L294" i="1"/>
  <c r="D294" i="1"/>
  <c r="L293" i="1"/>
  <c r="D293" i="1"/>
  <c r="L292" i="1"/>
  <c r="D292" i="1"/>
  <c r="L291" i="1"/>
  <c r="D291" i="1"/>
  <c r="L290" i="1"/>
  <c r="D290" i="1"/>
  <c r="L289" i="1"/>
  <c r="D289" i="1"/>
  <c r="L288" i="1"/>
  <c r="D288" i="1"/>
  <c r="L287" i="1"/>
  <c r="D287" i="1"/>
  <c r="L286" i="1"/>
  <c r="D286" i="1"/>
  <c r="L285" i="1"/>
  <c r="D285" i="1"/>
  <c r="L284" i="1"/>
  <c r="D284" i="1"/>
  <c r="L283" i="1"/>
  <c r="D283" i="1"/>
  <c r="L282" i="1"/>
  <c r="D282" i="1"/>
  <c r="L281" i="1"/>
  <c r="D281" i="1"/>
  <c r="L280" i="1"/>
  <c r="D280" i="1"/>
  <c r="L279" i="1"/>
  <c r="D279" i="1"/>
  <c r="L278" i="1"/>
  <c r="D278" i="1"/>
  <c r="L277" i="1"/>
  <c r="D277" i="1"/>
  <c r="L276" i="1"/>
  <c r="D276" i="1"/>
  <c r="L275" i="1"/>
  <c r="D275" i="1"/>
  <c r="L274" i="1"/>
  <c r="D274" i="1"/>
  <c r="L273" i="1"/>
  <c r="D273" i="1"/>
  <c r="L272" i="1"/>
  <c r="D272" i="1"/>
  <c r="L271" i="1"/>
  <c r="D271" i="1"/>
  <c r="L270" i="1"/>
  <c r="D270" i="1"/>
  <c r="L269" i="1"/>
  <c r="D269" i="1"/>
  <c r="L268" i="1"/>
  <c r="D268" i="1"/>
  <c r="L267" i="1"/>
  <c r="D267" i="1"/>
  <c r="L266" i="1"/>
  <c r="D266" i="1"/>
  <c r="L265" i="1"/>
  <c r="D265" i="1"/>
  <c r="L264" i="1"/>
  <c r="D264" i="1"/>
  <c r="L263" i="1"/>
  <c r="D263" i="1"/>
  <c r="L262" i="1"/>
  <c r="D262" i="1"/>
  <c r="L261" i="1"/>
  <c r="D261" i="1"/>
  <c r="L260" i="1"/>
  <c r="D260" i="1"/>
  <c r="L259" i="1"/>
  <c r="D259" i="1"/>
  <c r="L258" i="1"/>
  <c r="D258" i="1"/>
  <c r="L257" i="1"/>
  <c r="D257" i="1"/>
  <c r="L256" i="1"/>
  <c r="D256" i="1"/>
  <c r="L255" i="1"/>
  <c r="D255" i="1"/>
  <c r="L254" i="1"/>
  <c r="D254" i="1"/>
  <c r="L253" i="1"/>
  <c r="D253" i="1"/>
  <c r="L252" i="1"/>
  <c r="D252" i="1"/>
  <c r="L251" i="1"/>
  <c r="D251" i="1"/>
  <c r="L250" i="1"/>
  <c r="D250" i="1"/>
  <c r="L249" i="1"/>
  <c r="D249" i="1"/>
  <c r="L248" i="1"/>
  <c r="D248" i="1"/>
  <c r="L247" i="1"/>
  <c r="D247" i="1"/>
  <c r="L246" i="1"/>
  <c r="D246" i="1"/>
  <c r="L245" i="1"/>
  <c r="D245" i="1"/>
  <c r="L244" i="1"/>
  <c r="D244" i="1"/>
  <c r="L243" i="1"/>
  <c r="D243" i="1"/>
  <c r="L242" i="1"/>
  <c r="D242" i="1"/>
  <c r="L241" i="1"/>
  <c r="D241" i="1"/>
  <c r="L240" i="1"/>
  <c r="D240" i="1"/>
  <c r="L239" i="1"/>
  <c r="D239" i="1"/>
  <c r="L238" i="1"/>
  <c r="D238" i="1"/>
  <c r="L237" i="1"/>
  <c r="D237" i="1"/>
  <c r="L236" i="1"/>
  <c r="D236" i="1"/>
  <c r="L235" i="1"/>
  <c r="D235" i="1"/>
  <c r="L234" i="1"/>
  <c r="D234" i="1"/>
  <c r="L233" i="1"/>
  <c r="D233" i="1"/>
  <c r="L232" i="1"/>
  <c r="D232" i="1"/>
  <c r="L231" i="1"/>
  <c r="D231" i="1"/>
  <c r="L230" i="1"/>
  <c r="D230" i="1"/>
  <c r="L229" i="1"/>
  <c r="D229" i="1"/>
  <c r="L228" i="1"/>
  <c r="D228" i="1"/>
  <c r="L227" i="1"/>
  <c r="D227" i="1"/>
  <c r="C728" i="1"/>
  <c r="J671" i="1"/>
  <c r="K643" i="1"/>
  <c r="G626" i="1"/>
  <c r="S604" i="1"/>
  <c r="C588" i="1"/>
  <c r="Q580" i="1"/>
  <c r="E572" i="1"/>
  <c r="F564" i="1"/>
  <c r="G559" i="1"/>
  <c r="C553" i="1"/>
  <c r="D547" i="1"/>
  <c r="B543" i="1"/>
  <c r="C537" i="1"/>
  <c r="D531" i="1"/>
  <c r="B527" i="1"/>
  <c r="C521" i="1"/>
  <c r="E516" i="1"/>
  <c r="P512" i="1"/>
  <c r="D508" i="1"/>
  <c r="J503" i="1"/>
  <c r="C500" i="1"/>
  <c r="F495" i="1"/>
  <c r="L490" i="1"/>
  <c r="E487" i="1"/>
  <c r="K482" i="1"/>
  <c r="E479" i="1"/>
  <c r="C477" i="1"/>
  <c r="D474" i="1"/>
  <c r="E471" i="1"/>
  <c r="C469" i="1"/>
  <c r="D466" i="1"/>
  <c r="E463" i="1"/>
  <c r="C461" i="1"/>
  <c r="D458" i="1"/>
  <c r="E455" i="1"/>
  <c r="C453" i="1"/>
  <c r="D450" i="1"/>
  <c r="E447" i="1"/>
  <c r="C445" i="1"/>
  <c r="D442" i="1"/>
  <c r="E439" i="1"/>
  <c r="C437" i="1"/>
  <c r="D434" i="1"/>
  <c r="E431" i="1"/>
  <c r="C429" i="1"/>
  <c r="G426" i="1"/>
  <c r="C424" i="1"/>
  <c r="F422" i="1"/>
  <c r="G420" i="1"/>
  <c r="H418" i="1"/>
  <c r="S416" i="1"/>
  <c r="C415" i="1"/>
  <c r="D413" i="1"/>
  <c r="L411" i="1"/>
  <c r="O409" i="1"/>
  <c r="P407" i="1"/>
  <c r="F406" i="1"/>
  <c r="G404" i="1"/>
  <c r="H402" i="1"/>
  <c r="S400" i="1"/>
  <c r="C399" i="1"/>
  <c r="F397" i="1"/>
  <c r="T395" i="1"/>
  <c r="G394" i="1"/>
  <c r="O392" i="1"/>
  <c r="K391" i="1"/>
  <c r="D390" i="1"/>
  <c r="O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L372" i="1"/>
  <c r="P371" i="1"/>
  <c r="C371" i="1"/>
  <c r="E370" i="1"/>
  <c r="I369" i="1"/>
  <c r="L368" i="1"/>
  <c r="P367" i="1"/>
  <c r="C367" i="1"/>
  <c r="E366" i="1"/>
  <c r="I365" i="1"/>
  <c r="P364" i="1"/>
  <c r="D364" i="1"/>
  <c r="I363" i="1"/>
  <c r="P362" i="1"/>
  <c r="D362" i="1"/>
  <c r="I361" i="1"/>
  <c r="P360" i="1"/>
  <c r="D360" i="1"/>
  <c r="I359" i="1"/>
  <c r="P358" i="1"/>
  <c r="D358" i="1"/>
  <c r="I357" i="1"/>
  <c r="P356" i="1"/>
  <c r="D356" i="1"/>
  <c r="I355" i="1"/>
  <c r="P354" i="1"/>
  <c r="D354" i="1"/>
  <c r="I353" i="1"/>
  <c r="P352" i="1"/>
  <c r="E352" i="1"/>
  <c r="L351" i="1"/>
  <c r="C351" i="1"/>
  <c r="I350" i="1"/>
  <c r="S349" i="1"/>
  <c r="G349" i="1"/>
  <c r="P348" i="1"/>
  <c r="E348" i="1"/>
  <c r="L347" i="1"/>
  <c r="C347" i="1"/>
  <c r="I346" i="1"/>
  <c r="S345" i="1"/>
  <c r="G345" i="1"/>
  <c r="P344" i="1"/>
  <c r="E344" i="1"/>
  <c r="L343" i="1"/>
  <c r="C343" i="1"/>
  <c r="K342" i="1"/>
  <c r="C342" i="1"/>
  <c r="K341" i="1"/>
  <c r="C341" i="1"/>
  <c r="K340" i="1"/>
  <c r="C340" i="1"/>
  <c r="K339" i="1"/>
  <c r="C339" i="1"/>
  <c r="K338" i="1"/>
  <c r="C338" i="1"/>
  <c r="K337" i="1"/>
  <c r="C337" i="1"/>
  <c r="K336" i="1"/>
  <c r="C336" i="1"/>
  <c r="K335" i="1"/>
  <c r="C335" i="1"/>
  <c r="K334" i="1"/>
  <c r="C334" i="1"/>
  <c r="K333" i="1"/>
  <c r="C333" i="1"/>
  <c r="K332" i="1"/>
  <c r="C332" i="1"/>
  <c r="K331" i="1"/>
  <c r="C331" i="1"/>
  <c r="K330" i="1"/>
  <c r="C330" i="1"/>
  <c r="K329" i="1"/>
  <c r="C329" i="1"/>
  <c r="K328" i="1"/>
  <c r="C328" i="1"/>
  <c r="K327" i="1"/>
  <c r="C327" i="1"/>
  <c r="K326" i="1"/>
  <c r="C326" i="1"/>
  <c r="K325" i="1"/>
  <c r="C325" i="1"/>
  <c r="K324" i="1"/>
  <c r="C324" i="1"/>
  <c r="K323" i="1"/>
  <c r="C323" i="1"/>
  <c r="K322" i="1"/>
  <c r="C322" i="1"/>
  <c r="K321" i="1"/>
  <c r="C321" i="1"/>
  <c r="K320" i="1"/>
  <c r="C320" i="1"/>
  <c r="K319" i="1"/>
  <c r="C319" i="1"/>
  <c r="K318" i="1"/>
  <c r="C318" i="1"/>
  <c r="K317" i="1"/>
  <c r="C317" i="1"/>
  <c r="K316" i="1"/>
  <c r="C316" i="1"/>
  <c r="K315" i="1"/>
  <c r="C315" i="1"/>
  <c r="K314" i="1"/>
  <c r="C314" i="1"/>
  <c r="K313" i="1"/>
  <c r="C313" i="1"/>
  <c r="K312" i="1"/>
  <c r="C312" i="1"/>
  <c r="K311" i="1"/>
  <c r="C311" i="1"/>
  <c r="K310" i="1"/>
  <c r="C310" i="1"/>
  <c r="K309" i="1"/>
  <c r="C309" i="1"/>
  <c r="K308" i="1"/>
  <c r="C308" i="1"/>
  <c r="K307" i="1"/>
  <c r="C307" i="1"/>
  <c r="K306" i="1"/>
  <c r="C306" i="1"/>
  <c r="K305" i="1"/>
  <c r="C305" i="1"/>
  <c r="K304" i="1"/>
  <c r="C304" i="1"/>
  <c r="K303" i="1"/>
  <c r="C303" i="1"/>
  <c r="K302" i="1"/>
  <c r="C302" i="1"/>
  <c r="K301" i="1"/>
  <c r="C301" i="1"/>
  <c r="K300" i="1"/>
  <c r="C300" i="1"/>
  <c r="K299" i="1"/>
  <c r="C299" i="1"/>
  <c r="K298" i="1"/>
  <c r="C298" i="1"/>
  <c r="K297" i="1"/>
  <c r="C297" i="1"/>
  <c r="K296" i="1"/>
  <c r="C296" i="1"/>
  <c r="K295" i="1"/>
  <c r="C295" i="1"/>
  <c r="K294" i="1"/>
  <c r="C294" i="1"/>
  <c r="K293" i="1"/>
  <c r="C293" i="1"/>
  <c r="K292" i="1"/>
  <c r="C292" i="1"/>
  <c r="K291" i="1"/>
  <c r="C291" i="1"/>
  <c r="K290" i="1"/>
  <c r="C290" i="1"/>
  <c r="K289" i="1"/>
  <c r="C289" i="1"/>
  <c r="K288" i="1"/>
  <c r="C288" i="1"/>
  <c r="K287" i="1"/>
  <c r="C287" i="1"/>
  <c r="K286" i="1"/>
  <c r="C286" i="1"/>
  <c r="K285" i="1"/>
  <c r="C285" i="1"/>
  <c r="K284" i="1"/>
  <c r="C284" i="1"/>
  <c r="K283" i="1"/>
  <c r="C283" i="1"/>
  <c r="K282" i="1"/>
  <c r="C282" i="1"/>
  <c r="K281" i="1"/>
  <c r="C281" i="1"/>
  <c r="K280" i="1"/>
  <c r="C280" i="1"/>
  <c r="K279" i="1"/>
  <c r="C279" i="1"/>
  <c r="K278" i="1"/>
  <c r="C278" i="1"/>
  <c r="K277" i="1"/>
  <c r="C277" i="1"/>
  <c r="K276" i="1"/>
  <c r="C276" i="1"/>
  <c r="K275" i="1"/>
  <c r="C275" i="1"/>
  <c r="K274" i="1"/>
  <c r="C274" i="1"/>
  <c r="K273" i="1"/>
  <c r="C273" i="1"/>
  <c r="K272" i="1"/>
  <c r="C272" i="1"/>
  <c r="K271" i="1"/>
  <c r="C271" i="1"/>
  <c r="K270" i="1"/>
  <c r="C270" i="1"/>
  <c r="K269" i="1"/>
  <c r="C269" i="1"/>
  <c r="K268" i="1"/>
  <c r="C268" i="1"/>
  <c r="K267" i="1"/>
  <c r="C267" i="1"/>
  <c r="K266" i="1"/>
  <c r="C266" i="1"/>
  <c r="K265" i="1"/>
  <c r="C265" i="1"/>
  <c r="K264" i="1"/>
  <c r="C264" i="1"/>
  <c r="K263" i="1"/>
  <c r="C263" i="1"/>
  <c r="K262" i="1"/>
  <c r="C262" i="1"/>
  <c r="K261" i="1"/>
  <c r="C261" i="1"/>
  <c r="K260" i="1"/>
  <c r="C260" i="1"/>
  <c r="K259" i="1"/>
  <c r="C259" i="1"/>
  <c r="K258" i="1"/>
  <c r="C258" i="1"/>
  <c r="K257" i="1"/>
  <c r="C257" i="1"/>
  <c r="K256" i="1"/>
  <c r="C256" i="1"/>
  <c r="K255" i="1"/>
  <c r="C255" i="1"/>
  <c r="K254" i="1"/>
  <c r="C254" i="1"/>
  <c r="K253" i="1"/>
  <c r="C253" i="1"/>
  <c r="K252" i="1"/>
  <c r="C252" i="1"/>
  <c r="K251" i="1"/>
  <c r="C251" i="1"/>
  <c r="K250" i="1"/>
  <c r="C250" i="1"/>
  <c r="K249" i="1"/>
  <c r="C249" i="1"/>
  <c r="K248" i="1"/>
  <c r="C248" i="1"/>
  <c r="K247" i="1"/>
  <c r="C247" i="1"/>
  <c r="K246" i="1"/>
  <c r="C246" i="1"/>
  <c r="K245" i="1"/>
  <c r="C245" i="1"/>
  <c r="K244" i="1"/>
  <c r="C244" i="1"/>
  <c r="K243" i="1"/>
  <c r="S703" i="1"/>
  <c r="Q660" i="1"/>
  <c r="I643" i="1"/>
  <c r="B619" i="1"/>
  <c r="Q597" i="1"/>
  <c r="Q587" i="1"/>
  <c r="B578" i="1"/>
  <c r="L569" i="1"/>
  <c r="D564" i="1"/>
  <c r="D557" i="1"/>
  <c r="D551" i="1"/>
  <c r="B547" i="1"/>
  <c r="C541" i="1"/>
  <c r="D535" i="1"/>
  <c r="B531" i="1"/>
  <c r="C525" i="1"/>
  <c r="J519" i="1"/>
  <c r="C516" i="1"/>
  <c r="F511" i="1"/>
  <c r="L506" i="1"/>
  <c r="E503" i="1"/>
  <c r="K498" i="1"/>
  <c r="P493" i="1"/>
  <c r="J490" i="1"/>
  <c r="O485" i="1"/>
  <c r="E481" i="1"/>
  <c r="C479" i="1"/>
  <c r="D476" i="1"/>
  <c r="E473" i="1"/>
  <c r="C471" i="1"/>
  <c r="D468" i="1"/>
  <c r="E465" i="1"/>
  <c r="C463" i="1"/>
  <c r="D460" i="1"/>
  <c r="E457" i="1"/>
  <c r="C455" i="1"/>
  <c r="D452" i="1"/>
  <c r="E449" i="1"/>
  <c r="C447" i="1"/>
  <c r="D444" i="1"/>
  <c r="E441" i="1"/>
  <c r="C439" i="1"/>
  <c r="D436" i="1"/>
  <c r="E433" i="1"/>
  <c r="C431" i="1"/>
  <c r="D428" i="1"/>
  <c r="L425" i="1"/>
  <c r="Q423" i="1"/>
  <c r="O421" i="1"/>
  <c r="P419" i="1"/>
  <c r="F418" i="1"/>
  <c r="G416" i="1"/>
  <c r="H414" i="1"/>
  <c r="S412" i="1"/>
  <c r="C411" i="1"/>
  <c r="D409" i="1"/>
  <c r="L407" i="1"/>
  <c r="O405" i="1"/>
  <c r="P403" i="1"/>
  <c r="F402" i="1"/>
  <c r="G400" i="1"/>
  <c r="H398" i="1"/>
  <c r="D397" i="1"/>
  <c r="I395" i="1"/>
  <c r="Q393" i="1"/>
  <c r="K392" i="1"/>
  <c r="D391" i="1"/>
  <c r="O389" i="1"/>
  <c r="K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I372" i="1"/>
  <c r="L371" i="1"/>
  <c r="P370" i="1"/>
  <c r="C370" i="1"/>
  <c r="E369" i="1"/>
  <c r="I368" i="1"/>
  <c r="L367" i="1"/>
  <c r="P366" i="1"/>
  <c r="C366" i="1"/>
  <c r="F365" i="1"/>
  <c r="L364" i="1"/>
  <c r="T363" i="1"/>
  <c r="F363" i="1"/>
  <c r="L362" i="1"/>
  <c r="T361" i="1"/>
  <c r="F361" i="1"/>
  <c r="L360" i="1"/>
  <c r="T359" i="1"/>
  <c r="F359" i="1"/>
  <c r="L358" i="1"/>
  <c r="T357" i="1"/>
  <c r="F357" i="1"/>
  <c r="L356" i="1"/>
  <c r="T355" i="1"/>
  <c r="F355" i="1"/>
  <c r="L354" i="1"/>
  <c r="T353" i="1"/>
  <c r="F353" i="1"/>
  <c r="L352" i="1"/>
  <c r="C352" i="1"/>
  <c r="I351" i="1"/>
  <c r="S350" i="1"/>
  <c r="G350" i="1"/>
  <c r="P349" i="1"/>
  <c r="E349" i="1"/>
  <c r="L348" i="1"/>
  <c r="C348" i="1"/>
  <c r="I347" i="1"/>
  <c r="S346" i="1"/>
  <c r="G346" i="1"/>
  <c r="P345" i="1"/>
  <c r="E345" i="1"/>
  <c r="L344" i="1"/>
  <c r="C344" i="1"/>
  <c r="I343" i="1"/>
  <c r="T342" i="1"/>
  <c r="I342" i="1"/>
  <c r="T341" i="1"/>
  <c r="I341" i="1"/>
  <c r="T340" i="1"/>
  <c r="I340" i="1"/>
  <c r="T339" i="1"/>
  <c r="I339" i="1"/>
  <c r="T338" i="1"/>
  <c r="I338" i="1"/>
  <c r="T337" i="1"/>
  <c r="I337" i="1"/>
  <c r="T336" i="1"/>
  <c r="I336" i="1"/>
  <c r="T335" i="1"/>
  <c r="I335" i="1"/>
  <c r="T334" i="1"/>
  <c r="I334" i="1"/>
  <c r="T333" i="1"/>
  <c r="I333" i="1"/>
  <c r="T332" i="1"/>
  <c r="I332" i="1"/>
  <c r="T331" i="1"/>
  <c r="I331" i="1"/>
  <c r="T330" i="1"/>
  <c r="I330" i="1"/>
  <c r="T329" i="1"/>
  <c r="I329" i="1"/>
  <c r="T328" i="1"/>
  <c r="I328" i="1"/>
  <c r="T327" i="1"/>
  <c r="I327" i="1"/>
  <c r="T326" i="1"/>
  <c r="I326" i="1"/>
  <c r="T325" i="1"/>
  <c r="I325" i="1"/>
  <c r="T324" i="1"/>
  <c r="I324" i="1"/>
  <c r="T323" i="1"/>
  <c r="I323" i="1"/>
  <c r="T322" i="1"/>
  <c r="I322" i="1"/>
  <c r="T321" i="1"/>
  <c r="I321" i="1"/>
  <c r="T320" i="1"/>
  <c r="I320" i="1"/>
  <c r="T319" i="1"/>
  <c r="I319" i="1"/>
  <c r="T318" i="1"/>
  <c r="I318" i="1"/>
  <c r="T317" i="1"/>
  <c r="I317" i="1"/>
  <c r="T316" i="1"/>
  <c r="I316" i="1"/>
  <c r="T315" i="1"/>
  <c r="I315" i="1"/>
  <c r="T314" i="1"/>
  <c r="I314" i="1"/>
  <c r="T313" i="1"/>
  <c r="I313" i="1"/>
  <c r="T312" i="1"/>
  <c r="I312" i="1"/>
  <c r="T311" i="1"/>
  <c r="I311" i="1"/>
  <c r="T310" i="1"/>
  <c r="I310" i="1"/>
  <c r="T309" i="1"/>
  <c r="I309" i="1"/>
  <c r="T308" i="1"/>
  <c r="I308" i="1"/>
  <c r="T307" i="1"/>
  <c r="I307" i="1"/>
  <c r="T306" i="1"/>
  <c r="I306" i="1"/>
  <c r="T305" i="1"/>
  <c r="I305" i="1"/>
  <c r="T304" i="1"/>
  <c r="I304" i="1"/>
  <c r="T303" i="1"/>
  <c r="I303" i="1"/>
  <c r="T302" i="1"/>
  <c r="I302" i="1"/>
  <c r="T301" i="1"/>
  <c r="I301" i="1"/>
  <c r="T300" i="1"/>
  <c r="I300" i="1"/>
  <c r="T299" i="1"/>
  <c r="I299" i="1"/>
  <c r="T298" i="1"/>
  <c r="I298" i="1"/>
  <c r="T297" i="1"/>
  <c r="I297" i="1"/>
  <c r="T296" i="1"/>
  <c r="I296" i="1"/>
  <c r="T295" i="1"/>
  <c r="I295" i="1"/>
  <c r="T294" i="1"/>
  <c r="I294" i="1"/>
  <c r="T293" i="1"/>
  <c r="I293" i="1"/>
  <c r="T292" i="1"/>
  <c r="I292" i="1"/>
  <c r="T291" i="1"/>
  <c r="I291" i="1"/>
  <c r="T290" i="1"/>
  <c r="I290" i="1"/>
  <c r="T289" i="1"/>
  <c r="I289" i="1"/>
  <c r="T288" i="1"/>
  <c r="I288" i="1"/>
  <c r="T287" i="1"/>
  <c r="I287" i="1"/>
  <c r="T286" i="1"/>
  <c r="I286" i="1"/>
  <c r="T285" i="1"/>
  <c r="I285" i="1"/>
  <c r="T284" i="1"/>
  <c r="I284" i="1"/>
  <c r="T283" i="1"/>
  <c r="I283" i="1"/>
  <c r="T282" i="1"/>
  <c r="I282" i="1"/>
  <c r="T281" i="1"/>
  <c r="I281" i="1"/>
  <c r="T280" i="1"/>
  <c r="I280" i="1"/>
  <c r="T279" i="1"/>
  <c r="I279" i="1"/>
  <c r="T278" i="1"/>
  <c r="I278" i="1"/>
  <c r="T277" i="1"/>
  <c r="I277" i="1"/>
  <c r="T276" i="1"/>
  <c r="I276" i="1"/>
  <c r="T275" i="1"/>
  <c r="I275" i="1"/>
  <c r="T274" i="1"/>
  <c r="I274" i="1"/>
  <c r="T273" i="1"/>
  <c r="I273" i="1"/>
  <c r="T272" i="1"/>
  <c r="I272" i="1"/>
  <c r="T271" i="1"/>
  <c r="I271" i="1"/>
  <c r="T270" i="1"/>
  <c r="I270" i="1"/>
  <c r="T269" i="1"/>
  <c r="I269" i="1"/>
  <c r="T268" i="1"/>
  <c r="I268" i="1"/>
  <c r="T267" i="1"/>
  <c r="I267" i="1"/>
  <c r="T266" i="1"/>
  <c r="I266" i="1"/>
  <c r="T265" i="1"/>
  <c r="I265" i="1"/>
  <c r="T264" i="1"/>
  <c r="I264" i="1"/>
  <c r="T263" i="1"/>
  <c r="I263" i="1"/>
  <c r="T262" i="1"/>
  <c r="I262" i="1"/>
  <c r="T261" i="1"/>
  <c r="I261" i="1"/>
  <c r="T260" i="1"/>
  <c r="I260" i="1"/>
  <c r="T259" i="1"/>
  <c r="I259" i="1"/>
  <c r="T258" i="1"/>
  <c r="I258" i="1"/>
  <c r="T257" i="1"/>
  <c r="I257" i="1"/>
  <c r="T256" i="1"/>
  <c r="I256" i="1"/>
  <c r="T255" i="1"/>
  <c r="I255" i="1"/>
  <c r="T254" i="1"/>
  <c r="I254" i="1"/>
  <c r="T253" i="1"/>
  <c r="I253" i="1"/>
  <c r="T252" i="1"/>
  <c r="I252" i="1"/>
  <c r="T251" i="1"/>
  <c r="I251" i="1"/>
  <c r="T250" i="1"/>
  <c r="I250" i="1"/>
  <c r="T249" i="1"/>
  <c r="I249" i="1"/>
  <c r="T248" i="1"/>
  <c r="I248" i="1"/>
  <c r="T247" i="1"/>
  <c r="I247" i="1"/>
  <c r="T246" i="1"/>
  <c r="I246" i="1"/>
  <c r="T245" i="1"/>
  <c r="I245" i="1"/>
  <c r="T244" i="1"/>
  <c r="I244" i="1"/>
  <c r="T243" i="1"/>
  <c r="I243" i="1"/>
  <c r="T242" i="1"/>
  <c r="I242" i="1"/>
  <c r="T241" i="1"/>
  <c r="I241" i="1"/>
  <c r="T240" i="1"/>
  <c r="I240" i="1"/>
  <c r="T239" i="1"/>
  <c r="I239" i="1"/>
  <c r="T238" i="1"/>
  <c r="I238" i="1"/>
  <c r="T237" i="1"/>
  <c r="I237" i="1"/>
  <c r="T236" i="1"/>
  <c r="I236" i="1"/>
  <c r="T235" i="1"/>
  <c r="I235" i="1"/>
  <c r="T234" i="1"/>
  <c r="I234" i="1"/>
  <c r="T233" i="1"/>
  <c r="I233" i="1"/>
  <c r="T232" i="1"/>
  <c r="I232" i="1"/>
  <c r="T231" i="1"/>
  <c r="I231" i="1"/>
  <c r="T230" i="1"/>
  <c r="I230" i="1"/>
  <c r="T229" i="1"/>
  <c r="I229" i="1"/>
  <c r="T228" i="1"/>
  <c r="I228" i="1"/>
  <c r="T227" i="1"/>
  <c r="I227" i="1"/>
  <c r="T226" i="1"/>
  <c r="I226" i="1"/>
  <c r="T225" i="1"/>
  <c r="I225" i="1"/>
  <c r="T224" i="1"/>
  <c r="I224" i="1"/>
  <c r="T223" i="1"/>
  <c r="I223" i="1"/>
  <c r="T222" i="1"/>
  <c r="I222" i="1"/>
  <c r="T221" i="1"/>
  <c r="I221" i="1"/>
  <c r="T220" i="1"/>
  <c r="I220" i="1"/>
  <c r="T219" i="1"/>
  <c r="I219" i="1"/>
  <c r="T218" i="1"/>
  <c r="I218" i="1"/>
  <c r="T217" i="1"/>
  <c r="I217" i="1"/>
  <c r="T216" i="1"/>
  <c r="I216" i="1"/>
  <c r="T215" i="1"/>
  <c r="I215" i="1"/>
  <c r="T214" i="1"/>
  <c r="I214" i="1"/>
  <c r="T213" i="1"/>
  <c r="I213" i="1"/>
  <c r="T212" i="1"/>
  <c r="I212" i="1"/>
  <c r="T211" i="1"/>
  <c r="I211" i="1"/>
  <c r="T210" i="1"/>
  <c r="I210" i="1"/>
  <c r="T209" i="1"/>
  <c r="I209" i="1"/>
  <c r="T208" i="1"/>
  <c r="I208" i="1"/>
  <c r="T207" i="1"/>
  <c r="I207" i="1"/>
  <c r="T206" i="1"/>
  <c r="I206" i="1"/>
  <c r="T205" i="1"/>
  <c r="I205" i="1"/>
  <c r="T204" i="1"/>
  <c r="I204" i="1"/>
  <c r="T203" i="1"/>
  <c r="I203" i="1"/>
  <c r="T202" i="1"/>
  <c r="I202" i="1"/>
  <c r="T201" i="1"/>
  <c r="I201" i="1"/>
  <c r="T200" i="1"/>
  <c r="I200" i="1"/>
  <c r="T199" i="1"/>
  <c r="I199" i="1"/>
  <c r="T198" i="1"/>
  <c r="I198" i="1"/>
  <c r="T197" i="1"/>
  <c r="I197" i="1"/>
  <c r="T196" i="1"/>
  <c r="I196" i="1"/>
  <c r="T195" i="1"/>
  <c r="I195" i="1"/>
  <c r="T194" i="1"/>
  <c r="I194" i="1"/>
  <c r="T193" i="1"/>
  <c r="I193" i="1"/>
  <c r="T192" i="1"/>
  <c r="I192" i="1"/>
  <c r="T191" i="1"/>
  <c r="I191" i="1"/>
  <c r="T190" i="1"/>
  <c r="I190" i="1"/>
  <c r="T189" i="1"/>
  <c r="I189" i="1"/>
  <c r="T188" i="1"/>
  <c r="I188" i="1"/>
  <c r="T187" i="1"/>
  <c r="I187" i="1"/>
  <c r="T186" i="1"/>
  <c r="I186" i="1"/>
  <c r="T185" i="1"/>
  <c r="I185" i="1"/>
  <c r="T184" i="1"/>
  <c r="I184" i="1"/>
  <c r="T183" i="1"/>
  <c r="I183" i="1"/>
  <c r="T182" i="1"/>
  <c r="I182" i="1"/>
  <c r="T181" i="1"/>
  <c r="I181" i="1"/>
  <c r="T180" i="1"/>
  <c r="I180" i="1"/>
  <c r="T179" i="1"/>
  <c r="I179" i="1"/>
  <c r="T178" i="1"/>
  <c r="I178" i="1"/>
  <c r="T177" i="1"/>
  <c r="I177" i="1"/>
  <c r="T176" i="1"/>
  <c r="I176" i="1"/>
  <c r="T175" i="1"/>
  <c r="I175" i="1"/>
  <c r="T174" i="1"/>
  <c r="I174" i="1"/>
  <c r="T173" i="1"/>
  <c r="I173" i="1"/>
  <c r="T172" i="1"/>
  <c r="I172" i="1"/>
  <c r="T171" i="1"/>
  <c r="I171" i="1"/>
  <c r="T170" i="1"/>
  <c r="I170" i="1"/>
  <c r="T169" i="1"/>
  <c r="I169" i="1"/>
  <c r="T168" i="1"/>
  <c r="I168" i="1"/>
  <c r="T167" i="1"/>
  <c r="I167" i="1"/>
  <c r="T166" i="1"/>
  <c r="I166" i="1"/>
  <c r="T165" i="1"/>
  <c r="I165" i="1"/>
  <c r="T164" i="1"/>
  <c r="I164" i="1"/>
  <c r="T163" i="1"/>
  <c r="I163" i="1"/>
  <c r="T162" i="1"/>
  <c r="I162" i="1"/>
  <c r="T161" i="1"/>
  <c r="I161" i="1"/>
  <c r="T160" i="1"/>
  <c r="I160" i="1"/>
  <c r="T159" i="1"/>
  <c r="I159" i="1"/>
  <c r="T158" i="1"/>
  <c r="I158" i="1"/>
  <c r="T157" i="1"/>
  <c r="I157" i="1"/>
  <c r="T156" i="1"/>
  <c r="I156" i="1"/>
  <c r="T155" i="1"/>
  <c r="I155" i="1"/>
  <c r="T154" i="1"/>
  <c r="I154" i="1"/>
  <c r="T153" i="1"/>
  <c r="I153" i="1"/>
  <c r="T152" i="1"/>
  <c r="I152" i="1"/>
  <c r="T703" i="1"/>
  <c r="J643" i="1"/>
  <c r="Q604" i="1"/>
  <c r="C578" i="1"/>
  <c r="E564" i="1"/>
  <c r="B553" i="1"/>
  <c r="D541" i="1"/>
  <c r="C531" i="1"/>
  <c r="B521" i="1"/>
  <c r="J511" i="1"/>
  <c r="F503" i="1"/>
  <c r="E495" i="1"/>
  <c r="P485" i="1"/>
  <c r="D479" i="1"/>
  <c r="C474" i="1"/>
  <c r="E468" i="1"/>
  <c r="D463" i="1"/>
  <c r="C458" i="1"/>
  <c r="E452" i="1"/>
  <c r="D447" i="1"/>
  <c r="C442" i="1"/>
  <c r="E436" i="1"/>
  <c r="D431" i="1"/>
  <c r="E426" i="1"/>
  <c r="P421" i="1"/>
  <c r="G418" i="1"/>
  <c r="S414" i="1"/>
  <c r="D411" i="1"/>
  <c r="O407" i="1"/>
  <c r="F404" i="1"/>
  <c r="H400" i="1"/>
  <c r="E397" i="1"/>
  <c r="F394" i="1"/>
  <c r="E391" i="1"/>
  <c r="L388" i="1"/>
  <c r="F386" i="1"/>
  <c r="F384" i="1"/>
  <c r="F382" i="1"/>
  <c r="F380" i="1"/>
  <c r="F378" i="1"/>
  <c r="F376" i="1"/>
  <c r="F374" i="1"/>
  <c r="K372" i="1"/>
  <c r="T370" i="1"/>
  <c r="F369" i="1"/>
  <c r="O367" i="1"/>
  <c r="D366" i="1"/>
  <c r="O364" i="1"/>
  <c r="H363" i="1"/>
  <c r="C362" i="1"/>
  <c r="O360" i="1"/>
  <c r="H359" i="1"/>
  <c r="C358" i="1"/>
  <c r="O356" i="1"/>
  <c r="H355" i="1"/>
  <c r="C354" i="1"/>
  <c r="O352" i="1"/>
  <c r="K351" i="1"/>
  <c r="H350" i="1"/>
  <c r="F349" i="1"/>
  <c r="D348" i="1"/>
  <c r="T346" i="1"/>
  <c r="Q345" i="1"/>
  <c r="O344" i="1"/>
  <c r="K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P242" i="1"/>
  <c r="S241" i="1"/>
  <c r="C241" i="1"/>
  <c r="G240" i="1"/>
  <c r="J239" i="1"/>
  <c r="P238" i="1"/>
  <c r="S237" i="1"/>
  <c r="C237" i="1"/>
  <c r="G236" i="1"/>
  <c r="J235" i="1"/>
  <c r="P234" i="1"/>
  <c r="S233" i="1"/>
  <c r="C233" i="1"/>
  <c r="G232" i="1"/>
  <c r="J231" i="1"/>
  <c r="P230" i="1"/>
  <c r="S229" i="1"/>
  <c r="C229" i="1"/>
  <c r="G228" i="1"/>
  <c r="J227" i="1"/>
  <c r="P226" i="1"/>
  <c r="C226" i="1"/>
  <c r="H225" i="1"/>
  <c r="P224" i="1"/>
  <c r="C224" i="1"/>
  <c r="H223" i="1"/>
  <c r="P222" i="1"/>
  <c r="C222" i="1"/>
  <c r="H221" i="1"/>
  <c r="P220" i="1"/>
  <c r="C220" i="1"/>
  <c r="H219" i="1"/>
  <c r="P218" i="1"/>
  <c r="C218" i="1"/>
  <c r="H217" i="1"/>
  <c r="P216" i="1"/>
  <c r="C216" i="1"/>
  <c r="H215" i="1"/>
  <c r="P214" i="1"/>
  <c r="C214" i="1"/>
  <c r="H213" i="1"/>
  <c r="P212" i="1"/>
  <c r="C212" i="1"/>
  <c r="H211" i="1"/>
  <c r="P210" i="1"/>
  <c r="C210" i="1"/>
  <c r="H209" i="1"/>
  <c r="P208" i="1"/>
  <c r="C208" i="1"/>
  <c r="H207" i="1"/>
  <c r="P206" i="1"/>
  <c r="C206" i="1"/>
  <c r="H205" i="1"/>
  <c r="P204" i="1"/>
  <c r="C204" i="1"/>
  <c r="H203" i="1"/>
  <c r="P202" i="1"/>
  <c r="C202" i="1"/>
  <c r="H201" i="1"/>
  <c r="P200" i="1"/>
  <c r="C200" i="1"/>
  <c r="H199" i="1"/>
  <c r="P198" i="1"/>
  <c r="C198" i="1"/>
  <c r="H197" i="1"/>
  <c r="P196" i="1"/>
  <c r="C196" i="1"/>
  <c r="H195" i="1"/>
  <c r="P194" i="1"/>
  <c r="C194" i="1"/>
  <c r="H193" i="1"/>
  <c r="P192" i="1"/>
  <c r="C192" i="1"/>
  <c r="H191" i="1"/>
  <c r="P190" i="1"/>
  <c r="C190" i="1"/>
  <c r="H189" i="1"/>
  <c r="P188" i="1"/>
  <c r="C188" i="1"/>
  <c r="H187" i="1"/>
  <c r="P186" i="1"/>
  <c r="C186" i="1"/>
  <c r="H185" i="1"/>
  <c r="P184" i="1"/>
  <c r="C184" i="1"/>
  <c r="H183" i="1"/>
  <c r="P182" i="1"/>
  <c r="C182" i="1"/>
  <c r="H181" i="1"/>
  <c r="P180" i="1"/>
  <c r="C180" i="1"/>
  <c r="H179" i="1"/>
  <c r="P178" i="1"/>
  <c r="C178" i="1"/>
  <c r="H177" i="1"/>
  <c r="P176" i="1"/>
  <c r="C176" i="1"/>
  <c r="H175" i="1"/>
  <c r="P174" i="1"/>
  <c r="C174" i="1"/>
  <c r="H173" i="1"/>
  <c r="P172" i="1"/>
  <c r="C172" i="1"/>
  <c r="H171" i="1"/>
  <c r="P170" i="1"/>
  <c r="C170" i="1"/>
  <c r="H169" i="1"/>
  <c r="P168" i="1"/>
  <c r="C168" i="1"/>
  <c r="H167" i="1"/>
  <c r="P166" i="1"/>
  <c r="C166" i="1"/>
  <c r="H165" i="1"/>
  <c r="P164" i="1"/>
  <c r="C164" i="1"/>
  <c r="H163" i="1"/>
  <c r="P162" i="1"/>
  <c r="C162" i="1"/>
  <c r="H161" i="1"/>
  <c r="P160" i="1"/>
  <c r="C160" i="1"/>
  <c r="H159" i="1"/>
  <c r="P158" i="1"/>
  <c r="C158" i="1"/>
  <c r="H157" i="1"/>
  <c r="P156" i="1"/>
  <c r="C156" i="1"/>
  <c r="H155" i="1"/>
  <c r="P154" i="1"/>
  <c r="C154" i="1"/>
  <c r="H153" i="1"/>
  <c r="P152" i="1"/>
  <c r="D152" i="1"/>
  <c r="L151" i="1"/>
  <c r="D151" i="1"/>
  <c r="L150" i="1"/>
  <c r="D150" i="1"/>
  <c r="L149" i="1"/>
  <c r="D149" i="1"/>
  <c r="L148" i="1"/>
  <c r="D148" i="1"/>
  <c r="L147" i="1"/>
  <c r="D147" i="1"/>
  <c r="L146" i="1"/>
  <c r="D146" i="1"/>
  <c r="L145" i="1"/>
  <c r="D145" i="1"/>
  <c r="L144" i="1"/>
  <c r="D144" i="1"/>
  <c r="L143" i="1"/>
  <c r="D143" i="1"/>
  <c r="L142" i="1"/>
  <c r="D142" i="1"/>
  <c r="L141" i="1"/>
  <c r="D141" i="1"/>
  <c r="L140" i="1"/>
  <c r="D140" i="1"/>
  <c r="L139" i="1"/>
  <c r="D139" i="1"/>
  <c r="L138" i="1"/>
  <c r="D138" i="1"/>
  <c r="L137" i="1"/>
  <c r="D137" i="1"/>
  <c r="L136" i="1"/>
  <c r="D136" i="1"/>
  <c r="L135" i="1"/>
  <c r="D135" i="1"/>
  <c r="L134" i="1"/>
  <c r="D134" i="1"/>
  <c r="L133" i="1"/>
  <c r="D133" i="1"/>
  <c r="L132" i="1"/>
  <c r="D132" i="1"/>
  <c r="L131" i="1"/>
  <c r="D131" i="1"/>
  <c r="L130" i="1"/>
  <c r="D130" i="1"/>
  <c r="L129" i="1"/>
  <c r="D129" i="1"/>
  <c r="L128" i="1"/>
  <c r="D128" i="1"/>
  <c r="L127" i="1"/>
  <c r="D127" i="1"/>
  <c r="L126" i="1"/>
  <c r="D126" i="1"/>
  <c r="L125" i="1"/>
  <c r="D125" i="1"/>
  <c r="L124" i="1"/>
  <c r="D124" i="1"/>
  <c r="L123" i="1"/>
  <c r="D123" i="1"/>
  <c r="L122" i="1"/>
  <c r="D122" i="1"/>
  <c r="L121" i="1"/>
  <c r="D121" i="1"/>
  <c r="L120" i="1"/>
  <c r="D120" i="1"/>
  <c r="L119" i="1"/>
  <c r="D119" i="1"/>
  <c r="L118" i="1"/>
  <c r="D118" i="1"/>
  <c r="L117" i="1"/>
  <c r="D117" i="1"/>
  <c r="L116" i="1"/>
  <c r="D116" i="1"/>
  <c r="L115" i="1"/>
  <c r="D115" i="1"/>
  <c r="L114" i="1"/>
  <c r="D114" i="1"/>
  <c r="L113" i="1"/>
  <c r="D113" i="1"/>
  <c r="L112" i="1"/>
  <c r="D112" i="1"/>
  <c r="L111" i="1"/>
  <c r="D111" i="1"/>
  <c r="L110" i="1"/>
  <c r="D110" i="1"/>
  <c r="L109" i="1"/>
  <c r="D109" i="1"/>
  <c r="L108" i="1"/>
  <c r="D108" i="1"/>
  <c r="L107" i="1"/>
  <c r="D107" i="1"/>
  <c r="L106" i="1"/>
  <c r="D106" i="1"/>
  <c r="L105" i="1"/>
  <c r="D105" i="1"/>
  <c r="L104" i="1"/>
  <c r="D104" i="1"/>
  <c r="L103" i="1"/>
  <c r="D103" i="1"/>
  <c r="L102" i="1"/>
  <c r="D102" i="1"/>
  <c r="L101" i="1"/>
  <c r="D101" i="1"/>
  <c r="L100" i="1"/>
  <c r="D100" i="1"/>
  <c r="L99" i="1"/>
  <c r="D99" i="1"/>
  <c r="L98" i="1"/>
  <c r="D98" i="1"/>
  <c r="L97" i="1"/>
  <c r="D97" i="1"/>
  <c r="L96" i="1"/>
  <c r="D96" i="1"/>
  <c r="L95" i="1"/>
  <c r="D95" i="1"/>
  <c r="L94" i="1"/>
  <c r="D94" i="1"/>
  <c r="L93" i="1"/>
  <c r="D93" i="1"/>
  <c r="L92" i="1"/>
  <c r="D92" i="1"/>
  <c r="L91" i="1"/>
  <c r="D91" i="1"/>
  <c r="L90" i="1"/>
  <c r="D90" i="1"/>
  <c r="L89" i="1"/>
  <c r="D89" i="1"/>
  <c r="L88" i="1"/>
  <c r="D88" i="1"/>
  <c r="L87" i="1"/>
  <c r="D87" i="1"/>
  <c r="L86" i="1"/>
  <c r="D86" i="1"/>
  <c r="L85" i="1"/>
  <c r="D85" i="1"/>
  <c r="L84" i="1"/>
  <c r="D84" i="1"/>
  <c r="L83" i="1"/>
  <c r="D83" i="1"/>
  <c r="L82" i="1"/>
  <c r="D82" i="1"/>
  <c r="L81" i="1"/>
  <c r="D81" i="1"/>
  <c r="L80" i="1"/>
  <c r="D80" i="1"/>
  <c r="L79" i="1"/>
  <c r="D79" i="1"/>
  <c r="L78" i="1"/>
  <c r="D78" i="1"/>
  <c r="L77" i="1"/>
  <c r="D77" i="1"/>
  <c r="L76" i="1"/>
  <c r="D76" i="1"/>
  <c r="L75" i="1"/>
  <c r="D75" i="1"/>
  <c r="L74" i="1"/>
  <c r="D74" i="1"/>
  <c r="L73" i="1"/>
  <c r="D73" i="1"/>
  <c r="L72" i="1"/>
  <c r="D72" i="1"/>
  <c r="L71" i="1"/>
  <c r="D71" i="1"/>
  <c r="L70" i="1"/>
  <c r="D70" i="1"/>
  <c r="L69" i="1"/>
  <c r="D69" i="1"/>
  <c r="L68" i="1"/>
  <c r="D68" i="1"/>
  <c r="L67" i="1"/>
  <c r="D67" i="1"/>
  <c r="L66" i="1"/>
  <c r="D66" i="1"/>
  <c r="L65" i="1"/>
  <c r="D65" i="1"/>
  <c r="L64" i="1"/>
  <c r="D64" i="1"/>
  <c r="L63" i="1"/>
  <c r="D63" i="1"/>
  <c r="L62" i="1"/>
  <c r="D62" i="1"/>
  <c r="L61" i="1"/>
  <c r="D61" i="1"/>
  <c r="L60" i="1"/>
  <c r="D60" i="1"/>
  <c r="L59" i="1"/>
  <c r="D59" i="1"/>
  <c r="L58" i="1"/>
  <c r="D58" i="1"/>
  <c r="L57" i="1"/>
  <c r="D57" i="1"/>
  <c r="L56" i="1"/>
  <c r="D56" i="1"/>
  <c r="L55" i="1"/>
  <c r="D55" i="1"/>
  <c r="L54" i="1"/>
  <c r="D54" i="1"/>
  <c r="L53" i="1"/>
  <c r="D53" i="1"/>
  <c r="L52" i="1"/>
  <c r="D52" i="1"/>
  <c r="L51" i="1"/>
  <c r="D51" i="1"/>
  <c r="L50" i="1"/>
  <c r="D50" i="1"/>
  <c r="L49" i="1"/>
  <c r="D49" i="1"/>
  <c r="L48" i="1"/>
  <c r="D48" i="1"/>
  <c r="L47" i="1"/>
  <c r="D47" i="1"/>
  <c r="L46" i="1"/>
  <c r="D46" i="1"/>
  <c r="L45" i="1"/>
  <c r="K703" i="1"/>
  <c r="B635" i="1"/>
  <c r="P597" i="1"/>
  <c r="Q577" i="1"/>
  <c r="P561" i="1"/>
  <c r="C551" i="1"/>
  <c r="B541" i="1"/>
  <c r="D529" i="1"/>
  <c r="F519" i="1"/>
  <c r="E511" i="1"/>
  <c r="P501" i="1"/>
  <c r="O493" i="1"/>
  <c r="L485" i="1"/>
  <c r="E478" i="1"/>
  <c r="D473" i="1"/>
  <c r="C468" i="1"/>
  <c r="E462" i="1"/>
  <c r="D457" i="1"/>
  <c r="C452" i="1"/>
  <c r="E446" i="1"/>
  <c r="D441" i="1"/>
  <c r="C436" i="1"/>
  <c r="E430" i="1"/>
  <c r="K425" i="1"/>
  <c r="L421" i="1"/>
  <c r="P417" i="1"/>
  <c r="G414" i="1"/>
  <c r="S410" i="1"/>
  <c r="D407" i="1"/>
  <c r="O403" i="1"/>
  <c r="F400" i="1"/>
  <c r="O396" i="1"/>
  <c r="P393" i="1"/>
  <c r="C391" i="1"/>
  <c r="E388" i="1"/>
  <c r="D386" i="1"/>
  <c r="D384" i="1"/>
  <c r="D382" i="1"/>
  <c r="D380" i="1"/>
  <c r="D378" i="1"/>
  <c r="D376" i="1"/>
  <c r="D374" i="1"/>
  <c r="F372" i="1"/>
  <c r="O370" i="1"/>
  <c r="D369" i="1"/>
  <c r="K367" i="1"/>
  <c r="T365" i="1"/>
  <c r="K364" i="1"/>
  <c r="E363" i="1"/>
  <c r="S361" i="1"/>
  <c r="K360" i="1"/>
  <c r="E359" i="1"/>
  <c r="S357" i="1"/>
  <c r="K356" i="1"/>
  <c r="E355" i="1"/>
  <c r="S353" i="1"/>
  <c r="K352" i="1"/>
  <c r="H351" i="1"/>
  <c r="F350" i="1"/>
  <c r="D349" i="1"/>
  <c r="T347" i="1"/>
  <c r="Q346" i="1"/>
  <c r="O345" i="1"/>
  <c r="K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K242" i="1"/>
  <c r="Q241" i="1"/>
  <c r="B241" i="1"/>
  <c r="F240" i="1"/>
  <c r="H239" i="1"/>
  <c r="K238" i="1"/>
  <c r="Q237" i="1"/>
  <c r="B237" i="1"/>
  <c r="F236" i="1"/>
  <c r="H235" i="1"/>
  <c r="K234" i="1"/>
  <c r="Q233" i="1"/>
  <c r="B233" i="1"/>
  <c r="F232" i="1"/>
  <c r="H231" i="1"/>
  <c r="K230" i="1"/>
  <c r="Q229" i="1"/>
  <c r="B229" i="1"/>
  <c r="F228" i="1"/>
  <c r="H227" i="1"/>
  <c r="L226" i="1"/>
  <c r="B226" i="1"/>
  <c r="G225" i="1"/>
  <c r="L224" i="1"/>
  <c r="B224" i="1"/>
  <c r="G223" i="1"/>
  <c r="L222" i="1"/>
  <c r="B222" i="1"/>
  <c r="G221" i="1"/>
  <c r="L220" i="1"/>
  <c r="B220" i="1"/>
  <c r="G219" i="1"/>
  <c r="L218" i="1"/>
  <c r="B218" i="1"/>
  <c r="G217" i="1"/>
  <c r="L216" i="1"/>
  <c r="B216" i="1"/>
  <c r="G215" i="1"/>
  <c r="L214" i="1"/>
  <c r="B214" i="1"/>
  <c r="G213" i="1"/>
  <c r="L212" i="1"/>
  <c r="B212" i="1"/>
  <c r="G211" i="1"/>
  <c r="L210" i="1"/>
  <c r="B210" i="1"/>
  <c r="G209" i="1"/>
  <c r="L208" i="1"/>
  <c r="B208" i="1"/>
  <c r="G207" i="1"/>
  <c r="L206" i="1"/>
  <c r="B206" i="1"/>
  <c r="G205" i="1"/>
  <c r="L204" i="1"/>
  <c r="B204" i="1"/>
  <c r="G203" i="1"/>
  <c r="L202" i="1"/>
  <c r="B202" i="1"/>
  <c r="G201" i="1"/>
  <c r="L200" i="1"/>
  <c r="B200" i="1"/>
  <c r="G199" i="1"/>
  <c r="L198" i="1"/>
  <c r="B198" i="1"/>
  <c r="G197" i="1"/>
  <c r="L196" i="1"/>
  <c r="B196" i="1"/>
  <c r="G195" i="1"/>
  <c r="L194" i="1"/>
  <c r="B194" i="1"/>
  <c r="G193" i="1"/>
  <c r="L192" i="1"/>
  <c r="B192" i="1"/>
  <c r="G191" i="1"/>
  <c r="L190" i="1"/>
  <c r="B190" i="1"/>
  <c r="G189" i="1"/>
  <c r="L188" i="1"/>
  <c r="B188" i="1"/>
  <c r="G187" i="1"/>
  <c r="L186" i="1"/>
  <c r="B186" i="1"/>
  <c r="G185" i="1"/>
  <c r="L184" i="1"/>
  <c r="B184" i="1"/>
  <c r="G183" i="1"/>
  <c r="L182" i="1"/>
  <c r="B182" i="1"/>
  <c r="G181" i="1"/>
  <c r="L180" i="1"/>
  <c r="B180" i="1"/>
  <c r="G179" i="1"/>
  <c r="L178" i="1"/>
  <c r="B178" i="1"/>
  <c r="G177" i="1"/>
  <c r="L176" i="1"/>
  <c r="B176" i="1"/>
  <c r="G175" i="1"/>
  <c r="L174" i="1"/>
  <c r="B174" i="1"/>
  <c r="G173" i="1"/>
  <c r="L172" i="1"/>
  <c r="B172" i="1"/>
  <c r="G171" i="1"/>
  <c r="L170" i="1"/>
  <c r="B170" i="1"/>
  <c r="G169" i="1"/>
  <c r="L168" i="1"/>
  <c r="B168" i="1"/>
  <c r="G167" i="1"/>
  <c r="L166" i="1"/>
  <c r="B166" i="1"/>
  <c r="G165" i="1"/>
  <c r="L164" i="1"/>
  <c r="B164" i="1"/>
  <c r="G163" i="1"/>
  <c r="L162" i="1"/>
  <c r="B162" i="1"/>
  <c r="G161" i="1"/>
  <c r="L160" i="1"/>
  <c r="B160" i="1"/>
  <c r="G159" i="1"/>
  <c r="L158" i="1"/>
  <c r="B158" i="1"/>
  <c r="G157" i="1"/>
  <c r="L156" i="1"/>
  <c r="B156" i="1"/>
  <c r="G155" i="1"/>
  <c r="L154" i="1"/>
  <c r="B154" i="1"/>
  <c r="G153" i="1"/>
  <c r="L152" i="1"/>
  <c r="C152" i="1"/>
  <c r="K151" i="1"/>
  <c r="C151" i="1"/>
  <c r="K150" i="1"/>
  <c r="C150" i="1"/>
  <c r="K149" i="1"/>
  <c r="C149" i="1"/>
  <c r="K148" i="1"/>
  <c r="C148" i="1"/>
  <c r="K147" i="1"/>
  <c r="C147" i="1"/>
  <c r="K146" i="1"/>
  <c r="C146" i="1"/>
  <c r="K145" i="1"/>
  <c r="C145" i="1"/>
  <c r="K144" i="1"/>
  <c r="C144" i="1"/>
  <c r="K143" i="1"/>
  <c r="C143" i="1"/>
  <c r="K142" i="1"/>
  <c r="C142" i="1"/>
  <c r="K141" i="1"/>
  <c r="C141" i="1"/>
  <c r="K140" i="1"/>
  <c r="C140" i="1"/>
  <c r="K139" i="1"/>
  <c r="C139" i="1"/>
  <c r="K138" i="1"/>
  <c r="C138" i="1"/>
  <c r="K137" i="1"/>
  <c r="C137" i="1"/>
  <c r="K136" i="1"/>
  <c r="C136" i="1"/>
  <c r="K135" i="1"/>
  <c r="C135" i="1"/>
  <c r="K134" i="1"/>
  <c r="C134" i="1"/>
  <c r="K133" i="1"/>
  <c r="C133" i="1"/>
  <c r="K132" i="1"/>
  <c r="C132" i="1"/>
  <c r="K131" i="1"/>
  <c r="C131" i="1"/>
  <c r="K130" i="1"/>
  <c r="C130" i="1"/>
  <c r="K129" i="1"/>
  <c r="C129" i="1"/>
  <c r="K128" i="1"/>
  <c r="C128" i="1"/>
  <c r="K127" i="1"/>
  <c r="C127" i="1"/>
  <c r="K126" i="1"/>
  <c r="C126" i="1"/>
  <c r="K125" i="1"/>
  <c r="C125" i="1"/>
  <c r="K124" i="1"/>
  <c r="C124" i="1"/>
  <c r="K123" i="1"/>
  <c r="C123" i="1"/>
  <c r="K122" i="1"/>
  <c r="C122" i="1"/>
  <c r="K121" i="1"/>
  <c r="C121" i="1"/>
  <c r="K120" i="1"/>
  <c r="C120" i="1"/>
  <c r="K119" i="1"/>
  <c r="C119" i="1"/>
  <c r="K118" i="1"/>
  <c r="C118" i="1"/>
  <c r="K117" i="1"/>
  <c r="C117" i="1"/>
  <c r="K116" i="1"/>
  <c r="C116" i="1"/>
  <c r="K115" i="1"/>
  <c r="C115" i="1"/>
  <c r="K114" i="1"/>
  <c r="C114" i="1"/>
  <c r="K113" i="1"/>
  <c r="C113" i="1"/>
  <c r="K112" i="1"/>
  <c r="C112" i="1"/>
  <c r="K111" i="1"/>
  <c r="C111" i="1"/>
  <c r="K110" i="1"/>
  <c r="C110" i="1"/>
  <c r="K109" i="1"/>
  <c r="C109" i="1"/>
  <c r="K108" i="1"/>
  <c r="C108" i="1"/>
  <c r="K107" i="1"/>
  <c r="C107" i="1"/>
  <c r="K106" i="1"/>
  <c r="C106" i="1"/>
  <c r="K105" i="1"/>
  <c r="C105" i="1"/>
  <c r="K104" i="1"/>
  <c r="C104" i="1"/>
  <c r="K103" i="1"/>
  <c r="C103" i="1"/>
  <c r="K102" i="1"/>
  <c r="C102" i="1"/>
  <c r="K101" i="1"/>
  <c r="C101" i="1"/>
  <c r="K100" i="1"/>
  <c r="C100" i="1"/>
  <c r="K99" i="1"/>
  <c r="C99" i="1"/>
  <c r="K98" i="1"/>
  <c r="C98" i="1"/>
  <c r="K97" i="1"/>
  <c r="C97" i="1"/>
  <c r="K96" i="1"/>
  <c r="C96" i="1"/>
  <c r="K95" i="1"/>
  <c r="C95" i="1"/>
  <c r="K94" i="1"/>
  <c r="C94" i="1"/>
  <c r="K93" i="1"/>
  <c r="C93" i="1"/>
  <c r="K92" i="1"/>
  <c r="C92" i="1"/>
  <c r="K91" i="1"/>
  <c r="C91" i="1"/>
  <c r="K90" i="1"/>
  <c r="C90" i="1"/>
  <c r="K89" i="1"/>
  <c r="C89" i="1"/>
  <c r="K88" i="1"/>
  <c r="C88" i="1"/>
  <c r="K87" i="1"/>
  <c r="C87" i="1"/>
  <c r="K86" i="1"/>
  <c r="C86" i="1"/>
  <c r="K85" i="1"/>
  <c r="C85" i="1"/>
  <c r="K84" i="1"/>
  <c r="C84" i="1"/>
  <c r="K83" i="1"/>
  <c r="C83" i="1"/>
  <c r="K82" i="1"/>
  <c r="C82" i="1"/>
  <c r="K81" i="1"/>
  <c r="C81" i="1"/>
  <c r="K80" i="1"/>
  <c r="C80" i="1"/>
  <c r="K79" i="1"/>
  <c r="C79" i="1"/>
  <c r="K78" i="1"/>
  <c r="C78" i="1"/>
  <c r="K77" i="1"/>
  <c r="C77" i="1"/>
  <c r="K76" i="1"/>
  <c r="C76" i="1"/>
  <c r="K75" i="1"/>
  <c r="C75" i="1"/>
  <c r="K74" i="1"/>
  <c r="C74" i="1"/>
  <c r="K73" i="1"/>
  <c r="C73" i="1"/>
  <c r="K72" i="1"/>
  <c r="C72" i="1"/>
  <c r="K71" i="1"/>
  <c r="C71" i="1"/>
  <c r="K70" i="1"/>
  <c r="C70" i="1"/>
  <c r="K69" i="1"/>
  <c r="C69" i="1"/>
  <c r="K68" i="1"/>
  <c r="C68" i="1"/>
  <c r="K67" i="1"/>
  <c r="C67" i="1"/>
  <c r="K66" i="1"/>
  <c r="C66" i="1"/>
  <c r="K65" i="1"/>
  <c r="C65" i="1"/>
  <c r="K64" i="1"/>
  <c r="C64" i="1"/>
  <c r="K63" i="1"/>
  <c r="C63" i="1"/>
  <c r="K62" i="1"/>
  <c r="C62" i="1"/>
  <c r="K61" i="1"/>
  <c r="C61" i="1"/>
  <c r="K60" i="1"/>
  <c r="C60" i="1"/>
  <c r="K59" i="1"/>
  <c r="C59" i="1"/>
  <c r="K58" i="1"/>
  <c r="C58" i="1"/>
  <c r="K57" i="1"/>
  <c r="C57" i="1"/>
  <c r="K56" i="1"/>
  <c r="C56" i="1"/>
  <c r="K55" i="1"/>
  <c r="C55" i="1"/>
  <c r="K54" i="1"/>
  <c r="C54" i="1"/>
  <c r="K53" i="1"/>
  <c r="C53" i="1"/>
  <c r="K52" i="1"/>
  <c r="C52" i="1"/>
  <c r="K51" i="1"/>
  <c r="C51" i="1"/>
  <c r="K50" i="1"/>
  <c r="C50" i="1"/>
  <c r="K49" i="1"/>
  <c r="C49" i="1"/>
  <c r="K48" i="1"/>
  <c r="C48" i="1"/>
  <c r="K47" i="1"/>
  <c r="C47" i="1"/>
  <c r="K46" i="1"/>
  <c r="C46" i="1"/>
  <c r="K45" i="1"/>
  <c r="E687" i="1"/>
  <c r="T634" i="1"/>
  <c r="K597" i="1"/>
  <c r="C575" i="1"/>
  <c r="O561" i="1"/>
  <c r="B551" i="1"/>
  <c r="D539" i="1"/>
  <c r="C529" i="1"/>
  <c r="E519" i="1"/>
  <c r="P509" i="1"/>
  <c r="O501" i="1"/>
  <c r="L493" i="1"/>
  <c r="E484" i="1"/>
  <c r="D478" i="1"/>
  <c r="C473" i="1"/>
  <c r="E467" i="1"/>
  <c r="D462" i="1"/>
  <c r="C457" i="1"/>
  <c r="E451" i="1"/>
  <c r="D446" i="1"/>
  <c r="C441" i="1"/>
  <c r="E435" i="1"/>
  <c r="D430" i="1"/>
  <c r="H425" i="1"/>
  <c r="D421" i="1"/>
  <c r="O417" i="1"/>
  <c r="F414" i="1"/>
  <c r="H410" i="1"/>
  <c r="C407" i="1"/>
  <c r="L403" i="1"/>
  <c r="P399" i="1"/>
  <c r="L396" i="1"/>
  <c r="O393" i="1"/>
  <c r="O390" i="1"/>
  <c r="D388" i="1"/>
  <c r="C386" i="1"/>
  <c r="C384" i="1"/>
  <c r="C382" i="1"/>
  <c r="C380" i="1"/>
  <c r="C378" i="1"/>
  <c r="C376" i="1"/>
  <c r="C374" i="1"/>
  <c r="E372" i="1"/>
  <c r="L370" i="1"/>
  <c r="C369" i="1"/>
  <c r="I367" i="1"/>
  <c r="P365" i="1"/>
  <c r="I364" i="1"/>
  <c r="D363" i="1"/>
  <c r="P361" i="1"/>
  <c r="I360" i="1"/>
  <c r="D359" i="1"/>
  <c r="P357" i="1"/>
  <c r="I356" i="1"/>
  <c r="D355" i="1"/>
  <c r="P353" i="1"/>
  <c r="I352" i="1"/>
  <c r="G351" i="1"/>
  <c r="E350" i="1"/>
  <c r="C349" i="1"/>
  <c r="S347" i="1"/>
  <c r="P346" i="1"/>
  <c r="L345" i="1"/>
  <c r="I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J242" i="1"/>
  <c r="P241" i="1"/>
  <c r="S240" i="1"/>
  <c r="C240" i="1"/>
  <c r="G239" i="1"/>
  <c r="J238" i="1"/>
  <c r="P237" i="1"/>
  <c r="S236" i="1"/>
  <c r="C236" i="1"/>
  <c r="G235" i="1"/>
  <c r="J234" i="1"/>
  <c r="P233" i="1"/>
  <c r="S232" i="1"/>
  <c r="C232" i="1"/>
  <c r="G231" i="1"/>
  <c r="J230" i="1"/>
  <c r="P229" i="1"/>
  <c r="S228" i="1"/>
  <c r="C228" i="1"/>
  <c r="G227" i="1"/>
  <c r="K226" i="1"/>
  <c r="S225" i="1"/>
  <c r="F225" i="1"/>
  <c r="K224" i="1"/>
  <c r="S223" i="1"/>
  <c r="F223" i="1"/>
  <c r="K222" i="1"/>
  <c r="S221" i="1"/>
  <c r="F221" i="1"/>
  <c r="K220" i="1"/>
  <c r="S219" i="1"/>
  <c r="F219" i="1"/>
  <c r="K218" i="1"/>
  <c r="S217" i="1"/>
  <c r="F217" i="1"/>
  <c r="K216" i="1"/>
  <c r="S215" i="1"/>
  <c r="F215" i="1"/>
  <c r="K214" i="1"/>
  <c r="S213" i="1"/>
  <c r="F213" i="1"/>
  <c r="K212" i="1"/>
  <c r="S211" i="1"/>
  <c r="F211" i="1"/>
  <c r="K210" i="1"/>
  <c r="S209" i="1"/>
  <c r="F209" i="1"/>
  <c r="K208" i="1"/>
  <c r="S207" i="1"/>
  <c r="F207" i="1"/>
  <c r="K206" i="1"/>
  <c r="S205" i="1"/>
  <c r="F205" i="1"/>
  <c r="K204" i="1"/>
  <c r="S203" i="1"/>
  <c r="F203" i="1"/>
  <c r="K202" i="1"/>
  <c r="S201" i="1"/>
  <c r="F201" i="1"/>
  <c r="K200" i="1"/>
  <c r="S199" i="1"/>
  <c r="F199" i="1"/>
  <c r="K198" i="1"/>
  <c r="S197" i="1"/>
  <c r="F197" i="1"/>
  <c r="K196" i="1"/>
  <c r="S195" i="1"/>
  <c r="F195" i="1"/>
  <c r="K194" i="1"/>
  <c r="S193" i="1"/>
  <c r="F193" i="1"/>
  <c r="K192" i="1"/>
  <c r="S191" i="1"/>
  <c r="F191" i="1"/>
  <c r="K190" i="1"/>
  <c r="S189" i="1"/>
  <c r="F189" i="1"/>
  <c r="K188" i="1"/>
  <c r="S187" i="1"/>
  <c r="F187" i="1"/>
  <c r="K186" i="1"/>
  <c r="S185" i="1"/>
  <c r="F185" i="1"/>
  <c r="K184" i="1"/>
  <c r="S183" i="1"/>
  <c r="F183" i="1"/>
  <c r="K182" i="1"/>
  <c r="S181" i="1"/>
  <c r="F181" i="1"/>
  <c r="K180" i="1"/>
  <c r="S179" i="1"/>
  <c r="F179" i="1"/>
  <c r="K178" i="1"/>
  <c r="S177" i="1"/>
  <c r="F177" i="1"/>
  <c r="K176" i="1"/>
  <c r="S175" i="1"/>
  <c r="F175" i="1"/>
  <c r="K174" i="1"/>
  <c r="S173" i="1"/>
  <c r="F173" i="1"/>
  <c r="K172" i="1"/>
  <c r="S171" i="1"/>
  <c r="F171" i="1"/>
  <c r="K170" i="1"/>
  <c r="S169" i="1"/>
  <c r="F169" i="1"/>
  <c r="K168" i="1"/>
  <c r="S167" i="1"/>
  <c r="F167" i="1"/>
  <c r="K166" i="1"/>
  <c r="S165" i="1"/>
  <c r="F165" i="1"/>
  <c r="K164" i="1"/>
  <c r="S163" i="1"/>
  <c r="F163" i="1"/>
  <c r="K162" i="1"/>
  <c r="S161" i="1"/>
  <c r="F161" i="1"/>
  <c r="K160" i="1"/>
  <c r="S159" i="1"/>
  <c r="F159" i="1"/>
  <c r="K158" i="1"/>
  <c r="S157" i="1"/>
  <c r="F157" i="1"/>
  <c r="K156" i="1"/>
  <c r="S155" i="1"/>
  <c r="F155" i="1"/>
  <c r="K154" i="1"/>
  <c r="S153" i="1"/>
  <c r="F153" i="1"/>
  <c r="K152" i="1"/>
  <c r="B152" i="1"/>
  <c r="J151" i="1"/>
  <c r="B151" i="1"/>
  <c r="J150" i="1"/>
  <c r="B150" i="1"/>
  <c r="J149" i="1"/>
  <c r="B149" i="1"/>
  <c r="J148" i="1"/>
  <c r="B148" i="1"/>
  <c r="J147" i="1"/>
  <c r="B147" i="1"/>
  <c r="J146" i="1"/>
  <c r="B146" i="1"/>
  <c r="J145" i="1"/>
  <c r="B145" i="1"/>
  <c r="J144" i="1"/>
  <c r="B144" i="1"/>
  <c r="J143" i="1"/>
  <c r="B143" i="1"/>
  <c r="J142" i="1"/>
  <c r="B142" i="1"/>
  <c r="J141" i="1"/>
  <c r="B141" i="1"/>
  <c r="J140" i="1"/>
  <c r="B140" i="1"/>
  <c r="J139" i="1"/>
  <c r="B139" i="1"/>
  <c r="J138" i="1"/>
  <c r="B138" i="1"/>
  <c r="J137" i="1"/>
  <c r="B137" i="1"/>
  <c r="J136" i="1"/>
  <c r="B136" i="1"/>
  <c r="J135" i="1"/>
  <c r="B135" i="1"/>
  <c r="J134" i="1"/>
  <c r="B134" i="1"/>
  <c r="J133" i="1"/>
  <c r="B133" i="1"/>
  <c r="J132" i="1"/>
  <c r="B132" i="1"/>
  <c r="J131" i="1"/>
  <c r="B131" i="1"/>
  <c r="J130" i="1"/>
  <c r="B130" i="1"/>
  <c r="J129" i="1"/>
  <c r="B129" i="1"/>
  <c r="J128" i="1"/>
  <c r="B128" i="1"/>
  <c r="J127" i="1"/>
  <c r="B127" i="1"/>
  <c r="J126" i="1"/>
  <c r="B126" i="1"/>
  <c r="J125" i="1"/>
  <c r="B125" i="1"/>
  <c r="J124" i="1"/>
  <c r="B124" i="1"/>
  <c r="J123" i="1"/>
  <c r="B123" i="1"/>
  <c r="J122" i="1"/>
  <c r="B122" i="1"/>
  <c r="J121" i="1"/>
  <c r="B121" i="1"/>
  <c r="J120" i="1"/>
  <c r="B120" i="1"/>
  <c r="J119" i="1"/>
  <c r="B119" i="1"/>
  <c r="J118" i="1"/>
  <c r="B118" i="1"/>
  <c r="J117" i="1"/>
  <c r="B117" i="1"/>
  <c r="J116" i="1"/>
  <c r="B116" i="1"/>
  <c r="J115" i="1"/>
  <c r="B115" i="1"/>
  <c r="J114" i="1"/>
  <c r="B114" i="1"/>
  <c r="J113" i="1"/>
  <c r="B113" i="1"/>
  <c r="J112" i="1"/>
  <c r="B112" i="1"/>
  <c r="J111" i="1"/>
  <c r="B111" i="1"/>
  <c r="J110" i="1"/>
  <c r="B110" i="1"/>
  <c r="J109" i="1"/>
  <c r="B109" i="1"/>
  <c r="J108" i="1"/>
  <c r="B108" i="1"/>
  <c r="J107" i="1"/>
  <c r="B107" i="1"/>
  <c r="J106" i="1"/>
  <c r="B106" i="1"/>
  <c r="J105" i="1"/>
  <c r="B105" i="1"/>
  <c r="J104" i="1"/>
  <c r="B104" i="1"/>
  <c r="J103" i="1"/>
  <c r="B103" i="1"/>
  <c r="J102" i="1"/>
  <c r="B102" i="1"/>
  <c r="J101" i="1"/>
  <c r="B101" i="1"/>
  <c r="J100" i="1"/>
  <c r="B100" i="1"/>
  <c r="J99" i="1"/>
  <c r="B99" i="1"/>
  <c r="J98" i="1"/>
  <c r="B98" i="1"/>
  <c r="J97" i="1"/>
  <c r="B97" i="1"/>
  <c r="J96" i="1"/>
  <c r="B96" i="1"/>
  <c r="J95" i="1"/>
  <c r="B95" i="1"/>
  <c r="J94" i="1"/>
  <c r="B94" i="1"/>
  <c r="J93" i="1"/>
  <c r="B93" i="1"/>
  <c r="J92" i="1"/>
  <c r="B92" i="1"/>
  <c r="J91" i="1"/>
  <c r="B91" i="1"/>
  <c r="J90" i="1"/>
  <c r="B90" i="1"/>
  <c r="J89" i="1"/>
  <c r="B89" i="1"/>
  <c r="J88" i="1"/>
  <c r="B88" i="1"/>
  <c r="J87" i="1"/>
  <c r="B87" i="1"/>
  <c r="J86" i="1"/>
  <c r="B86" i="1"/>
  <c r="J85" i="1"/>
  <c r="B85" i="1"/>
  <c r="J84" i="1"/>
  <c r="B84" i="1"/>
  <c r="J83" i="1"/>
  <c r="B83" i="1"/>
  <c r="J82" i="1"/>
  <c r="B82" i="1"/>
  <c r="J81" i="1"/>
  <c r="B81" i="1"/>
  <c r="J80" i="1"/>
  <c r="B80" i="1"/>
  <c r="J79" i="1"/>
  <c r="B79" i="1"/>
  <c r="J78" i="1"/>
  <c r="B78" i="1"/>
  <c r="J77" i="1"/>
  <c r="B77" i="1"/>
  <c r="J76" i="1"/>
  <c r="B76" i="1"/>
  <c r="J75" i="1"/>
  <c r="B75" i="1"/>
  <c r="J74" i="1"/>
  <c r="B74" i="1"/>
  <c r="J73" i="1"/>
  <c r="B73" i="1"/>
  <c r="J72" i="1"/>
  <c r="B72" i="1"/>
  <c r="J71" i="1"/>
  <c r="B71" i="1"/>
  <c r="J70" i="1"/>
  <c r="C687" i="1"/>
  <c r="S634" i="1"/>
  <c r="D592" i="1"/>
  <c r="Q574" i="1"/>
  <c r="L561" i="1"/>
  <c r="D549" i="1"/>
  <c r="C539" i="1"/>
  <c r="B529" i="1"/>
  <c r="P517" i="1"/>
  <c r="O509" i="1"/>
  <c r="L501" i="1"/>
  <c r="E492" i="1"/>
  <c r="D484" i="1"/>
  <c r="C478" i="1"/>
  <c r="E472" i="1"/>
  <c r="D467" i="1"/>
  <c r="C462" i="1"/>
  <c r="E456" i="1"/>
  <c r="D451" i="1"/>
  <c r="C446" i="1"/>
  <c r="E440" i="1"/>
  <c r="D435" i="1"/>
  <c r="C430" i="1"/>
  <c r="Q424" i="1"/>
  <c r="C421" i="1"/>
  <c r="L417" i="1"/>
  <c r="P413" i="1"/>
  <c r="G410" i="1"/>
  <c r="S406" i="1"/>
  <c r="D403" i="1"/>
  <c r="O399" i="1"/>
  <c r="K396" i="1"/>
  <c r="F393" i="1"/>
  <c r="L390" i="1"/>
  <c r="C388" i="1"/>
  <c r="P385" i="1"/>
  <c r="P383" i="1"/>
  <c r="P381" i="1"/>
  <c r="P379" i="1"/>
  <c r="P377" i="1"/>
  <c r="P375" i="1"/>
  <c r="P373" i="1"/>
  <c r="D372" i="1"/>
  <c r="K370" i="1"/>
  <c r="T368" i="1"/>
  <c r="F367" i="1"/>
  <c r="O365" i="1"/>
  <c r="H364" i="1"/>
  <c r="C363" i="1"/>
  <c r="O361" i="1"/>
  <c r="H360" i="1"/>
  <c r="C359" i="1"/>
  <c r="O357" i="1"/>
  <c r="H356" i="1"/>
  <c r="C355" i="1"/>
  <c r="O353" i="1"/>
  <c r="H352" i="1"/>
  <c r="F351" i="1"/>
  <c r="D350" i="1"/>
  <c r="T348" i="1"/>
  <c r="Q347" i="1"/>
  <c r="O346" i="1"/>
  <c r="K345" i="1"/>
  <c r="H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H242" i="1"/>
  <c r="K241" i="1"/>
  <c r="Q240" i="1"/>
  <c r="B240" i="1"/>
  <c r="F239" i="1"/>
  <c r="H238" i="1"/>
  <c r="K237" i="1"/>
  <c r="Q236" i="1"/>
  <c r="B236" i="1"/>
  <c r="F235" i="1"/>
  <c r="H234" i="1"/>
  <c r="K233" i="1"/>
  <c r="Q232" i="1"/>
  <c r="B232" i="1"/>
  <c r="F231" i="1"/>
  <c r="H230" i="1"/>
  <c r="K229" i="1"/>
  <c r="Q228" i="1"/>
  <c r="B228" i="1"/>
  <c r="F227" i="1"/>
  <c r="J226" i="1"/>
  <c r="Q225" i="1"/>
  <c r="D225" i="1"/>
  <c r="J224" i="1"/>
  <c r="Q223" i="1"/>
  <c r="D223" i="1"/>
  <c r="J222" i="1"/>
  <c r="Q221" i="1"/>
  <c r="D221" i="1"/>
  <c r="J220" i="1"/>
  <c r="Q219" i="1"/>
  <c r="D219" i="1"/>
  <c r="J218" i="1"/>
  <c r="Q217" i="1"/>
  <c r="D217" i="1"/>
  <c r="J216" i="1"/>
  <c r="Q215" i="1"/>
  <c r="D215" i="1"/>
  <c r="J214" i="1"/>
  <c r="Q213" i="1"/>
  <c r="D213" i="1"/>
  <c r="J212" i="1"/>
  <c r="Q211" i="1"/>
  <c r="D211" i="1"/>
  <c r="J210" i="1"/>
  <c r="Q209" i="1"/>
  <c r="D209" i="1"/>
  <c r="J208" i="1"/>
  <c r="Q207" i="1"/>
  <c r="D207" i="1"/>
  <c r="J206" i="1"/>
  <c r="Q205" i="1"/>
  <c r="D205" i="1"/>
  <c r="J204" i="1"/>
  <c r="Q203" i="1"/>
  <c r="D203" i="1"/>
  <c r="J202" i="1"/>
  <c r="Q201" i="1"/>
  <c r="D201" i="1"/>
  <c r="J200" i="1"/>
  <c r="Q199" i="1"/>
  <c r="D199" i="1"/>
  <c r="J198" i="1"/>
  <c r="Q197" i="1"/>
  <c r="D197" i="1"/>
  <c r="J196" i="1"/>
  <c r="Q195" i="1"/>
  <c r="D195" i="1"/>
  <c r="J194" i="1"/>
  <c r="Q193" i="1"/>
  <c r="D193" i="1"/>
  <c r="J192" i="1"/>
  <c r="Q191" i="1"/>
  <c r="D191" i="1"/>
  <c r="J190" i="1"/>
  <c r="Q189" i="1"/>
  <c r="D189" i="1"/>
  <c r="J188" i="1"/>
  <c r="Q187" i="1"/>
  <c r="D187" i="1"/>
  <c r="J186" i="1"/>
  <c r="Q185" i="1"/>
  <c r="D185" i="1"/>
  <c r="J184" i="1"/>
  <c r="Q183" i="1"/>
  <c r="D183" i="1"/>
  <c r="J182" i="1"/>
  <c r="Q181" i="1"/>
  <c r="D181" i="1"/>
  <c r="J180" i="1"/>
  <c r="Q179" i="1"/>
  <c r="D179" i="1"/>
  <c r="J178" i="1"/>
  <c r="Q177" i="1"/>
  <c r="D177" i="1"/>
  <c r="J176" i="1"/>
  <c r="Q175" i="1"/>
  <c r="D175" i="1"/>
  <c r="J174" i="1"/>
  <c r="Q173" i="1"/>
  <c r="D173" i="1"/>
  <c r="J172" i="1"/>
  <c r="Q171" i="1"/>
  <c r="D171" i="1"/>
  <c r="J170" i="1"/>
  <c r="I671" i="1"/>
  <c r="C619" i="1"/>
  <c r="B588" i="1"/>
  <c r="D572" i="1"/>
  <c r="E557" i="1"/>
  <c r="C547" i="1"/>
  <c r="B537" i="1"/>
  <c r="D525" i="1"/>
  <c r="D516" i="1"/>
  <c r="C508" i="1"/>
  <c r="L498" i="1"/>
  <c r="K490" i="1"/>
  <c r="J482" i="1"/>
  <c r="E476" i="1"/>
  <c r="D471" i="1"/>
  <c r="C466" i="1"/>
  <c r="E460" i="1"/>
  <c r="D455" i="1"/>
  <c r="C450" i="1"/>
  <c r="E444" i="1"/>
  <c r="D439" i="1"/>
  <c r="C434" i="1"/>
  <c r="E428" i="1"/>
  <c r="S423" i="1"/>
  <c r="F420" i="1"/>
  <c r="H416" i="1"/>
  <c r="C413" i="1"/>
  <c r="L409" i="1"/>
  <c r="P405" i="1"/>
  <c r="G402" i="1"/>
  <c r="S398" i="1"/>
  <c r="K395" i="1"/>
  <c r="L392" i="1"/>
  <c r="C390" i="1"/>
  <c r="F387" i="1"/>
  <c r="F385" i="1"/>
  <c r="F383" i="1"/>
  <c r="F381" i="1"/>
  <c r="F379" i="1"/>
  <c r="F377" i="1"/>
  <c r="F375" i="1"/>
  <c r="F373" i="1"/>
  <c r="O371" i="1"/>
  <c r="D370" i="1"/>
  <c r="K368" i="1"/>
  <c r="T366" i="1"/>
  <c r="H365" i="1"/>
  <c r="C364" i="1"/>
  <c r="O362" i="1"/>
  <c r="H361" i="1"/>
  <c r="C360" i="1"/>
  <c r="O358" i="1"/>
  <c r="H357" i="1"/>
  <c r="C356" i="1"/>
  <c r="O354" i="1"/>
  <c r="H353" i="1"/>
  <c r="D352" i="1"/>
  <c r="T350" i="1"/>
  <c r="Q349" i="1"/>
  <c r="O348" i="1"/>
  <c r="K347" i="1"/>
  <c r="H346" i="1"/>
  <c r="F345" i="1"/>
  <c r="D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I660" i="1"/>
  <c r="G584" i="1"/>
  <c r="C545" i="1"/>
  <c r="L514" i="1"/>
  <c r="B497" i="1"/>
  <c r="E475" i="1"/>
  <c r="C460" i="1"/>
  <c r="E448" i="1"/>
  <c r="C433" i="1"/>
  <c r="O419" i="1"/>
  <c r="F412" i="1"/>
  <c r="O401" i="1"/>
  <c r="E392" i="1"/>
  <c r="P386" i="1"/>
  <c r="C381" i="1"/>
  <c r="D375" i="1"/>
  <c r="F371" i="1"/>
  <c r="L366" i="1"/>
  <c r="K362" i="1"/>
  <c r="O359" i="1"/>
  <c r="P355" i="1"/>
  <c r="T351" i="1"/>
  <c r="K349" i="1"/>
  <c r="E346" i="1"/>
  <c r="S342" i="1"/>
  <c r="P340" i="1"/>
  <c r="Q337" i="1"/>
  <c r="S334" i="1"/>
  <c r="P332" i="1"/>
  <c r="Q329" i="1"/>
  <c r="S326" i="1"/>
  <c r="P324" i="1"/>
  <c r="Q321" i="1"/>
  <c r="S318" i="1"/>
  <c r="P316" i="1"/>
  <c r="Q313" i="1"/>
  <c r="S310" i="1"/>
  <c r="P308" i="1"/>
  <c r="Q305" i="1"/>
  <c r="S302" i="1"/>
  <c r="P300" i="1"/>
  <c r="Q297" i="1"/>
  <c r="S294" i="1"/>
  <c r="P292" i="1"/>
  <c r="Q289" i="1"/>
  <c r="S286" i="1"/>
  <c r="P284" i="1"/>
  <c r="Q281" i="1"/>
  <c r="S278" i="1"/>
  <c r="P276" i="1"/>
  <c r="P274" i="1"/>
  <c r="P272" i="1"/>
  <c r="P270" i="1"/>
  <c r="P268" i="1"/>
  <c r="P266" i="1"/>
  <c r="P264" i="1"/>
  <c r="P262" i="1"/>
  <c r="P260" i="1"/>
  <c r="P258" i="1"/>
  <c r="P256" i="1"/>
  <c r="P254" i="1"/>
  <c r="P252" i="1"/>
  <c r="P250" i="1"/>
  <c r="P248" i="1"/>
  <c r="P246" i="1"/>
  <c r="P244" i="1"/>
  <c r="Q242" i="1"/>
  <c r="F241" i="1"/>
  <c r="K239" i="1"/>
  <c r="B238" i="1"/>
  <c r="H236" i="1"/>
  <c r="Q234" i="1"/>
  <c r="F233" i="1"/>
  <c r="K231" i="1"/>
  <c r="B230" i="1"/>
  <c r="H228" i="1"/>
  <c r="Q226" i="1"/>
  <c r="J225" i="1"/>
  <c r="D224" i="1"/>
  <c r="Q222" i="1"/>
  <c r="J221" i="1"/>
  <c r="D220" i="1"/>
  <c r="Q218" i="1"/>
  <c r="J217" i="1"/>
  <c r="D216" i="1"/>
  <c r="Q214" i="1"/>
  <c r="J213" i="1"/>
  <c r="D212" i="1"/>
  <c r="Q210" i="1"/>
  <c r="J209" i="1"/>
  <c r="D208" i="1"/>
  <c r="Q206" i="1"/>
  <c r="J205" i="1"/>
  <c r="D204" i="1"/>
  <c r="Q202" i="1"/>
  <c r="J201" i="1"/>
  <c r="D200" i="1"/>
  <c r="Q198" i="1"/>
  <c r="J197" i="1"/>
  <c r="D196" i="1"/>
  <c r="Q194" i="1"/>
  <c r="J193" i="1"/>
  <c r="D192" i="1"/>
  <c r="Q190" i="1"/>
  <c r="J189" i="1"/>
  <c r="D188" i="1"/>
  <c r="Q186" i="1"/>
  <c r="J185" i="1"/>
  <c r="D184" i="1"/>
  <c r="Q182" i="1"/>
  <c r="J181" i="1"/>
  <c r="D180" i="1"/>
  <c r="Q178" i="1"/>
  <c r="J177" i="1"/>
  <c r="D176" i="1"/>
  <c r="Q174" i="1"/>
  <c r="J173" i="1"/>
  <c r="D172" i="1"/>
  <c r="Q170" i="1"/>
  <c r="K169" i="1"/>
  <c r="H168" i="1"/>
  <c r="J167" i="1"/>
  <c r="G166" i="1"/>
  <c r="D165" i="1"/>
  <c r="F164" i="1"/>
  <c r="C163" i="1"/>
  <c r="D162" i="1"/>
  <c r="B161" i="1"/>
  <c r="Q159" i="1"/>
  <c r="S158" i="1"/>
  <c r="P157" i="1"/>
  <c r="Q156" i="1"/>
  <c r="L155" i="1"/>
  <c r="J154" i="1"/>
  <c r="K153" i="1"/>
  <c r="H152" i="1"/>
  <c r="O151" i="1"/>
  <c r="Q150" i="1"/>
  <c r="T149" i="1"/>
  <c r="F149" i="1"/>
  <c r="H148" i="1"/>
  <c r="O147" i="1"/>
  <c r="Q146" i="1"/>
  <c r="H660" i="1"/>
  <c r="K569" i="1"/>
  <c r="B545" i="1"/>
  <c r="K514" i="1"/>
  <c r="C489" i="1"/>
  <c r="D475" i="1"/>
  <c r="E459" i="1"/>
  <c r="C444" i="1"/>
  <c r="E432" i="1"/>
  <c r="L419" i="1"/>
  <c r="C409" i="1"/>
  <c r="L401" i="1"/>
  <c r="D392" i="1"/>
  <c r="D385" i="1"/>
  <c r="P380" i="1"/>
  <c r="C375" i="1"/>
  <c r="T369" i="1"/>
  <c r="K366" i="1"/>
  <c r="I362" i="1"/>
  <c r="K358" i="1"/>
  <c r="O355" i="1"/>
  <c r="S351" i="1"/>
  <c r="K348" i="1"/>
  <c r="D346" i="1"/>
  <c r="Q342" i="1"/>
  <c r="S339" i="1"/>
  <c r="P337" i="1"/>
  <c r="Q334" i="1"/>
  <c r="S331" i="1"/>
  <c r="P329" i="1"/>
  <c r="Q326" i="1"/>
  <c r="S323" i="1"/>
  <c r="P321" i="1"/>
  <c r="Q318" i="1"/>
  <c r="S315" i="1"/>
  <c r="P313" i="1"/>
  <c r="Q310" i="1"/>
  <c r="S307" i="1"/>
  <c r="P305" i="1"/>
  <c r="Q302" i="1"/>
  <c r="S299" i="1"/>
  <c r="P297" i="1"/>
  <c r="Q294" i="1"/>
  <c r="S291" i="1"/>
  <c r="P289" i="1"/>
  <c r="Q286" i="1"/>
  <c r="S283" i="1"/>
  <c r="P281" i="1"/>
  <c r="Q278" i="1"/>
  <c r="B276" i="1"/>
  <c r="B274" i="1"/>
  <c r="B272" i="1"/>
  <c r="B270" i="1"/>
  <c r="B268" i="1"/>
  <c r="B266" i="1"/>
  <c r="B264" i="1"/>
  <c r="B262" i="1"/>
  <c r="B260" i="1"/>
  <c r="B258" i="1"/>
  <c r="B256" i="1"/>
  <c r="B254" i="1"/>
  <c r="B252" i="1"/>
  <c r="B250" i="1"/>
  <c r="B248" i="1"/>
  <c r="B246" i="1"/>
  <c r="B244" i="1"/>
  <c r="G242" i="1"/>
  <c r="P240" i="1"/>
  <c r="C239" i="1"/>
  <c r="J237" i="1"/>
  <c r="S235" i="1"/>
  <c r="G234" i="1"/>
  <c r="P232" i="1"/>
  <c r="C231" i="1"/>
  <c r="J229" i="1"/>
  <c r="S227" i="1"/>
  <c r="H226" i="1"/>
  <c r="C225" i="1"/>
  <c r="P223" i="1"/>
  <c r="H222" i="1"/>
  <c r="C221" i="1"/>
  <c r="P219" i="1"/>
  <c r="H218" i="1"/>
  <c r="C217" i="1"/>
  <c r="P215" i="1"/>
  <c r="H214" i="1"/>
  <c r="C213" i="1"/>
  <c r="P211" i="1"/>
  <c r="H210" i="1"/>
  <c r="C209" i="1"/>
  <c r="P207" i="1"/>
  <c r="H206" i="1"/>
  <c r="C205" i="1"/>
  <c r="P203" i="1"/>
  <c r="H202" i="1"/>
  <c r="C201" i="1"/>
  <c r="P199" i="1"/>
  <c r="H198" i="1"/>
  <c r="C197" i="1"/>
  <c r="P195" i="1"/>
  <c r="H194" i="1"/>
  <c r="C193" i="1"/>
  <c r="P191" i="1"/>
  <c r="H190" i="1"/>
  <c r="C189" i="1"/>
  <c r="P187" i="1"/>
  <c r="H186" i="1"/>
  <c r="C185" i="1"/>
  <c r="P183" i="1"/>
  <c r="H182" i="1"/>
  <c r="C181" i="1"/>
  <c r="P179" i="1"/>
  <c r="H178" i="1"/>
  <c r="C177" i="1"/>
  <c r="P175" i="1"/>
  <c r="H174" i="1"/>
  <c r="C173" i="1"/>
  <c r="P171" i="1"/>
  <c r="H170" i="1"/>
  <c r="J169" i="1"/>
  <c r="G168" i="1"/>
  <c r="D167" i="1"/>
  <c r="F166" i="1"/>
  <c r="C165" i="1"/>
  <c r="D164" i="1"/>
  <c r="B163" i="1"/>
  <c r="Q161" i="1"/>
  <c r="S160" i="1"/>
  <c r="P159" i="1"/>
  <c r="Q158" i="1"/>
  <c r="L157" i="1"/>
  <c r="J156" i="1"/>
  <c r="K155" i="1"/>
  <c r="H154" i="1"/>
  <c r="J153" i="1"/>
  <c r="G152" i="1"/>
  <c r="I151" i="1"/>
  <c r="P150" i="1"/>
  <c r="S149" i="1"/>
  <c r="E149" i="1"/>
  <c r="G148" i="1"/>
  <c r="I147" i="1"/>
  <c r="F652" i="1"/>
  <c r="J569" i="1"/>
  <c r="C535" i="1"/>
  <c r="J514" i="1"/>
  <c r="B489" i="1"/>
  <c r="E470" i="1"/>
  <c r="D459" i="1"/>
  <c r="E443" i="1"/>
  <c r="C428" i="1"/>
  <c r="D419" i="1"/>
  <c r="S408" i="1"/>
  <c r="G398" i="1"/>
  <c r="C392" i="1"/>
  <c r="C385" i="1"/>
  <c r="D379" i="1"/>
  <c r="P374" i="1"/>
  <c r="P369" i="1"/>
  <c r="E365" i="1"/>
  <c r="H362" i="1"/>
  <c r="I358" i="1"/>
  <c r="K354" i="1"/>
  <c r="Q351" i="1"/>
  <c r="I348" i="1"/>
  <c r="D345" i="1"/>
  <c r="P342" i="1"/>
  <c r="Q339" i="1"/>
  <c r="S336" i="1"/>
  <c r="P334" i="1"/>
  <c r="Q331" i="1"/>
  <c r="S328" i="1"/>
  <c r="P326" i="1"/>
  <c r="Q323" i="1"/>
  <c r="S320" i="1"/>
  <c r="P318" i="1"/>
  <c r="Q315" i="1"/>
  <c r="S312" i="1"/>
  <c r="P310" i="1"/>
  <c r="Q307" i="1"/>
  <c r="S304" i="1"/>
  <c r="P302" i="1"/>
  <c r="Q299" i="1"/>
  <c r="S296" i="1"/>
  <c r="P294" i="1"/>
  <c r="Q291" i="1"/>
  <c r="S288" i="1"/>
  <c r="P286" i="1"/>
  <c r="Q283" i="1"/>
  <c r="S280" i="1"/>
  <c r="P278" i="1"/>
  <c r="S275" i="1"/>
  <c r="S273" i="1"/>
  <c r="S271" i="1"/>
  <c r="S269" i="1"/>
  <c r="S267" i="1"/>
  <c r="S265" i="1"/>
  <c r="S263" i="1"/>
  <c r="S261" i="1"/>
  <c r="S259" i="1"/>
  <c r="S257" i="1"/>
  <c r="S255" i="1"/>
  <c r="S253" i="1"/>
  <c r="S251" i="1"/>
  <c r="S249" i="1"/>
  <c r="S247" i="1"/>
  <c r="S245" i="1"/>
  <c r="S243" i="1"/>
  <c r="F242" i="1"/>
  <c r="K240" i="1"/>
  <c r="B239" i="1"/>
  <c r="H237" i="1"/>
  <c r="Q235" i="1"/>
  <c r="F234" i="1"/>
  <c r="K232" i="1"/>
  <c r="B231" i="1"/>
  <c r="H229" i="1"/>
  <c r="Q227" i="1"/>
  <c r="G226" i="1"/>
  <c r="B225" i="1"/>
  <c r="L223" i="1"/>
  <c r="G222" i="1"/>
  <c r="B221" i="1"/>
  <c r="L219" i="1"/>
  <c r="G218" i="1"/>
  <c r="B217" i="1"/>
  <c r="L215" i="1"/>
  <c r="G214" i="1"/>
  <c r="B213" i="1"/>
  <c r="L211" i="1"/>
  <c r="G210" i="1"/>
  <c r="B209" i="1"/>
  <c r="L207" i="1"/>
  <c r="G206" i="1"/>
  <c r="B205" i="1"/>
  <c r="L203" i="1"/>
  <c r="G202" i="1"/>
  <c r="B201" i="1"/>
  <c r="L199" i="1"/>
  <c r="G198" i="1"/>
  <c r="B197" i="1"/>
  <c r="L195" i="1"/>
  <c r="G194" i="1"/>
  <c r="B193" i="1"/>
  <c r="L191" i="1"/>
  <c r="G190" i="1"/>
  <c r="B189" i="1"/>
  <c r="L187" i="1"/>
  <c r="G186" i="1"/>
  <c r="B185" i="1"/>
  <c r="T618" i="1"/>
  <c r="B567" i="1"/>
  <c r="B535" i="1"/>
  <c r="K506" i="1"/>
  <c r="P488" i="1"/>
  <c r="D470" i="1"/>
  <c r="E454" i="1"/>
  <c r="D443" i="1"/>
  <c r="E427" i="1"/>
  <c r="F416" i="1"/>
  <c r="H408" i="1"/>
  <c r="F398" i="1"/>
  <c r="L389" i="1"/>
  <c r="P384" i="1"/>
  <c r="C379" i="1"/>
  <c r="D373" i="1"/>
  <c r="O369" i="1"/>
  <c r="D365" i="1"/>
  <c r="E361" i="1"/>
  <c r="H358" i="1"/>
  <c r="I354" i="1"/>
  <c r="Q350" i="1"/>
  <c r="H348" i="1"/>
  <c r="C345" i="1"/>
  <c r="S341" i="1"/>
  <c r="P339" i="1"/>
  <c r="Q336" i="1"/>
  <c r="S333" i="1"/>
  <c r="P331" i="1"/>
  <c r="Q328" i="1"/>
  <c r="S325" i="1"/>
  <c r="P323" i="1"/>
  <c r="Q320" i="1"/>
  <c r="S317" i="1"/>
  <c r="P315" i="1"/>
  <c r="Q312" i="1"/>
  <c r="S309" i="1"/>
  <c r="P307" i="1"/>
  <c r="Q304" i="1"/>
  <c r="S301" i="1"/>
  <c r="P299" i="1"/>
  <c r="Q296" i="1"/>
  <c r="S293" i="1"/>
  <c r="P291" i="1"/>
  <c r="Q288" i="1"/>
  <c r="S285" i="1"/>
  <c r="P283" i="1"/>
  <c r="Q280" i="1"/>
  <c r="S277" i="1"/>
  <c r="Q275" i="1"/>
  <c r="Q273" i="1"/>
  <c r="Q271" i="1"/>
  <c r="Q269" i="1"/>
  <c r="Q267" i="1"/>
  <c r="Q265" i="1"/>
  <c r="Q263" i="1"/>
  <c r="Q261" i="1"/>
  <c r="Q259" i="1"/>
  <c r="Q257" i="1"/>
  <c r="Q255" i="1"/>
  <c r="Q253" i="1"/>
  <c r="Q251" i="1"/>
  <c r="Q249" i="1"/>
  <c r="Q247" i="1"/>
  <c r="Q245" i="1"/>
  <c r="Q243" i="1"/>
  <c r="C242" i="1"/>
  <c r="J240" i="1"/>
  <c r="S238" i="1"/>
  <c r="G237" i="1"/>
  <c r="P235" i="1"/>
  <c r="C234" i="1"/>
  <c r="J232" i="1"/>
  <c r="S230" i="1"/>
  <c r="G229" i="1"/>
  <c r="P227" i="1"/>
  <c r="F226" i="1"/>
  <c r="S224" i="1"/>
  <c r="K223" i="1"/>
  <c r="F222" i="1"/>
  <c r="S220" i="1"/>
  <c r="K219" i="1"/>
  <c r="F218" i="1"/>
  <c r="S216" i="1"/>
  <c r="K215" i="1"/>
  <c r="F214" i="1"/>
  <c r="S212" i="1"/>
  <c r="K211" i="1"/>
  <c r="F210" i="1"/>
  <c r="S208" i="1"/>
  <c r="K207" i="1"/>
  <c r="F206" i="1"/>
  <c r="S204" i="1"/>
  <c r="K203" i="1"/>
  <c r="F202" i="1"/>
  <c r="S200" i="1"/>
  <c r="K199" i="1"/>
  <c r="F198" i="1"/>
  <c r="S196" i="1"/>
  <c r="K195" i="1"/>
  <c r="F194" i="1"/>
  <c r="S192" i="1"/>
  <c r="K191" i="1"/>
  <c r="F190" i="1"/>
  <c r="S188" i="1"/>
  <c r="K187" i="1"/>
  <c r="F186" i="1"/>
  <c r="S184" i="1"/>
  <c r="K183" i="1"/>
  <c r="F182" i="1"/>
  <c r="S180" i="1"/>
  <c r="K179" i="1"/>
  <c r="F178" i="1"/>
  <c r="S176" i="1"/>
  <c r="K175" i="1"/>
  <c r="F174" i="1"/>
  <c r="S172" i="1"/>
  <c r="K171" i="1"/>
  <c r="F170" i="1"/>
  <c r="C169" i="1"/>
  <c r="D168" i="1"/>
  <c r="B167" i="1"/>
  <c r="Q165" i="1"/>
  <c r="S164" i="1"/>
  <c r="P163" i="1"/>
  <c r="Q162" i="1"/>
  <c r="K584" i="1"/>
  <c r="C555" i="1"/>
  <c r="D523" i="1"/>
  <c r="J498" i="1"/>
  <c r="E480" i="1"/>
  <c r="C465" i="1"/>
  <c r="D449" i="1"/>
  <c r="C438" i="1"/>
  <c r="D423" i="1"/>
  <c r="H412" i="1"/>
  <c r="C405" i="1"/>
  <c r="T394" i="1"/>
  <c r="D387" i="1"/>
  <c r="P382" i="1"/>
  <c r="C377" i="1"/>
  <c r="K371" i="1"/>
  <c r="D368" i="1"/>
  <c r="P363" i="1"/>
  <c r="S359" i="1"/>
  <c r="C357" i="1"/>
  <c r="D353" i="1"/>
  <c r="O349" i="1"/>
  <c r="F347" i="1"/>
  <c r="S343" i="1"/>
  <c r="S340" i="1"/>
  <c r="P338" i="1"/>
  <c r="Q335" i="1"/>
  <c r="S332" i="1"/>
  <c r="P330" i="1"/>
  <c r="Q327" i="1"/>
  <c r="S324" i="1"/>
  <c r="P322" i="1"/>
  <c r="Q319" i="1"/>
  <c r="S316" i="1"/>
  <c r="P314" i="1"/>
  <c r="Q311" i="1"/>
  <c r="S308" i="1"/>
  <c r="P306" i="1"/>
  <c r="Q303" i="1"/>
  <c r="S300" i="1"/>
  <c r="P298" i="1"/>
  <c r="Q295" i="1"/>
  <c r="S292" i="1"/>
  <c r="P290" i="1"/>
  <c r="Q287" i="1"/>
  <c r="S284" i="1"/>
  <c r="P282" i="1"/>
  <c r="Q279" i="1"/>
  <c r="S276" i="1"/>
  <c r="S274" i="1"/>
  <c r="S272" i="1"/>
  <c r="S270" i="1"/>
  <c r="S268" i="1"/>
  <c r="S266" i="1"/>
  <c r="S264" i="1"/>
  <c r="S262" i="1"/>
  <c r="S260" i="1"/>
  <c r="S258" i="1"/>
  <c r="S256" i="1"/>
  <c r="S254" i="1"/>
  <c r="S252" i="1"/>
  <c r="S250" i="1"/>
  <c r="S248" i="1"/>
  <c r="S246" i="1"/>
  <c r="S244" i="1"/>
  <c r="B243" i="1"/>
  <c r="H241" i="1"/>
  <c r="Q239" i="1"/>
  <c r="F238" i="1"/>
  <c r="K236" i="1"/>
  <c r="B235" i="1"/>
  <c r="H233" i="1"/>
  <c r="Q231" i="1"/>
  <c r="F230" i="1"/>
  <c r="K228" i="1"/>
  <c r="B227" i="1"/>
  <c r="L225" i="1"/>
  <c r="G224" i="1"/>
  <c r="B223" i="1"/>
  <c r="L221" i="1"/>
  <c r="G220" i="1"/>
  <c r="B219" i="1"/>
  <c r="L217" i="1"/>
  <c r="G216" i="1"/>
  <c r="B215" i="1"/>
  <c r="L213" i="1"/>
  <c r="G212" i="1"/>
  <c r="B211" i="1"/>
  <c r="L209" i="1"/>
  <c r="G208" i="1"/>
  <c r="B207" i="1"/>
  <c r="L205" i="1"/>
  <c r="G204" i="1"/>
  <c r="B203" i="1"/>
  <c r="L201" i="1"/>
  <c r="G200" i="1"/>
  <c r="B199" i="1"/>
  <c r="L197" i="1"/>
  <c r="G196" i="1"/>
  <c r="B195" i="1"/>
  <c r="L193" i="1"/>
  <c r="G192" i="1"/>
  <c r="B191" i="1"/>
  <c r="L189" i="1"/>
  <c r="G188" i="1"/>
  <c r="B187" i="1"/>
  <c r="L185" i="1"/>
  <c r="G184" i="1"/>
  <c r="B183" i="1"/>
  <c r="L181" i="1"/>
  <c r="G180" i="1"/>
  <c r="B179" i="1"/>
  <c r="L177" i="1"/>
  <c r="G176" i="1"/>
  <c r="B175" i="1"/>
  <c r="L173" i="1"/>
  <c r="G172" i="1"/>
  <c r="B171" i="1"/>
  <c r="P169" i="1"/>
  <c r="Q168" i="1"/>
  <c r="L167" i="1"/>
  <c r="J166" i="1"/>
  <c r="K165" i="1"/>
  <c r="H164" i="1"/>
  <c r="J163" i="1"/>
  <c r="G162" i="1"/>
  <c r="D161" i="1"/>
  <c r="J584" i="1"/>
  <c r="D545" i="1"/>
  <c r="C523" i="1"/>
  <c r="C497" i="1"/>
  <c r="C476" i="1"/>
  <c r="E464" i="1"/>
  <c r="C449" i="1"/>
  <c r="D433" i="1"/>
  <c r="C423" i="1"/>
  <c r="G412" i="1"/>
  <c r="P401" i="1"/>
  <c r="S394" i="1"/>
  <c r="C387" i="1"/>
  <c r="D381" i="1"/>
  <c r="P376" i="1"/>
  <c r="I371" i="1"/>
  <c r="O366" i="1"/>
  <c r="O363" i="1"/>
  <c r="P359" i="1"/>
  <c r="S355" i="1"/>
  <c r="C353" i="1"/>
  <c r="C612" i="1"/>
  <c r="D481" i="1"/>
  <c r="D427" i="1"/>
  <c r="K389" i="1"/>
  <c r="F368" i="1"/>
  <c r="H354" i="1"/>
  <c r="T344" i="1"/>
  <c r="S337" i="1"/>
  <c r="Q330" i="1"/>
  <c r="S322" i="1"/>
  <c r="Q316" i="1"/>
  <c r="P309" i="1"/>
  <c r="Q301" i="1"/>
  <c r="P295" i="1"/>
  <c r="S287" i="1"/>
  <c r="P280" i="1"/>
  <c r="Q274" i="1"/>
  <c r="B269" i="1"/>
  <c r="P263" i="1"/>
  <c r="Q258" i="1"/>
  <c r="B253" i="1"/>
  <c r="P247" i="1"/>
  <c r="S242" i="1"/>
  <c r="G238" i="1"/>
  <c r="B234" i="1"/>
  <c r="C230" i="1"/>
  <c r="P225" i="1"/>
  <c r="D222" i="1"/>
  <c r="S218" i="1"/>
  <c r="C215" i="1"/>
  <c r="J211" i="1"/>
  <c r="F208" i="1"/>
  <c r="H204" i="1"/>
  <c r="Q200" i="1"/>
  <c r="K197" i="1"/>
  <c r="P193" i="1"/>
  <c r="D190" i="1"/>
  <c r="S186" i="1"/>
  <c r="J183" i="1"/>
  <c r="Q180" i="1"/>
  <c r="D178" i="1"/>
  <c r="J175" i="1"/>
  <c r="Q172" i="1"/>
  <c r="D170" i="1"/>
  <c r="Q167" i="1"/>
  <c r="P165" i="1"/>
  <c r="L163" i="1"/>
  <c r="L161" i="1"/>
  <c r="F160" i="1"/>
  <c r="J158" i="1"/>
  <c r="D157" i="1"/>
  <c r="Q155" i="1"/>
  <c r="G154" i="1"/>
  <c r="B153" i="1"/>
  <c r="Q151" i="1"/>
  <c r="O150" i="1"/>
  <c r="O149" i="1"/>
  <c r="O148" i="1"/>
  <c r="H147" i="1"/>
  <c r="I146" i="1"/>
  <c r="P145" i="1"/>
  <c r="S144" i="1"/>
  <c r="E144" i="1"/>
  <c r="G143" i="1"/>
  <c r="I142" i="1"/>
  <c r="P141" i="1"/>
  <c r="S140" i="1"/>
  <c r="E140" i="1"/>
  <c r="G139" i="1"/>
  <c r="I138" i="1"/>
  <c r="P137" i="1"/>
  <c r="S136" i="1"/>
  <c r="E136" i="1"/>
  <c r="G135" i="1"/>
  <c r="I134" i="1"/>
  <c r="P133" i="1"/>
  <c r="S132" i="1"/>
  <c r="E132" i="1"/>
  <c r="G131" i="1"/>
  <c r="I130" i="1"/>
  <c r="P129" i="1"/>
  <c r="S128" i="1"/>
  <c r="E128" i="1"/>
  <c r="G127" i="1"/>
  <c r="I126" i="1"/>
  <c r="P125" i="1"/>
  <c r="S124" i="1"/>
  <c r="E124" i="1"/>
  <c r="G123" i="1"/>
  <c r="I122" i="1"/>
  <c r="P121" i="1"/>
  <c r="S120" i="1"/>
  <c r="E120" i="1"/>
  <c r="G119" i="1"/>
  <c r="I118" i="1"/>
  <c r="P117" i="1"/>
  <c r="S116" i="1"/>
  <c r="E116" i="1"/>
  <c r="G115" i="1"/>
  <c r="I114" i="1"/>
  <c r="P113" i="1"/>
  <c r="S112" i="1"/>
  <c r="E112" i="1"/>
  <c r="G111" i="1"/>
  <c r="I110" i="1"/>
  <c r="P109" i="1"/>
  <c r="S108" i="1"/>
  <c r="E108" i="1"/>
  <c r="G107" i="1"/>
  <c r="I106" i="1"/>
  <c r="P105" i="1"/>
  <c r="S104" i="1"/>
  <c r="E104" i="1"/>
  <c r="G103" i="1"/>
  <c r="I102" i="1"/>
  <c r="P101" i="1"/>
  <c r="S100" i="1"/>
  <c r="E100" i="1"/>
  <c r="G99" i="1"/>
  <c r="I98" i="1"/>
  <c r="P97" i="1"/>
  <c r="S96" i="1"/>
  <c r="E96" i="1"/>
  <c r="G95" i="1"/>
  <c r="I94" i="1"/>
  <c r="P93" i="1"/>
  <c r="S92" i="1"/>
  <c r="E92" i="1"/>
  <c r="G91" i="1"/>
  <c r="I90" i="1"/>
  <c r="P89" i="1"/>
  <c r="S88" i="1"/>
  <c r="E88" i="1"/>
  <c r="G87" i="1"/>
  <c r="I86" i="1"/>
  <c r="P85" i="1"/>
  <c r="S84" i="1"/>
  <c r="E84" i="1"/>
  <c r="G83" i="1"/>
  <c r="I82" i="1"/>
  <c r="P81" i="1"/>
  <c r="S80" i="1"/>
  <c r="E80" i="1"/>
  <c r="G79" i="1"/>
  <c r="I78" i="1"/>
  <c r="P77" i="1"/>
  <c r="S76" i="1"/>
  <c r="E76" i="1"/>
  <c r="G75" i="1"/>
  <c r="I74" i="1"/>
  <c r="P73" i="1"/>
  <c r="S72" i="1"/>
  <c r="E72" i="1"/>
  <c r="G71" i="1"/>
  <c r="I70" i="1"/>
  <c r="Q69" i="1"/>
  <c r="E69" i="1"/>
  <c r="I68" i="1"/>
  <c r="Q67" i="1"/>
  <c r="E67" i="1"/>
  <c r="I66" i="1"/>
  <c r="Q65" i="1"/>
  <c r="E65" i="1"/>
  <c r="I64" i="1"/>
  <c r="Q63" i="1"/>
  <c r="E63" i="1"/>
  <c r="I62" i="1"/>
  <c r="Q61" i="1"/>
  <c r="E61" i="1"/>
  <c r="I60" i="1"/>
  <c r="Q59" i="1"/>
  <c r="E59" i="1"/>
  <c r="I58" i="1"/>
  <c r="Q57" i="1"/>
  <c r="E57" i="1"/>
  <c r="I56" i="1"/>
  <c r="Q55" i="1"/>
  <c r="E55" i="1"/>
  <c r="I54" i="1"/>
  <c r="Q53" i="1"/>
  <c r="E53" i="1"/>
  <c r="I52" i="1"/>
  <c r="Q51" i="1"/>
  <c r="E51" i="1"/>
  <c r="I50" i="1"/>
  <c r="Q49" i="1"/>
  <c r="E49" i="1"/>
  <c r="I48" i="1"/>
  <c r="Q47" i="1"/>
  <c r="E47" i="1"/>
  <c r="I46" i="1"/>
  <c r="Q45" i="1"/>
  <c r="E45" i="1"/>
  <c r="O44" i="1"/>
  <c r="E44" i="1"/>
  <c r="O43" i="1"/>
  <c r="E43" i="1"/>
  <c r="O42" i="1"/>
  <c r="E42" i="1"/>
  <c r="O41" i="1"/>
  <c r="E41" i="1"/>
  <c r="O40" i="1"/>
  <c r="E40" i="1"/>
  <c r="O39" i="1"/>
  <c r="E39" i="1"/>
  <c r="O38" i="1"/>
  <c r="E38" i="1"/>
  <c r="O37" i="1"/>
  <c r="E37" i="1"/>
  <c r="O36" i="1"/>
  <c r="E36" i="1"/>
  <c r="O35" i="1"/>
  <c r="E35" i="1"/>
  <c r="O34" i="1"/>
  <c r="E34" i="1"/>
  <c r="O33" i="1"/>
  <c r="E33" i="1"/>
  <c r="O32" i="1"/>
  <c r="E32" i="1"/>
  <c r="O31" i="1"/>
  <c r="E31" i="1"/>
  <c r="O30" i="1"/>
  <c r="E30" i="1"/>
  <c r="O29" i="1"/>
  <c r="E29" i="1"/>
  <c r="O28" i="1"/>
  <c r="E28" i="1"/>
  <c r="O27" i="1"/>
  <c r="E27" i="1"/>
  <c r="O26" i="1"/>
  <c r="E26" i="1"/>
  <c r="O25" i="1"/>
  <c r="E25" i="1"/>
  <c r="O24" i="1"/>
  <c r="E24" i="1"/>
  <c r="O23" i="1"/>
  <c r="E23" i="1"/>
  <c r="O22" i="1"/>
  <c r="E22" i="1"/>
  <c r="O21" i="1"/>
  <c r="E21" i="1"/>
  <c r="O20" i="1"/>
  <c r="E20" i="1"/>
  <c r="O19" i="1"/>
  <c r="B612" i="1"/>
  <c r="C481" i="1"/>
  <c r="E423" i="1"/>
  <c r="E389" i="1"/>
  <c r="E368" i="1"/>
  <c r="E353" i="1"/>
  <c r="T343" i="1"/>
  <c r="P336" i="1"/>
  <c r="S329" i="1"/>
  <c r="Q322" i="1"/>
  <c r="S314" i="1"/>
  <c r="Q308" i="1"/>
  <c r="P301" i="1"/>
  <c r="Q293" i="1"/>
  <c r="P287" i="1"/>
  <c r="S279" i="1"/>
  <c r="P273" i="1"/>
  <c r="Q268" i="1"/>
  <c r="B263" i="1"/>
  <c r="P257" i="1"/>
  <c r="Q252" i="1"/>
  <c r="B247" i="1"/>
  <c r="B242" i="1"/>
  <c r="C238" i="1"/>
  <c r="J233" i="1"/>
  <c r="F229" i="1"/>
  <c r="K225" i="1"/>
  <c r="P221" i="1"/>
  <c r="D218" i="1"/>
  <c r="S214" i="1"/>
  <c r="C211" i="1"/>
  <c r="J207" i="1"/>
  <c r="F204" i="1"/>
  <c r="H200" i="1"/>
  <c r="Q196" i="1"/>
  <c r="K193" i="1"/>
  <c r="P189" i="1"/>
  <c r="D186" i="1"/>
  <c r="C183" i="1"/>
  <c r="H180" i="1"/>
  <c r="P177" i="1"/>
  <c r="C175" i="1"/>
  <c r="H172" i="1"/>
  <c r="Q169" i="1"/>
  <c r="P167" i="1"/>
  <c r="L165" i="1"/>
  <c r="K163" i="1"/>
  <c r="K161" i="1"/>
  <c r="D160" i="1"/>
  <c r="H158" i="1"/>
  <c r="C157" i="1"/>
  <c r="P155" i="1"/>
  <c r="F154" i="1"/>
  <c r="S152" i="1"/>
  <c r="P151" i="1"/>
  <c r="I150" i="1"/>
  <c r="I149" i="1"/>
  <c r="I148" i="1"/>
  <c r="G147" i="1"/>
  <c r="H146" i="1"/>
  <c r="O145" i="1"/>
  <c r="Q144" i="1"/>
  <c r="T143" i="1"/>
  <c r="F143" i="1"/>
  <c r="H142" i="1"/>
  <c r="O141" i="1"/>
  <c r="Q140" i="1"/>
  <c r="T139" i="1"/>
  <c r="F139" i="1"/>
  <c r="H138" i="1"/>
  <c r="O137" i="1"/>
  <c r="Q136" i="1"/>
  <c r="T135" i="1"/>
  <c r="F135" i="1"/>
  <c r="H134" i="1"/>
  <c r="O133" i="1"/>
  <c r="Q132" i="1"/>
  <c r="T131" i="1"/>
  <c r="F131" i="1"/>
  <c r="H130" i="1"/>
  <c r="O129" i="1"/>
  <c r="Q128" i="1"/>
  <c r="T127" i="1"/>
  <c r="F127" i="1"/>
  <c r="H126" i="1"/>
  <c r="O125" i="1"/>
  <c r="Q124" i="1"/>
  <c r="T123" i="1"/>
  <c r="F123" i="1"/>
  <c r="H122" i="1"/>
  <c r="O121" i="1"/>
  <c r="Q120" i="1"/>
  <c r="T119" i="1"/>
  <c r="F119" i="1"/>
  <c r="H118" i="1"/>
  <c r="O117" i="1"/>
  <c r="Q116" i="1"/>
  <c r="T115" i="1"/>
  <c r="F115" i="1"/>
  <c r="H114" i="1"/>
  <c r="O113" i="1"/>
  <c r="Q112" i="1"/>
  <c r="T111" i="1"/>
  <c r="F111" i="1"/>
  <c r="H110" i="1"/>
  <c r="O109" i="1"/>
  <c r="Q108" i="1"/>
  <c r="T107" i="1"/>
  <c r="F107" i="1"/>
  <c r="H106" i="1"/>
  <c r="O105" i="1"/>
  <c r="Q104" i="1"/>
  <c r="T103" i="1"/>
  <c r="F103" i="1"/>
  <c r="H102" i="1"/>
  <c r="O101" i="1"/>
  <c r="Q100" i="1"/>
  <c r="T99" i="1"/>
  <c r="F99" i="1"/>
  <c r="H98" i="1"/>
  <c r="O97" i="1"/>
  <c r="Q96" i="1"/>
  <c r="T95" i="1"/>
  <c r="F95" i="1"/>
  <c r="H94" i="1"/>
  <c r="O93" i="1"/>
  <c r="Q92" i="1"/>
  <c r="T91" i="1"/>
  <c r="F91" i="1"/>
  <c r="H90" i="1"/>
  <c r="O89" i="1"/>
  <c r="Q88" i="1"/>
  <c r="T87" i="1"/>
  <c r="F87" i="1"/>
  <c r="H86" i="1"/>
  <c r="O85" i="1"/>
  <c r="Q84" i="1"/>
  <c r="T83" i="1"/>
  <c r="F83" i="1"/>
  <c r="H82" i="1"/>
  <c r="O81" i="1"/>
  <c r="Q80" i="1"/>
  <c r="T79" i="1"/>
  <c r="F79" i="1"/>
  <c r="H78" i="1"/>
  <c r="O77" i="1"/>
  <c r="Q76" i="1"/>
  <c r="T75" i="1"/>
  <c r="F75" i="1"/>
  <c r="H74" i="1"/>
  <c r="O73" i="1"/>
  <c r="Q72" i="1"/>
  <c r="T71" i="1"/>
  <c r="F71" i="1"/>
  <c r="H70" i="1"/>
  <c r="P69" i="1"/>
  <c r="B69" i="1"/>
  <c r="H68" i="1"/>
  <c r="P67" i="1"/>
  <c r="B67" i="1"/>
  <c r="H66" i="1"/>
  <c r="P65" i="1"/>
  <c r="B65" i="1"/>
  <c r="H64" i="1"/>
  <c r="P63" i="1"/>
  <c r="B63" i="1"/>
  <c r="H62" i="1"/>
  <c r="P61" i="1"/>
  <c r="B61" i="1"/>
  <c r="H60" i="1"/>
  <c r="P59" i="1"/>
  <c r="B59" i="1"/>
  <c r="H58" i="1"/>
  <c r="P57" i="1"/>
  <c r="B57" i="1"/>
  <c r="H56" i="1"/>
  <c r="P55" i="1"/>
  <c r="B55" i="1"/>
  <c r="H54" i="1"/>
  <c r="P53" i="1"/>
  <c r="B53" i="1"/>
  <c r="H52" i="1"/>
  <c r="P51" i="1"/>
  <c r="B51" i="1"/>
  <c r="H50" i="1"/>
  <c r="P49" i="1"/>
  <c r="B49" i="1"/>
  <c r="H48" i="1"/>
  <c r="P47" i="1"/>
  <c r="B47" i="1"/>
  <c r="H46" i="1"/>
  <c r="P45" i="1"/>
  <c r="D45" i="1"/>
  <c r="L44" i="1"/>
  <c r="D44" i="1"/>
  <c r="L43" i="1"/>
  <c r="D43" i="1"/>
  <c r="L42" i="1"/>
  <c r="D42" i="1"/>
  <c r="L41" i="1"/>
  <c r="D41" i="1"/>
  <c r="L40" i="1"/>
  <c r="D40" i="1"/>
  <c r="L39" i="1"/>
  <c r="D39" i="1"/>
  <c r="L38" i="1"/>
  <c r="D38" i="1"/>
  <c r="L37" i="1"/>
  <c r="D37" i="1"/>
  <c r="L36" i="1"/>
  <c r="D36" i="1"/>
  <c r="L35" i="1"/>
  <c r="D35" i="1"/>
  <c r="L34" i="1"/>
  <c r="D34" i="1"/>
  <c r="L33" i="1"/>
  <c r="D33" i="1"/>
  <c r="L32" i="1"/>
  <c r="D32" i="1"/>
  <c r="L31" i="1"/>
  <c r="D31" i="1"/>
  <c r="L30" i="1"/>
  <c r="D30" i="1"/>
  <c r="L29" i="1"/>
  <c r="D29" i="1"/>
  <c r="L28" i="1"/>
  <c r="D28" i="1"/>
  <c r="L27" i="1"/>
  <c r="D27" i="1"/>
  <c r="L26" i="1"/>
  <c r="D26" i="1"/>
  <c r="L25" i="1"/>
  <c r="D25" i="1"/>
  <c r="L24" i="1"/>
  <c r="D24" i="1"/>
  <c r="L23" i="1"/>
  <c r="D23" i="1"/>
  <c r="L22" i="1"/>
  <c r="D22" i="1"/>
  <c r="L21" i="1"/>
  <c r="D21" i="1"/>
  <c r="L20" i="1"/>
  <c r="D20" i="1"/>
  <c r="C557" i="1"/>
  <c r="C470" i="1"/>
  <c r="P415" i="1"/>
  <c r="D383" i="1"/>
  <c r="C365" i="1"/>
  <c r="P350" i="1"/>
  <c r="Q343" i="1"/>
  <c r="S335" i="1"/>
  <c r="P328" i="1"/>
  <c r="S321" i="1"/>
  <c r="Q314" i="1"/>
  <c r="S306" i="1"/>
  <c r="Q300" i="1"/>
  <c r="P293" i="1"/>
  <c r="Q285" i="1"/>
  <c r="P279" i="1"/>
  <c r="B273" i="1"/>
  <c r="P267" i="1"/>
  <c r="Q262" i="1"/>
  <c r="B257" i="1"/>
  <c r="P251" i="1"/>
  <c r="Q246" i="1"/>
  <c r="J241" i="1"/>
  <c r="F237" i="1"/>
  <c r="G233" i="1"/>
  <c r="P228" i="1"/>
  <c r="Q224" i="1"/>
  <c r="K221" i="1"/>
  <c r="P217" i="1"/>
  <c r="D214" i="1"/>
  <c r="S210" i="1"/>
  <c r="C207" i="1"/>
  <c r="J203" i="1"/>
  <c r="F200" i="1"/>
  <c r="H196" i="1"/>
  <c r="Q192" i="1"/>
  <c r="K189" i="1"/>
  <c r="P185" i="1"/>
  <c r="S182" i="1"/>
  <c r="F180" i="1"/>
  <c r="K177" i="1"/>
  <c r="S174" i="1"/>
  <c r="F172" i="1"/>
  <c r="L169" i="1"/>
  <c r="K167" i="1"/>
  <c r="J165" i="1"/>
  <c r="D163" i="1"/>
  <c r="J161" i="1"/>
  <c r="L159" i="1"/>
  <c r="G158" i="1"/>
  <c r="B157" i="1"/>
  <c r="J155" i="1"/>
  <c r="D154" i="1"/>
  <c r="Q152" i="1"/>
  <c r="H151" i="1"/>
  <c r="H150" i="1"/>
  <c r="H149" i="1"/>
  <c r="F148" i="1"/>
  <c r="F147" i="1"/>
  <c r="G146" i="1"/>
  <c r="I145" i="1"/>
  <c r="P144" i="1"/>
  <c r="S143" i="1"/>
  <c r="E143" i="1"/>
  <c r="G142" i="1"/>
  <c r="I141" i="1"/>
  <c r="P140" i="1"/>
  <c r="S139" i="1"/>
  <c r="E139" i="1"/>
  <c r="G138" i="1"/>
  <c r="I137" i="1"/>
  <c r="P136" i="1"/>
  <c r="S135" i="1"/>
  <c r="E135" i="1"/>
  <c r="G134" i="1"/>
  <c r="I133" i="1"/>
  <c r="P132" i="1"/>
  <c r="S131" i="1"/>
  <c r="E131" i="1"/>
  <c r="G130" i="1"/>
  <c r="I129" i="1"/>
  <c r="P128" i="1"/>
  <c r="S127" i="1"/>
  <c r="E127" i="1"/>
  <c r="G126" i="1"/>
  <c r="I125" i="1"/>
  <c r="P124" i="1"/>
  <c r="S123" i="1"/>
  <c r="E123" i="1"/>
  <c r="G122" i="1"/>
  <c r="I121" i="1"/>
  <c r="P120" i="1"/>
  <c r="S119" i="1"/>
  <c r="E119" i="1"/>
  <c r="G118" i="1"/>
  <c r="I117" i="1"/>
  <c r="P116" i="1"/>
  <c r="S115" i="1"/>
  <c r="E115" i="1"/>
  <c r="G114" i="1"/>
  <c r="I113" i="1"/>
  <c r="P112" i="1"/>
  <c r="S111" i="1"/>
  <c r="E111" i="1"/>
  <c r="G110" i="1"/>
  <c r="I109" i="1"/>
  <c r="P108" i="1"/>
  <c r="S107" i="1"/>
  <c r="E107" i="1"/>
  <c r="G106" i="1"/>
  <c r="I105" i="1"/>
  <c r="P104" i="1"/>
  <c r="S103" i="1"/>
  <c r="E103" i="1"/>
  <c r="G102" i="1"/>
  <c r="I101" i="1"/>
  <c r="P100" i="1"/>
  <c r="S99" i="1"/>
  <c r="E99" i="1"/>
  <c r="G98" i="1"/>
  <c r="I97" i="1"/>
  <c r="P96" i="1"/>
  <c r="S95" i="1"/>
  <c r="E95" i="1"/>
  <c r="G94" i="1"/>
  <c r="I93" i="1"/>
  <c r="P92" i="1"/>
  <c r="S91" i="1"/>
  <c r="E91" i="1"/>
  <c r="G90" i="1"/>
  <c r="I89" i="1"/>
  <c r="P88" i="1"/>
  <c r="S87" i="1"/>
  <c r="E87" i="1"/>
  <c r="G86" i="1"/>
  <c r="I85" i="1"/>
  <c r="P84" i="1"/>
  <c r="S83" i="1"/>
  <c r="E83" i="1"/>
  <c r="G82" i="1"/>
  <c r="I81" i="1"/>
  <c r="P80" i="1"/>
  <c r="S79" i="1"/>
  <c r="E79" i="1"/>
  <c r="G78" i="1"/>
  <c r="I77" i="1"/>
  <c r="P76" i="1"/>
  <c r="S75" i="1"/>
  <c r="E75" i="1"/>
  <c r="G74" i="1"/>
  <c r="I73" i="1"/>
  <c r="P72" i="1"/>
  <c r="S71" i="1"/>
  <c r="E71" i="1"/>
  <c r="G70" i="1"/>
  <c r="O69" i="1"/>
  <c r="T68" i="1"/>
  <c r="G68" i="1"/>
  <c r="O67" i="1"/>
  <c r="T66" i="1"/>
  <c r="G66" i="1"/>
  <c r="O65" i="1"/>
  <c r="T64" i="1"/>
  <c r="G64" i="1"/>
  <c r="O63" i="1"/>
  <c r="T62" i="1"/>
  <c r="G62" i="1"/>
  <c r="O61" i="1"/>
  <c r="T60" i="1"/>
  <c r="G60" i="1"/>
  <c r="O59" i="1"/>
  <c r="T58" i="1"/>
  <c r="G58" i="1"/>
  <c r="O57" i="1"/>
  <c r="T56" i="1"/>
  <c r="G56" i="1"/>
  <c r="O55" i="1"/>
  <c r="T54" i="1"/>
  <c r="G54" i="1"/>
  <c r="O53" i="1"/>
  <c r="T52" i="1"/>
  <c r="G52" i="1"/>
  <c r="O51" i="1"/>
  <c r="T50" i="1"/>
  <c r="G50" i="1"/>
  <c r="O49" i="1"/>
  <c r="T48" i="1"/>
  <c r="G48" i="1"/>
  <c r="O47" i="1"/>
  <c r="T46" i="1"/>
  <c r="G46" i="1"/>
  <c r="O45" i="1"/>
  <c r="C45" i="1"/>
  <c r="K44" i="1"/>
  <c r="C44" i="1"/>
  <c r="K43" i="1"/>
  <c r="C43" i="1"/>
  <c r="K42" i="1"/>
  <c r="C42" i="1"/>
  <c r="K41" i="1"/>
  <c r="C41" i="1"/>
  <c r="K40" i="1"/>
  <c r="C40" i="1"/>
  <c r="K39" i="1"/>
  <c r="C39" i="1"/>
  <c r="K38" i="1"/>
  <c r="C38" i="1"/>
  <c r="K37" i="1"/>
  <c r="D555" i="1"/>
  <c r="D465" i="1"/>
  <c r="O415" i="1"/>
  <c r="C383" i="1"/>
  <c r="S363" i="1"/>
  <c r="O350" i="1"/>
  <c r="Q341" i="1"/>
  <c r="P335" i="1"/>
  <c r="S327" i="1"/>
  <c r="P320" i="1"/>
  <c r="S313" i="1"/>
  <c r="Q306" i="1"/>
  <c r="S298" i="1"/>
  <c r="Q292" i="1"/>
  <c r="P285" i="1"/>
  <c r="Q277" i="1"/>
  <c r="Q272" i="1"/>
  <c r="B267" i="1"/>
  <c r="P261" i="1"/>
  <c r="Q256" i="1"/>
  <c r="B251" i="1"/>
  <c r="P245" i="1"/>
  <c r="G241" i="1"/>
  <c r="P236" i="1"/>
  <c r="H232" i="1"/>
  <c r="J228" i="1"/>
  <c r="H224" i="1"/>
  <c r="Q220" i="1"/>
  <c r="K217" i="1"/>
  <c r="P213" i="1"/>
  <c r="D210" i="1"/>
  <c r="S206" i="1"/>
  <c r="C203" i="1"/>
  <c r="J199" i="1"/>
  <c r="F196" i="1"/>
  <c r="H192" i="1"/>
  <c r="Q188" i="1"/>
  <c r="K185" i="1"/>
  <c r="G182" i="1"/>
  <c r="L179" i="1"/>
  <c r="B177" i="1"/>
  <c r="G174" i="1"/>
  <c r="L171" i="1"/>
  <c r="D169" i="1"/>
  <c r="C167" i="1"/>
  <c r="B165" i="1"/>
  <c r="S162" i="1"/>
  <c r="C161" i="1"/>
  <c r="K159" i="1"/>
  <c r="F158" i="1"/>
  <c r="S156" i="1"/>
  <c r="D155" i="1"/>
  <c r="Q153" i="1"/>
  <c r="J152" i="1"/>
  <c r="G151" i="1"/>
  <c r="G150" i="1"/>
  <c r="G149" i="1"/>
  <c r="E148" i="1"/>
  <c r="E147" i="1"/>
  <c r="F146" i="1"/>
  <c r="H145" i="1"/>
  <c r="O144" i="1"/>
  <c r="Q143" i="1"/>
  <c r="T142" i="1"/>
  <c r="F142" i="1"/>
  <c r="H141" i="1"/>
  <c r="O140" i="1"/>
  <c r="Q139" i="1"/>
  <c r="T138" i="1"/>
  <c r="F138" i="1"/>
  <c r="H137" i="1"/>
  <c r="O136" i="1"/>
  <c r="Q135" i="1"/>
  <c r="T134" i="1"/>
  <c r="F134" i="1"/>
  <c r="H133" i="1"/>
  <c r="O132" i="1"/>
  <c r="Q131" i="1"/>
  <c r="T130" i="1"/>
  <c r="F130" i="1"/>
  <c r="H129" i="1"/>
  <c r="O128" i="1"/>
  <c r="Q127" i="1"/>
  <c r="T126" i="1"/>
  <c r="F126" i="1"/>
  <c r="H125" i="1"/>
  <c r="O124" i="1"/>
  <c r="Q123" i="1"/>
  <c r="T122" i="1"/>
  <c r="F122" i="1"/>
  <c r="H121" i="1"/>
  <c r="O120" i="1"/>
  <c r="Q119" i="1"/>
  <c r="T118" i="1"/>
  <c r="F118" i="1"/>
  <c r="H117" i="1"/>
  <c r="O116" i="1"/>
  <c r="Q115" i="1"/>
  <c r="T114" i="1"/>
  <c r="F114" i="1"/>
  <c r="H113" i="1"/>
  <c r="O112" i="1"/>
  <c r="Q111" i="1"/>
  <c r="T110" i="1"/>
  <c r="F110" i="1"/>
  <c r="H109" i="1"/>
  <c r="O108" i="1"/>
  <c r="Q107" i="1"/>
  <c r="T106" i="1"/>
  <c r="F106" i="1"/>
  <c r="H105" i="1"/>
  <c r="O104" i="1"/>
  <c r="Q103" i="1"/>
  <c r="T102" i="1"/>
  <c r="F102" i="1"/>
  <c r="H101" i="1"/>
  <c r="O100" i="1"/>
  <c r="Q99" i="1"/>
  <c r="T98" i="1"/>
  <c r="F98" i="1"/>
  <c r="H97" i="1"/>
  <c r="O96" i="1"/>
  <c r="Q95" i="1"/>
  <c r="T94" i="1"/>
  <c r="F94" i="1"/>
  <c r="H93" i="1"/>
  <c r="O92" i="1"/>
  <c r="Q91" i="1"/>
  <c r="T90" i="1"/>
  <c r="F90" i="1"/>
  <c r="H89" i="1"/>
  <c r="O88" i="1"/>
  <c r="Q87" i="1"/>
  <c r="T86" i="1"/>
  <c r="F86" i="1"/>
  <c r="H85" i="1"/>
  <c r="O84" i="1"/>
  <c r="Q83" i="1"/>
  <c r="T82" i="1"/>
  <c r="F82" i="1"/>
  <c r="H81" i="1"/>
  <c r="O80" i="1"/>
  <c r="Q79" i="1"/>
  <c r="T78" i="1"/>
  <c r="F78" i="1"/>
  <c r="H77" i="1"/>
  <c r="O76" i="1"/>
  <c r="Q75" i="1"/>
  <c r="T74" i="1"/>
  <c r="F74" i="1"/>
  <c r="H73" i="1"/>
  <c r="O72" i="1"/>
  <c r="Q71" i="1"/>
  <c r="T70" i="1"/>
  <c r="F70" i="1"/>
  <c r="J69" i="1"/>
  <c r="S68" i="1"/>
  <c r="F68" i="1"/>
  <c r="J67" i="1"/>
  <c r="S66" i="1"/>
  <c r="F66" i="1"/>
  <c r="J65" i="1"/>
  <c r="S64" i="1"/>
  <c r="F64" i="1"/>
  <c r="J63" i="1"/>
  <c r="S62" i="1"/>
  <c r="F62" i="1"/>
  <c r="J61" i="1"/>
  <c r="S60" i="1"/>
  <c r="F60" i="1"/>
  <c r="J59" i="1"/>
  <c r="S58" i="1"/>
  <c r="F58" i="1"/>
  <c r="J57" i="1"/>
  <c r="S56" i="1"/>
  <c r="F56" i="1"/>
  <c r="J55" i="1"/>
  <c r="S54" i="1"/>
  <c r="F54" i="1"/>
  <c r="J53" i="1"/>
  <c r="S52" i="1"/>
  <c r="F52" i="1"/>
  <c r="J51" i="1"/>
  <c r="S50" i="1"/>
  <c r="F50" i="1"/>
  <c r="J49" i="1"/>
  <c r="S48" i="1"/>
  <c r="F48" i="1"/>
  <c r="J47" i="1"/>
  <c r="S46" i="1"/>
  <c r="F46" i="1"/>
  <c r="J45" i="1"/>
  <c r="B45" i="1"/>
  <c r="J44" i="1"/>
  <c r="B44" i="1"/>
  <c r="J43" i="1"/>
  <c r="B43" i="1"/>
  <c r="J42" i="1"/>
  <c r="B42" i="1"/>
  <c r="J41" i="1"/>
  <c r="B41" i="1"/>
  <c r="J40" i="1"/>
  <c r="B40" i="1"/>
  <c r="J39" i="1"/>
  <c r="B39" i="1"/>
  <c r="J38" i="1"/>
  <c r="B38" i="1"/>
  <c r="J37" i="1"/>
  <c r="B37" i="1"/>
  <c r="J36" i="1"/>
  <c r="B36" i="1"/>
  <c r="J35" i="1"/>
  <c r="B35" i="1"/>
  <c r="J34" i="1"/>
  <c r="B34" i="1"/>
  <c r="J33" i="1"/>
  <c r="B33" i="1"/>
  <c r="J32" i="1"/>
  <c r="B32" i="1"/>
  <c r="J31" i="1"/>
  <c r="B31" i="1"/>
  <c r="J30" i="1"/>
  <c r="B30" i="1"/>
  <c r="J29" i="1"/>
  <c r="B29" i="1"/>
  <c r="J28" i="1"/>
  <c r="B28" i="1"/>
  <c r="J27" i="1"/>
  <c r="B27" i="1"/>
  <c r="J26" i="1"/>
  <c r="B26" i="1"/>
  <c r="J25" i="1"/>
  <c r="B25" i="1"/>
  <c r="J24" i="1"/>
  <c r="B24" i="1"/>
  <c r="J23" i="1"/>
  <c r="B23" i="1"/>
  <c r="J22" i="1"/>
  <c r="B22" i="1"/>
  <c r="J21" i="1"/>
  <c r="B21" i="1"/>
  <c r="J20" i="1"/>
  <c r="B20" i="1"/>
  <c r="J19" i="1"/>
  <c r="B19" i="1"/>
  <c r="J18" i="1"/>
  <c r="B18" i="1"/>
  <c r="J17" i="1"/>
  <c r="B17" i="1"/>
  <c r="J16" i="1"/>
  <c r="B16" i="1"/>
  <c r="J15" i="1"/>
  <c r="B15" i="1"/>
  <c r="J14" i="1"/>
  <c r="B14" i="1"/>
  <c r="J13" i="1"/>
  <c r="B13" i="1"/>
  <c r="J12" i="1"/>
  <c r="D533" i="1"/>
  <c r="D454" i="1"/>
  <c r="L405" i="1"/>
  <c r="P378" i="1"/>
  <c r="D361" i="1"/>
  <c r="L349" i="1"/>
  <c r="P341" i="1"/>
  <c r="Q333" i="1"/>
  <c r="P327" i="1"/>
  <c r="S319" i="1"/>
  <c r="P312" i="1"/>
  <c r="S305" i="1"/>
  <c r="Q298" i="1"/>
  <c r="S290" i="1"/>
  <c r="Q284" i="1"/>
  <c r="P277" i="1"/>
  <c r="P271" i="1"/>
  <c r="Q266" i="1"/>
  <c r="B261" i="1"/>
  <c r="P255" i="1"/>
  <c r="Q250" i="1"/>
  <c r="B245" i="1"/>
  <c r="H240" i="1"/>
  <c r="J236" i="1"/>
  <c r="S231" i="1"/>
  <c r="K227" i="1"/>
  <c r="F224" i="1"/>
  <c r="H220" i="1"/>
  <c r="Q216" i="1"/>
  <c r="K213" i="1"/>
  <c r="P209" i="1"/>
  <c r="D206" i="1"/>
  <c r="S202" i="1"/>
  <c r="C199" i="1"/>
  <c r="J195" i="1"/>
  <c r="F192" i="1"/>
  <c r="H188" i="1"/>
  <c r="Q184" i="1"/>
  <c r="D182" i="1"/>
  <c r="J179" i="1"/>
  <c r="Q176" i="1"/>
  <c r="D174" i="1"/>
  <c r="J171" i="1"/>
  <c r="B169" i="1"/>
  <c r="S166" i="1"/>
  <c r="Q164" i="1"/>
  <c r="J162" i="1"/>
  <c r="Q160" i="1"/>
  <c r="J159" i="1"/>
  <c r="D158" i="1"/>
  <c r="H156" i="1"/>
  <c r="C155" i="1"/>
  <c r="P153" i="1"/>
  <c r="F152" i="1"/>
  <c r="F151" i="1"/>
  <c r="F150" i="1"/>
  <c r="T148" i="1"/>
  <c r="T147" i="1"/>
  <c r="T146" i="1"/>
  <c r="E146" i="1"/>
  <c r="G145" i="1"/>
  <c r="I144" i="1"/>
  <c r="P143" i="1"/>
  <c r="S142" i="1"/>
  <c r="E142" i="1"/>
  <c r="G141" i="1"/>
  <c r="I140" i="1"/>
  <c r="P139" i="1"/>
  <c r="S138" i="1"/>
  <c r="E138" i="1"/>
  <c r="G137" i="1"/>
  <c r="I136" i="1"/>
  <c r="P135" i="1"/>
  <c r="S134" i="1"/>
  <c r="E134" i="1"/>
  <c r="G133" i="1"/>
  <c r="I132" i="1"/>
  <c r="P131" i="1"/>
  <c r="S130" i="1"/>
  <c r="E130" i="1"/>
  <c r="G129" i="1"/>
  <c r="I128" i="1"/>
  <c r="P127" i="1"/>
  <c r="S126" i="1"/>
  <c r="E126" i="1"/>
  <c r="G125" i="1"/>
  <c r="I124" i="1"/>
  <c r="P123" i="1"/>
  <c r="S122" i="1"/>
  <c r="E122" i="1"/>
  <c r="G121" i="1"/>
  <c r="I120" i="1"/>
  <c r="P119" i="1"/>
  <c r="S118" i="1"/>
  <c r="E118" i="1"/>
  <c r="G117" i="1"/>
  <c r="I116" i="1"/>
  <c r="P115" i="1"/>
  <c r="S114" i="1"/>
  <c r="E114" i="1"/>
  <c r="G113" i="1"/>
  <c r="I112" i="1"/>
  <c r="P111" i="1"/>
  <c r="S110" i="1"/>
  <c r="E110" i="1"/>
  <c r="G109" i="1"/>
  <c r="I108" i="1"/>
  <c r="P107" i="1"/>
  <c r="S106" i="1"/>
  <c r="E106" i="1"/>
  <c r="G105" i="1"/>
  <c r="I104" i="1"/>
  <c r="P103" i="1"/>
  <c r="S102" i="1"/>
  <c r="E102" i="1"/>
  <c r="G101" i="1"/>
  <c r="I100" i="1"/>
  <c r="P99" i="1"/>
  <c r="S98" i="1"/>
  <c r="E98" i="1"/>
  <c r="G97" i="1"/>
  <c r="I96" i="1"/>
  <c r="P95" i="1"/>
  <c r="S94" i="1"/>
  <c r="E94" i="1"/>
  <c r="G93" i="1"/>
  <c r="I92" i="1"/>
  <c r="P91" i="1"/>
  <c r="S90" i="1"/>
  <c r="E90" i="1"/>
  <c r="G89" i="1"/>
  <c r="I88" i="1"/>
  <c r="P87" i="1"/>
  <c r="S86" i="1"/>
  <c r="E86" i="1"/>
  <c r="G85" i="1"/>
  <c r="I84" i="1"/>
  <c r="P83" i="1"/>
  <c r="S82" i="1"/>
  <c r="E82" i="1"/>
  <c r="G81" i="1"/>
  <c r="I80" i="1"/>
  <c r="P79" i="1"/>
  <c r="S78" i="1"/>
  <c r="E78" i="1"/>
  <c r="G77" i="1"/>
  <c r="I76" i="1"/>
  <c r="P75" i="1"/>
  <c r="S74" i="1"/>
  <c r="E74" i="1"/>
  <c r="G73" i="1"/>
  <c r="I72" i="1"/>
  <c r="P71" i="1"/>
  <c r="S70" i="1"/>
  <c r="E70" i="1"/>
  <c r="I69" i="1"/>
  <c r="Q68" i="1"/>
  <c r="E68" i="1"/>
  <c r="I67" i="1"/>
  <c r="Q66" i="1"/>
  <c r="E66" i="1"/>
  <c r="I65" i="1"/>
  <c r="Q64" i="1"/>
  <c r="E64" i="1"/>
  <c r="I63" i="1"/>
  <c r="Q62" i="1"/>
  <c r="E62" i="1"/>
  <c r="I61" i="1"/>
  <c r="Q60" i="1"/>
  <c r="E60" i="1"/>
  <c r="I59" i="1"/>
  <c r="Q58" i="1"/>
  <c r="E58" i="1"/>
  <c r="I57" i="1"/>
  <c r="Q56" i="1"/>
  <c r="E56" i="1"/>
  <c r="I55" i="1"/>
  <c r="Q54" i="1"/>
  <c r="E54" i="1"/>
  <c r="I53" i="1"/>
  <c r="Q52" i="1"/>
  <c r="E52" i="1"/>
  <c r="I51" i="1"/>
  <c r="Q50" i="1"/>
  <c r="E50" i="1"/>
  <c r="I49" i="1"/>
  <c r="Q48" i="1"/>
  <c r="E48" i="1"/>
  <c r="I47" i="1"/>
  <c r="Q46" i="1"/>
  <c r="E46" i="1"/>
  <c r="I45" i="1"/>
  <c r="T44" i="1"/>
  <c r="I44" i="1"/>
  <c r="T43" i="1"/>
  <c r="I43" i="1"/>
  <c r="T42" i="1"/>
  <c r="I42" i="1"/>
  <c r="T41" i="1"/>
  <c r="I41" i="1"/>
  <c r="T40" i="1"/>
  <c r="I40" i="1"/>
  <c r="T39" i="1"/>
  <c r="I39" i="1"/>
  <c r="T38" i="1"/>
  <c r="I38" i="1"/>
  <c r="T37" i="1"/>
  <c r="I37" i="1"/>
  <c r="T36" i="1"/>
  <c r="I36" i="1"/>
  <c r="T35" i="1"/>
  <c r="I35" i="1"/>
  <c r="T34" i="1"/>
  <c r="I34" i="1"/>
  <c r="T33" i="1"/>
  <c r="I33" i="1"/>
  <c r="T32" i="1"/>
  <c r="I32" i="1"/>
  <c r="T31" i="1"/>
  <c r="I31" i="1"/>
  <c r="T30" i="1"/>
  <c r="I30" i="1"/>
  <c r="T29" i="1"/>
  <c r="I29" i="1"/>
  <c r="T28" i="1"/>
  <c r="I28" i="1"/>
  <c r="T27" i="1"/>
  <c r="I27" i="1"/>
  <c r="T26" i="1"/>
  <c r="I26" i="1"/>
  <c r="T25" i="1"/>
  <c r="I25" i="1"/>
  <c r="T24" i="1"/>
  <c r="J506" i="1"/>
  <c r="E438" i="1"/>
  <c r="Q397" i="1"/>
  <c r="C373" i="1"/>
  <c r="E357" i="1"/>
  <c r="G347" i="1"/>
  <c r="S338" i="1"/>
  <c r="Q332" i="1"/>
  <c r="P325" i="1"/>
  <c r="Q317" i="1"/>
  <c r="P311" i="1"/>
  <c r="S303" i="1"/>
  <c r="P296" i="1"/>
  <c r="S289" i="1"/>
  <c r="Q282" i="1"/>
  <c r="P275" i="1"/>
  <c r="Q270" i="1"/>
  <c r="B265" i="1"/>
  <c r="P259" i="1"/>
  <c r="Q254" i="1"/>
  <c r="B249" i="1"/>
  <c r="P243" i="1"/>
  <c r="P239" i="1"/>
  <c r="C235" i="1"/>
  <c r="Q230" i="1"/>
  <c r="S226" i="1"/>
  <c r="C223" i="1"/>
  <c r="J219" i="1"/>
  <c r="F216" i="1"/>
  <c r="H212" i="1"/>
  <c r="Q208" i="1"/>
  <c r="K205" i="1"/>
  <c r="P201" i="1"/>
  <c r="D198" i="1"/>
  <c r="S194" i="1"/>
  <c r="C191" i="1"/>
  <c r="J187" i="1"/>
  <c r="F184" i="1"/>
  <c r="K181" i="1"/>
  <c r="S178" i="1"/>
  <c r="F176" i="1"/>
  <c r="K173" i="1"/>
  <c r="S170" i="1"/>
  <c r="J168" i="1"/>
  <c r="H166" i="1"/>
  <c r="G164" i="1"/>
  <c r="F162" i="1"/>
  <c r="H160" i="1"/>
  <c r="C159" i="1"/>
  <c r="K157" i="1"/>
  <c r="F156" i="1"/>
  <c r="S154" i="1"/>
  <c r="D153" i="1"/>
  <c r="T151" i="1"/>
  <c r="T150" i="1"/>
  <c r="Q149" i="1"/>
  <c r="Q148" i="1"/>
  <c r="Q147" i="1"/>
  <c r="P146" i="1"/>
  <c r="S145" i="1"/>
  <c r="E145" i="1"/>
  <c r="G144" i="1"/>
  <c r="I143" i="1"/>
  <c r="P142" i="1"/>
  <c r="S141" i="1"/>
  <c r="E141" i="1"/>
  <c r="G140" i="1"/>
  <c r="I139" i="1"/>
  <c r="P138" i="1"/>
  <c r="S137" i="1"/>
  <c r="E137" i="1"/>
  <c r="G136" i="1"/>
  <c r="I135" i="1"/>
  <c r="P134" i="1"/>
  <c r="S133" i="1"/>
  <c r="E133" i="1"/>
  <c r="G132" i="1"/>
  <c r="I131" i="1"/>
  <c r="P130" i="1"/>
  <c r="S129" i="1"/>
  <c r="E129" i="1"/>
  <c r="G128" i="1"/>
  <c r="I127" i="1"/>
  <c r="P126" i="1"/>
  <c r="S125" i="1"/>
  <c r="E125" i="1"/>
  <c r="G124" i="1"/>
  <c r="I123" i="1"/>
  <c r="P122" i="1"/>
  <c r="S121" i="1"/>
  <c r="E121" i="1"/>
  <c r="G120" i="1"/>
  <c r="I119" i="1"/>
  <c r="P118" i="1"/>
  <c r="S117" i="1"/>
  <c r="E117" i="1"/>
  <c r="G116" i="1"/>
  <c r="I115" i="1"/>
  <c r="P114" i="1"/>
  <c r="S113" i="1"/>
  <c r="E113" i="1"/>
  <c r="G112" i="1"/>
  <c r="I111" i="1"/>
  <c r="P110" i="1"/>
  <c r="S109" i="1"/>
  <c r="E109" i="1"/>
  <c r="G108" i="1"/>
  <c r="I107" i="1"/>
  <c r="P106" i="1"/>
  <c r="S105" i="1"/>
  <c r="E105" i="1"/>
  <c r="G104" i="1"/>
  <c r="I103" i="1"/>
  <c r="P102" i="1"/>
  <c r="S101" i="1"/>
  <c r="E101" i="1"/>
  <c r="G100" i="1"/>
  <c r="I99" i="1"/>
  <c r="P98" i="1"/>
  <c r="S97" i="1"/>
  <c r="E97" i="1"/>
  <c r="G96" i="1"/>
  <c r="I95" i="1"/>
  <c r="P94" i="1"/>
  <c r="S93" i="1"/>
  <c r="E93" i="1"/>
  <c r="G92" i="1"/>
  <c r="I91" i="1"/>
  <c r="P90" i="1"/>
  <c r="S89" i="1"/>
  <c r="E89" i="1"/>
  <c r="G88" i="1"/>
  <c r="I87" i="1"/>
  <c r="P86" i="1"/>
  <c r="S85" i="1"/>
  <c r="E85" i="1"/>
  <c r="G84" i="1"/>
  <c r="I83" i="1"/>
  <c r="P82" i="1"/>
  <c r="S81" i="1"/>
  <c r="E81" i="1"/>
  <c r="G80" i="1"/>
  <c r="I79" i="1"/>
  <c r="P78" i="1"/>
  <c r="S77" i="1"/>
  <c r="E77" i="1"/>
  <c r="G76" i="1"/>
  <c r="I75" i="1"/>
  <c r="P74" i="1"/>
  <c r="S73" i="1"/>
  <c r="E73" i="1"/>
  <c r="G72" i="1"/>
  <c r="I71" i="1"/>
  <c r="P70" i="1"/>
  <c r="T69" i="1"/>
  <c r="G69" i="1"/>
  <c r="O68" i="1"/>
  <c r="T67" i="1"/>
  <c r="G67" i="1"/>
  <c r="O66" i="1"/>
  <c r="T65" i="1"/>
  <c r="G65" i="1"/>
  <c r="O64" i="1"/>
  <c r="T63" i="1"/>
  <c r="G63" i="1"/>
  <c r="O62" i="1"/>
  <c r="T61" i="1"/>
  <c r="G61" i="1"/>
  <c r="O60" i="1"/>
  <c r="T59" i="1"/>
  <c r="G59" i="1"/>
  <c r="O58" i="1"/>
  <c r="T57" i="1"/>
  <c r="G57" i="1"/>
  <c r="O56" i="1"/>
  <c r="T55" i="1"/>
  <c r="G55" i="1"/>
  <c r="O54" i="1"/>
  <c r="T53" i="1"/>
  <c r="G53" i="1"/>
  <c r="O52" i="1"/>
  <c r="T51" i="1"/>
  <c r="G51" i="1"/>
  <c r="O50" i="1"/>
  <c r="T49" i="1"/>
  <c r="G49" i="1"/>
  <c r="O48" i="1"/>
  <c r="T47" i="1"/>
  <c r="G47" i="1"/>
  <c r="O46" i="1"/>
  <c r="T45" i="1"/>
  <c r="G45" i="1"/>
  <c r="Q44" i="1"/>
  <c r="G44" i="1"/>
  <c r="Q43" i="1"/>
  <c r="G43" i="1"/>
  <c r="Q42" i="1"/>
  <c r="G42" i="1"/>
  <c r="Q41" i="1"/>
  <c r="G41" i="1"/>
  <c r="Q40" i="1"/>
  <c r="G40" i="1"/>
  <c r="Q39" i="1"/>
  <c r="G39" i="1"/>
  <c r="Q38" i="1"/>
  <c r="G38" i="1"/>
  <c r="Q37" i="1"/>
  <c r="G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Q23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B525" i="1"/>
  <c r="C361" i="1"/>
  <c r="Q325" i="1"/>
  <c r="S297" i="1"/>
  <c r="B271" i="1"/>
  <c r="P249" i="1"/>
  <c r="P231" i="1"/>
  <c r="H216" i="1"/>
  <c r="D202" i="1"/>
  <c r="F188" i="1"/>
  <c r="H176" i="1"/>
  <c r="Q166" i="1"/>
  <c r="D159" i="1"/>
  <c r="L153" i="1"/>
  <c r="S148" i="1"/>
  <c r="F145" i="1"/>
  <c r="T141" i="1"/>
  <c r="Q138" i="1"/>
  <c r="O135" i="1"/>
  <c r="H132" i="1"/>
  <c r="F129" i="1"/>
  <c r="T125" i="1"/>
  <c r="Q122" i="1"/>
  <c r="O119" i="1"/>
  <c r="H116" i="1"/>
  <c r="F113" i="1"/>
  <c r="T109" i="1"/>
  <c r="Q106" i="1"/>
  <c r="O103" i="1"/>
  <c r="H100" i="1"/>
  <c r="F97" i="1"/>
  <c r="T93" i="1"/>
  <c r="Q90" i="1"/>
  <c r="O87" i="1"/>
  <c r="H84" i="1"/>
  <c r="F81" i="1"/>
  <c r="T77" i="1"/>
  <c r="Q74" i="1"/>
  <c r="O71" i="1"/>
  <c r="P68" i="1"/>
  <c r="B66" i="1"/>
  <c r="H63" i="1"/>
  <c r="P60" i="1"/>
  <c r="B58" i="1"/>
  <c r="H55" i="1"/>
  <c r="P52" i="1"/>
  <c r="B50" i="1"/>
  <c r="H47" i="1"/>
  <c r="S44" i="1"/>
  <c r="S42" i="1"/>
  <c r="S40" i="1"/>
  <c r="S38" i="1"/>
  <c r="C37" i="1"/>
  <c r="P35" i="1"/>
  <c r="H34" i="1"/>
  <c r="C33" i="1"/>
  <c r="P31" i="1"/>
  <c r="H30" i="1"/>
  <c r="C29" i="1"/>
  <c r="P27" i="1"/>
  <c r="H26" i="1"/>
  <c r="C25" i="1"/>
  <c r="T23" i="1"/>
  <c r="T22" i="1"/>
  <c r="T21" i="1"/>
  <c r="T20" i="1"/>
  <c r="T19" i="1"/>
  <c r="E19" i="1"/>
  <c r="K18" i="1"/>
  <c r="S17" i="1"/>
  <c r="E17" i="1"/>
  <c r="K16" i="1"/>
  <c r="S15" i="1"/>
  <c r="E15" i="1"/>
  <c r="K14" i="1"/>
  <c r="S13" i="1"/>
  <c r="F13" i="1"/>
  <c r="O12" i="1"/>
  <c r="D12" i="1"/>
  <c r="L11" i="1"/>
  <c r="D11" i="1"/>
  <c r="L10" i="1"/>
  <c r="D10" i="1"/>
  <c r="L9" i="1"/>
  <c r="D9" i="1"/>
  <c r="L8" i="1"/>
  <c r="D8" i="1"/>
  <c r="L7" i="1"/>
  <c r="D7" i="1"/>
  <c r="L6" i="1"/>
  <c r="D6" i="1"/>
  <c r="L5" i="1"/>
  <c r="D5" i="1"/>
  <c r="L4" i="1"/>
  <c r="D4" i="1"/>
  <c r="L3" i="1"/>
  <c r="D3" i="1"/>
  <c r="L2" i="1"/>
  <c r="D2" i="1"/>
  <c r="G6" i="1"/>
  <c r="O10" i="1"/>
  <c r="E3" i="1"/>
  <c r="C505" i="1"/>
  <c r="D357" i="1"/>
  <c r="Q324" i="1"/>
  <c r="S295" i="1"/>
  <c r="P269" i="1"/>
  <c r="Q248" i="1"/>
  <c r="G230" i="1"/>
  <c r="J215" i="1"/>
  <c r="K201" i="1"/>
  <c r="C187" i="1"/>
  <c r="L175" i="1"/>
  <c r="D166" i="1"/>
  <c r="B159" i="1"/>
  <c r="C153" i="1"/>
  <c r="P148" i="1"/>
  <c r="T144" i="1"/>
  <c r="Q141" i="1"/>
  <c r="O138" i="1"/>
  <c r="H135" i="1"/>
  <c r="F132" i="1"/>
  <c r="T128" i="1"/>
  <c r="Q125" i="1"/>
  <c r="O122" i="1"/>
  <c r="H119" i="1"/>
  <c r="F116" i="1"/>
  <c r="T112" i="1"/>
  <c r="Q109" i="1"/>
  <c r="O106" i="1"/>
  <c r="H103" i="1"/>
  <c r="F100" i="1"/>
  <c r="T96" i="1"/>
  <c r="Q93" i="1"/>
  <c r="O90" i="1"/>
  <c r="H87" i="1"/>
  <c r="F84" i="1"/>
  <c r="T80" i="1"/>
  <c r="Q77" i="1"/>
  <c r="O74" i="1"/>
  <c r="H71" i="1"/>
  <c r="J68" i="1"/>
  <c r="S65" i="1"/>
  <c r="F63" i="1"/>
  <c r="J60" i="1"/>
  <c r="S57" i="1"/>
  <c r="F55" i="1"/>
  <c r="J52" i="1"/>
  <c r="S49" i="1"/>
  <c r="F47" i="1"/>
  <c r="P44" i="1"/>
  <c r="P42" i="1"/>
  <c r="P40" i="1"/>
  <c r="P38" i="1"/>
  <c r="S36" i="1"/>
  <c r="K35" i="1"/>
  <c r="F34" i="1"/>
  <c r="S32" i="1"/>
  <c r="K31" i="1"/>
  <c r="F30" i="1"/>
  <c r="S28" i="1"/>
  <c r="K27" i="1"/>
  <c r="F26" i="1"/>
  <c r="S24" i="1"/>
  <c r="S23" i="1"/>
  <c r="S22" i="1"/>
  <c r="S21" i="1"/>
  <c r="S20" i="1"/>
  <c r="S19" i="1"/>
  <c r="D19" i="1"/>
  <c r="I18" i="1"/>
  <c r="P17" i="1"/>
  <c r="D17" i="1"/>
  <c r="I16" i="1"/>
  <c r="P15" i="1"/>
  <c r="D15" i="1"/>
  <c r="I14" i="1"/>
  <c r="P13" i="1"/>
  <c r="E13" i="1"/>
  <c r="L12" i="1"/>
  <c r="C12" i="1"/>
  <c r="K11" i="1"/>
  <c r="C11" i="1"/>
  <c r="K10" i="1"/>
  <c r="C10" i="1"/>
  <c r="K9" i="1"/>
  <c r="C9" i="1"/>
  <c r="K8" i="1"/>
  <c r="C8" i="1"/>
  <c r="K7" i="1"/>
  <c r="C7" i="1"/>
  <c r="K6" i="1"/>
  <c r="C6" i="1"/>
  <c r="K5" i="1"/>
  <c r="C5" i="1"/>
  <c r="K4" i="1"/>
  <c r="C4" i="1"/>
  <c r="K3" i="1"/>
  <c r="C3" i="1"/>
  <c r="K2" i="1"/>
  <c r="C2" i="1"/>
  <c r="Q5" i="1"/>
  <c r="E11" i="1"/>
  <c r="O3" i="1"/>
  <c r="C454" i="1"/>
  <c r="H347" i="1"/>
  <c r="P319" i="1"/>
  <c r="Q290" i="1"/>
  <c r="P265" i="1"/>
  <c r="Q244" i="1"/>
  <c r="C227" i="1"/>
  <c r="Q212" i="1"/>
  <c r="S198" i="1"/>
  <c r="H184" i="1"/>
  <c r="P173" i="1"/>
  <c r="J164" i="1"/>
  <c r="Q157" i="1"/>
  <c r="E152" i="1"/>
  <c r="S147" i="1"/>
  <c r="H144" i="1"/>
  <c r="F141" i="1"/>
  <c r="T137" i="1"/>
  <c r="Q134" i="1"/>
  <c r="O131" i="1"/>
  <c r="H128" i="1"/>
  <c r="F125" i="1"/>
  <c r="T121" i="1"/>
  <c r="Q118" i="1"/>
  <c r="O115" i="1"/>
  <c r="H112" i="1"/>
  <c r="F109" i="1"/>
  <c r="T105" i="1"/>
  <c r="Q102" i="1"/>
  <c r="O99" i="1"/>
  <c r="H96" i="1"/>
  <c r="F93" i="1"/>
  <c r="T89" i="1"/>
  <c r="Q86" i="1"/>
  <c r="O83" i="1"/>
  <c r="H80" i="1"/>
  <c r="F77" i="1"/>
  <c r="T73" i="1"/>
  <c r="Q70" i="1"/>
  <c r="B68" i="1"/>
  <c r="H65" i="1"/>
  <c r="P62" i="1"/>
  <c r="B60" i="1"/>
  <c r="H57" i="1"/>
  <c r="P54" i="1"/>
  <c r="B52" i="1"/>
  <c r="H49" i="1"/>
  <c r="P46" i="1"/>
  <c r="H44" i="1"/>
  <c r="H42" i="1"/>
  <c r="H40" i="1"/>
  <c r="H38" i="1"/>
  <c r="P36" i="1"/>
  <c r="H35" i="1"/>
  <c r="C34" i="1"/>
  <c r="P32" i="1"/>
  <c r="H31" i="1"/>
  <c r="C30" i="1"/>
  <c r="P28" i="1"/>
  <c r="H27" i="1"/>
  <c r="C26" i="1"/>
  <c r="P24" i="1"/>
  <c r="P23" i="1"/>
  <c r="P22" i="1"/>
  <c r="P21" i="1"/>
  <c r="P20" i="1"/>
  <c r="P19" i="1"/>
  <c r="C19" i="1"/>
  <c r="H18" i="1"/>
  <c r="O17" i="1"/>
  <c r="C17" i="1"/>
  <c r="H16" i="1"/>
  <c r="O15" i="1"/>
  <c r="C15" i="1"/>
  <c r="H14" i="1"/>
  <c r="O13" i="1"/>
  <c r="D13" i="1"/>
  <c r="K12" i="1"/>
  <c r="B12" i="1"/>
  <c r="J11" i="1"/>
  <c r="B11" i="1"/>
  <c r="J10" i="1"/>
  <c r="B10" i="1"/>
  <c r="J9" i="1"/>
  <c r="B9" i="1"/>
  <c r="J8" i="1"/>
  <c r="B8" i="1"/>
  <c r="J7" i="1"/>
  <c r="B7" i="1"/>
  <c r="J6" i="1"/>
  <c r="B6" i="1"/>
  <c r="J5" i="1"/>
  <c r="B5" i="1"/>
  <c r="J4" i="1"/>
  <c r="B4" i="1"/>
  <c r="J3" i="1"/>
  <c r="B3" i="1"/>
  <c r="J2" i="1"/>
  <c r="B2" i="1"/>
  <c r="Q309" i="1"/>
  <c r="O114" i="1"/>
  <c r="F92" i="1"/>
  <c r="H79" i="1"/>
  <c r="F67" i="1"/>
  <c r="J56" i="1"/>
  <c r="S45" i="1"/>
  <c r="P39" i="1"/>
  <c r="S34" i="1"/>
  <c r="K29" i="1"/>
  <c r="K25" i="1"/>
  <c r="H21" i="1"/>
  <c r="D18" i="1"/>
  <c r="I15" i="1"/>
  <c r="I13" i="1"/>
  <c r="Q10" i="1"/>
  <c r="G9" i="1"/>
  <c r="Q7" i="1"/>
  <c r="G5" i="1"/>
  <c r="G3" i="1"/>
  <c r="G13" i="1"/>
  <c r="E2" i="1"/>
  <c r="D438" i="1"/>
  <c r="F346" i="1"/>
  <c r="P317" i="1"/>
  <c r="P288" i="1"/>
  <c r="Q264" i="1"/>
  <c r="C243" i="1"/>
  <c r="D226" i="1"/>
  <c r="F212" i="1"/>
  <c r="P197" i="1"/>
  <c r="L183" i="1"/>
  <c r="B173" i="1"/>
  <c r="Q163" i="1"/>
  <c r="J157" i="1"/>
  <c r="S151" i="1"/>
  <c r="P147" i="1"/>
  <c r="F144" i="1"/>
  <c r="T140" i="1"/>
  <c r="Q137" i="1"/>
  <c r="O134" i="1"/>
  <c r="H131" i="1"/>
  <c r="F128" i="1"/>
  <c r="T124" i="1"/>
  <c r="Q121" i="1"/>
  <c r="O118" i="1"/>
  <c r="H115" i="1"/>
  <c r="F112" i="1"/>
  <c r="T108" i="1"/>
  <c r="Q105" i="1"/>
  <c r="O102" i="1"/>
  <c r="H99" i="1"/>
  <c r="F96" i="1"/>
  <c r="T92" i="1"/>
  <c r="Q89" i="1"/>
  <c r="O86" i="1"/>
  <c r="H83" i="1"/>
  <c r="F80" i="1"/>
  <c r="T76" i="1"/>
  <c r="Q73" i="1"/>
  <c r="O70" i="1"/>
  <c r="S67" i="1"/>
  <c r="F65" i="1"/>
  <c r="J62" i="1"/>
  <c r="S59" i="1"/>
  <c r="F57" i="1"/>
  <c r="J54" i="1"/>
  <c r="S51" i="1"/>
  <c r="F49" i="1"/>
  <c r="J46" i="1"/>
  <c r="F44" i="1"/>
  <c r="F42" i="1"/>
  <c r="F40" i="1"/>
  <c r="F38" i="1"/>
  <c r="K36" i="1"/>
  <c r="F35" i="1"/>
  <c r="S33" i="1"/>
  <c r="K32" i="1"/>
  <c r="F31" i="1"/>
  <c r="S29" i="1"/>
  <c r="K28" i="1"/>
  <c r="F27" i="1"/>
  <c r="S25" i="1"/>
  <c r="K24" i="1"/>
  <c r="K23" i="1"/>
  <c r="K22" i="1"/>
  <c r="K21" i="1"/>
  <c r="K20" i="1"/>
  <c r="L19" i="1"/>
  <c r="T18" i="1"/>
  <c r="F18" i="1"/>
  <c r="L17" i="1"/>
  <c r="T16" i="1"/>
  <c r="F16" i="1"/>
  <c r="L15" i="1"/>
  <c r="T14" i="1"/>
  <c r="F14" i="1"/>
  <c r="L13" i="1"/>
  <c r="C13" i="1"/>
  <c r="I12" i="1"/>
  <c r="T11" i="1"/>
  <c r="I11" i="1"/>
  <c r="T10" i="1"/>
  <c r="I10" i="1"/>
  <c r="T9" i="1"/>
  <c r="I9" i="1"/>
  <c r="T8" i="1"/>
  <c r="I8" i="1"/>
  <c r="T7" i="1"/>
  <c r="I7" i="1"/>
  <c r="T6" i="1"/>
  <c r="I6" i="1"/>
  <c r="T5" i="1"/>
  <c r="I5" i="1"/>
  <c r="T4" i="1"/>
  <c r="I4" i="1"/>
  <c r="T3" i="1"/>
  <c r="I3" i="1"/>
  <c r="T2" i="1"/>
  <c r="I2" i="1"/>
  <c r="H395" i="1"/>
  <c r="S281" i="1"/>
  <c r="B259" i="1"/>
  <c r="Q238" i="1"/>
  <c r="S222" i="1"/>
  <c r="H208" i="1"/>
  <c r="B181" i="1"/>
  <c r="G170" i="1"/>
  <c r="D156" i="1"/>
  <c r="O146" i="1"/>
  <c r="F140" i="1"/>
  <c r="Q133" i="1"/>
  <c r="O130" i="1"/>
  <c r="F124" i="1"/>
  <c r="Q117" i="1"/>
  <c r="H111" i="1"/>
  <c r="T104" i="1"/>
  <c r="O98" i="1"/>
  <c r="T88" i="1"/>
  <c r="O82" i="1"/>
  <c r="F76" i="1"/>
  <c r="S69" i="1"/>
  <c r="S61" i="1"/>
  <c r="S53" i="1"/>
  <c r="J48" i="1"/>
  <c r="P41" i="1"/>
  <c r="F36" i="1"/>
  <c r="K33" i="1"/>
  <c r="S30" i="1"/>
  <c r="S26" i="1"/>
  <c r="H24" i="1"/>
  <c r="H22" i="1"/>
  <c r="I19" i="1"/>
  <c r="I17" i="1"/>
  <c r="D16" i="1"/>
  <c r="D14" i="1"/>
  <c r="G12" i="1"/>
  <c r="G11" i="1"/>
  <c r="Q9" i="1"/>
  <c r="G8" i="1"/>
  <c r="G7" i="1"/>
  <c r="Q4" i="1"/>
  <c r="Q3" i="1"/>
  <c r="G2" i="1"/>
  <c r="T13" i="1"/>
  <c r="E4" i="1"/>
  <c r="D405" i="1"/>
  <c r="Q340" i="1"/>
  <c r="S311" i="1"/>
  <c r="S282" i="1"/>
  <c r="Q260" i="1"/>
  <c r="S239" i="1"/>
  <c r="J223" i="1"/>
  <c r="K209" i="1"/>
  <c r="C195" i="1"/>
  <c r="P181" i="1"/>
  <c r="C171" i="1"/>
  <c r="H162" i="1"/>
  <c r="G156" i="1"/>
  <c r="E151" i="1"/>
  <c r="S146" i="1"/>
  <c r="O143" i="1"/>
  <c r="H140" i="1"/>
  <c r="F137" i="1"/>
  <c r="T133" i="1"/>
  <c r="Q130" i="1"/>
  <c r="O127" i="1"/>
  <c r="H124" i="1"/>
  <c r="F121" i="1"/>
  <c r="T117" i="1"/>
  <c r="Q114" i="1"/>
  <c r="O111" i="1"/>
  <c r="H108" i="1"/>
  <c r="F105" i="1"/>
  <c r="T101" i="1"/>
  <c r="Q98" i="1"/>
  <c r="O95" i="1"/>
  <c r="H92" i="1"/>
  <c r="F89" i="1"/>
  <c r="T85" i="1"/>
  <c r="Q82" i="1"/>
  <c r="O79" i="1"/>
  <c r="H76" i="1"/>
  <c r="F73" i="1"/>
  <c r="B70" i="1"/>
  <c r="H67" i="1"/>
  <c r="P64" i="1"/>
  <c r="B62" i="1"/>
  <c r="H59" i="1"/>
  <c r="P56" i="1"/>
  <c r="B54" i="1"/>
  <c r="H51" i="1"/>
  <c r="P48" i="1"/>
  <c r="B46" i="1"/>
  <c r="S43" i="1"/>
  <c r="S41" i="1"/>
  <c r="S39" i="1"/>
  <c r="S37" i="1"/>
  <c r="H36" i="1"/>
  <c r="C35" i="1"/>
  <c r="P33" i="1"/>
  <c r="H32" i="1"/>
  <c r="C31" i="1"/>
  <c r="P29" i="1"/>
  <c r="H28" i="1"/>
  <c r="C27" i="1"/>
  <c r="P25" i="1"/>
  <c r="I24" i="1"/>
  <c r="I23" i="1"/>
  <c r="I22" i="1"/>
  <c r="I21" i="1"/>
  <c r="I20" i="1"/>
  <c r="K19" i="1"/>
  <c r="S18" i="1"/>
  <c r="E18" i="1"/>
  <c r="K17" i="1"/>
  <c r="S16" i="1"/>
  <c r="E16" i="1"/>
  <c r="K15" i="1"/>
  <c r="S14" i="1"/>
  <c r="E14" i="1"/>
  <c r="K13" i="1"/>
  <c r="T12" i="1"/>
  <c r="H12" i="1"/>
  <c r="S11" i="1"/>
  <c r="H11" i="1"/>
  <c r="S10" i="1"/>
  <c r="H10" i="1"/>
  <c r="S9" i="1"/>
  <c r="H9" i="1"/>
  <c r="S8" i="1"/>
  <c r="H8" i="1"/>
  <c r="S7" i="1"/>
  <c r="H7" i="1"/>
  <c r="S6" i="1"/>
  <c r="H6" i="1"/>
  <c r="S5" i="1"/>
  <c r="H5" i="1"/>
  <c r="S4" i="1"/>
  <c r="H4" i="1"/>
  <c r="S3" i="1"/>
  <c r="H3" i="1"/>
  <c r="S2" i="1"/>
  <c r="H2" i="1"/>
  <c r="Q338" i="1"/>
  <c r="D194" i="1"/>
  <c r="P161" i="1"/>
  <c r="S150" i="1"/>
  <c r="H143" i="1"/>
  <c r="T136" i="1"/>
  <c r="H127" i="1"/>
  <c r="T120" i="1"/>
  <c r="F108" i="1"/>
  <c r="Q101" i="1"/>
  <c r="H95" i="1"/>
  <c r="Q85" i="1"/>
  <c r="T72" i="1"/>
  <c r="J64" i="1"/>
  <c r="F59" i="1"/>
  <c r="F51" i="1"/>
  <c r="P43" i="1"/>
  <c r="P37" i="1"/>
  <c r="F32" i="1"/>
  <c r="F28" i="1"/>
  <c r="H23" i="1"/>
  <c r="H20" i="1"/>
  <c r="P18" i="1"/>
  <c r="P16" i="1"/>
  <c r="P14" i="1"/>
  <c r="S12" i="1"/>
  <c r="Q11" i="1"/>
  <c r="G10" i="1"/>
  <c r="Q8" i="1"/>
  <c r="Q6" i="1"/>
  <c r="G4" i="1"/>
  <c r="Q2" i="1"/>
  <c r="E12" i="1"/>
  <c r="D377" i="1"/>
  <c r="P333" i="1"/>
  <c r="P304" i="1"/>
  <c r="Q276" i="1"/>
  <c r="B255" i="1"/>
  <c r="K235" i="1"/>
  <c r="F220" i="1"/>
  <c r="P205" i="1"/>
  <c r="J191" i="1"/>
  <c r="C179" i="1"/>
  <c r="S168" i="1"/>
  <c r="J160" i="1"/>
  <c r="B155" i="1"/>
  <c r="E150" i="1"/>
  <c r="T145" i="1"/>
  <c r="Q142" i="1"/>
  <c r="O139" i="1"/>
  <c r="H136" i="1"/>
  <c r="F133" i="1"/>
  <c r="T129" i="1"/>
  <c r="Q126" i="1"/>
  <c r="O123" i="1"/>
  <c r="H120" i="1"/>
  <c r="F117" i="1"/>
  <c r="T113" i="1"/>
  <c r="Q110" i="1"/>
  <c r="O107" i="1"/>
  <c r="H104" i="1"/>
  <c r="F101" i="1"/>
  <c r="T97" i="1"/>
  <c r="Q94" i="1"/>
  <c r="O91" i="1"/>
  <c r="H88" i="1"/>
  <c r="F85" i="1"/>
  <c r="T81" i="1"/>
  <c r="Q78" i="1"/>
  <c r="O75" i="1"/>
  <c r="H72" i="1"/>
  <c r="H69" i="1"/>
  <c r="P66" i="1"/>
  <c r="B64" i="1"/>
  <c r="H61" i="1"/>
  <c r="P58" i="1"/>
  <c r="B56" i="1"/>
  <c r="H53" i="1"/>
  <c r="P50" i="1"/>
  <c r="B48" i="1"/>
  <c r="H45" i="1"/>
  <c r="H43" i="1"/>
  <c r="H41" i="1"/>
  <c r="H39" i="1"/>
  <c r="H37" i="1"/>
  <c r="C36" i="1"/>
  <c r="P34" i="1"/>
  <c r="H33" i="1"/>
  <c r="C32" i="1"/>
  <c r="P30" i="1"/>
  <c r="H29" i="1"/>
  <c r="C28" i="1"/>
  <c r="P26" i="1"/>
  <c r="H25" i="1"/>
  <c r="F24" i="1"/>
  <c r="F23" i="1"/>
  <c r="F22" i="1"/>
  <c r="F21" i="1"/>
  <c r="F20" i="1"/>
  <c r="H19" i="1"/>
  <c r="O18" i="1"/>
  <c r="C18" i="1"/>
  <c r="H17" i="1"/>
  <c r="O16" i="1"/>
  <c r="C16" i="1"/>
  <c r="H15" i="1"/>
  <c r="O14" i="1"/>
  <c r="C14" i="1"/>
  <c r="H13" i="1"/>
  <c r="Q12" i="1"/>
  <c r="F12" i="1"/>
  <c r="P11" i="1"/>
  <c r="F11" i="1"/>
  <c r="P10" i="1"/>
  <c r="F10" i="1"/>
  <c r="P9" i="1"/>
  <c r="F9" i="1"/>
  <c r="P8" i="1"/>
  <c r="F8" i="1"/>
  <c r="P7" i="1"/>
  <c r="F7" i="1"/>
  <c r="P6" i="1"/>
  <c r="F6" i="1"/>
  <c r="P5" i="1"/>
  <c r="F5" i="1"/>
  <c r="P4" i="1"/>
  <c r="F4" i="1"/>
  <c r="P3" i="1"/>
  <c r="F3" i="1"/>
  <c r="P2" i="1"/>
  <c r="F2" i="1"/>
  <c r="T372" i="1"/>
  <c r="S330" i="1"/>
  <c r="P303" i="1"/>
  <c r="B275" i="1"/>
  <c r="P253" i="1"/>
  <c r="S234" i="1"/>
  <c r="C219" i="1"/>
  <c r="Q204" i="1"/>
  <c r="S190" i="1"/>
  <c r="G178" i="1"/>
  <c r="F168" i="1"/>
  <c r="G160" i="1"/>
  <c r="Q154" i="1"/>
  <c r="P149" i="1"/>
  <c r="Q145" i="1"/>
  <c r="O142" i="1"/>
  <c r="H139" i="1"/>
  <c r="F136" i="1"/>
  <c r="T132" i="1"/>
  <c r="Q129" i="1"/>
  <c r="O126" i="1"/>
  <c r="H123" i="1"/>
  <c r="F120" i="1"/>
  <c r="T116" i="1"/>
  <c r="Q113" i="1"/>
  <c r="O110" i="1"/>
  <c r="H107" i="1"/>
  <c r="F104" i="1"/>
  <c r="T100" i="1"/>
  <c r="Q97" i="1"/>
  <c r="O94" i="1"/>
  <c r="H91" i="1"/>
  <c r="F88" i="1"/>
  <c r="T84" i="1"/>
  <c r="Q81" i="1"/>
  <c r="O78" i="1"/>
  <c r="H75" i="1"/>
  <c r="F72" i="1"/>
  <c r="F69" i="1"/>
  <c r="J66" i="1"/>
  <c r="S63" i="1"/>
  <c r="F61" i="1"/>
  <c r="J58" i="1"/>
  <c r="S55" i="1"/>
  <c r="F53" i="1"/>
  <c r="J50" i="1"/>
  <c r="S47" i="1"/>
  <c r="F45" i="1"/>
  <c r="F43" i="1"/>
  <c r="F41" i="1"/>
  <c r="F39" i="1"/>
  <c r="F37" i="1"/>
  <c r="S35" i="1"/>
  <c r="K34" i="1"/>
  <c r="F33" i="1"/>
  <c r="S31" i="1"/>
  <c r="K30" i="1"/>
  <c r="F29" i="1"/>
  <c r="S27" i="1"/>
  <c r="K26" i="1"/>
  <c r="F25" i="1"/>
  <c r="C24" i="1"/>
  <c r="C23" i="1"/>
  <c r="C22" i="1"/>
  <c r="C21" i="1"/>
  <c r="C20" i="1"/>
  <c r="F19" i="1"/>
  <c r="L18" i="1"/>
  <c r="T17" i="1"/>
  <c r="F17" i="1"/>
  <c r="L16" i="1"/>
  <c r="T15" i="1"/>
  <c r="F15" i="1"/>
  <c r="L14" i="1"/>
  <c r="P12" i="1"/>
  <c r="O11" i="1"/>
  <c r="E10" i="1"/>
  <c r="O9" i="1"/>
  <c r="E9" i="1"/>
  <c r="O8" i="1"/>
  <c r="E8" i="1"/>
  <c r="O7" i="1"/>
  <c r="E7" i="1"/>
  <c r="O6" i="1"/>
  <c r="E6" i="1"/>
  <c r="O5" i="1"/>
  <c r="E5" i="1"/>
  <c r="O4" i="1"/>
  <c r="O2" i="1"/>
</calcChain>
</file>

<file path=xl/sharedStrings.xml><?xml version="1.0" encoding="utf-8"?>
<sst xmlns="http://schemas.openxmlformats.org/spreadsheetml/2006/main" count="795" uniqueCount="21">
  <si>
    <t>Ticker</t>
  </si>
  <si>
    <t>Maturity</t>
  </si>
  <si>
    <t>Currency</t>
  </si>
  <si>
    <t>Coupon Type</t>
  </si>
  <si>
    <t>ISIN</t>
  </si>
  <si>
    <t>Issue Date</t>
  </si>
  <si>
    <t>Day Count</t>
  </si>
  <si>
    <t>CUSIP</t>
  </si>
  <si>
    <t>Issuer Name</t>
  </si>
  <si>
    <t>Cpn</t>
  </si>
  <si>
    <t>Cpn Freq Des</t>
  </si>
  <si>
    <t>Amt Out</t>
  </si>
  <si>
    <t>Security Name</t>
  </si>
  <si>
    <t>Amt Issued</t>
  </si>
  <si>
    <t>United States Treasury Strip Coupon</t>
  </si>
  <si>
    <t>Yld to Mty (Bid)</t>
  </si>
  <si>
    <t>Mty Type</t>
  </si>
  <si>
    <t>Country/Region (Full Name)</t>
  </si>
  <si>
    <t>First Cpn Dt</t>
  </si>
  <si>
    <t>Par Amt</t>
  </si>
  <si>
    <t>Inflation Idx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</si>
</sst>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2">
    <xf numFmtId="0" fontId="0" fillId="0" borderId="0" xfId="0"/>
    <xf numFmtId="0" fontId="1" fillId="2" borderId="0" xfId="1"/>
  </cellXfs>
  <cellStyles count="2">
    <cellStyle name="blp_column_header" xfId="1" xr:uid="{65CB86B2-52E8-4738-BF25-08EA510D0B0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8/15/2030</v>
        <stp/>
        <stp>##V3_BDPV12</stp>
        <stp>912833XY Govt</stp>
        <stp>MATURITY</stp>
        <stp>[STRIPS.xlsx]Sheet1!R50C5</stp>
        <tr r="E50" s="1"/>
      </tp>
      <tp t="s">
        <v>5/15/2030</v>
        <stp/>
        <stp>##V3_BDPV12</stp>
        <stp>912833XU Govt</stp>
        <stp>MATURITY</stp>
        <stp>[STRIPS.xlsx]Sheet1!R30C5</stp>
        <tr r="E30" s="1"/>
      </tp>
      <tp t="s">
        <v>#N/A Field Not Applicable</v>
        <stp/>
        <stp>##V3_BDPV12</stp>
        <stp>912834UE Govt</stp>
        <stp>COUPON_FREQUENCY_DESCRIPTION</stp>
        <stp>[STRIPS.xlsx]Sheet1!R207C10</stp>
        <tr r="J207" s="1"/>
      </tp>
      <tp t="s">
        <v>#N/A Field Not Applicable</v>
        <stp/>
        <stp>##V3_BDPV12</stp>
        <stp>912834WE Govt</stp>
        <stp>COUPON_FREQUENCY_DESCRIPTION</stp>
        <stp>[STRIPS.xlsx]Sheet1!R223C10</stp>
        <tr r="J223" s="1"/>
      </tp>
      <tp t="s">
        <v>#N/A Field Not Applicable</v>
        <stp/>
        <stp>##V3_BDPV12</stp>
        <stp>912833ZE Govt</stp>
        <stp>COUPON_FREQUENCY_DESCRIPTION</stp>
        <stp>[STRIPS.xlsx]Sheet1!R252C10</stp>
        <tr r="J252" s="1"/>
      </tp>
      <tp t="s">
        <v>#N/A Field Not Applicable</v>
        <stp/>
        <stp>##V3_BDPV12</stp>
        <stp>912833QE Govt</stp>
        <stp>COUPON_FREQUENCY_DESCRIPTION</stp>
        <stp>[STRIPS.xlsx]Sheet1!R241C10</stp>
        <tr r="J241" s="1"/>
      </tp>
      <tp t="s">
        <v>5/15/2037</v>
        <stp/>
        <stp>##V3_BDPV12</stp>
        <stp>912833Y4 Govt</stp>
        <stp>MATURITY</stp>
        <stp>[STRIPS.xlsx]Sheet1!R60C5</stp>
        <tr r="E60" s="1"/>
      </tp>
      <tp t="s">
        <v>#N/A Field Not Applicable</v>
        <stp/>
        <stp>##V3_BDPV12</stp>
        <stp>912834KE Govt</stp>
        <stp>COUPON_FREQUENCY_DESCRIPTION</stp>
        <stp>[STRIPS.xlsx]Sheet1!R316C10</stp>
        <tr r="J316" s="1"/>
      </tp>
      <tp t="s">
        <v>#N/A Field Not Applicable</v>
        <stp/>
        <stp>##V3_BDPV12</stp>
        <stp>912834AE Govt</stp>
        <stp>COUPON_FREQUENCY_DESCRIPTION</stp>
        <stp>[STRIPS.xlsx]Sheet1!R118C10</stp>
        <tr r="J118" s="1"/>
      </tp>
      <tp t="s">
        <v>#N/A Field Not Applicable</v>
        <stp/>
        <stp>##V3_BDPV12</stp>
        <stp>912834VE Govt</stp>
        <stp>COUPON_FREQUENCY_DESCRIPTION</stp>
        <stp>[STRIPS.xlsx]Sheet1!R116C10</stp>
        <tr r="J116" s="1"/>
      </tp>
      <tp t="s">
        <v>#N/A Field Not Applicable</v>
        <stp/>
        <stp>##V3_BDPV12</stp>
        <stp>912833LE Govt</stp>
        <stp>COUPON_FREQUENCY_DESCRIPTION</stp>
        <stp>[STRIPS.xlsx]Sheet1!R153C10</stp>
        <tr r="J153" s="1"/>
      </tp>
      <tp t="s">
        <v>#N/A Field Not Applicable</v>
        <stp/>
        <stp>##V3_BDPV12</stp>
        <stp>912834PE Govt</stp>
        <stp>COUPON_FREQUENCY_DESCRIPTION</stp>
        <stp>[STRIPS.xlsx]Sheet1!R132C10</stp>
        <tr r="J132" s="1"/>
      </tp>
      <tp t="s">
        <v>#N/A Field Not Applicable</v>
        <stp/>
        <stp>##V3_BDPV12</stp>
        <stp>912834QE Govt</stp>
        <stp>COUPON_FREQUENCY_DESCRIPTION</stp>
        <stp>[STRIPS.xlsx]Sheet1!R149C10</stp>
        <tr r="J149" s="1"/>
      </tp>
      <tp t="s">
        <v>#N/A Field Not Applicable</v>
        <stp/>
        <stp>##V3_BDPV12</stp>
        <stp>912834TE Govt</stp>
        <stp>COUPON_FREQUENCY_DESCRIPTION</stp>
        <stp>[STRIPS.xlsx]Sheet1!R155C10</stp>
        <tr r="J155" s="1"/>
      </tp>
      <tp t="s">
        <v>#N/A Field Not Applicable</v>
        <stp/>
        <stp>##V3_BDPV12</stp>
        <stp>912834RE Govt</stp>
        <stp>COUPON_FREQUENCY_DESCRIPTION</stp>
        <stp>[STRIPS.xlsx]Sheet1!R168C10</stp>
        <tr r="J168" s="1"/>
      </tp>
      <tp t="s">
        <v>#N/A Field Not Applicable</v>
        <stp/>
        <stp>##V3_BDPV12</stp>
        <stp>912833RE Govt</stp>
        <stp>COUPON_FREQUENCY_DESCRIPTION</stp>
        <stp>[STRIPS.xlsx]Sheet1!R691C10</stp>
        <tr r="J691" s="1"/>
      </tp>
      <tp t="s">
        <v>#N/A Field Not Applicable</v>
        <stp/>
        <stp>##V3_BDPV12</stp>
        <stp>912833KE Govt</stp>
        <stp>COUPON_FREQUENCY_DESCRIPTION</stp>
        <stp>[STRIPS.xlsx]Sheet1!R670C10</stp>
        <tr r="J670" s="1"/>
      </tp>
      <tp t="s">
        <v>#N/A Field Not Applicable</v>
        <stp/>
        <stp>##V3_BDPV12</stp>
        <stp>912834JE Govt</stp>
        <stp>COUPON_FREQUENCY_DESCRIPTION</stp>
        <stp>[STRIPS.xlsx]Sheet1!R646C10</stp>
        <tr r="J646" s="1"/>
      </tp>
      <tp t="s">
        <v>#N/A Field Not Applicable</v>
        <stp/>
        <stp>##V3_BDPV12</stp>
        <stp>9128335E Govt</stp>
        <stp>COUPON_FREQUENCY_DESCRIPTION</stp>
        <stp>[STRIPS.xlsx]Sheet1!R745C10</stp>
        <tr r="J745" s="1"/>
      </tp>
      <tp t="s">
        <v>#N/A Field Not Applicable</v>
        <stp/>
        <stp>##V3_BDPV12</stp>
        <stp>9128336E Govt</stp>
        <stp>COUPON_FREQUENCY_DESCRIPTION</stp>
        <stp>[STRIPS.xlsx]Sheet1!R728C10</stp>
        <tr r="J728" s="1"/>
      </tp>
      <tp t="s">
        <v>#N/A Field Not Applicable</v>
        <stp/>
        <stp>##V3_BDPV12</stp>
        <stp>9128334E Govt</stp>
        <stp>COUPON_FREQUENCY_DESCRIPTION</stp>
        <stp>[STRIPS.xlsx]Sheet1!R708C10</stp>
        <tr r="J708" s="1"/>
      </tp>
      <tp t="s">
        <v>#N/A Field Not Applicable</v>
        <stp/>
        <stp>##V3_BDPV12</stp>
        <stp>912833GE Govt</stp>
        <stp>COUPON_FREQUENCY_DESCRIPTION</stp>
        <stp>[STRIPS.xlsx]Sheet1!R441C10</stp>
        <tr r="J441" s="1"/>
      </tp>
      <tp t="s">
        <v>#N/A Field Not Applicable</v>
        <stp/>
        <stp>##V3_BDPV12</stp>
        <stp>912833CE Govt</stp>
        <stp>COUPON_FREQUENCY_DESCRIPTION</stp>
        <stp>[STRIPS.xlsx]Sheet1!R437C10</stp>
        <tr r="J437" s="1"/>
      </tp>
      <tp t="s">
        <v>#N/A Field Not Applicable</v>
        <stp/>
        <stp>##V3_BDPV12</stp>
        <stp>912834LE Govt</stp>
        <stp>COUPON_FREQUENCY_DESCRIPTION</stp>
        <stp>[STRIPS.xlsx]Sheet1!R473C10</stp>
        <tr r="J473" s="1"/>
      </tp>
      <tp t="s">
        <v>#N/A Field Not Applicable</v>
        <stp/>
        <stp>##V3_BDPV12</stp>
        <stp>9128332E Govt</stp>
        <stp>COUPON_FREQUENCY_DESCRIPTION</stp>
        <stp>[STRIPS.xlsx]Sheet1!R597C10</stp>
        <tr r="J597" s="1"/>
      </tp>
      <tp t="s">
        <v>#N/A Field Not Applicable</v>
        <stp/>
        <stp>##V3_BDPV12</stp>
        <stp>912833NE Govt</stp>
        <stp>COUPON_FREQUENCY_DESCRIPTION</stp>
        <stp>[STRIPS.xlsx]Sheet1!R571C10</stp>
        <tr r="J571" s="1"/>
      </tp>
      <tp t="s">
        <v>#N/A Field Not Applicable</v>
        <stp/>
        <stp>##V3_BDPV12</stp>
        <stp>912833ME Govt</stp>
        <stp>COUPON_FREQUENCY_DESCRIPTION</stp>
        <stp>[STRIPS.xlsx]Sheet1!R567C10</stp>
        <tr r="J567" s="1"/>
      </tp>
      <tp t="s">
        <v>#N/A Field Not Applicable</v>
        <stp/>
        <stp>##V3_BDPV12</stp>
        <stp>912834EE Govt</stp>
        <stp>COUPON_FREQUENCY_DESCRIPTION</stp>
        <stp>[STRIPS.xlsx]Sheet1!R532C10</stp>
        <tr r="J532" s="1"/>
      </tp>
      <tp t="s">
        <v>#N/A Field Not Applicable</v>
        <stp/>
        <stp>##V3_BDPV12</stp>
        <stp>912834BE Govt</stp>
        <stp>COUPON_FREQUENCY_DESCRIPTION</stp>
        <stp>[STRIPS.xlsx]Sheet1!R530C10</stp>
        <tr r="J530" s="1"/>
      </tp>
      <tp t="s">
        <v>#N/A Field Not Applicable</v>
        <stp/>
        <stp>##V3_BDPV12</stp>
        <stp>912834NE Govt</stp>
        <stp>COUPON_FREQUENCY_DESCRIPTION</stp>
        <stp>[STRIPS.xlsx]Sheet1!R546C10</stp>
        <tr r="J546" s="1"/>
      </tp>
      <tp t="s">
        <v>#N/A Field Not Applicable</v>
        <stp/>
        <stp>##V3_BDPV12</stp>
        <stp>912833DE Govt</stp>
        <stp>COUPON_FREQUENCY_DESCRIPTION</stp>
        <stp>[STRIPS.xlsx]Sheet1!R505C10</stp>
        <tr r="J505" s="1"/>
      </tp>
      <tp t="s">
        <v>11/15/2027</v>
        <stp/>
        <stp>##V3_BDPV12</stp>
        <stp>912833QB Govt</stp>
        <stp>MATURITY</stp>
        <stp>[STRIPS.xlsx]Sheet1!R20C5</stp>
        <tr r="E20" s="1"/>
      </tp>
      <tp t="s">
        <v>4/30/2026</v>
        <stp/>
        <stp>##V3_BDPV12</stp>
        <stp>912834UQ Govt</stp>
        <stp>MATURITY</stp>
        <stp>[STRIPS.xlsx]Sheet1!R97C5</stp>
        <tr r="E97" s="1"/>
      </tp>
      <tp t="s">
        <v>11/15/2041</v>
        <stp/>
        <stp>##V3_BDPV12</stp>
        <stp>912834KV Govt</stp>
        <stp>MATURITY</stp>
        <stp>[STRIPS.xlsx]Sheet1!R57C5</stp>
        <tr r="E57" s="1"/>
      </tp>
      <tp t="s">
        <v>5/15/2022</v>
        <stp/>
        <stp>##V3_BDPV12</stp>
        <stp>912833LH Govt</stp>
        <stp>MATURITY</stp>
        <stp>[STRIPS.xlsx]Sheet1!R40C5</stp>
        <tr r="E40" s="1"/>
      </tp>
      <tp t="s">
        <v>11/15/2025</v>
        <stp/>
        <stp>##V3_BDPV12</stp>
        <stp>912833LX Govt</stp>
        <stp>MATURITY</stp>
        <stp>[STRIPS.xlsx]Sheet1!R10C5</stp>
        <tr r="E10" s="1"/>
      </tp>
      <tp t="s">
        <v>11/15/2038</v>
        <stp/>
        <stp>##V3_BDPV12</stp>
        <stp>912834DU Govt</stp>
        <stp>MATURITY</stp>
        <stp>[STRIPS.xlsx]Sheet1!R87C5</stp>
        <tr r="E87" s="1"/>
      </tp>
      <tp t="s">
        <v>8/15/2039</v>
        <stp/>
        <stp>##V3_BDPV12</stp>
        <stp>912834EP Govt</stp>
        <stp>MATURITY</stp>
        <stp>[STRIPS.xlsx]Sheet1!R77C5</stp>
        <tr r="E77" s="1"/>
      </tp>
      <tp t="s">
        <v>912833XU9</v>
        <stp/>
        <stp>##V3_BDPV12</stp>
        <stp>912833XU Govt</stp>
        <stp>ID_CUSIP</stp>
        <stp>[STRIPS.xlsx]Sheet1!R30C19</stp>
        <tr r="S30" s="1"/>
      </tp>
      <tp t="s">
        <v>912833XT2</v>
        <stp/>
        <stp>##V3_BDPV12</stp>
        <stp>912833XT Govt</stp>
        <stp>ID_CUSIP</stp>
        <stp>[STRIPS.xlsx]Sheet1!R55C19</stp>
        <tr r="S55" s="1"/>
      </tp>
      <tp t="s">
        <v>912833XP0</v>
        <stp/>
        <stp>##V3_BDPV12</stp>
        <stp>912833XP Govt</stp>
        <stp>ID_CUSIP</stp>
        <stp>[STRIPS.xlsx]Sheet1!R44C19</stp>
        <tr r="S44" s="1"/>
      </tp>
      <tp t="s">
        <v>912833XS4</v>
        <stp/>
        <stp>##V3_BDPV12</stp>
        <stp>912833XS Govt</stp>
        <stp>ID_CUSIP</stp>
        <stp>[STRIPS.xlsx]Sheet1!R47C19</stp>
        <tr r="S47" s="1"/>
      </tp>
      <tp t="s">
        <v>912833XY1</v>
        <stp/>
        <stp>##V3_BDPV12</stp>
        <stp>912833XY Govt</stp>
        <stp>ID_CUSIP</stp>
        <stp>[STRIPS.xlsx]Sheet1!R50C19</stp>
        <tr r="S50" s="1"/>
      </tp>
      <tp t="s">
        <v>912833XX3</v>
        <stp/>
        <stp>##V3_BDPV12</stp>
        <stp>912833XX Govt</stp>
        <stp>ID_CUSIP</stp>
        <stp>[STRIPS.xlsx]Sheet1!R62C19</stp>
        <tr r="S62" s="1"/>
      </tp>
      <tp t="s">
        <v>912833XZ8</v>
        <stp/>
        <stp>##V3_BDPV12</stp>
        <stp>912833XZ Govt</stp>
        <stp>ID_CUSIP</stp>
        <stp>[STRIPS.xlsx]Sheet1!R31C19</stp>
        <tr r="S31" s="1"/>
      </tp>
      <tp t="s">
        <v>912834XG8</v>
        <stp/>
        <stp>##V3_BDPV12</stp>
        <stp>912834XG Govt</stp>
        <stp>ID_CUSIP</stp>
        <stp>[STRIPS.xlsx]Sheet1!R32C19</stp>
        <tr r="S32" s="1"/>
      </tp>
      <tp t="s">
        <v>5/17/2010</v>
        <stp/>
        <stp>##V3_BDPV12</stp>
        <stp>912834HV Govt</stp>
        <stp>ISSUE_DT</stp>
        <stp>[STRIPS.xlsx]Sheet1!R70C15</stp>
        <tr r="O70" s="1"/>
      </tp>
      <tp t="s">
        <v>912833XN5</v>
        <stp/>
        <stp>##V3_BDPV12</stp>
        <stp>912833XN Govt</stp>
        <stp>ID_CUSIP</stp>
        <stp>[STRIPS.xlsx]Sheet1!R85C19</stp>
        <tr r="S85" s="1"/>
      </tp>
      <tp t="s">
        <v>USD</v>
        <stp/>
        <stp>##V3_BDPV12</stp>
        <stp>912833RY Govt</stp>
        <stp>CRNCY</stp>
        <stp>[STRIPS.xlsx]Sheet1!R28C7</stp>
        <tr r="G28" s="1"/>
      </tp>
      <tp t="s">
        <v>USD</v>
        <stp/>
        <stp>##V3_BDPV12</stp>
        <stp>912833XX Govt</stp>
        <stp>CRNCY</stp>
        <stp>[STRIPS.xlsx]Sheet1!R62C7</stp>
        <tr r="G62" s="1"/>
      </tp>
      <tp t="s">
        <v>S</v>
        <stp/>
        <stp>##V3_BDPV12</stp>
        <stp>912834MT Govt</stp>
        <stp>TICKER</stp>
        <stp>[STRIPS.xlsx]Sheet1!R41C2</stp>
        <tr r="B41" s="1"/>
      </tp>
      <tp t="s">
        <v>S</v>
        <stp/>
        <stp>##V3_BDPV12</stp>
        <stp>9128337P Govt</stp>
        <stp>TICKER</stp>
        <stp>[STRIPS.xlsx]Sheet1!R25C2</stp>
        <tr r="B25" s="1"/>
      </tp>
      <tp t="s">
        <v>S</v>
        <stp/>
        <stp>##V3_BDPV12</stp>
        <stp>912833WQ Govt</stp>
        <stp>TICKER</stp>
        <stp>[STRIPS.xlsx]Sheet1!R24C2</stp>
        <tr r="B24" s="1"/>
      </tp>
      <tp t="s">
        <v>S</v>
        <stp/>
        <stp>##V3_BDPV12</stp>
        <stp>912833XU Govt</stp>
        <stp>TICKER</stp>
        <stp>[STRIPS.xlsx]Sheet1!R30C2</stp>
        <tr r="B30" s="1"/>
      </tp>
      <tp t="s">
        <v>S</v>
        <stp/>
        <stp>##V3_BDPV12</stp>
        <stp>912833LT Govt</stp>
        <stp>TICKER</stp>
        <stp>[STRIPS.xlsx]Sheet1!R11C2</stp>
        <tr r="B11" s="1"/>
      </tp>
      <tp t="s">
        <v>912833X96</v>
        <stp/>
        <stp>##V3_BDPV12</stp>
        <stp>912833X9 Govt</stp>
        <stp>ID_CUSIP</stp>
        <stp>[STRIPS.xlsx]Sheet1!R59C19</stp>
        <tr r="S59" s="1"/>
      </tp>
      <tp t="s">
        <v>912833X88</v>
        <stp/>
        <stp>##V3_BDPV12</stp>
        <stp>912833X8 Govt</stp>
        <stp>ID_CUSIP</stp>
        <stp>[STRIPS.xlsx]Sheet1!R66C19</stp>
        <tr r="S66" s="1"/>
      </tp>
      <tp t="s">
        <v>UNITED STATES</v>
        <stp/>
        <stp>##V3_BDPV12</stp>
        <stp>912833Z9 Govt</stp>
        <stp>COUNTRY_FULL_NAME</stp>
        <stp>[STRIPS.xlsx]Sheet1!R526C8</stp>
        <tr r="H526" s="1"/>
      </tp>
      <tp t="s">
        <v>UNITED STATES</v>
        <stp/>
        <stp>##V3_BDPV12</stp>
        <stp>912833Z8 Govt</stp>
        <stp>COUNTRY_FULL_NAME</stp>
        <stp>[STRIPS.xlsx]Sheet1!R697C8</stp>
        <tr r="H697" s="1"/>
      </tp>
      <tp t="s">
        <v>NORMAL</v>
        <stp/>
        <stp>##V3_BDPV12</stp>
        <stp>912833PC Govt</stp>
        <stp>MTY_TYP</stp>
        <stp>[STRIPS.xlsx]Sheet1!R14C6</stp>
        <tr r="F14" s="1"/>
      </tp>
      <tp t="s">
        <v>NORMAL</v>
        <stp/>
        <stp>##V3_BDPV12</stp>
        <stp>912833WQ Govt</stp>
        <stp>MTY_TYP</stp>
        <stp>[STRIPS.xlsx]Sheet1!R24C6</stp>
        <tr r="F24" s="1"/>
      </tp>
      <tp t="s">
        <v>NORMAL</v>
        <stp/>
        <stp>##V3_BDPV12</stp>
        <stp>912833Z5 Govt</stp>
        <stp>MTY_TYP</stp>
        <stp>[STRIPS.xlsx]Sheet1!R74C6</stp>
        <tr r="F74" s="1"/>
      </tp>
      <tp t="s">
        <v>NORMAL</v>
        <stp/>
        <stp>##V3_BDPV12</stp>
        <stp>912833XP Govt</stp>
        <stp>MTY_TYP</stp>
        <stp>[STRIPS.xlsx]Sheet1!R44C6</stp>
        <tr r="F44" s="1"/>
      </tp>
      <tp t="s">
        <v>NORMAL</v>
        <stp/>
        <stp>##V3_BDPV12</stp>
        <stp>912834SZ Govt</stp>
        <stp>MTY_TYP</stp>
        <stp>[STRIPS.xlsx]Sheet1!R94C6</stp>
        <tr r="F94" s="1"/>
      </tp>
      <tp t="s">
        <v>NORMAL</v>
        <stp/>
        <stp>##V3_BDPV12</stp>
        <stp>912834PM Govt</stp>
        <stp>MTY_TYP</stp>
        <stp>[STRIPS.xlsx]Sheet1!R84C6</stp>
        <tr r="F84" s="1"/>
      </tp>
      <tp t="s">
        <v>NORMAL</v>
        <stp/>
        <stp>##V3_BDPV12</stp>
        <stp>912834WR Govt</stp>
        <stp>MTY_TYP</stp>
        <stp>[STRIPS.xlsx]Sheet1!R54C6</stp>
        <tr r="F54" s="1"/>
      </tp>
      <tp t="s">
        <v>NORMAL</v>
        <stp/>
        <stp>##V3_BDPV12</stp>
        <stp>912834JP Govt</stp>
        <stp>MTY_TYP</stp>
        <stp>[STRIPS.xlsx]Sheet1!R34C6</stp>
        <tr r="F34" s="1"/>
      </tp>
      <tp t="s">
        <v>NORMAL</v>
        <stp/>
        <stp>##V3_BDPV12</stp>
        <stp>912834JY Govt</stp>
        <stp>MTY_TYP</stp>
        <stp>[STRIPS.xlsx]Sheet1!R64C6</stp>
        <tr r="F64" s="1"/>
      </tp>
      <tp t="s">
        <v>USD</v>
        <stp/>
        <stp>##V3_BDPV12</stp>
        <stp>912834XG Govt</stp>
        <stp>CRNCY</stp>
        <stp>[STRIPS.xlsx]Sheet1!R32C7</stp>
        <tr r="G32" s="1"/>
      </tp>
      <tp t="s">
        <v>2/15/2031</v>
        <stp/>
        <stp>##V3_BDPV12</stp>
        <stp>912833XZ Govt</stp>
        <stp>MATURITY</stp>
        <stp>[STRIPS.xlsx]Sheet1!R31C5</stp>
        <tr r="E31" s="1"/>
      </tp>
      <tp t="s">
        <v>#N/A Field Not Applicable</v>
        <stp/>
        <stp>##V3_BDPV12</stp>
        <stp>912834TD Govt</stp>
        <stp>COUPON_FREQUENCY_DESCRIPTION</stp>
        <stp>[STRIPS.xlsx]Sheet1!R281C10</stp>
        <tr r="J281" s="1"/>
      </tp>
      <tp t="s">
        <v>#N/A Field Not Applicable</v>
        <stp/>
        <stp>##V3_BDPV12</stp>
        <stp>912833CD Govt</stp>
        <stp>COUPON_FREQUENCY_DESCRIPTION</stp>
        <stp>[STRIPS.xlsx]Sheet1!R295C10</stp>
        <tr r="J295" s="1"/>
      </tp>
      <tp t="s">
        <v>#N/A Field Not Applicable</v>
        <stp/>
        <stp>##V3_BDPV12</stp>
        <stp>9128337D Govt</stp>
        <stp>COUPON_FREQUENCY_DESCRIPTION</stp>
        <stp>[STRIPS.xlsx]Sheet1!R291C10</stp>
        <tr r="J291" s="1"/>
      </tp>
      <tp t="s">
        <v>#N/A Field Not Applicable</v>
        <stp/>
        <stp>##V3_BDPV12</stp>
        <stp>9128335D Govt</stp>
        <stp>COUPON_FREQUENCY_DESCRIPTION</stp>
        <stp>[STRIPS.xlsx]Sheet1!R285C10</stp>
        <tr r="J285" s="1"/>
      </tp>
      <tp t="s">
        <v>#N/A Field Not Applicable</v>
        <stp/>
        <stp>##V3_BDPV12</stp>
        <stp>912834KD Govt</stp>
        <stp>COUPON_FREQUENCY_DESCRIPTION</stp>
        <stp>[STRIPS.xlsx]Sheet1!R398C10</stp>
        <tr r="J398" s="1"/>
      </tp>
      <tp t="s">
        <v>#N/A Field Not Applicable</v>
        <stp/>
        <stp>##V3_BDPV12</stp>
        <stp>912833RD Govt</stp>
        <stp>COUPON_FREQUENCY_DESCRIPTION</stp>
        <stp>[STRIPS.xlsx]Sheet1!R380C10</stp>
        <tr r="J380" s="1"/>
      </tp>
      <tp t="s">
        <v>#N/A Field Not Applicable</v>
        <stp/>
        <stp>##V3_BDPV12</stp>
        <stp>912833GD Govt</stp>
        <stp>COUPON_FREQUENCY_DESCRIPTION</stp>
        <stp>[STRIPS.xlsx]Sheet1!R365C10</stp>
        <tr r="J365" s="1"/>
      </tp>
      <tp t="s">
        <v>#N/A Field Not Applicable</v>
        <stp/>
        <stp>##V3_BDPV12</stp>
        <stp>912834JD Govt</stp>
        <stp>COUPON_FREQUENCY_DESCRIPTION</stp>
        <stp>[STRIPS.xlsx]Sheet1!R314C10</stp>
        <tr r="J314" s="1"/>
      </tp>
      <tp t="s">
        <v>#N/A Field Not Applicable</v>
        <stp/>
        <stp>##V3_BDPV12</stp>
        <stp>912833MD Govt</stp>
        <stp>COUPON_FREQUENCY_DESCRIPTION</stp>
        <stp>[STRIPS.xlsx]Sheet1!R304C10</stp>
        <tr r="J304" s="1"/>
      </tp>
      <tp t="s">
        <v>#N/A Field Not Applicable</v>
        <stp/>
        <stp>##V3_BDPV12</stp>
        <stp>912833KD Govt</stp>
        <stp>COUPON_FREQUENCY_DESCRIPTION</stp>
        <stp>[STRIPS.xlsx]Sheet1!R300C10</stp>
        <tr r="J300" s="1"/>
      </tp>
      <tp t="s">
        <v>#N/A Field Not Applicable</v>
        <stp/>
        <stp>##V3_BDPV12</stp>
        <stp>912834WD Govt</stp>
        <stp>COUPON_FREQUENCY_DESCRIPTION</stp>
        <stp>[STRIPS.xlsx]Sheet1!R186C10</stp>
        <tr r="J186" s="1"/>
      </tp>
      <tp t="s">
        <v>#N/A Field Not Applicable</v>
        <stp/>
        <stp>##V3_BDPV12</stp>
        <stp>912834UD Govt</stp>
        <stp>COUPON_FREQUENCY_DESCRIPTION</stp>
        <stp>[STRIPS.xlsx]Sheet1!R197C10</stp>
        <tr r="J197" s="1"/>
      </tp>
      <tp t="s">
        <v>#N/A Field Not Applicable</v>
        <stp/>
        <stp>##V3_BDPV12</stp>
        <stp>912833LD Govt</stp>
        <stp>COUPON_FREQUENCY_DESCRIPTION</stp>
        <stp>[STRIPS.xlsx]Sheet1!R151C10</stp>
        <tr r="J151" s="1"/>
      </tp>
      <tp t="s">
        <v>#N/A Field Not Applicable</v>
        <stp/>
        <stp>##V3_BDPV12</stp>
        <stp>912833ND Govt</stp>
        <stp>COUPON_FREQUENCY_DESCRIPTION</stp>
        <stp>[STRIPS.xlsx]Sheet1!R676C10</stp>
        <tr r="J676" s="1"/>
      </tp>
      <tp t="s">
        <v>#N/A Field Not Applicable</v>
        <stp/>
        <stp>##V3_BDPV12</stp>
        <stp>912833DD Govt</stp>
        <stp>COUPON_FREQUENCY_DESCRIPTION</stp>
        <stp>[STRIPS.xlsx]Sheet1!R659C10</stp>
        <tr r="J659" s="1"/>
      </tp>
      <tp t="s">
        <v>#N/A Field Not Applicable</v>
        <stp/>
        <stp>##V3_BDPV12</stp>
        <stp>9128332D Govt</stp>
        <stp>COUPON_FREQUENCY_DESCRIPTION</stp>
        <stp>[STRIPS.xlsx]Sheet1!R648C10</stp>
        <tr r="J648" s="1"/>
      </tp>
      <tp t="s">
        <v>#N/A Field Not Applicable</v>
        <stp/>
        <stp>##V3_BDPV12</stp>
        <stp>912834BD Govt</stp>
        <stp>COUPON_FREQUENCY_DESCRIPTION</stp>
        <stp>[STRIPS.xlsx]Sheet1!R643C10</stp>
        <tr r="J643" s="1"/>
      </tp>
      <tp t="s">
        <v>#N/A Field Not Applicable</v>
        <stp/>
        <stp>##V3_BDPV12</stp>
        <stp>912834ED Govt</stp>
        <stp>COUPON_FREQUENCY_DESCRIPTION</stp>
        <stp>[STRIPS.xlsx]Sheet1!R645C10</stp>
        <tr r="J645" s="1"/>
      </tp>
      <tp t="s">
        <v>#N/A Field Not Applicable</v>
        <stp/>
        <stp>##V3_BDPV12</stp>
        <stp>912833ZD Govt</stp>
        <stp>COUPON_FREQUENCY_DESCRIPTION</stp>
        <stp>[STRIPS.xlsx]Sheet1!R637C10</stp>
        <tr r="J637" s="1"/>
      </tp>
      <tp t="s">
        <v>#N/A Field Not Applicable</v>
        <stp/>
        <stp>##V3_BDPV12</stp>
        <stp>9128336D Govt</stp>
        <stp>COUPON_FREQUENCY_DESCRIPTION</stp>
        <stp>[STRIPS.xlsx]Sheet1!R749C10</stp>
        <tr r="J749" s="1"/>
      </tp>
      <tp t="s">
        <v>#N/A Field Not Applicable</v>
        <stp/>
        <stp>##V3_BDPV12</stp>
        <stp>912834VD Govt</stp>
        <stp>COUPON_FREQUENCY_DESCRIPTION</stp>
        <stp>[STRIPS.xlsx]Sheet1!R765C10</stp>
        <tr r="J765" s="1"/>
      </tp>
      <tp t="s">
        <v>#N/A Field Not Applicable</v>
        <stp/>
        <stp>##V3_BDPV12</stp>
        <stp>912834XD Govt</stp>
        <stp>COUPON_FREQUENCY_DESCRIPTION</stp>
        <stp>[STRIPS.xlsx]Sheet1!R764C10</stp>
        <tr r="J764" s="1"/>
      </tp>
      <tp t="s">
        <v>#N/A Field Not Applicable</v>
        <stp/>
        <stp>##V3_BDPV12</stp>
        <stp>9128334D Govt</stp>
        <stp>COUPON_FREQUENCY_DESCRIPTION</stp>
        <stp>[STRIPS.xlsx]Sheet1!R488C10</stp>
        <tr r="J488" s="1"/>
      </tp>
      <tp t="s">
        <v>#N/A Field Not Applicable</v>
        <stp/>
        <stp>##V3_BDPV12</stp>
        <stp>912834PD Govt</stp>
        <stp>COUPON_FREQUENCY_DESCRIPTION</stp>
        <stp>[STRIPS.xlsx]Sheet1!R478C10</stp>
        <tr r="J478" s="1"/>
      </tp>
      <tp t="s">
        <v>#N/A Field Not Applicable</v>
        <stp/>
        <stp>##V3_BDPV12</stp>
        <stp>912833QD Govt</stp>
        <stp>COUPON_FREQUENCY_DESCRIPTION</stp>
        <stp>[STRIPS.xlsx]Sheet1!R576C10</stp>
        <tr r="J576" s="1"/>
      </tp>
      <tp t="s">
        <v>#N/A Field Not Applicable</v>
        <stp/>
        <stp>##V3_BDPV12</stp>
        <stp>912834ND Govt</stp>
        <stp>COUPON_FREQUENCY_DESCRIPTION</stp>
        <stp>[STRIPS.xlsx]Sheet1!R545C10</stp>
        <tr r="J545" s="1"/>
      </tp>
      <tp t="s">
        <v>#N/A Field Not Applicable</v>
        <stp/>
        <stp>##V3_BDPV12</stp>
        <stp>912834QD Govt</stp>
        <stp>COUPON_FREQUENCY_DESCRIPTION</stp>
        <stp>[STRIPS.xlsx]Sheet1!R550C10</stp>
        <tr r="J550" s="1"/>
      </tp>
      <tp t="s">
        <v>5/15/2046</v>
        <stp/>
        <stp>##V3_BDPV12</stp>
        <stp>912834QH Govt</stp>
        <stp>MATURITY</stp>
        <stp>[STRIPS.xlsx]Sheet1!R96C5</stp>
        <tr r="E96" s="1"/>
      </tp>
      <tp t="s">
        <v>8/15/2047</v>
        <stp/>
        <stp>##V3_BDPV12</stp>
        <stp>912834RR Govt</stp>
        <stp>MATURITY</stp>
        <stp>[STRIPS.xlsx]Sheet1!R86C5</stp>
        <tr r="E86" s="1"/>
      </tp>
      <tp t="s">
        <v>5/15/2041</v>
        <stp/>
        <stp>##V3_BDPV12</stp>
        <stp>912834KH Govt</stp>
        <stp>MATURITY</stp>
        <stp>[STRIPS.xlsx]Sheet1!R56C5</stp>
        <tr r="E56" s="1"/>
      </tp>
      <tp t="s">
        <v>11/15/2022</v>
        <stp/>
        <stp>##V3_BDPV12</stp>
        <stp>912833LK Govt</stp>
        <stp>MATURITY</stp>
        <stp>[STRIPS.xlsx]Sheet1!R21C5</stp>
        <tr r="E21" s="1"/>
      </tp>
      <tp t="s">
        <v>11/15/2024</v>
        <stp/>
        <stp>##V3_BDPV12</stp>
        <stp>912833LT Govt</stp>
        <stp>MATURITY</stp>
        <stp>[STRIPS.xlsx]Sheet1!R11C5</stp>
        <tr r="E11" s="1"/>
      </tp>
      <tp t="s">
        <v>8/15/2038</v>
        <stp/>
        <stp>##V3_BDPV12</stp>
        <stp>912834AT Govt</stp>
        <stp>MATURITY</stp>
        <stp>[STRIPS.xlsx]Sheet1!R76C5</stp>
        <tr r="E76" s="1"/>
      </tp>
      <tp t="s">
        <v>#N/A Field Not Applicable</v>
        <stp/>
        <stp>##V3_BDPV12</stp>
        <stp>912833XN Govt</stp>
        <stp>IDX_RATIO</stp>
        <stp>[STRIPS.xlsx]Sheet1!R85C20</stp>
        <tr r="T85" s="1"/>
      </tp>
      <tp t="s">
        <v>#N/A Field Not Applicable</v>
        <stp/>
        <stp>##V3_BDPV12</stp>
        <stp>912833LN Govt</stp>
        <stp>IDX_RATIO</stp>
        <stp>[STRIPS.xlsx]Sheet1!R63C20</stp>
        <tr r="T63" s="1"/>
      </tp>
      <tp t="s">
        <v>#N/A Field Not Applicable</v>
        <stp/>
        <stp>##V3_BDPV12</stp>
        <stp>9128337N Govt</stp>
        <stp>IDX_RATIO</stp>
        <stp>[STRIPS.xlsx]Sheet1!R49C20</stp>
        <tr r="T49" s="1"/>
      </tp>
      <tp t="s">
        <v>912833Y46</v>
        <stp/>
        <stp>##V3_BDPV12</stp>
        <stp>912833Y4 Govt</stp>
        <stp>ID_CUSIP</stp>
        <stp>[STRIPS.xlsx]Sheet1!R60C19</stp>
        <tr r="S60" s="1"/>
      </tp>
      <tp t="s">
        <v>912833Y20</v>
        <stp/>
        <stp>##V3_BDPV12</stp>
        <stp>912833Y2 Govt</stp>
        <stp>ID_CUSIP</stp>
        <stp>[STRIPS.xlsx]Sheet1!R27C19</stp>
        <tr r="S27" s="1"/>
      </tp>
      <tp t="s">
        <v>S</v>
        <stp/>
        <stp>##V3_BDPV12</stp>
        <stp>912834RR Govt</stp>
        <stp>TICKER</stp>
        <stp>[STRIPS.xlsx]Sheet1!R86C2</stp>
        <tr r="B86" s="1"/>
      </tp>
      <tp t="s">
        <v>S</v>
        <stp/>
        <stp>##V3_BDPV12</stp>
        <stp>912834JP Govt</stp>
        <stp>TICKER</stp>
        <stp>[STRIPS.xlsx]Sheet1!R34C2</stp>
        <tr r="B34" s="1"/>
      </tp>
      <tp t="s">
        <v>S</v>
        <stp/>
        <stp>##V3_BDPV12</stp>
        <stp>912833XP Govt</stp>
        <stp>TICKER</stp>
        <stp>[STRIPS.xlsx]Sheet1!R44C2</stp>
        <tr r="B44" s="1"/>
      </tp>
      <tp t="s">
        <v>S</v>
        <stp/>
        <stp>##V3_BDPV12</stp>
        <stp>912833XS Govt</stp>
        <stp>TICKER</stp>
        <stp>[STRIPS.xlsx]Sheet1!R47C2</stp>
        <tr r="B47" s="1"/>
      </tp>
      <tp t="s">
        <v>S</v>
        <stp/>
        <stp>##V3_BDPV12</stp>
        <stp>912833LS Govt</stp>
        <stp>TICKER</stp>
        <stp>[STRIPS.xlsx]Sheet1!R37C2</stp>
        <tr r="B37" s="1"/>
      </tp>
      <tp t="s">
        <v>NORMAL</v>
        <stp/>
        <stp>##V3_BDPV12</stp>
        <stp>912833PE Govt</stp>
        <stp>MTY_TYP</stp>
        <stp>[STRIPS.xlsx]Sheet1!R15C6</stp>
        <tr r="F15" s="1"/>
      </tp>
      <tp t="s">
        <v>NORMAL</v>
        <stp/>
        <stp>##V3_BDPV12</stp>
        <stp>912833XN Govt</stp>
        <stp>MTY_TYP</stp>
        <stp>[STRIPS.xlsx]Sheet1!R85C6</stp>
        <tr r="F85" s="1"/>
      </tp>
      <tp t="s">
        <v>NORMAL</v>
        <stp/>
        <stp>##V3_BDPV12</stp>
        <stp>912833XT Govt</stp>
        <stp>MTY_TYP</stp>
        <stp>[STRIPS.xlsx]Sheet1!R55C6</stp>
        <tr r="F55" s="1"/>
      </tp>
      <tp t="s">
        <v>NORMAL</v>
        <stp/>
        <stp>##V3_BDPV12</stp>
        <stp>9128337P Govt</stp>
        <stp>MTY_TYP</stp>
        <stp>[STRIPS.xlsx]Sheet1!R25C6</stp>
        <tr r="F25" s="1"/>
      </tp>
      <tp t="s">
        <v>NORMAL</v>
        <stp/>
        <stp>##V3_BDPV12</stp>
        <stp>9128337S Govt</stp>
        <stp>MTY_TYP</stp>
        <stp>[STRIPS.xlsx]Sheet1!R35C6</stp>
        <tr r="F35" s="1"/>
      </tp>
      <tp t="s">
        <v>NORMAL</v>
        <stp/>
        <stp>##V3_BDPV12</stp>
        <stp>9128334Z Govt</stp>
        <stp>MTY_TYP</stp>
        <stp>[STRIPS.xlsx]Sheet1!R45C6</stp>
        <tr r="F45" s="1"/>
      </tp>
      <tp t="s">
        <v>NORMAL</v>
        <stp/>
        <stp>##V3_BDPV12</stp>
        <stp>912834UR Govt</stp>
        <stp>MTY_TYP</stp>
        <stp>[STRIPS.xlsx]Sheet1!R65C6</stp>
        <tr r="F65" s="1"/>
      </tp>
      <tp t="s">
        <v>NORMAL</v>
        <stp/>
        <stp>##V3_BDPV12</stp>
        <stp>912834UY Govt</stp>
        <stp>MTY_TYP</stp>
        <stp>[STRIPS.xlsx]Sheet1!R75C6</stp>
        <tr r="F75" s="1"/>
      </tp>
      <tp t="s">
        <v>NORMAL</v>
        <stp/>
        <stp>##V3_BDPV12</stp>
        <stp>912834LR Govt</stp>
        <stp>MTY_TYP</stp>
        <stp>[STRIPS.xlsx]Sheet1!R95C6</stp>
        <tr r="F95" s="1"/>
      </tp>
      <tp t="s">
        <v>8/15/2033</v>
        <stp/>
        <stp>##V3_BDPV12</stp>
        <stp>9128334W Govt</stp>
        <stp>MATURITY</stp>
        <stp>[STRIPS.xlsx]Sheet1!R61C5</stp>
        <tr r="E61" s="1"/>
      </tp>
      <tp t="s">
        <v>2/15/2030</v>
        <stp/>
        <stp>##V3_BDPV12</stp>
        <stp>912833XX Govt</stp>
        <stp>MATURITY</stp>
        <stp>[STRIPS.xlsx]Sheet1!R62C5</stp>
        <tr r="E62" s="1"/>
      </tp>
      <tp t="s">
        <v>#N/A Field Not Applicable</v>
        <stp/>
        <stp>##V3_BDPV12</stp>
        <stp>912833CG Govt</stp>
        <stp>COUPON_FREQUENCY_DESCRIPTION</stp>
        <stp>[STRIPS.xlsx]Sheet1!R296C10</stp>
        <tr r="J296" s="1"/>
      </tp>
      <tp t="s">
        <v>#N/A Field Not Applicable</v>
        <stp/>
        <stp>##V3_BDPV12</stp>
        <stp>9128335G Govt</stp>
        <stp>COUPON_FREQUENCY_DESCRIPTION</stp>
        <stp>[STRIPS.xlsx]Sheet1!R286C10</stp>
        <tr r="J286" s="1"/>
      </tp>
      <tp t="s">
        <v>#N/A Field Not Applicable</v>
        <stp/>
        <stp>##V3_BDPV12</stp>
        <stp>912834RG Govt</stp>
        <stp>COUPON_FREQUENCY_DESCRIPTION</stp>
        <stp>[STRIPS.xlsx]Sheet1!R217C10</stp>
        <tr r="J217" s="1"/>
      </tp>
      <tp t="s">
        <v>#N/A Field Not Applicable</v>
        <stp/>
        <stp>##V3_BDPV12</stp>
        <stp>912834QG Govt</stp>
        <stp>COUPON_FREQUENCY_DESCRIPTION</stp>
        <stp>[STRIPS.xlsx]Sheet1!R211C10</stp>
        <tr r="J211" s="1"/>
      </tp>
      <tp t="s">
        <v>#N/A Field Not Applicable</v>
        <stp/>
        <stp>##V3_BDPV12</stp>
        <stp>912834JG Govt</stp>
        <stp>COUPON_FREQUENCY_DESCRIPTION</stp>
        <stp>[STRIPS.xlsx]Sheet1!R228C10</stp>
        <tr r="J228" s="1"/>
      </tp>
      <tp t="s">
        <v>#N/A Field Not Applicable</v>
        <stp/>
        <stp>##V3_BDPV12</stp>
        <stp>912833ZG Govt</stp>
        <stp>COUPON_FREQUENCY_DESCRIPTION</stp>
        <stp>[STRIPS.xlsx]Sheet1!R253C10</stp>
        <tr r="J253" s="1"/>
      </tp>
      <tp t="s">
        <v>#N/A Field Not Applicable</v>
        <stp/>
        <stp>##V3_BDPV12</stp>
        <stp>912834KG Govt</stp>
        <stp>COUPON_FREQUENCY_DESCRIPTION</stp>
        <stp>[STRIPS.xlsx]Sheet1!R230C10</stp>
        <tr r="J230" s="1"/>
      </tp>
      <tp t="s">
        <v>#N/A Field Not Applicable</v>
        <stp/>
        <stp>##V3_BDPV12</stp>
        <stp>912833RG Govt</stp>
        <stp>COUPON_FREQUENCY_DESCRIPTION</stp>
        <stp>[STRIPS.xlsx]Sheet1!R244C10</stp>
        <tr r="J244" s="1"/>
      </tp>
      <tp t="s">
        <v>#N/A Field Not Applicable</v>
        <stp/>
        <stp>##V3_BDPV12</stp>
        <stp>912834MG Govt</stp>
        <stp>COUPON_FREQUENCY_DESCRIPTION</stp>
        <stp>[STRIPS.xlsx]Sheet1!R271C10</stp>
        <tr r="J271" s="1"/>
      </tp>
      <tp t="s">
        <v>#N/A Field Not Applicable</v>
        <stp/>
        <stp>##V3_BDPV12</stp>
        <stp>912834LG Govt</stp>
        <stp>COUPON_FREQUENCY_DESCRIPTION</stp>
        <stp>[STRIPS.xlsx]Sheet1!R321C10</stp>
        <tr r="J321" s="1"/>
      </tp>
      <tp t="s">
        <v>#N/A Field Not Applicable</v>
        <stp/>
        <stp>##V3_BDPV12</stp>
        <stp>912834UG Govt</stp>
        <stp>COUPON_FREQUENCY_DESCRIPTION</stp>
        <stp>[STRIPS.xlsx]Sheet1!R137C10</stp>
        <tr r="J137" s="1"/>
      </tp>
      <tp t="s">
        <v>#N/A Field Not Applicable</v>
        <stp/>
        <stp>##V3_BDPV12</stp>
        <stp>912834VG Govt</stp>
        <stp>COUPON_FREQUENCY_DESCRIPTION</stp>
        <stp>[STRIPS.xlsx]Sheet1!R160C10</stp>
        <tr r="J160" s="1"/>
      </tp>
      <tp t="s">
        <v>#N/A Field Not Applicable</v>
        <stp/>
        <stp>##V3_BDPV12</stp>
        <stp>912833QG Govt</stp>
        <stp>COUPON_FREQUENCY_DESCRIPTION</stp>
        <stp>[STRIPS.xlsx]Sheet1!R685C10</stp>
        <tr r="J685" s="1"/>
      </tp>
      <tp t="s">
        <v>#N/A Field Not Applicable</v>
        <stp/>
        <stp>##V3_BDPV12</stp>
        <stp>912833KG Govt</stp>
        <stp>COUPON_FREQUENCY_DESCRIPTION</stp>
        <stp>[STRIPS.xlsx]Sheet1!R671C10</stp>
        <tr r="J671" s="1"/>
      </tp>
      <tp t="s">
        <v>#N/A Field Not Applicable</v>
        <stp/>
        <stp>##V3_BDPV12</stp>
        <stp>912833PG Govt</stp>
        <stp>COUPON_FREQUENCY_DESCRIPTION</stp>
        <stp>[STRIPS.xlsx]Sheet1!R679C10</stp>
        <tr r="J679" s="1"/>
      </tp>
      <tp t="s">
        <v>#N/A Field Not Applicable</v>
        <stp/>
        <stp>##V3_BDPV12</stp>
        <stp>912833FG Govt</stp>
        <stp>COUPON_FREQUENCY_DESCRIPTION</stp>
        <stp>[STRIPS.xlsx]Sheet1!R661C10</stp>
        <tr r="J661" s="1"/>
      </tp>
      <tp t="s">
        <v>#N/A Field Not Applicable</v>
        <stp/>
        <stp>##V3_BDPV12</stp>
        <stp>912833DG Govt</stp>
        <stp>COUPON_FREQUENCY_DESCRIPTION</stp>
        <stp>[STRIPS.xlsx]Sheet1!R736C10</stp>
        <tr r="J736" s="1"/>
      </tp>
      <tp t="s">
        <v>#N/A Field Not Applicable</v>
        <stp/>
        <stp>##V3_BDPV12</stp>
        <stp>9128337G Govt</stp>
        <stp>COUPON_FREQUENCY_DESCRIPTION</stp>
        <stp>[STRIPS.xlsx]Sheet1!R716C10</stp>
        <tr r="J716" s="1"/>
      </tp>
      <tp t="s">
        <v>#N/A Field Not Applicable</v>
        <stp/>
        <stp>##V3_BDPV12</stp>
        <stp>912834WG Govt</stp>
        <stp>COUPON_FREQUENCY_DESCRIPTION</stp>
        <stp>[STRIPS.xlsx]Sheet1!R772C10</stp>
        <tr r="J772" s="1"/>
      </tp>
      <tp t="s">
        <v>#N/A Field Not Applicable</v>
        <stp/>
        <stp>##V3_BDPV12</stp>
        <stp>9128332G Govt</stp>
        <stp>COUPON_FREQUENCY_DESCRIPTION</stp>
        <stp>[STRIPS.xlsx]Sheet1!R703C10</stp>
        <tr r="J703" s="1"/>
      </tp>
      <tp t="s">
        <v>#N/A Field Not Applicable</v>
        <stp/>
        <stp>##V3_BDPV12</stp>
        <stp>9128334G Govt</stp>
        <stp>COUPON_FREQUENCY_DESCRIPTION</stp>
        <stp>[STRIPS.xlsx]Sheet1!R709C10</stp>
        <tr r="J709" s="1"/>
      </tp>
      <tp t="s">
        <v>#N/A Field Not Applicable</v>
        <stp/>
        <stp>##V3_BDPV12</stp>
        <stp>9128336G Govt</stp>
        <stp>COUPON_FREQUENCY_DESCRIPTION</stp>
        <stp>[STRIPS.xlsx]Sheet1!R494C10</stp>
        <tr r="J494" s="1"/>
      </tp>
      <tp t="s">
        <v>#N/A Field Not Applicable</v>
        <stp/>
        <stp>##V3_BDPV12</stp>
        <stp>912834AG Govt</stp>
        <stp>COUPON_FREQUENCY_DESCRIPTION</stp>
        <stp>[STRIPS.xlsx]Sheet1!R590C10</stp>
        <tr r="J590" s="1"/>
      </tp>
      <tp t="s">
        <v>#N/A Field Not Applicable</v>
        <stp/>
        <stp>##V3_BDPV12</stp>
        <stp>912834BG Govt</stp>
        <stp>COUPON_FREQUENCY_DESCRIPTION</stp>
        <stp>[STRIPS.xlsx]Sheet1!R592C10</stp>
        <tr r="J592" s="1"/>
      </tp>
      <tp t="s">
        <v>#N/A Field Not Applicable</v>
        <stp/>
        <stp>##V3_BDPV12</stp>
        <stp>912834EG Govt</stp>
        <stp>COUPON_FREQUENCY_DESCRIPTION</stp>
        <stp>[STRIPS.xlsx]Sheet1!R533C10</stp>
        <tr r="J533" s="1"/>
      </tp>
      <tp t="s">
        <v>#N/A Field Not Applicable</v>
        <stp/>
        <stp>##V3_BDPV12</stp>
        <stp>912833MG Govt</stp>
        <stp>COUPON_FREQUENCY_DESCRIPTION</stp>
        <stp>[STRIPS.xlsx]Sheet1!R514C10</stp>
        <tr r="J514" s="1"/>
      </tp>
      <tp t="s">
        <v>#N/A Field Not Applicable</v>
        <stp/>
        <stp>##V3_BDPV12</stp>
        <stp>912833NG Govt</stp>
        <stp>COUPON_FREQUENCY_DESCRIPTION</stp>
        <stp>[STRIPS.xlsx]Sheet1!R516C10</stp>
        <tr r="J516" s="1"/>
      </tp>
      <tp t="s">
        <v>8/15/2049</v>
        <stp/>
        <stp>##V3_BDPV12</stp>
        <stp>912834UY Govt</stp>
        <stp>MATURITY</stp>
        <stp>[STRIPS.xlsx]Sheet1!R75C5</stp>
        <tr r="E75" s="1"/>
      </tp>
      <tp t="s">
        <v>5/15/2049</v>
        <stp/>
        <stp>##V3_BDPV12</stp>
        <stp>912834UR Govt</stp>
        <stp>MATURITY</stp>
        <stp>[STRIPS.xlsx]Sheet1!R65C5</stp>
        <tr r="E65" s="1"/>
      </tp>
      <tp t="s">
        <v>11/15/2028</v>
        <stp/>
        <stp>##V3_BDPV12</stp>
        <stp>912833WR Govt</stp>
        <stp>MATURITY</stp>
        <stp>[STRIPS.xlsx]Sheet1!R52C5</stp>
        <tr r="E52" s="1"/>
      </tp>
      <tp t="s">
        <v>2/15/2025</v>
        <stp/>
        <stp>##V3_BDPV12</stp>
        <stp>912833LU Govt</stp>
        <stp>MATURITY</stp>
        <stp>[STRIPS.xlsx]Sheet1!R22C5</stp>
        <tr r="E22" s="1"/>
      </tp>
      <tp t="s">
        <v>8/15/2042</v>
        <stp/>
        <stp>##V3_BDPV12</stp>
        <stp>912834LR Govt</stp>
        <stp>MATURITY</stp>
        <stp>[STRIPS.xlsx]Sheet1!R95C5</stp>
        <tr r="E95" s="1"/>
      </tp>
      <tp t="s">
        <v>11/15/2023</v>
        <stp/>
        <stp>##V3_BDPV12</stp>
        <stp>912833LP Govt</stp>
        <stp>MATURITY</stp>
        <stp>[STRIPS.xlsx]Sheet1!R12C5</stp>
        <tr r="E12" s="1"/>
      </tp>
      <tp t="s">
        <v>11/15/2010</v>
        <stp/>
        <stp>##V3_BDPV12</stp>
        <stp>912834JH Govt</stp>
        <stp>ISSUE_DT</stp>
        <stp>[STRIPS.xlsx]Sheet1!R68C15</stp>
        <tr r="O68" s="1"/>
      </tp>
      <tp t="s">
        <v>8/16/2010</v>
        <stp/>
        <stp>##V3_BDPV12</stp>
        <stp>912834JB Govt</stp>
        <stp>ISSUE_DT</stp>
        <stp>[STRIPS.xlsx]Sheet1!R82C15</stp>
        <tr r="O82" s="1"/>
      </tp>
      <tp t="s">
        <v>#N/A Field Not Applicable</v>
        <stp/>
        <stp>##V3_BDPV12</stp>
        <stp>912834PM Govt</stp>
        <stp>IDX_RATIO</stp>
        <stp>[STRIPS.xlsx]Sheet1!R84C20</stp>
        <tr r="T84" s="1"/>
      </tp>
      <tp t="s">
        <v>#N/A Field Not Applicable</v>
        <stp/>
        <stp>##V3_BDPV12</stp>
        <stp>912834VM Govt</stp>
        <stp>IDX_RATIO</stp>
        <stp>[STRIPS.xlsx]Sheet1!R81C20</stp>
        <tr r="T81" s="1"/>
      </tp>
      <tp t="s">
        <v>#N/A Field Not Applicable</v>
        <stp/>
        <stp>##V3_BDPV12</stp>
        <stp>912834MM Govt</stp>
        <stp>IDX_RATIO</stp>
        <stp>[STRIPS.xlsx]Sheet1!R80C20</stp>
        <tr r="T80" s="1"/>
      </tp>
      <tp t="s">
        <v>#N/A Field Not Applicable</v>
        <stp/>
        <stp>##V3_BDPV12</stp>
        <stp>912833LM Govt</stp>
        <stp>IDX_RATIO</stp>
        <stp>[STRIPS.xlsx]Sheet1!R17C20</stp>
        <tr r="T17" s="1"/>
      </tp>
      <tp t="s">
        <v>3/31/2015</v>
        <stp/>
        <stp>##V3_BDPV12</stp>
        <stp>912834JY Govt</stp>
        <stp>ISSUE_DT</stp>
        <stp>[STRIPS.xlsx]Sheet1!R64C15</stp>
        <tr r="O64" s="1"/>
      </tp>
      <tp t="s">
        <v>2/15/2011</v>
        <stp/>
        <stp>##V3_BDPV12</stp>
        <stp>912834JP Govt</stp>
        <stp>ISSUE_DT</stp>
        <stp>[STRIPS.xlsx]Sheet1!R34C15</stp>
        <tr r="O34" s="1"/>
      </tp>
      <tp t="s">
        <v>912833Z52</v>
        <stp/>
        <stp>##V3_BDPV12</stp>
        <stp>912833Z5 Govt</stp>
        <stp>ID_CUSIP</stp>
        <stp>[STRIPS.xlsx]Sheet1!R74C19</stp>
        <tr r="S74" s="1"/>
      </tp>
      <tp t="s">
        <v>USD</v>
        <stp/>
        <stp>##V3_BDPV12</stp>
        <stp>912833XY Govt</stp>
        <stp>CRNCY</stp>
        <stp>[STRIPS.xlsx]Sheet1!R50C7</stp>
        <tr r="G50" s="1"/>
      </tp>
      <tp t="s">
        <v>S</v>
        <stp/>
        <stp>##V3_BDPV12</stp>
        <stp>912834UR Govt</stp>
        <stp>TICKER</stp>
        <stp>[STRIPS.xlsx]Sheet1!R65C2</stp>
        <tr r="B65" s="1"/>
      </tp>
      <tp t="s">
        <v>S</v>
        <stp/>
        <stp>##V3_BDPV12</stp>
        <stp>912834VV Govt</stp>
        <stp>TICKER</stp>
        <stp>[STRIPS.xlsx]Sheet1!R51C2</stp>
        <tr r="B51" s="1"/>
      </tp>
      <tp t="s">
        <v>S</v>
        <stp/>
        <stp>##V3_BDPV12</stp>
        <stp>912834LR Govt</stp>
        <stp>TICKER</stp>
        <stp>[STRIPS.xlsx]Sheet1!R95C2</stp>
        <tr r="B95" s="1"/>
      </tp>
      <tp t="s">
        <v>S</v>
        <stp/>
        <stp>##V3_BDPV12</stp>
        <stp>912834EP Govt</stp>
        <stp>TICKER</stp>
        <stp>[STRIPS.xlsx]Sheet1!R77C2</stp>
        <tr r="B77" s="1"/>
      </tp>
      <tp t="s">
        <v>S</v>
        <stp/>
        <stp>##V3_BDPV12</stp>
        <stp>912833LU Govt</stp>
        <stp>TICKER</stp>
        <stp>[STRIPS.xlsx]Sheet1!R22C2</stp>
        <tr r="B22" s="1"/>
      </tp>
      <tp t="s">
        <v>USD</v>
        <stp/>
        <stp>##V3_BDPV12</stp>
        <stp>912833XU Govt</stp>
        <stp>CRNCY</stp>
        <stp>[STRIPS.xlsx]Sheet1!R30C7</stp>
        <tr r="G30" s="1"/>
      </tp>
      <tp t="s">
        <v>UNITED STATES</v>
        <stp/>
        <stp>##V3_BDPV12</stp>
        <stp>912833B9 Govt</stp>
        <stp>COUNTRY_FULL_NAME</stp>
        <stp>[STRIPS.xlsx]Sheet1!R434C8</stp>
        <tr r="H434" s="1"/>
      </tp>
      <tp t="s">
        <v>NORMAL</v>
        <stp/>
        <stp>##V3_BDPV12</stp>
        <stp>912833RZ Govt</stp>
        <stp>MTY_TYP</stp>
        <stp>[STRIPS.xlsx]Sheet1!R26C6</stp>
        <tr r="F26" s="1"/>
      </tp>
      <tp t="s">
        <v>NORMAL</v>
        <stp/>
        <stp>##V3_BDPV12</stp>
        <stp>912833X8 Govt</stp>
        <stp>MTY_TYP</stp>
        <stp>[STRIPS.xlsx]Sheet1!R66C6</stp>
        <tr r="F66" s="1"/>
      </tp>
      <tp t="s">
        <v>NORMAL</v>
        <stp/>
        <stp>##V3_BDPV12</stp>
        <stp>912833LL Govt</stp>
        <stp>MTY_TYP</stp>
        <stp>[STRIPS.xlsx]Sheet1!R36C6</stp>
        <tr r="F36" s="1"/>
      </tp>
      <tp t="s">
        <v>NORMAL</v>
        <stp/>
        <stp>##V3_BDPV12</stp>
        <stp>912833LY Govt</stp>
        <stp>MTY_TYP</stp>
        <stp>[STRIPS.xlsx]Sheet1!R16C6</stp>
        <tr r="F16" s="1"/>
      </tp>
      <tp t="s">
        <v>NORMAL</v>
        <stp/>
        <stp>##V3_BDPV12</stp>
        <stp>9128337U Govt</stp>
        <stp>MTY_TYP</stp>
        <stp>[STRIPS.xlsx]Sheet1!R46C6</stp>
        <tr r="F46" s="1"/>
      </tp>
      <tp t="s">
        <v>NORMAL</v>
        <stp/>
        <stp>##V3_BDPV12</stp>
        <stp>912834RR Govt</stp>
        <stp>MTY_TYP</stp>
        <stp>[STRIPS.xlsx]Sheet1!R86C6</stp>
        <tr r="F86" s="1"/>
      </tp>
      <tp t="s">
        <v>NORMAL</v>
        <stp/>
        <stp>##V3_BDPV12</stp>
        <stp>912834QH Govt</stp>
        <stp>MTY_TYP</stp>
        <stp>[STRIPS.xlsx]Sheet1!R96C6</stp>
        <tr r="F96" s="1"/>
      </tp>
      <tp t="s">
        <v>NORMAL</v>
        <stp/>
        <stp>##V3_BDPV12</stp>
        <stp>912834AT Govt</stp>
        <stp>MTY_TYP</stp>
        <stp>[STRIPS.xlsx]Sheet1!R76C6</stp>
        <tr r="F76" s="1"/>
      </tp>
      <tp t="s">
        <v>NORMAL</v>
        <stp/>
        <stp>##V3_BDPV12</stp>
        <stp>912834KH Govt</stp>
        <stp>MTY_TYP</stp>
        <stp>[STRIPS.xlsx]Sheet1!R56C6</stp>
        <tr r="F56" s="1"/>
      </tp>
      <tp t="s">
        <v>8/15/2035</v>
        <stp/>
        <stp>##V3_BDPV12</stp>
        <stp>9128335A Govt</stp>
        <stp>MATURITY</stp>
        <stp>[STRIPS.xlsx]Sheet1!R42C5</stp>
        <tr r="E42" s="1"/>
      </tp>
      <tp t="s">
        <v>#N/A Field Not Applicable</v>
        <stp/>
        <stp>##V3_BDPV12</stp>
        <stp>9128336F Govt</stp>
        <stp>COUPON_FREQUENCY_DESCRIPTION</stp>
        <stp>[STRIPS.xlsx]Sheet1!R288C10</stp>
        <tr r="J288" s="1"/>
      </tp>
      <tp t="s">
        <v>#N/A Field Not Applicable</v>
        <stp/>
        <stp>##V3_BDPV12</stp>
        <stp>912834VF Govt</stp>
        <stp>COUPON_FREQUENCY_DESCRIPTION</stp>
        <stp>[STRIPS.xlsx]Sheet1!R219C10</stp>
        <tr r="J219" s="1"/>
      </tp>
      <tp t="s">
        <v>#N/A Field Not Applicable</v>
        <stp/>
        <stp>##V3_BDPV12</stp>
        <stp>912834KF Govt</stp>
        <stp>COUPON_FREQUENCY_DESCRIPTION</stp>
        <stp>[STRIPS.xlsx]Sheet1!R229C10</stp>
        <tr r="J229" s="1"/>
      </tp>
      <tp t="s">
        <v>#N/A Field Not Applicable</v>
        <stp/>
        <stp>##V3_BDPV12</stp>
        <stp>912834QF Govt</stp>
        <stp>COUPON_FREQUENCY_DESCRIPTION</stp>
        <stp>[STRIPS.xlsx]Sheet1!R277C10</stp>
        <tr r="J277" s="1"/>
      </tp>
      <tp t="s">
        <v>#N/A Field Not Applicable</v>
        <stp/>
        <stp>##V3_BDPV12</stp>
        <stp>912833KF Govt</stp>
        <stp>COUPON_FREQUENCY_DESCRIPTION</stp>
        <stp>[STRIPS.xlsx]Sheet1!R368C10</stp>
        <tr r="J368" s="1"/>
      </tp>
      <tp t="s">
        <v>#N/A Field Not Applicable</v>
        <stp/>
        <stp>##V3_BDPV12</stp>
        <stp>912834LF Govt</stp>
        <stp>COUPON_FREQUENCY_DESCRIPTION</stp>
        <stp>[STRIPS.xlsx]Sheet1!R320C10</stp>
        <tr r="J320" s="1"/>
      </tp>
      <tp t="s">
        <v>#N/A Field Not Applicable</v>
        <stp/>
        <stp>##V3_BDPV12</stp>
        <stp>912834BF Govt</stp>
        <stp>COUPON_FREQUENCY_DESCRIPTION</stp>
        <stp>[STRIPS.xlsx]Sheet1!R350C10</stp>
        <tr r="J350" s="1"/>
      </tp>
      <tp t="s">
        <v>#N/A Field Not Applicable</v>
        <stp/>
        <stp>##V3_BDPV12</stp>
        <stp>912833MF Govt</stp>
        <stp>COUPON_FREQUENCY_DESCRIPTION</stp>
        <stp>[STRIPS.xlsx]Sheet1!R305C10</stp>
        <tr r="J305" s="1"/>
      </tp>
      <tp t="s">
        <v>#N/A Field Not Applicable</v>
        <stp/>
        <stp>##V3_BDPV12</stp>
        <stp>912834XF Govt</stp>
        <stp>COUPON_FREQUENCY_DESCRIPTION</stp>
        <stp>[STRIPS.xlsx]Sheet1!R187C10</stp>
        <tr r="J187" s="1"/>
      </tp>
      <tp t="s">
        <v>#N/A Field Not Applicable</v>
        <stp/>
        <stp>##V3_BDPV12</stp>
        <stp>912834UF Govt</stp>
        <stp>COUPON_FREQUENCY_DESCRIPTION</stp>
        <stp>[STRIPS.xlsx]Sheet1!R147C10</stp>
        <tr r="J147" s="1"/>
      </tp>
      <tp t="s">
        <v>#N/A Field Not Applicable</v>
        <stp/>
        <stp>##V3_BDPV12</stp>
        <stp>912833QF Govt</stp>
        <stp>COUPON_FREQUENCY_DESCRIPTION</stp>
        <stp>[STRIPS.xlsx]Sheet1!R684C10</stp>
        <tr r="J684" s="1"/>
      </tp>
      <tp t="s">
        <v>#N/A Field Not Applicable</v>
        <stp/>
        <stp>##V3_BDPV12</stp>
        <stp>912833PF Govt</stp>
        <stp>COUPON_FREQUENCY_DESCRIPTION</stp>
        <stp>[STRIPS.xlsx]Sheet1!R678C10</stp>
        <tr r="J678" s="1"/>
      </tp>
      <tp t="s">
        <v>#N/A Field Not Applicable</v>
        <stp/>
        <stp>##V3_BDPV12</stp>
        <stp>912833DF Govt</stp>
        <stp>COUPON_FREQUENCY_DESCRIPTION</stp>
        <stp>[STRIPS.xlsx]Sheet1!R660C10</stp>
        <tr r="J660" s="1"/>
      </tp>
      <tp t="s">
        <v>#N/A Field Not Applicable</v>
        <stp/>
        <stp>##V3_BDPV12</stp>
        <stp>912833GF Govt</stp>
        <stp>COUPON_FREQUENCY_DESCRIPTION</stp>
        <stp>[STRIPS.xlsx]Sheet1!R667C10</stp>
        <tr r="J667" s="1"/>
      </tp>
      <tp t="s">
        <v>#N/A Field Not Applicable</v>
        <stp/>
        <stp>##V3_BDPV12</stp>
        <stp>912833CF Govt</stp>
        <stp>COUPON_FREQUENCY_DESCRIPTION</stp>
        <stp>[STRIPS.xlsx]Sheet1!R655C10</stp>
        <tr r="J655" s="1"/>
      </tp>
      <tp t="s">
        <v>#N/A Field Not Applicable</v>
        <stp/>
        <stp>##V3_BDPV12</stp>
        <stp>912834JF Govt</stp>
        <stp>COUPON_FREQUENCY_DESCRIPTION</stp>
        <stp>[STRIPS.xlsx]Sheet1!R647C10</stp>
        <tr r="J647" s="1"/>
      </tp>
      <tp t="s">
        <v>#N/A Field Not Applicable</v>
        <stp/>
        <stp>##V3_BDPV12</stp>
        <stp>912833FF Govt</stp>
        <stp>COUPON_FREQUENCY_DESCRIPTION</stp>
        <stp>[STRIPS.xlsx]Sheet1!R618C10</stp>
        <tr r="J618" s="1"/>
      </tp>
      <tp t="s">
        <v>#N/A Field Not Applicable</v>
        <stp/>
        <stp>##V3_BDPV12</stp>
        <stp>9128334F Govt</stp>
        <stp>COUPON_FREQUENCY_DESCRIPTION</stp>
        <stp>[STRIPS.xlsx]Sheet1!R604C10</stp>
        <tr r="J604" s="1"/>
      </tp>
      <tp t="s">
        <v>#N/A Field Not Applicable</v>
        <stp/>
        <stp>##V3_BDPV12</stp>
        <stp>9128335F Govt</stp>
        <stp>COUPON_FREQUENCY_DESCRIPTION</stp>
        <stp>[STRIPS.xlsx]Sheet1!R721C10</stp>
        <tr r="J721" s="1"/>
      </tp>
      <tp t="s">
        <v>#N/A Field Not Applicable</v>
        <stp/>
        <stp>##V3_BDPV12</stp>
        <stp>912834WF Govt</stp>
        <stp>COUPON_FREQUENCY_DESCRIPTION</stp>
        <stp>[STRIPS.xlsx]Sheet1!R770C10</stp>
        <tr r="J770" s="1"/>
      </tp>
      <tp t="s">
        <v>#N/A Field Not Applicable</v>
        <stp/>
        <stp>##V3_BDPV12</stp>
        <stp>9128332F Govt</stp>
        <stp>COUPON_FREQUENCY_DESCRIPTION</stp>
        <stp>[STRIPS.xlsx]Sheet1!R702C10</stp>
        <tr r="J702" s="1"/>
      </tp>
      <tp t="s">
        <v>#N/A Field Not Applicable</v>
        <stp/>
        <stp>##V3_BDPV12</stp>
        <stp>912834PF Govt</stp>
        <stp>COUPON_FREQUENCY_DESCRIPTION</stp>
        <stp>[STRIPS.xlsx]Sheet1!R411C10</stp>
        <tr r="J411" s="1"/>
      </tp>
      <tp t="s">
        <v>#N/A Field Not Applicable</v>
        <stp/>
        <stp>##V3_BDPV12</stp>
        <stp>912833NF Govt</stp>
        <stp>COUPON_FREQUENCY_DESCRIPTION</stp>
        <stp>[STRIPS.xlsx]Sheet1!R447C10</stp>
        <tr r="J447" s="1"/>
      </tp>
      <tp t="s">
        <v>#N/A Field Not Applicable</v>
        <stp/>
        <stp>##V3_BDPV12</stp>
        <stp>912834AF Govt</stp>
        <stp>COUPON_FREQUENCY_DESCRIPTION</stp>
        <stp>[STRIPS.xlsx]Sheet1!R456C10</stp>
        <tr r="J456" s="1"/>
      </tp>
      <tp t="s">
        <v>#N/A Field Not Applicable</v>
        <stp/>
        <stp>##V3_BDPV12</stp>
        <stp>912834EF Govt</stp>
        <stp>COUPON_FREQUENCY_DESCRIPTION</stp>
        <stp>[STRIPS.xlsx]Sheet1!R594C10</stp>
        <tr r="J594" s="1"/>
      </tp>
      <tp t="s">
        <v>#N/A Field Not Applicable</v>
        <stp/>
        <stp>##V3_BDPV12</stp>
        <stp>912833ZF Govt</stp>
        <stp>COUPON_FREQUENCY_DESCRIPTION</stp>
        <stp>[STRIPS.xlsx]Sheet1!R587C10</stp>
        <tr r="J587" s="1"/>
      </tp>
      <tp t="s">
        <v>#N/A Field Not Applicable</v>
        <stp/>
        <stp>##V3_BDPV12</stp>
        <stp>912833RF Govt</stp>
        <stp>COUPON_FREQUENCY_DESCRIPTION</stp>
        <stp>[STRIPS.xlsx]Sheet1!R522C10</stp>
        <tr r="J522" s="1"/>
      </tp>
      <tp t="s">
        <v>#N/A Field Not Applicable</v>
        <stp/>
        <stp>##V3_BDPV12</stp>
        <stp>912834RF Govt</stp>
        <stp>COUPON_FREQUENCY_DESCRIPTION</stp>
        <stp>[STRIPS.xlsx]Sheet1!R551C10</stp>
        <tr r="J551" s="1"/>
      </tp>
      <tp t="s">
        <v>8/15/2045</v>
        <stp/>
        <stp>##V3_BDPV12</stp>
        <stp>912834PM Govt</stp>
        <stp>MATURITY</stp>
        <stp>[STRIPS.xlsx]Sheet1!R84C5</stp>
        <tr r="E84" s="1"/>
      </tp>
      <tp t="s">
        <v>5/15/2027</v>
        <stp/>
        <stp>##V3_BDPV12</stp>
        <stp>912833PD Govt</stp>
        <stp>MATURITY</stp>
        <stp>[STRIPS.xlsx]Sheet1!R13C5</stp>
        <tr r="E13" s="1"/>
      </tp>
      <tp t="s">
        <v>11/15/2047</v>
        <stp/>
        <stp>##V3_BDPV12</stp>
        <stp>912834SZ Govt</stp>
        <stp>MATURITY</stp>
        <stp>[STRIPS.xlsx]Sheet1!R94C5</stp>
        <tr r="E94" s="1"/>
      </tp>
      <tp t="s">
        <v>2/15/2051</v>
        <stp/>
        <stp>##V3_BDPV12</stp>
        <stp>912834WR Govt</stp>
        <stp>MATURITY</stp>
        <stp>[STRIPS.xlsx]Sheet1!R54C5</stp>
        <tr r="E54" s="1"/>
      </tp>
      <tp t="s">
        <v>3/31/2022</v>
        <stp/>
        <stp>##V3_BDPV12</stp>
        <stp>912834JY Govt</stp>
        <stp>MATURITY</stp>
        <stp>[STRIPS.xlsx]Sheet1!R64C5</stp>
        <tr r="E64" s="1"/>
      </tp>
      <tp t="s">
        <v>2/15/2041</v>
        <stp/>
        <stp>##V3_BDPV12</stp>
        <stp>912834JP Govt</stp>
        <stp>MATURITY</stp>
        <stp>[STRIPS.xlsx]Sheet1!R34C5</stp>
        <tr r="E34" s="1"/>
      </tp>
      <tp t="s">
        <v>5/15/2023</v>
        <stp/>
        <stp>##V3_BDPV12</stp>
        <stp>912833LN Govt</stp>
        <stp>MATURITY</stp>
        <stp>[STRIPS.xlsx]Sheet1!R63C5</stp>
        <tr r="E63" s="1"/>
      </tp>
      <tp t="s">
        <v>2/15/2022</v>
        <stp/>
        <stp>##V3_BDPV12</stp>
        <stp>912833LG Govt</stp>
        <stp>MATURITY</stp>
        <stp>[STRIPS.xlsx]Sheet1!R33C5</stp>
        <tr r="E33" s="1"/>
      </tp>
      <tp t="s">
        <v>5/16/2011</v>
        <stp/>
        <stp>##V3_BDPV12</stp>
        <stp>912834KH Govt</stp>
        <stp>ISSUE_DT</stp>
        <stp>[STRIPS.xlsx]Sheet1!R56C15</stp>
        <tr r="O56" s="1"/>
      </tp>
      <tp t="s">
        <v>#N/A Field Not Applicable</v>
        <stp/>
        <stp>##V3_BDPV12</stp>
        <stp>912834UL Govt</stp>
        <stp>IDX_RATIO</stp>
        <stp>[STRIPS.xlsx]Sheet1!R88C20</stp>
        <tr r="T88" s="1"/>
      </tp>
      <tp t="s">
        <v>#N/A Field Not Applicable</v>
        <stp/>
        <stp>##V3_BDPV12</stp>
        <stp>912833LL Govt</stp>
        <stp>IDX_RATIO</stp>
        <stp>[STRIPS.xlsx]Sheet1!R36C20</stp>
        <tr r="T36" s="1"/>
      </tp>
      <tp t="s">
        <v>USD</v>
        <stp/>
        <stp>##V3_BDPV12</stp>
        <stp>912833Y4 Govt</stp>
        <stp>CRNCY</stp>
        <stp>[STRIPS.xlsx]Sheet1!R60C7</stp>
        <tr r="G60" s="1"/>
      </tp>
      <tp t="s">
        <v>11/15/2011</v>
        <stp/>
        <stp>##V3_BDPV12</stp>
        <stp>912834KV Govt</stp>
        <stp>ISSUE_DT</stp>
        <stp>[STRIPS.xlsx]Sheet1!R57C15</stp>
        <tr r="O57" s="1"/>
      </tp>
      <tp t="s">
        <v>USD</v>
        <stp/>
        <stp>##V3_BDPV12</stp>
        <stp>912833XZ Govt</stp>
        <stp>CRNCY</stp>
        <stp>[STRIPS.xlsx]Sheet1!R31C7</stp>
        <tr r="G31" s="1"/>
      </tp>
      <tp t="s">
        <v>S</v>
        <stp/>
        <stp>##V3_BDPV12</stp>
        <stp>912834WR Govt</stp>
        <stp>TICKER</stp>
        <stp>[STRIPS.xlsx]Sheet1!R54C2</stp>
        <tr r="B54" s="1"/>
      </tp>
      <tp t="s">
        <v>S</v>
        <stp/>
        <stp>##V3_BDPV12</stp>
        <stp>912834UQ Govt</stp>
        <stp>TICKER</stp>
        <stp>[STRIPS.xlsx]Sheet1!R97C2</stp>
        <tr r="B97" s="1"/>
      </tp>
      <tp t="s">
        <v>S</v>
        <stp/>
        <stp>##V3_BDPV12</stp>
        <stp>912834TV Govt</stp>
        <stp>TICKER</stp>
        <stp>[STRIPS.xlsx]Sheet1!R90C2</stp>
        <tr r="B90" s="1"/>
      </tp>
      <tp t="s">
        <v>S</v>
        <stp/>
        <stp>##V3_BDPV12</stp>
        <stp>912834HV Govt</stp>
        <stp>TICKER</stp>
        <stp>[STRIPS.xlsx]Sheet1!R70C2</stp>
        <tr r="B70" s="1"/>
      </tp>
      <tp t="s">
        <v>S</v>
        <stp/>
        <stp>##V3_BDPV12</stp>
        <stp>9128337S Govt</stp>
        <stp>TICKER</stp>
        <stp>[STRIPS.xlsx]Sheet1!R35C2</stp>
        <tr r="B35" s="1"/>
      </tp>
      <tp t="s">
        <v>S</v>
        <stp/>
        <stp>##V3_BDPV12</stp>
        <stp>9128334W Govt</stp>
        <stp>TICKER</stp>
        <stp>[STRIPS.xlsx]Sheet1!R61C2</stp>
        <tr r="B61" s="1"/>
      </tp>
      <tp t="s">
        <v>NORMAL</v>
        <stp/>
        <stp>##V3_BDPV12</stp>
        <stp>912833XS Govt</stp>
        <stp>MTY_TYP</stp>
        <stp>[STRIPS.xlsx]Sheet1!R47C6</stp>
        <tr r="F47" s="1"/>
      </tp>
      <tp t="s">
        <v>NORMAL</v>
        <stp/>
        <stp>##V3_BDPV12</stp>
        <stp>912833Y2 Govt</stp>
        <stp>MTY_TYP</stp>
        <stp>[STRIPS.xlsx]Sheet1!R27C6</stp>
        <tr r="F27" s="1"/>
      </tp>
      <tp t="s">
        <v>NORMAL</v>
        <stp/>
        <stp>##V3_BDPV12</stp>
        <stp>912833LM Govt</stp>
        <stp>MTY_TYP</stp>
        <stp>[STRIPS.xlsx]Sheet1!R17C6</stp>
        <tr r="F17" s="1"/>
      </tp>
      <tp t="s">
        <v>NORMAL</v>
        <stp/>
        <stp>##V3_BDPV12</stp>
        <stp>912833LS Govt</stp>
        <stp>MTY_TYP</stp>
        <stp>[STRIPS.xlsx]Sheet1!R37C6</stp>
        <tr r="F37" s="1"/>
      </tp>
      <tp t="s">
        <v>NORMAL</v>
        <stp/>
        <stp>##V3_BDPV12</stp>
        <stp>9128334Y Govt</stp>
        <stp>MTY_TYP</stp>
        <stp>[STRIPS.xlsx]Sheet1!R67C6</stp>
        <tr r="F67" s="1"/>
      </tp>
      <tp t="s">
        <v>NORMAL</v>
        <stp/>
        <stp>##V3_BDPV12</stp>
        <stp>912834UQ Govt</stp>
        <stp>MTY_TYP</stp>
        <stp>[STRIPS.xlsx]Sheet1!R97C6</stp>
        <tr r="F97" s="1"/>
      </tp>
      <tp t="s">
        <v>NORMAL</v>
        <stp/>
        <stp>##V3_BDPV12</stp>
        <stp>912834DU Govt</stp>
        <stp>MTY_TYP</stp>
        <stp>[STRIPS.xlsx]Sheet1!R87C6</stp>
        <tr r="F87" s="1"/>
      </tp>
      <tp t="s">
        <v>NORMAL</v>
        <stp/>
        <stp>##V3_BDPV12</stp>
        <stp>912834EP Govt</stp>
        <stp>MTY_TYP</stp>
        <stp>[STRIPS.xlsx]Sheet1!R77C6</stp>
        <tr r="F77" s="1"/>
      </tp>
      <tp t="s">
        <v>NORMAL</v>
        <stp/>
        <stp>##V3_BDPV12</stp>
        <stp>912834KV Govt</stp>
        <stp>MTY_TYP</stp>
        <stp>[STRIPS.xlsx]Sheet1!R57C6</stp>
        <tr r="F57" s="1"/>
      </tp>
      <tp t="s">
        <v>2/15/2036</v>
        <stp/>
        <stp>##V3_BDPV12</stp>
        <stp>9128335B Govt</stp>
        <stp>MATURITY</stp>
        <stp>[STRIPS.xlsx]Sheet1!R43C5</stp>
        <tr r="E43" s="1"/>
      </tp>
      <tp t="s">
        <v>8/15/2036</v>
        <stp/>
        <stp>##V3_BDPV12</stp>
        <stp>9128337E Govt</stp>
        <stp>MATURITY</stp>
        <stp>[STRIPS.xlsx]Sheet1!R23C5</stp>
        <tr r="E23" s="1"/>
      </tp>
      <tp t="s">
        <v>8/15/2029</v>
        <stp/>
        <stp>##V3_BDPV12</stp>
        <stp>912833XP Govt</stp>
        <stp>MATURITY</stp>
        <stp>[STRIPS.xlsx]Sheet1!R44C5</stp>
        <tr r="E44" s="1"/>
      </tp>
      <tp t="s">
        <v>ACT/ACT</v>
        <stp/>
        <stp>##V3_BDPV12</stp>
        <stp>912833YU Govt</stp>
        <stp>DAY_CNT_DES</stp>
        <stp>[STRIPS.xlsx]Sheet1!R586C17</stp>
        <tr r="Q586" s="1"/>
      </tp>
      <tp t="s">
        <v>#N/A Field Not Applicable</v>
        <stp/>
        <stp>##V3_BDPV12</stp>
        <stp>912834UA Govt</stp>
        <stp>COUPON_FREQUENCY_DESCRIPTION</stp>
        <stp>[STRIPS.xlsx]Sheet1!R200C10</stp>
        <tr r="J200" s="1"/>
      </tp>
      <tp t="s">
        <v>#N/A Field Not Applicable</v>
        <stp/>
        <stp>##V3_BDPV12</stp>
        <stp>912834RA Govt</stp>
        <stp>COUPON_FREQUENCY_DESCRIPTION</stp>
        <stp>[STRIPS.xlsx]Sheet1!R216C10</stp>
        <tr r="J216" s="1"/>
      </tp>
      <tp t="s">
        <v>#N/A Field Not Applicable</v>
        <stp/>
        <stp>##V3_BDPV12</stp>
        <stp>912833ZA Govt</stp>
        <stp>COUPON_FREQUENCY_DESCRIPTION</stp>
        <stp>[STRIPS.xlsx]Sheet1!R251C10</stp>
        <tr r="J251" s="1"/>
      </tp>
      <tp t="s">
        <v>ACT/ACT</v>
        <stp/>
        <stp>##V3_BDPV12</stp>
        <stp>912833YR Govt</stp>
        <stp>DAY_CNT_DES</stp>
        <stp>[STRIPS.xlsx]Sheet1!R345C17</stp>
        <tr r="Q345" s="1"/>
      </tp>
      <tp t="s">
        <v>#N/A Field Not Applicable</v>
        <stp/>
        <stp>##V3_BDPV12</stp>
        <stp>912834FA Govt</stp>
        <stp>COUPON_FREQUENCY_DESCRIPTION</stp>
        <stp>[STRIPS.xlsx]Sheet1!R395C10</stp>
        <tr r="J395" s="1"/>
      </tp>
      <tp t="s">
        <v>#N/A Field Not Applicable</v>
        <stp/>
        <stp>##V3_BDPV12</stp>
        <stp>912833QA Govt</stp>
        <stp>COUPON_FREQUENCY_DESCRIPTION</stp>
        <stp>[STRIPS.xlsx]Sheet1!R376C10</stp>
        <tr r="J376" s="1"/>
      </tp>
      <tp t="s">
        <v>#N/A Field Not Applicable</v>
        <stp/>
        <stp>##V3_BDPV12</stp>
        <stp>912833LA Govt</stp>
        <stp>COUPON_FREQUENCY_DESCRIPTION</stp>
        <stp>[STRIPS.xlsx]Sheet1!R369C10</stp>
        <tr r="J369" s="1"/>
      </tp>
      <tp t="s">
        <v>#N/A Field Not Applicable</v>
        <stp/>
        <stp>##V3_BDPV12</stp>
        <stp>912833RA Govt</stp>
        <stp>COUPON_FREQUENCY_DESCRIPTION</stp>
        <stp>[STRIPS.xlsx]Sheet1!R342C10</stp>
        <tr r="J342" s="1"/>
      </tp>
      <tp t="s">
        <v>8/15/2037</v>
        <stp/>
        <stp>##V3_BDPV12</stp>
        <stp>912833Z5 Govt</stp>
        <stp>MATURITY</stp>
        <stp>[STRIPS.xlsx]Sheet1!R74C5</stp>
        <tr r="E74" s="1"/>
      </tp>
      <tp t="s">
        <v>ACT/ACT</v>
        <stp/>
        <stp>##V3_BDPV12</stp>
        <stp>912833YQ Govt</stp>
        <stp>DAY_CNT_DES</stp>
        <stp>[STRIPS.xlsx]Sheet1!R344C17</stp>
        <tr r="Q344" s="1"/>
      </tp>
      <tp t="s">
        <v>#N/A Field Not Applicable</v>
        <stp/>
        <stp>##V3_BDPV12</stp>
        <stp>912834XA Govt</stp>
        <stp>COUPON_FREQUENCY_DESCRIPTION</stp>
        <stp>[STRIPS.xlsx]Sheet1!R190C10</stp>
        <tr r="J190" s="1"/>
      </tp>
      <tp t="s">
        <v>#N/A Field Not Applicable</v>
        <stp/>
        <stp>##V3_BDPV12</stp>
        <stp>912833KA Govt</stp>
        <stp>COUPON_FREQUENCY_DESCRIPTION</stp>
        <stp>[STRIPS.xlsx]Sheet1!R193C10</stp>
        <tr r="J193" s="1"/>
      </tp>
      <tp t="s">
        <v>#N/A Field Not Applicable</v>
        <stp/>
        <stp>##V3_BDPV12</stp>
        <stp>912833DA Govt</stp>
        <stp>COUPON_FREQUENCY_DESCRIPTION</stp>
        <stp>[STRIPS.xlsx]Sheet1!R167C10</stp>
        <tr r="J167" s="1"/>
      </tp>
      <tp t="s">
        <v>#N/A Field Not Applicable</v>
        <stp/>
        <stp>##V3_BDPV12</stp>
        <stp>912834PA Govt</stp>
        <stp>COUPON_FREQUENCY_DESCRIPTION</stp>
        <stp>[STRIPS.xlsx]Sheet1!R123C10</stp>
        <tr r="J123" s="1"/>
      </tp>
      <tp t="s">
        <v>#N/A Field Not Applicable</v>
        <stp/>
        <stp>##V3_BDPV12</stp>
        <stp>912834KA Govt</stp>
        <stp>COUPON_FREQUENCY_DESCRIPTION</stp>
        <stp>[STRIPS.xlsx]Sheet1!R165C10</stp>
        <tr r="J165" s="1"/>
      </tp>
      <tp t="s">
        <v>#N/A Field Not Applicable</v>
        <stp/>
        <stp>##V3_BDPV12</stp>
        <stp>912834MA Govt</stp>
        <stp>COUPON_FREQUENCY_DESCRIPTION</stp>
        <stp>[STRIPS.xlsx]Sheet1!R172C10</stp>
        <tr r="J172" s="1"/>
      </tp>
      <tp t="s">
        <v>#N/A Field Not Applicable</v>
        <stp/>
        <stp>##V3_BDPV12</stp>
        <stp>912834VA Govt</stp>
        <stp>COUPON_FREQUENCY_DESCRIPTION</stp>
        <stp>[STRIPS.xlsx]Sheet1!R178C10</stp>
        <tr r="J178" s="1"/>
      </tp>
      <tp t="s">
        <v>ACT/ACT</v>
        <stp/>
        <stp>##V3_BDPV12</stp>
        <stp>912833YV Govt</stp>
        <stp>DAY_CNT_DES</stp>
        <stp>[STRIPS.xlsx]Sheet1!R250C17</stp>
        <tr r="Q250" s="1"/>
      </tp>
      <tp t="s">
        <v>#N/A Field Not Applicable</v>
        <stp/>
        <stp>##V3_BDPV12</stp>
        <stp>912833YA Govt</stp>
        <stp>COUPON_FREQUENCY_DESCRIPTION</stp>
        <stp>[STRIPS.xlsx]Sheet1!R694C10</stp>
        <tr r="J694" s="1"/>
      </tp>
      <tp t="s">
        <v>#N/A Field Not Applicable</v>
        <stp/>
        <stp>##V3_BDPV12</stp>
        <stp>9128336A Govt</stp>
        <stp>COUPON_FREQUENCY_DESCRIPTION</stp>
        <stp>[STRIPS.xlsx]Sheet1!R748C10</stp>
        <tr r="J748" s="1"/>
      </tp>
      <tp t="s">
        <v>#N/A Field Not Applicable</v>
        <stp/>
        <stp>##V3_BDPV12</stp>
        <stp>912834TA Govt</stp>
        <stp>COUPON_FREQUENCY_DESCRIPTION</stp>
        <stp>[STRIPS.xlsx]Sheet1!R756C10</stp>
        <tr r="J756" s="1"/>
      </tp>
      <tp t="s">
        <v>#N/A Field Not Applicable</v>
        <stp/>
        <stp>##V3_BDPV12</stp>
        <stp>9128332A Govt</stp>
        <stp>COUPON_FREQUENCY_DESCRIPTION</stp>
        <stp>[STRIPS.xlsx]Sheet1!R700C10</stp>
        <tr r="J700" s="1"/>
      </tp>
      <tp t="s">
        <v>ACT/ACT</v>
        <stp/>
        <stp>##V3_BDPV12</stp>
        <stp>912833YT Govt</stp>
        <stp>DAY_CNT_DES</stp>
        <stp>[STRIPS.xlsx]Sheet1!R249C17</stp>
        <tr r="Q249" s="1"/>
      </tp>
      <tp t="s">
        <v>ACT/ACT</v>
        <stp/>
        <stp>##V3_BDPV12</stp>
        <stp>912833YS Govt</stp>
        <stp>DAY_CNT_DES</stp>
        <stp>[STRIPS.xlsx]Sheet1!R585C17</stp>
        <tr r="Q585" s="1"/>
      </tp>
      <tp t="s">
        <v>#N/A Field Not Applicable</v>
        <stp/>
        <stp>##V3_BDPV12</stp>
        <stp>9128337A Govt</stp>
        <stp>COUPON_FREQUENCY_DESCRIPTION</stp>
        <stp>[STRIPS.xlsx]Sheet1!R499C10</stp>
        <tr r="J499" s="1"/>
      </tp>
      <tp t="s">
        <v>#N/A Field Not Applicable</v>
        <stp/>
        <stp>##V3_BDPV12</stp>
        <stp>9128334A Govt</stp>
        <stp>COUPON_FREQUENCY_DESCRIPTION</stp>
        <stp>[STRIPS.xlsx]Sheet1!R487C10</stp>
        <tr r="J487" s="1"/>
      </tp>
      <tp t="s">
        <v>#N/A Field Not Applicable</v>
        <stp/>
        <stp>##V3_BDPV12</stp>
        <stp>912834LA Govt</stp>
        <stp>COUPON_FREQUENCY_DESCRIPTION</stp>
        <stp>[STRIPS.xlsx]Sheet1!R402C10</stp>
        <tr r="J402" s="1"/>
      </tp>
      <tp t="s">
        <v>#N/A Field Not Applicable</v>
        <stp/>
        <stp>##V3_BDPV12</stp>
        <stp>912833NA Govt</stp>
        <stp>COUPON_FREQUENCY_DESCRIPTION</stp>
        <stp>[STRIPS.xlsx]Sheet1!R446C10</stp>
        <tr r="J446" s="1"/>
      </tp>
      <tp t="s">
        <v>#N/A Field Not Applicable</v>
        <stp/>
        <stp>##V3_BDPV12</stp>
        <stp>912833GA Govt</stp>
        <stp>COUPON_FREQUENCY_DESCRIPTION</stp>
        <stp>[STRIPS.xlsx]Sheet1!R439C10</stp>
        <tr r="J439" s="1"/>
      </tp>
      <tp t="s">
        <v>#N/A Field Not Applicable</v>
        <stp/>
        <stp>##V3_BDPV12</stp>
        <stp>912834NA Govt</stp>
        <stp>COUPON_FREQUENCY_DESCRIPTION</stp>
        <stp>[STRIPS.xlsx]Sheet1!R476C10</stp>
        <tr r="J476" s="1"/>
      </tp>
      <tp t="s">
        <v>#N/A Field Not Applicable</v>
        <stp/>
        <stp>##V3_BDPV12</stp>
        <stp>912834AA Govt</stp>
        <stp>COUPON_FREQUENCY_DESCRIPTION</stp>
        <stp>[STRIPS.xlsx]Sheet1!R589C10</stp>
        <tr r="J589" s="1"/>
      </tp>
      <tp t="s">
        <v>#N/A Field Not Applicable</v>
        <stp/>
        <stp>##V3_BDPV12</stp>
        <stp>912834EA Govt</stp>
        <stp>COUPON_FREQUENCY_DESCRIPTION</stp>
        <stp>[STRIPS.xlsx]Sheet1!R593C10</stp>
        <tr r="J593" s="1"/>
      </tp>
      <tp t="s">
        <v>#N/A Field Not Applicable</v>
        <stp/>
        <stp>##V3_BDPV12</stp>
        <stp>912834BA Govt</stp>
        <stp>COUPON_FREQUENCY_DESCRIPTION</stp>
        <stp>[STRIPS.xlsx]Sheet1!R529C10</stp>
        <tr r="J529" s="1"/>
      </tp>
      <tp t="s">
        <v>#N/A Field Not Applicable</v>
        <stp/>
        <stp>##V3_BDPV12</stp>
        <stp>912834JA Govt</stp>
        <stp>COUPON_FREQUENCY_DESCRIPTION</stp>
        <stp>[STRIPS.xlsx]Sheet1!R537C10</stp>
        <tr r="J537" s="1"/>
      </tp>
      <tp t="s">
        <v>#N/A Field Not Applicable</v>
        <stp/>
        <stp>##V3_BDPV12</stp>
        <stp>912833CA Govt</stp>
        <stp>COUPON_FREQUENCY_DESCRIPTION</stp>
        <stp>[STRIPS.xlsx]Sheet1!R502C10</stp>
        <tr r="J502" s="1"/>
      </tp>
      <tp t="s">
        <v>1/31/2022</v>
        <stp/>
        <stp>##V3_BDPV12</stp>
        <stp>912834PG Govt</stp>
        <stp>MATURITY</stp>
        <stp>[STRIPS.xlsx]Sheet1!R83C5</stp>
        <tr r="E83" s="1"/>
      </tp>
      <tp t="s">
        <v>2/15/2027</v>
        <stp/>
        <stp>##V3_BDPV12</stp>
        <stp>912833PC Govt</stp>
        <stp>MATURITY</stp>
        <stp>[STRIPS.xlsx]Sheet1!R14C5</stp>
        <tr r="E14" s="1"/>
      </tp>
      <tp t="s">
        <v>ACT/ACT</v>
        <stp/>
        <stp>##V3_BDPV12</stp>
        <stp>912833YX Govt</stp>
        <stp>DAY_CNT_DES</stp>
        <stp>[STRIPS.xlsx]Sheet1!R381C17</stp>
        <tr r="Q381" s="1"/>
      </tp>
      <tp t="s">
        <v>ACT/ACT</v>
        <stp/>
        <stp>##V3_BDPV12</stp>
        <stp>912833YZ Govt</stp>
        <stp>DAY_CNT_DES</stp>
        <stp>[STRIPS.xlsx]Sheet1!R695C17</stp>
        <tr r="Q695" s="1"/>
      </tp>
      <tp t="s">
        <v>ACT/ACT</v>
        <stp/>
        <stp>##V3_BDPV12</stp>
        <stp>912833YY Govt</stp>
        <stp>DAY_CNT_DES</stp>
        <stp>[STRIPS.xlsx]Sheet1!R453C17</stp>
        <tr r="Q453" s="1"/>
      </tp>
      <tp t="s">
        <v>5/15/2028</v>
        <stp/>
        <stp>##V3_BDPV12</stp>
        <stp>912833WQ Govt</stp>
        <stp>MATURITY</stp>
        <stp>[STRIPS.xlsx]Sheet1!R24C5</stp>
        <tr r="E24" s="1"/>
      </tp>
      <tp t="s">
        <v>5/15/2042</v>
        <stp/>
        <stp>##V3_BDPV12</stp>
        <stp>912834LK Govt</stp>
        <stp>MATURITY</stp>
        <stp>[STRIPS.xlsx]Sheet1!R53C5</stp>
        <tr r="E53" s="1"/>
      </tp>
      <tp t="s">
        <v>2/15/2042</v>
        <stp/>
        <stp>##V3_BDPV12</stp>
        <stp>912834LB Govt</stp>
        <stp>MATURITY</stp>
        <stp>[STRIPS.xlsx]Sheet1!R73C5</stp>
        <tr r="E73" s="1"/>
      </tp>
      <tp t="s">
        <v>11/15/2042</v>
        <stp/>
        <stp>##V3_BDPV12</stp>
        <stp>912834LX Govt</stp>
        <stp>MATURITY</stp>
        <stp>[STRIPS.xlsx]Sheet1!R93C5</stp>
        <tr r="E93" s="1"/>
      </tp>
      <tp t="s">
        <v>ACT/ACT</v>
        <stp/>
        <stp>##V3_BDPV12</stp>
        <stp>912833YC Govt</stp>
        <stp>DAY_CNT_DES</stp>
        <stp>[STRIPS.xlsx]Sheet1!R636C17</stp>
        <tr r="Q636" s="1"/>
      </tp>
      <tp t="s">
        <v>ACT/ACT</v>
        <stp/>
        <stp>##V3_BDPV12</stp>
        <stp>912833YB Govt</stp>
        <stp>DAY_CNT_DES</stp>
        <stp>[STRIPS.xlsx]Sheet1!R451C17</stp>
        <tr r="Q451" s="1"/>
      </tp>
      <tp t="s">
        <v>ACT/ACT</v>
        <stp/>
        <stp>##V3_BDPV12</stp>
        <stp>912833YA Govt</stp>
        <stp>DAY_CNT_DES</stp>
        <stp>[STRIPS.xlsx]Sheet1!R694C17</stp>
        <tr r="Q694" s="1"/>
      </tp>
      <tp t="s">
        <v>ACT/ACT</v>
        <stp/>
        <stp>##V3_BDPV12</stp>
        <stp>912833YM Govt</stp>
        <stp>DAY_CNT_DES</stp>
        <stp>[STRIPS.xlsx]Sheet1!R452C17</stp>
        <tr r="Q452" s="1"/>
      </tp>
      <tp t="s">
        <v>ACT/ACT</v>
        <stp/>
        <stp>##V3_BDPV12</stp>
        <stp>912833YK Govt</stp>
        <stp>DAY_CNT_DES</stp>
        <stp>[STRIPS.xlsx]Sheet1!R584C17</stp>
        <tr r="Q584" s="1"/>
      </tp>
      <tp t="s">
        <v>ACT/ACT</v>
        <stp/>
        <stp>##V3_BDPV12</stp>
        <stp>912833YL Govt</stp>
        <stp>DAY_CNT_DES</stp>
        <stp>[STRIPS.xlsx]Sheet1!R343C17</stp>
        <tr r="Q343" s="1"/>
      </tp>
      <tp t="s">
        <v>8/15/1994</v>
        <stp/>
        <stp>##V3_BDPV12</stp>
        <stp>912833LN Govt</stp>
        <stp>ISSUE_DT</stp>
        <stp>[STRIPS.xlsx]Sheet1!R63C15</stp>
        <tr r="O63" s="1"/>
      </tp>
      <tp t="s">
        <v>2/15/1993</v>
        <stp/>
        <stp>##V3_BDPV12</stp>
        <stp>912833LL Govt</stp>
        <stp>ISSUE_DT</stp>
        <stp>[STRIPS.xlsx]Sheet1!R36C15</stp>
        <tr r="O36" s="1"/>
      </tp>
      <tp t="s">
        <v>8/15/1993</v>
        <stp/>
        <stp>##V3_BDPV12</stp>
        <stp>912833LM Govt</stp>
        <stp>ISSUE_DT</stp>
        <stp>[STRIPS.xlsx]Sheet1!R17C15</stp>
        <tr r="O17" s="1"/>
      </tp>
      <tp t="s">
        <v>USD</v>
        <stp/>
        <stp>##V3_BDPV12</stp>
        <stp>912833X8 Govt</stp>
        <stp>CRNCY</stp>
        <stp>[STRIPS.xlsx]Sheet1!R66C7</stp>
        <tr r="G66" s="1"/>
      </tp>
      <tp t="s">
        <v>8/17/1992</v>
        <stp/>
        <stp>##V3_BDPV12</stp>
        <stp>912833LJ Govt</stp>
        <stp>ISSUE_DT</stp>
        <stp>[STRIPS.xlsx]Sheet1!R18C15</stp>
        <tr r="O18" s="1"/>
      </tp>
      <tp t="s">
        <v>11/16/1992</v>
        <stp/>
        <stp>##V3_BDPV12</stp>
        <stp>912833LK Govt</stp>
        <stp>ISSUE_DT</stp>
        <stp>[STRIPS.xlsx]Sheet1!R21C15</stp>
        <tr r="O21" s="1"/>
      </tp>
      <tp t="s">
        <v>5/15/2012</v>
        <stp/>
        <stp>##V3_BDPV12</stp>
        <stp>912834LK Govt</stp>
        <stp>ISSUE_DT</stp>
        <stp>[STRIPS.xlsx]Sheet1!R53C15</stp>
        <tr r="O53" s="1"/>
      </tp>
      <tp t="s">
        <v>11/16/1992</v>
        <stp/>
        <stp>##V3_BDPV12</stp>
        <stp>912833LH Govt</stp>
        <stp>ISSUE_DT</stp>
        <stp>[STRIPS.xlsx]Sheet1!R40C15</stp>
        <tr r="O40" s="1"/>
      </tp>
      <tp t="s">
        <v>8/17/1992</v>
        <stp/>
        <stp>##V3_BDPV12</stp>
        <stp>912833LG Govt</stp>
        <stp>ISSUE_DT</stp>
        <stp>[STRIPS.xlsx]Sheet1!R33C15</stp>
        <tr r="O33" s="1"/>
      </tp>
      <tp t="s">
        <v>USD</v>
        <stp/>
        <stp>##V3_BDPV12</stp>
        <stp>912833Y2 Govt</stp>
        <stp>CRNCY</stp>
        <stp>[STRIPS.xlsx]Sheet1!R27C7</stp>
        <tr r="G27" s="1"/>
      </tp>
      <tp t="s">
        <v>2/15/2012</v>
        <stp/>
        <stp>##V3_BDPV12</stp>
        <stp>912834LB Govt</stp>
        <stp>ISSUE_DT</stp>
        <stp>[STRIPS.xlsx]Sheet1!R73C15</stp>
        <tr r="O73" s="1"/>
      </tp>
      <tp t="s">
        <v>#N/A Field Not Applicable</v>
        <stp/>
        <stp>##V3_BDPV12</stp>
        <stp>912833LK Govt</stp>
        <stp>IDX_RATIO</stp>
        <stp>[STRIPS.xlsx]Sheet1!R21C20</stp>
        <tr r="T21" s="1"/>
      </tp>
      <tp t="s">
        <v>#N/A Field Not Applicable</v>
        <stp/>
        <stp>##V3_BDPV12</stp>
        <stp>912834LK Govt</stp>
        <stp>IDX_RATIO</stp>
        <stp>[STRIPS.xlsx]Sheet1!R53C20</stp>
        <tr r="T53" s="1"/>
      </tp>
      <tp t="s">
        <v>USD</v>
        <stp/>
        <stp>##V3_BDPV12</stp>
        <stp>912833Z5 Govt</stp>
        <stp>CRNCY</stp>
        <stp>[STRIPS.xlsx]Sheet1!R74C7</stp>
        <tr r="G74" s="1"/>
      </tp>
      <tp t="s">
        <v>11/15/2012</v>
        <stp/>
        <stp>##V3_BDPV12</stp>
        <stp>912834LX Govt</stp>
        <stp>ISSUE_DT</stp>
        <stp>[STRIPS.xlsx]Sheet1!R93C15</stp>
        <tr r="O93" s="1"/>
      </tp>
      <tp t="s">
        <v>11/15/1996</v>
        <stp/>
        <stp>##V3_BDPV12</stp>
        <stp>912833LX Govt</stp>
        <stp>ISSUE_DT</stp>
        <stp>[STRIPS.xlsx]Sheet1!R10C15</stp>
        <tr r="O10" s="1"/>
      </tp>
      <tp t="s">
        <v>2/15/1996</v>
        <stp/>
        <stp>##V3_BDPV12</stp>
        <stp>912833LY Govt</stp>
        <stp>ISSUE_DT</stp>
        <stp>[STRIPS.xlsx]Sheet1!R16C15</stp>
        <tr r="O16" s="1"/>
      </tp>
      <tp t="s">
        <v>11/15/1996</v>
        <stp/>
        <stp>##V3_BDPV12</stp>
        <stp>912833LV Govt</stp>
        <stp>ISSUE_DT</stp>
        <stp>[STRIPS.xlsx]Sheet1!R39C15</stp>
        <tr r="O39" s="1"/>
      </tp>
      <tp t="s">
        <v>8/15/1994</v>
        <stp/>
        <stp>##V3_BDPV12</stp>
        <stp>912833LT Govt</stp>
        <stp>ISSUE_DT</stp>
        <stp>[STRIPS.xlsx]Sheet1!R11C15</stp>
        <tr r="O11" s="1"/>
      </tp>
      <tp t="s">
        <v>2/15/1995</v>
        <stp/>
        <stp>##V3_BDPV12</stp>
        <stp>912833LU Govt</stp>
        <stp>ISSUE_DT</stp>
        <stp>[STRIPS.xlsx]Sheet1!R22C15</stp>
        <tr r="O22" s="1"/>
      </tp>
      <tp t="s">
        <v>8/15/2012</v>
        <stp/>
        <stp>##V3_BDPV12</stp>
        <stp>912834LR Govt</stp>
        <stp>ISSUE_DT</stp>
        <stp>[STRIPS.xlsx]Sheet1!R95C15</stp>
        <tr r="O95" s="1"/>
      </tp>
      <tp t="s">
        <v>8/15/1994</v>
        <stp/>
        <stp>##V3_BDPV12</stp>
        <stp>912833LR Govt</stp>
        <stp>ISSUE_DT</stp>
        <stp>[STRIPS.xlsx]Sheet1!R19C15</stp>
        <tr r="O19" s="1"/>
      </tp>
      <tp t="s">
        <v>2/15/1995</v>
        <stp/>
        <stp>##V3_BDPV12</stp>
        <stp>912833LS Govt</stp>
        <stp>ISSUE_DT</stp>
        <stp>[STRIPS.xlsx]Sheet1!R37C15</stp>
        <tr r="O37" s="1"/>
      </tp>
      <tp t="s">
        <v>8/15/1994</v>
        <stp/>
        <stp>##V3_BDPV12</stp>
        <stp>912833LP Govt</stp>
        <stp>ISSUE_DT</stp>
        <stp>[STRIPS.xlsx]Sheet1!R12C15</stp>
        <tr r="O12" s="1"/>
      </tp>
      <tp t="s">
        <v>2/15/1995</v>
        <stp/>
        <stp>##V3_BDPV12</stp>
        <stp>912833LQ Govt</stp>
        <stp>ISSUE_DT</stp>
        <stp>[STRIPS.xlsx]Sheet1!R38C15</stp>
        <tr r="O38" s="1"/>
      </tp>
      <tp t="s">
        <v>S</v>
        <stp/>
        <stp>##V3_BDPV12</stp>
        <stp>912834KV Govt</stp>
        <stp>TICKER</stp>
        <stp>[STRIPS.xlsx]Sheet1!R57C2</stp>
        <tr r="B57" s="1"/>
      </tp>
      <tp t="s">
        <v>S</v>
        <stp/>
        <stp>##V3_BDPV12</stp>
        <stp>912833RY Govt</stp>
        <stp>TICKER</stp>
        <stp>[STRIPS.xlsx]Sheet1!R28C2</stp>
        <tr r="B28" s="1"/>
      </tp>
      <tp t="s">
        <v>S</v>
        <stp/>
        <stp>##V3_BDPV12</stp>
        <stp>912833XT Govt</stp>
        <stp>TICKER</stp>
        <stp>[STRIPS.xlsx]Sheet1!R55C2</stp>
        <tr r="B55" s="1"/>
      </tp>
      <tp t="s">
        <v>USD</v>
        <stp/>
        <stp>##V3_BDPV12</stp>
        <stp>912834WJ Govt</stp>
        <stp>CRNCY</stp>
        <stp>[STRIPS.xlsx]Sheet1!R89C7</stp>
        <tr r="G89" s="1"/>
      </tp>
      <tp t="s">
        <v>UNITED STATES</v>
        <stp/>
        <stp>##V3_BDPV12</stp>
        <stp>912833B8 Govt</stp>
        <stp>COUNTRY_FULL_NAME</stp>
        <stp>[STRIPS.xlsx]Sheet1!R293C8</stp>
        <tr r="H293" s="1"/>
      </tp>
      <tp t="s">
        <v>NORMAL</v>
        <stp/>
        <stp>##V3_BDPV12</stp>
        <stp>912833QB Govt</stp>
        <stp>MTY_TYP</stp>
        <stp>[STRIPS.xlsx]Sheet1!R20C6</stp>
        <tr r="F20" s="1"/>
      </tp>
      <tp t="s">
        <v>NORMAL</v>
        <stp/>
        <stp>##V3_BDPV12</stp>
        <stp>912833XU Govt</stp>
        <stp>MTY_TYP</stp>
        <stp>[STRIPS.xlsx]Sheet1!R30C6</stp>
        <tr r="F30" s="1"/>
      </tp>
      <tp t="s">
        <v>NORMAL</v>
        <stp/>
        <stp>##V3_BDPV12</stp>
        <stp>912833XY Govt</stp>
        <stp>MTY_TYP</stp>
        <stp>[STRIPS.xlsx]Sheet1!R50C6</stp>
        <tr r="F50" s="1"/>
      </tp>
      <tp t="s">
        <v>NORMAL</v>
        <stp/>
        <stp>##V3_BDPV12</stp>
        <stp>912833Y4 Govt</stp>
        <stp>MTY_TYP</stp>
        <stp>[STRIPS.xlsx]Sheet1!R60C6</stp>
        <tr r="F60" s="1"/>
      </tp>
      <tp t="s">
        <v>NORMAL</v>
        <stp/>
        <stp>##V3_BDPV12</stp>
        <stp>912833LH Govt</stp>
        <stp>MTY_TYP</stp>
        <stp>[STRIPS.xlsx]Sheet1!R40C6</stp>
        <tr r="F40" s="1"/>
      </tp>
      <tp t="s">
        <v>NORMAL</v>
        <stp/>
        <stp>##V3_BDPV12</stp>
        <stp>912833LX Govt</stp>
        <stp>MTY_TYP</stp>
        <stp>[STRIPS.xlsx]Sheet1!R10C6</stp>
        <tr r="F10" s="1"/>
      </tp>
      <tp t="s">
        <v>NORMAL</v>
        <stp/>
        <stp>##V3_BDPV12</stp>
        <stp>912834TV Govt</stp>
        <stp>MTY_TYP</stp>
        <stp>[STRIPS.xlsx]Sheet1!R90C6</stp>
        <tr r="F90" s="1"/>
      </tp>
      <tp t="s">
        <v>NORMAL</v>
        <stp/>
        <stp>##V3_BDPV12</stp>
        <stp>912834HV Govt</stp>
        <stp>MTY_TYP</stp>
        <stp>[STRIPS.xlsx]Sheet1!R70C6</stp>
        <tr r="F70" s="1"/>
      </tp>
      <tp t="s">
        <v>NORMAL</v>
        <stp/>
        <stp>##V3_BDPV12</stp>
        <stp>912834MM Govt</stp>
        <stp>MTY_TYP</stp>
        <stp>[STRIPS.xlsx]Sheet1!R80C6</stp>
        <tr r="F80" s="1"/>
      </tp>
      <tp t="s">
        <v>ACT/ACT</v>
        <stp/>
        <stp>##V3_BDPV12</stp>
        <stp>912833Y5 Govt</stp>
        <stp>DAY_CNT_DES</stp>
        <stp>[STRIPS.xlsx]Sheet1!R582C17</stp>
        <tr r="Q582" s="1"/>
      </tp>
      <tp t="s">
        <v>ACT/ACT</v>
        <stp/>
        <stp>##V3_BDPV12</stp>
        <stp>912833Y3 Govt</stp>
        <stp>DAY_CNT_DES</stp>
        <stp>[STRIPS.xlsx]Sheet1!R103C17</stp>
        <tr r="Q103" s="1"/>
      </tp>
      <tp t="s">
        <v>ACT/ACT</v>
        <stp/>
        <stp>##V3_BDPV12</stp>
        <stp>912833Y7 Govt</stp>
        <stp>DAY_CNT_DES</stp>
        <stp>[STRIPS.xlsx]Sheet1!R583C17</stp>
        <tr r="Q583" s="1"/>
      </tp>
      <tp t="s">
        <v>ACT/ACT</v>
        <stp/>
        <stp>##V3_BDPV12</stp>
        <stp>912833Y6 Govt</stp>
        <stp>DAY_CNT_DES</stp>
        <stp>[STRIPS.xlsx]Sheet1!R247C17</stp>
        <tr r="Q247" s="1"/>
      </tp>
      <tp t="s">
        <v>ACT/ACT</v>
        <stp/>
        <stp>##V3_BDPV12</stp>
        <stp>912833Y8 Govt</stp>
        <stp>DAY_CNT_DES</stp>
        <stp>[STRIPS.xlsx]Sheet1!R248C17</stp>
        <tr r="Q248" s="1"/>
      </tp>
      <tp t="s">
        <v>ACT/ACT</v>
        <stp/>
        <stp>##V3_BDPV12</stp>
        <stp>912833Y9 Govt</stp>
        <stp>DAY_CNT_DES</stp>
        <stp>[STRIPS.xlsx]Sheet1!R450C17</stp>
        <tr r="Q450" s="1"/>
      </tp>
      <tp t="s">
        <v>2/15/2029</v>
        <stp/>
        <stp>##V3_BDPV12</stp>
        <stp>912833XN Govt</stp>
        <stp>MATURITY</stp>
        <stp>[STRIPS.xlsx]Sheet1!R85C5</stp>
        <tr r="E85" s="1"/>
      </tp>
      <tp t="s">
        <v>8/15/2051</v>
        <stp/>
        <stp>##V3_BDPV12</stp>
        <stp>912834XG Govt</stp>
        <stp>MATURITY</stp>
        <stp>[STRIPS.xlsx]Sheet1!R32C5</stp>
        <tr r="E32" s="1"/>
      </tp>
      <tp t="s">
        <v>11/15/2029</v>
        <stp/>
        <stp>##V3_BDPV12</stp>
        <stp>912833XT Govt</stp>
        <stp>MATURITY</stp>
        <stp>[STRIPS.xlsx]Sheet1!R55C5</stp>
        <tr r="E55" s="1"/>
      </tp>
      <tp t="s">
        <v>8/15/2027</v>
        <stp/>
        <stp>##V3_BDPV12</stp>
        <stp>912833PE Govt</stp>
        <stp>MATURITY</stp>
        <stp>[STRIPS.xlsx]Sheet1!R15C5</stp>
        <tr r="E15" s="1"/>
      </tp>
      <tp t="s">
        <v>ACT/ACT</v>
        <stp/>
        <stp>##V3_BDPV12</stp>
        <stp>912834XA Govt</stp>
        <stp>DAY_CNT_DES</stp>
        <stp>[STRIPS.xlsx]Sheet1!R190C17</stp>
        <tr r="Q190" s="1"/>
      </tp>
      <tp t="s">
        <v>ACT/ACT</v>
        <stp/>
        <stp>##V3_BDPV12</stp>
        <stp>912834XC Govt</stp>
        <stp>DAY_CNT_DES</stp>
        <stp>[STRIPS.xlsx]Sheet1!R214C17</stp>
        <tr r="Q214" s="1"/>
      </tp>
      <tp t="s">
        <v>8/15/2040</v>
        <stp/>
        <stp>##V3_BDPV12</stp>
        <stp>912834JB Govt</stp>
        <stp>MATURITY</stp>
        <stp>[STRIPS.xlsx]Sheet1!R82C5</stp>
        <tr r="E82" s="1"/>
      </tp>
      <tp t="s">
        <v>ACT/ACT</v>
        <stp/>
        <stp>##V3_BDPV12</stp>
        <stp>912834XD Govt</stp>
        <stp>DAY_CNT_DES</stp>
        <stp>[STRIPS.xlsx]Sheet1!R764C17</stp>
        <tr r="Q764" s="1"/>
      </tp>
      <tp t="s">
        <v>ACT/ACT</v>
        <stp/>
        <stp>##V3_BDPV12</stp>
        <stp>912834XB Govt</stp>
        <stp>DAY_CNT_DES</stp>
        <stp>[STRIPS.xlsx]Sheet1!R183C17</stp>
        <tr r="Q183" s="1"/>
      </tp>
      <tp t="s">
        <v>2/15/2043</v>
        <stp/>
        <stp>##V3_BDPV12</stp>
        <stp>912834MD Govt</stp>
        <stp>MATURITY</stp>
        <stp>[STRIPS.xlsx]Sheet1!R72C5</stp>
        <tr r="E72" s="1"/>
      </tp>
      <tp t="s">
        <v>ACT/ACT</v>
        <stp/>
        <stp>##V3_BDPV12</stp>
        <stp>912834XF Govt</stp>
        <stp>DAY_CNT_DES</stp>
        <stp>[STRIPS.xlsx]Sheet1!R187C17</stp>
        <tr r="Q187" s="1"/>
      </tp>
      <tp t="s">
        <v>S 0 11/30/14</v>
        <stp/>
        <stp>##V3_BDPV12</stp>
        <stp>912834DX Govt</stp>
        <stp>SECURITY_NAME</stp>
        <stp>[STRIPS.xlsx]Sheet1!R391C16</stp>
        <tr r="P391" s="1"/>
      </tp>
      <tp t="s">
        <v>S 0 06/15/13</v>
        <stp/>
        <stp>##V3_BDPV12</stp>
        <stp>912834HX Govt</stp>
        <stp>SECURITY_NAME</stp>
        <stp>[STRIPS.xlsx]Sheet1!R356C16</stp>
        <tr r="P356" s="1"/>
      </tp>
      <tp t="s">
        <v>S 0 04/15/13</v>
        <stp/>
        <stp>##V3_BDPV12</stp>
        <stp>912834HT Govt</stp>
        <stp>SECURITY_NAME</stp>
        <stp>[STRIPS.xlsx]Sheet1!R355C16</stp>
        <tr r="P355" s="1"/>
      </tp>
      <tp t="s">
        <v>S 0 05/31/14</v>
        <stp/>
        <stp>##V3_BDPV12</stp>
        <stp>912834DW Govt</stp>
        <stp>SECURITY_NAME</stp>
        <stp>[STRIPS.xlsx]Sheet1!R390C16</stp>
        <tr r="P390" s="1"/>
      </tp>
      <tp t="s">
        <v>S 0 01/15/13</v>
        <stp/>
        <stp>##V3_BDPV12</stp>
        <stp>912834EZ Govt</stp>
        <stp>SECURITY_NAME</stp>
        <stp>[STRIPS.xlsx]Sheet1!R394C16</stp>
        <tr r="P394" s="1"/>
      </tp>
      <tp t="s">
        <v>S 0 10/15/12</v>
        <stp/>
        <stp>##V3_BDPV12</stp>
        <stp>912834ET Govt</stp>
        <stp>SECURITY_NAME</stp>
        <stp>[STRIPS.xlsx]Sheet1!R393C16</stp>
        <tr r="P393" s="1"/>
      </tp>
      <tp t="s">
        <v>S 0 01/31/15</v>
        <stp/>
        <stp>##V3_BDPV12</stp>
        <stp>912834EK Govt</stp>
        <stp>SECURITY_NAME</stp>
        <stp>[STRIPS.xlsx]Sheet1!R392C16</stp>
        <tr r="P392" s="1"/>
      </tp>
      <tp t="s">
        <v>S 0 10/15/16</v>
        <stp/>
        <stp>##V3_BDPV12</stp>
        <stp>912834MX Govt</stp>
        <stp>SECURITY_NAME</stp>
        <stp>[STRIPS.xlsx]Sheet1!R327C16</stp>
        <tr r="P327" s="1"/>
      </tp>
      <tp t="s">
        <v>S 0 05/15/18</v>
        <stp/>
        <stp>##V3_BDPV12</stp>
        <stp>912833KR Govt</stp>
        <stp>SECURITY_NAME</stp>
        <stp>[STRIPS.xlsx]Sheet1!R443C16</stp>
        <tr r="P443" s="1"/>
      </tp>
      <tp t="s">
        <v>S 0 02/15/19</v>
        <stp/>
        <stp>##V3_BDPV12</stp>
        <stp>912833KU Govt</stp>
        <stp>SECURITY_NAME</stp>
        <stp>[STRIPS.xlsx]Sheet1!R444C16</stp>
        <tr r="P444" s="1"/>
      </tp>
      <tp t="s">
        <v>S 0 10/31/20</v>
        <stp/>
        <stp>##V3_BDPV12</stp>
        <stp>912834MY Govt</stp>
        <stp>SECURITY_NAME</stp>
        <stp>[STRIPS.xlsx]Sheet1!R328C16</stp>
        <tr r="P328" s="1"/>
      </tp>
      <tp t="s">
        <v>S 0 01/31/18</v>
        <stp/>
        <stp>##V3_BDPV12</stp>
        <stp>912834JN Govt</stp>
        <stp>SECURITY_NAME</stp>
        <stp>[STRIPS.xlsx]Sheet1!R357C16</stp>
        <tr r="P357" s="1"/>
      </tp>
      <tp t="s">
        <v>S 0 03/15/16</v>
        <stp/>
        <stp>##V3_BDPV12</stp>
        <stp>912834MH Govt</stp>
        <stp>SECURITY_NAME</stp>
        <stp>[STRIPS.xlsx]Sheet1!R326C16</stp>
        <tr r="P326" s="1"/>
      </tp>
      <tp t="s">
        <v>S 0 05/15/14</v>
        <stp/>
        <stp>##V3_BDPV12</stp>
        <stp>912833KC Govt</stp>
        <stp>SECURITY_NAME</stp>
        <stp>[STRIPS.xlsx]Sheet1!R442C16</stp>
        <tr r="P442" s="1"/>
      </tp>
      <tp t="s">
        <v>S 0 01/31/17</v>
        <stp/>
        <stp>##V3_BDPV12</stp>
        <stp>912834FA Govt</stp>
        <stp>SECURITY_NAME</stp>
        <stp>[STRIPS.xlsx]Sheet1!R395C16</stp>
        <tr r="P395" s="1"/>
      </tp>
      <tp t="s">
        <v>S 0 12/15/15</v>
        <stp/>
        <stp>##V3_BDPV12</stp>
        <stp>912834LZ Govt</stp>
        <stp>SECURITY_NAME</stp>
        <stp>[STRIPS.xlsx]Sheet1!R325C16</stp>
        <tr r="P325" s="1"/>
      </tp>
      <tp t="s">
        <v>S 0 04/15/15</v>
        <stp/>
        <stp>##V3_BDPV12</stp>
        <stp>912834LH Govt</stp>
        <stp>SECURITY_NAME</stp>
        <stp>[STRIPS.xlsx]Sheet1!R322C16</stp>
        <tr r="P322" s="1"/>
      </tp>
      <tp t="s">
        <v>S 0 06/15/15</v>
        <stp/>
        <stp>##V3_BDPV12</stp>
        <stp>912834LM Govt</stp>
        <stp>SECURITY_NAME</stp>
        <stp>[STRIPS.xlsx]Sheet1!R324C16</stp>
        <tr r="P324" s="1"/>
      </tp>
      <tp t="s">
        <v>S 0 05/31/19</v>
        <stp/>
        <stp>##V3_BDPV12</stp>
        <stp>912834LL Govt</stp>
        <stp>SECURITY_NAME</stp>
        <stp>[STRIPS.xlsx]Sheet1!R323C16</stp>
        <tr r="P323" s="1"/>
      </tp>
      <tp t="s">
        <v>S 0 03/15/15</v>
        <stp/>
        <stp>##V3_BDPV12</stp>
        <stp>912834LF Govt</stp>
        <stp>SECURITY_NAME</stp>
        <stp>[STRIPS.xlsx]Sheet1!R320C16</stp>
        <tr r="P320" s="1"/>
      </tp>
      <tp t="s">
        <v>S 0 03/31/19</v>
        <stp/>
        <stp>##V3_BDPV12</stp>
        <stp>912834LG Govt</stp>
        <stp>SECURITY_NAME</stp>
        <stp>[STRIPS.xlsx]Sheet1!R321C16</stp>
        <tr r="P321" s="1"/>
      </tp>
      <tp t="s">
        <v>S 0 09/15/15</v>
        <stp/>
        <stp>##V3_BDPV12</stp>
        <stp>912834LT Govt</stp>
        <stp>SECURITY_NAME</stp>
        <stp>[STRIPS.xlsx]Sheet1!R358C16</stp>
        <tr r="P358" s="1"/>
      </tp>
      <tp t="s">
        <v>S 0 09/30/19</v>
        <stp/>
        <stp>##V3_BDPV12</stp>
        <stp>912834LU Govt</stp>
        <stp>SECURITY_NAME</stp>
        <stp>[STRIPS.xlsx]Sheet1!R359C16</stp>
        <tr r="P359" s="1"/>
      </tp>
      <tp t="s">
        <v>S 0 02/28/15</v>
        <stp/>
        <stp>##V3_BDPV12</stp>
        <stp>912834AX Govt</stp>
        <stp>SECURITY_NAME</stp>
        <stp>[STRIPS.xlsx]Sheet1!R388C16</stp>
        <tr r="P388" s="1"/>
      </tp>
      <tp t="s">
        <v>S 0 02/28/14</v>
        <stp/>
        <stp>##V3_BDPV12</stp>
        <stp>912834AV Govt</stp>
        <stp>SECURITY_NAME</stp>
        <stp>[STRIPS.xlsx]Sheet1!R387C16</stp>
        <tr r="P387" s="1"/>
      </tp>
      <tp t="s">
        <v>S 0 01/15/12</v>
        <stp/>
        <stp>##V3_BDPV12</stp>
        <stp>912834AP Govt</stp>
        <stp>SECURITY_NAME</stp>
        <stp>[STRIPS.xlsx]Sheet1!R386C16</stp>
        <tr r="P386" s="1"/>
      </tp>
      <tp t="s">
        <v>S 0 04/15/99</v>
        <stp/>
        <stp>##V3_BDPV12</stp>
        <stp>912833MK Govt</stp>
        <stp>SECURITY_NAME</stp>
        <stp>[STRIPS.xlsx]Sheet1!R445C16</stp>
        <tr r="P445" s="1"/>
      </tp>
      <tp t="s">
        <v>S 0 10/31/13</v>
        <stp/>
        <stp>##V3_BDPV12</stp>
        <stp>912834AH Govt</stp>
        <stp>SECURITY_NAME</stp>
        <stp>[STRIPS.xlsx]Sheet1!R385C16</stp>
        <tr r="P385" s="1"/>
      </tp>
      <tp t="s">
        <v>S 0 07/31/13</v>
        <stp/>
        <stp>##V3_BDPV12</stp>
        <stp>912834AC Govt</stp>
        <stp>SECURITY_NAME</stp>
        <stp>[STRIPS.xlsx]Sheet1!R384C16</stp>
        <tr r="P384" s="1"/>
      </tp>
      <tp t="s">
        <v>S 0 02/28/18</v>
        <stp/>
        <stp>##V3_BDPV12</stp>
        <stp>912834JS Govt</stp>
        <stp>SECURITY_NAME</stp>
        <stp>[STRIPS.xlsx]Sheet1!R315C16</stp>
        <tr r="P315" s="1"/>
      </tp>
      <tp t="s">
        <v>S 0 09/15/13</v>
        <stp/>
        <stp>##V3_BDPV12</stp>
        <stp>912834JD Govt</stp>
        <stp>SECURITY_NAME</stp>
        <stp>[STRIPS.xlsx]Sheet1!R314C16</stp>
        <tr r="P314" s="1"/>
      </tp>
      <tp t="s">
        <v>S 0 04/30/15</v>
        <stp/>
        <stp>##V3_BDPV12</stp>
        <stp>912834BP Govt</stp>
        <stp>SECURITY_NAME</stp>
        <stp>[STRIPS.xlsx]Sheet1!R389C16</stp>
        <tr r="P389" s="1"/>
      </tp>
      <tp t="s">
        <v>S 0 08/31/18</v>
        <stp/>
        <stp>##V3_BDPV12</stp>
        <stp>912834KQ Govt</stp>
        <stp>SECURITY_NAME</stp>
        <stp>[STRIPS.xlsx]Sheet1!R318C16</stp>
        <tr r="P318" s="1"/>
      </tp>
      <tp t="s">
        <v>S 0 10/15/14</v>
        <stp/>
        <stp>##V3_BDPV12</stp>
        <stp>912834KT Govt</stp>
        <stp>SECURITY_NAME</stp>
        <stp>[STRIPS.xlsx]Sheet1!R319C16</stp>
        <tr r="P319" s="1"/>
      </tp>
      <tp t="s">
        <v>S 0 10/31/19</v>
        <stp/>
        <stp>##V3_BDPV12</stp>
        <stp>912834LW Govt</stp>
        <stp>SECURITY_NAME</stp>
        <stp>[STRIPS.xlsx]Sheet1!R360C16</stp>
        <tr r="P360" s="1"/>
      </tp>
      <tp t="s">
        <v>S 0 06/15/14</v>
        <stp/>
        <stp>##V3_BDPV12</stp>
        <stp>912834KK Govt</stp>
        <stp>SECURITY_NAME</stp>
        <stp>[STRIPS.xlsx]Sheet1!R317C16</stp>
        <tr r="P317" s="1"/>
      </tp>
      <tp t="s">
        <v>S 0 03/31/18</v>
        <stp/>
        <stp>##V3_BDPV12</stp>
        <stp>912834KE Govt</stp>
        <stp>SECURITY_NAME</stp>
        <stp>[STRIPS.xlsx]Sheet1!R316C16</stp>
        <tr r="P316" s="1"/>
      </tp>
      <tp t="s">
        <v>S 0 04/15/04</v>
        <stp/>
        <stp>##V3_BDPV12</stp>
        <stp>912833NF Govt</stp>
        <stp>SECURITY_NAME</stp>
        <stp>[STRIPS.xlsx]Sheet1!R447C16</stp>
        <tr r="P447" s="1"/>
      </tp>
      <tp t="s">
        <v>S 0 01/15/03</v>
        <stp/>
        <stp>##V3_BDPV12</stp>
        <stp>912833NA Govt</stp>
        <stp>SECURITY_NAME</stp>
        <stp>[STRIPS.xlsx]Sheet1!R446C16</stp>
        <tr r="P446" s="1"/>
      </tp>
      <tp t="s">
        <v>S 0 07/15/12</v>
        <stp/>
        <stp>##V3_BDPV12</stp>
        <stp>912834EH Govt</stp>
        <stp>SECURITY_NAME</stp>
        <stp>[STRIPS.xlsx]Sheet1!R309C16</stp>
        <tr r="P309" s="1"/>
      </tp>
      <tp t="s">
        <v>S 0 12/31/16</v>
        <stp/>
        <stp>##V3_BDPV12</stp>
        <stp>912834EY Govt</stp>
        <stp>SECURITY_NAME</stp>
        <stp>[STRIPS.xlsx]Sheet1!R313C16</stp>
        <tr r="P313" s="1"/>
      </tp>
      <tp t="s">
        <v>S 0 08/31/16</v>
        <stp/>
        <stp>##V3_BDPV12</stp>
        <stp>912834EQ Govt</stp>
        <stp>SECURITY_NAME</stp>
        <stp>[STRIPS.xlsx]Sheet1!R311C16</stp>
        <tr r="P311" s="1"/>
      </tp>
      <tp t="s">
        <v>S 0 11/30/16</v>
        <stp/>
        <stp>##V3_BDPV12</stp>
        <stp>912834EW Govt</stp>
        <stp>SECURITY_NAME</stp>
        <stp>[STRIPS.xlsx]Sheet1!R312C16</stp>
        <tr r="P312" s="1"/>
      </tp>
      <tp t="s">
        <v>S 0 05/15/07</v>
        <stp/>
        <stp>##V3_BDPV12</stp>
        <stp>912833GA Govt</stp>
        <stp>SECURITY_NAME</stp>
        <stp>[STRIPS.xlsx]Sheet1!R439C16</stp>
        <tr r="P439" s="1"/>
      </tp>
      <tp t="s">
        <v>S 0 07/31/16</v>
        <stp/>
        <stp>##V3_BDPV12</stp>
        <stp>912834EN Govt</stp>
        <stp>SECURITY_NAME</stp>
        <stp>[STRIPS.xlsx]Sheet1!R310C16</stp>
        <tr r="P310" s="1"/>
      </tp>
      <tp t="s">
        <v>S 0 04/15/11</v>
        <stp/>
        <stp>##V3_BDPV12</stp>
        <stp>912834BJ Govt</stp>
        <stp>SECURITY_NAME</stp>
        <stp>[STRIPS.xlsx]Sheet1!R352C16</stp>
        <tr r="P352" s="1"/>
      </tp>
      <tp t="s">
        <v>S 0 03/31/16</v>
        <stp/>
        <stp>##V3_BDPV12</stp>
        <stp>912834BH Govt</stp>
        <stp>SECURITY_NAME</stp>
        <stp>[STRIPS.xlsx]Sheet1!R351C16</stp>
        <tr r="P351" s="1"/>
      </tp>
      <tp t="s">
        <v>S 0 04/30/14</v>
        <stp/>
        <stp>##V3_BDPV12</stp>
        <stp>912834BM Govt</stp>
        <stp>SECURITY_NAME</stp>
        <stp>[STRIPS.xlsx]Sheet1!R353C16</stp>
        <tr r="P353" s="1"/>
      </tp>
      <tp t="s">
        <v>S 0 03/31/15</v>
        <stp/>
        <stp>##V3_BDPV12</stp>
        <stp>912834BF Govt</stp>
        <stp>SECURITY_NAME</stp>
        <stp>[STRIPS.xlsx]Sheet1!R350C16</stp>
        <tr r="P350" s="1"/>
      </tp>
      <tp t="s">
        <v>S 0 09/15/11</v>
        <stp/>
        <stp>##V3_BDPV12</stp>
        <stp>912834BB Govt</stp>
        <stp>SECURITY_NAME</stp>
        <stp>[STRIPS.xlsx]Sheet1!R349C16</stp>
        <tr r="P349" s="1"/>
      </tp>
      <tp t="s">
        <v>S 0 03/31/17</v>
        <stp/>
        <stp>##V3_BDPV12</stp>
        <stp>912834HS Govt</stp>
        <stp>SECURITY_NAME</stp>
        <stp>[STRIPS.xlsx]Sheet1!R396C16</stp>
        <tr r="P396" s="1"/>
      </tp>
      <tp t="s">
        <v>S 0 12/15/08</v>
        <stp/>
        <stp>##V3_BDPV12</stp>
        <stp>912833B9 Govt</stp>
        <stp>SECURITY_NAME</stp>
        <stp>[STRIPS.xlsx]Sheet1!R434C16</stp>
        <tr r="P434" s="1"/>
      </tp>
      <tp t="s">
        <v>S 0 12/15/07</v>
        <stp/>
        <stp>##V3_BDPV12</stp>
        <stp>912833B7 Govt</stp>
        <stp>SECURITY_NAME</stp>
        <stp>[STRIPS.xlsx]Sheet1!R433C16</stp>
        <tr r="P433" s="1"/>
      </tp>
      <tp t="s">
        <v>S 0 08/15/06</v>
        <stp/>
        <stp>##V3_BDPV12</stp>
        <stp>912833CQ Govt</stp>
        <stp>SECURITY_NAME</stp>
        <stp>[STRIPS.xlsx]Sheet1!R438C16</stp>
        <tr r="P438" s="1"/>
      </tp>
      <tp t="s">
        <v>S 0 12/15/12</v>
        <stp/>
        <stp>##V3_BDPV12</stp>
        <stp>912834EX Govt</stp>
        <stp>SECURITY_NAME</stp>
        <stp>[STRIPS.xlsx]Sheet1!R354C16</stp>
        <tr r="P354" s="1"/>
      </tp>
      <tp t="s">
        <v>S 0 08/15/01</v>
        <stp/>
        <stp>##V3_BDPV12</stp>
        <stp>912833CE Govt</stp>
        <stp>SECURITY_NAME</stp>
        <stp>[STRIPS.xlsx]Sheet1!R437C16</stp>
        <tr r="P437" s="1"/>
      </tp>
      <tp t="s">
        <v>S 0 08/15/00</v>
        <stp/>
        <stp>##V3_BDPV12</stp>
        <stp>912833CC Govt</stp>
        <stp>SECURITY_NAME</stp>
        <stp>[STRIPS.xlsx]Sheet1!R436C16</stp>
        <tr r="P436" s="1"/>
      </tp>
      <tp t="s">
        <v>S 0 01/15/08</v>
        <stp/>
        <stp>##V3_BDPV12</stp>
        <stp>912833C5 Govt</stp>
        <stp>SECURITY_NAME</stp>
        <stp>[STRIPS.xlsx]Sheet1!R435C16</stp>
        <tr r="P435" s="1"/>
      </tp>
      <tp t="s">
        <v>S 0 01/15/14</v>
        <stp/>
        <stp>##V3_BDPV12</stp>
        <stp>912834JM Govt</stp>
        <stp>SECURITY_NAME</stp>
        <stp>[STRIPS.xlsx]Sheet1!R397C16</stp>
        <tr r="P397" s="1"/>
      </tp>
      <tp t="s">
        <v>S 0 05/15/08</v>
        <stp/>
        <stp>##V3_BDPV12</stp>
        <stp>912833GC Govt</stp>
        <stp>SECURITY_NAME</stp>
        <stp>[STRIPS.xlsx]Sheet1!R440C16</stp>
        <tr r="P440" s="1"/>
      </tp>
      <tp t="s">
        <v>S 0 05/15/09</v>
        <stp/>
        <stp>##V3_BDPV12</stp>
        <stp>912833GE Govt</stp>
        <stp>SECURITY_NAME</stp>
        <stp>[STRIPS.xlsx]Sheet1!R441C16</stp>
        <tr r="P441" s="1"/>
      </tp>
      <tp t="s">
        <v>S 0 06/15/18</v>
        <stp/>
        <stp>##V3_BDPV12</stp>
        <stp>912834KD Govt</stp>
        <stp>SECURITY_NAME</stp>
        <stp>[STRIPS.xlsx]Sheet1!R398C16</stp>
        <tr r="P398" s="1"/>
      </tp>
      <tp t="s">
        <v>S 0 10/15/11</v>
        <stp/>
        <stp>##V3_BDPV12</stp>
        <stp>912834BK Govt</stp>
        <stp>SECURITY_NAME</stp>
        <stp>[STRIPS.xlsx]Sheet1!R308C16</stp>
        <tr r="P308" s="1"/>
      </tp>
      <tp t="s">
        <v>S 0 07/15/14</v>
        <stp/>
        <stp>##V3_BDPV12</stp>
        <stp>912834KM Govt</stp>
        <stp>SECURITY_NAME</stp>
        <stp>[STRIPS.xlsx]Sheet1!R399C16</stp>
        <tr r="P399" s="1"/>
      </tp>
      <tp t="s">
        <v>S 0 10/15/08</v>
        <stp/>
        <stp>##V3_BDPV12</stp>
        <stp>912833A5 Govt</stp>
        <stp>SECURITY_NAME</stp>
        <stp>[STRIPS.xlsx]Sheet1!R432C16</stp>
        <tr r="P432" s="1"/>
      </tp>
      <tp t="s">
        <v>S 0 08/31/04</v>
        <stp/>
        <stp>##V3_BDPV12</stp>
        <stp>912833YY Govt</stp>
        <stp>SECURITY_NAME</stp>
        <stp>[STRIPS.xlsx]Sheet1!R453C16</stp>
        <tr r="P453" s="1"/>
      </tp>
      <tp t="s">
        <v>S 0 12/31/03</v>
        <stp/>
        <stp>##V3_BDPV12</stp>
        <stp>912833YM Govt</stp>
        <stp>SECURITY_NAME</stp>
        <stp>[STRIPS.xlsx]Sheet1!R452C16</stp>
        <tr r="P452" s="1"/>
      </tp>
      <tp t="s">
        <v>S 0 08/31/03</v>
        <stp/>
        <stp>##V3_BDPV12</stp>
        <stp>912833YB Govt</stp>
        <stp>SECURITY_NAME</stp>
        <stp>[STRIPS.xlsx]Sheet1!R451C16</stp>
        <tr r="P451" s="1"/>
      </tp>
      <tp t="s">
        <v>S 0 12/31/12</v>
        <stp/>
        <stp>##V3_BDPV12</stp>
        <stp>912833Y9 Govt</stp>
        <stp>SECURITY_NAME</stp>
        <stp>[STRIPS.xlsx]Sheet1!R450C16</stp>
        <tr r="P450" s="1"/>
      </tp>
      <tp t="s">
        <v>S 0 09/15/05</v>
        <stp/>
        <stp>##V3_BDPV12</stp>
        <stp>912833ZS Govt</stp>
        <stp>SECURITY_NAME</stp>
        <stp>[STRIPS.xlsx]Sheet1!R455C16</stp>
        <tr r="P455" s="1"/>
      </tp>
      <tp t="s">
        <v>S 0 11/30/04</v>
        <stp/>
        <stp>##V3_BDPV12</stp>
        <stp>912833ZB Govt</stp>
        <stp>SECURITY_NAME</stp>
        <stp>[STRIPS.xlsx]Sheet1!R454C16</stp>
        <tr r="P454" s="1"/>
      </tp>
      <tp t="s">
        <v>S 0 06/30/03</v>
        <stp/>
        <stp>##V3_BDPV12</stp>
        <stp>912833RX Govt</stp>
        <stp>SECURITY_NAME</stp>
        <stp>[STRIPS.xlsx]Sheet1!R449C16</stp>
        <tr r="P449" s="1"/>
      </tp>
      <tp t="s">
        <v>S 0 02/29/00</v>
        <stp/>
        <stp>##V3_BDPV12</stp>
        <stp>912833RM Govt</stp>
        <stp>SECURITY_NAME</stp>
        <stp>[STRIPS.xlsx]Sheet1!R448C16</stp>
        <tr r="P448" s="1"/>
      </tp>
      <tp t="s">
        <v>S 0 07/15/18</v>
        <stp/>
        <stp>##V3_BDPV12</stp>
        <stp>912834PK Govt</stp>
        <stp>SECURITY_NAME</stp>
        <stp>[STRIPS.xlsx]Sheet1!R329C16</stp>
        <tr r="P329" s="1"/>
      </tp>
      <tp t="s">
        <v>S 0 11/30/07</v>
        <stp/>
        <stp>##V3_BDPV12</stp>
        <stp>9128334K Govt</stp>
        <stp>SECURITY_NAME</stp>
        <stp>[STRIPS.xlsx]Sheet1!R490C16</stp>
        <tr r="P490" s="1"/>
      </tp>
      <tp t="s">
        <v>S 0 12/31/07</v>
        <stp/>
        <stp>##V3_BDPV12</stp>
        <stp>9128334M Govt</stp>
        <stp>SECURITY_NAME</stp>
        <stp>[STRIPS.xlsx]Sheet1!R491C16</stp>
        <tr r="P491" s="1"/>
      </tp>
      <tp t="s">
        <v>S 0 02/28/11</v>
        <stp/>
        <stp>##V3_BDPV12</stp>
        <stp>9128335J Govt</stp>
        <stp>SECURITY_NAME</stp>
        <stp>[STRIPS.xlsx]Sheet1!R492C16</stp>
        <tr r="P492" s="1"/>
      </tp>
      <tp t="s">
        <v>S 0 03/31/08</v>
        <stp/>
        <stp>##V3_BDPV12</stp>
        <stp>9128335K Govt</stp>
        <stp>SECURITY_NAME</stp>
        <stp>[STRIPS.xlsx]Sheet1!R493C16</stp>
        <tr r="P493" s="1"/>
      </tp>
      <tp t="s">
        <v>S 0 07/31/07</v>
        <stp/>
        <stp>##V3_BDPV12</stp>
        <stp>9128334D Govt</stp>
        <stp>SECURITY_NAME</stp>
        <stp>[STRIPS.xlsx]Sheet1!R488C16</stp>
        <tr r="P488" s="1"/>
      </tp>
      <tp t="s">
        <v>S 0 10/15/10</v>
        <stp/>
        <stp>##V3_BDPV12</stp>
        <stp>9128334H Govt</stp>
        <stp>SECURITY_NAME</stp>
        <stp>[STRIPS.xlsx]Sheet1!R489C16</stp>
        <tr r="P489" s="1"/>
      </tp>
      <tp t="s">
        <v>S 0 06/15/10</v>
        <stp/>
        <stp>##V3_BDPV12</stp>
        <stp>9128334A Govt</stp>
        <stp>SECURITY_NAME</stp>
        <stp>[STRIPS.xlsx]Sheet1!R487C16</stp>
        <tr r="P487" s="1"/>
      </tp>
      <tp t="s">
        <v>S 0 07/31/09</v>
        <stp/>
        <stp>##V3_BDPV12</stp>
        <stp>9128336R Govt</stp>
        <stp>SECURITY_NAME</stp>
        <stp>[STRIPS.xlsx]Sheet1!R498C16</stp>
        <tr r="P498" s="1"/>
      </tp>
      <tp t="s">
        <v>S 0 06/30/11</v>
        <stp/>
        <stp>##V3_BDPV12</stp>
        <stp>9128336N Govt</stp>
        <stp>SECURITY_NAME</stp>
        <stp>[STRIPS.xlsx]Sheet1!R497C16</stp>
        <tr r="P497" s="1"/>
      </tp>
      <tp t="s">
        <v>S 0 12/31/08</v>
        <stp/>
        <stp>##V3_BDPV12</stp>
        <stp>9128336H Govt</stp>
        <stp>SECURITY_NAME</stp>
        <stp>[STRIPS.xlsx]Sheet1!R495C16</stp>
        <tr r="P495" s="1"/>
      </tp>
      <tp t="s">
        <v>S 0 12/31/09</v>
        <stp/>
        <stp>##V3_BDPV12</stp>
        <stp>9128336K Govt</stp>
        <stp>SECURITY_NAME</stp>
        <stp>[STRIPS.xlsx]Sheet1!R496C16</stp>
        <tr r="P496" s="1"/>
      </tp>
      <tp t="s">
        <v>S 0 06/30/08</v>
        <stp/>
        <stp>##V3_BDPV12</stp>
        <stp>9128336G Govt</stp>
        <stp>SECURITY_NAME</stp>
        <stp>[STRIPS.xlsx]Sheet1!R494C16</stp>
        <tr r="P494" s="1"/>
      </tp>
      <tp t="s">
        <v>S 0 12/31/11</v>
        <stp/>
        <stp>##V3_BDPV12</stp>
        <stp>9128337A Govt</stp>
        <stp>SECURITY_NAME</stp>
        <stp>[STRIPS.xlsx]Sheet1!R499C16</stp>
        <tr r="P499" s="1"/>
      </tp>
      <tp t="s">
        <v>S 0 04/30/07</v>
        <stp/>
        <stp>##V3_BDPV12</stp>
        <stp>9128333Y Govt</stp>
        <stp>SECURITY_NAME</stp>
        <stp>[STRIPS.xlsx]Sheet1!R486C16</stp>
        <tr r="P486" s="1"/>
      </tp>
      <tp t="s">
        <v>S 0 03/15/10</v>
        <stp/>
        <stp>##V3_BDPV12</stp>
        <stp>9128333V Govt</stp>
        <stp>SECURITY_NAME</stp>
        <stp>[STRIPS.xlsx]Sheet1!R484C16</stp>
        <tr r="P484" s="1"/>
      </tp>
      <tp t="s">
        <v>S 0 03/31/07</v>
        <stp/>
        <stp>##V3_BDPV12</stp>
        <stp>9128333W Govt</stp>
        <stp>SECURITY_NAME</stp>
        <stp>[STRIPS.xlsx]Sheet1!R485C16</stp>
        <tr r="P485" s="1"/>
      </tp>
      <tp t="s">
        <v>S 0 01/31/07</v>
        <stp/>
        <stp>##V3_BDPV12</stp>
        <stp>9128333T Govt</stp>
        <stp>SECURITY_NAME</stp>
        <stp>[STRIPS.xlsx]Sheet1!R483C16</stp>
        <tr r="P483" s="1"/>
      </tp>
      <tp t="s">
        <v>S 0 11/30/11</v>
        <stp/>
        <stp>##V3_BDPV12</stp>
        <stp>9128336Z Govt</stp>
        <stp>SECURITY_NAME</stp>
        <stp>[STRIPS.xlsx]Sheet1!R430C16</stp>
        <tr r="P430" s="1"/>
      </tp>
      <tp t="s">
        <v>S 0 10/31/11</v>
        <stp/>
        <stp>##V3_BDPV12</stp>
        <stp>9128336Y Govt</stp>
        <stp>SECURITY_NAME</stp>
        <stp>[STRIPS.xlsx]Sheet1!R429C16</stp>
        <tr r="P429" s="1"/>
      </tp>
      <tp t="s">
        <v>S 0 03/31/12</v>
        <stp/>
        <stp>##V3_BDPV12</stp>
        <stp>9128337H Govt</stp>
        <stp>SECURITY_NAME</stp>
        <stp>[STRIPS.xlsx]Sheet1!R431C16</stp>
        <tr r="P431" s="1"/>
      </tp>
      <tp t="s">
        <v>S 0 08/31/06</v>
        <stp/>
        <stp>##V3_BDPV12</stp>
        <stp>9128333J Govt</stp>
        <stp>SECURITY_NAME</stp>
        <stp>[STRIPS.xlsx]Sheet1!R427C16</stp>
        <tr r="P427" s="1"/>
      </tp>
      <tp t="s">
        <v>S 0 10/31/06</v>
        <stp/>
        <stp>##V3_BDPV12</stp>
        <stp>9128333N Govt</stp>
        <stp>SECURITY_NAME</stp>
        <stp>[STRIPS.xlsx]Sheet1!R428C16</stp>
        <tr r="P428" s="1"/>
      </tp>
      <tp t="s">
        <v>S 0 09/30/18</v>
        <stp/>
        <stp>##V3_BDPV12</stp>
        <stp>912834KS Govt</stp>
        <stp>SECURITY_NAME</stp>
        <stp>[STRIPS.xlsx]Sheet1!R268C16</stp>
        <tr r="P268" s="1"/>
      </tp>
      <tp t="s">
        <v>S 0 01/15/15</v>
        <stp/>
        <stp>##V3_BDPV12</stp>
        <stp>912834KZ Govt</stp>
        <stp>SECURITY_NAME</stp>
        <stp>[STRIPS.xlsx]Sheet1!R269C16</stp>
        <tr r="P269" s="1"/>
      </tp>
      <tp t="s">
        <v>S 0 02/15/18</v>
        <stp/>
        <stp>##V3_BDPV12</stp>
        <stp>912833KQ Govt</stp>
        <stp>SECURITY_NAME</stp>
        <stp>[STRIPS.xlsx]Sheet1!R566C16</stp>
        <tr r="P566" s="1"/>
      </tp>
      <tp t="s">
        <v>S 0 05/15/16</v>
        <stp/>
        <stp>##V3_BDPV12</stp>
        <stp>912833KH Govt</stp>
        <stp>SECURITY_NAME</stp>
        <stp>[STRIPS.xlsx]Sheet1!R565C16</stp>
        <tr r="P565" s="1"/>
      </tp>
      <tp t="s">
        <v>S 0 05/31/18</v>
        <stp/>
        <stp>##V3_BDPV12</stp>
        <stp>912834KJ Govt</stp>
        <stp>SECURITY_NAME</stp>
        <stp>[STRIPS.xlsx]Sheet1!R267C16</stp>
        <tr r="P267" s="1"/>
      </tp>
      <tp t="s">
        <v>S 0 04/15/18</v>
        <stp/>
        <stp>##V3_BDPV12</stp>
        <stp>912834JZ Govt</stp>
        <stp>SECURITY_NAME</stp>
        <stp>[STRIPS.xlsx]Sheet1!R266C16</stp>
        <tr r="P266" s="1"/>
      </tp>
      <tp t="s">
        <v>S 0 07/15/01</v>
        <stp/>
        <stp>##V3_BDPV12</stp>
        <stp>912833MU Govt</stp>
        <stp>SECURITY_NAME</stp>
        <stp>[STRIPS.xlsx]Sheet1!R515C16</stp>
        <tr r="P515" s="1"/>
      </tp>
      <tp t="s">
        <v>S 0 07/15/98</v>
        <stp/>
        <stp>##V3_BDPV12</stp>
        <stp>912833MG Govt</stp>
        <stp>SECURITY_NAME</stp>
        <stp>[STRIPS.xlsx]Sheet1!R514C16</stp>
        <tr r="P514" s="1"/>
      </tp>
      <tp t="s">
        <v>S 0 10/15/15</v>
        <stp/>
        <stp>##V3_BDPV12</stp>
        <stp>912834LV Govt</stp>
        <stp>SECURITY_NAME</stp>
        <stp>[STRIPS.xlsx]Sheet1!R232C16</stp>
        <tr r="P232" s="1"/>
      </tp>
      <tp t="s">
        <v>S 0 10/15/05</v>
        <stp/>
        <stp>##V3_BDPV12</stp>
        <stp>912833NM Govt</stp>
        <stp>SECURITY_NAME</stp>
        <stp>[STRIPS.xlsx]Sheet1!R517C16</stp>
        <tr r="P517" s="1"/>
      </tp>
      <tp t="s">
        <v>S 0 06/30/19</v>
        <stp/>
        <stp>##V3_BDPV12</stp>
        <stp>912834LN Govt</stp>
        <stp>SECURITY_NAME</stp>
        <stp>[STRIPS.xlsx]Sheet1!R231C16</stp>
        <tr r="P231" s="1"/>
      </tp>
      <tp t="s">
        <v>S 0 07/15/04</v>
        <stp/>
        <stp>##V3_BDPV12</stp>
        <stp>912833NG Govt</stp>
        <stp>SECURITY_NAME</stp>
        <stp>[STRIPS.xlsx]Sheet1!R516C16</stp>
        <tr r="P516" s="1"/>
      </tp>
      <tp t="s">
        <v>S 0 01/15/06</v>
        <stp/>
        <stp>##V3_BDPV12</stp>
        <stp>912833NN Govt</stp>
        <stp>SECURITY_NAME</stp>
        <stp>[STRIPS.xlsx]Sheet1!R518C16</stp>
        <tr r="P518" s="1"/>
      </tp>
      <tp t="s">
        <v>S 0 07/15/13</v>
        <stp/>
        <stp>##V3_BDPV12</stp>
        <stp>912834HZ Govt</stp>
        <stp>SECURITY_NAME</stp>
        <stp>[STRIPS.xlsx]Sheet1!R265C16</stp>
        <tr r="P265" s="1"/>
      </tp>
      <tp t="s">
        <v>S 0 09/30/20</v>
        <stp/>
        <stp>##V3_BDPV12</stp>
        <stp>912834MW Govt</stp>
        <stp>SECURITY_NAME</stp>
        <stp>[STRIPS.xlsx]Sheet1!R234C16</stp>
        <tr r="P234" s="1"/>
      </tp>
      <tp t="s">
        <v>S 0 03/31/20</v>
        <stp/>
        <stp>##V3_BDPV12</stp>
        <stp>912834MJ Govt</stp>
        <stp>SECURITY_NAME</stp>
        <stp>[STRIPS.xlsx]Sheet1!R233C16</stp>
        <tr r="P233" s="1"/>
      </tp>
      <tp t="s">
        <v>S 0 10/15/17</v>
        <stp/>
        <stp>##V3_BDPV12</stp>
        <stp>912834NZ Govt</stp>
        <stp>SECURITY_NAME</stp>
        <stp>[STRIPS.xlsx]Sheet1!R275C16</stp>
        <tr r="P275" s="1"/>
      </tp>
      <tp t="s">
        <v>S 0 05/31/21</v>
        <stp/>
        <stp>##V3_BDPV12</stp>
        <stp>912834NQ Govt</stp>
        <stp>SECURITY_NAME</stp>
        <stp>[STRIPS.xlsx]Sheet1!R273C16</stp>
        <tr r="P273" s="1"/>
      </tp>
      <tp t="s">
        <v>S 0 10/15/06</v>
        <stp/>
        <stp>##V3_BDPV12</stp>
        <stp>912833NR Govt</stp>
        <stp>SECURITY_NAME</stp>
        <stp>[STRIPS.xlsx]Sheet1!R572C16</stp>
        <tr r="P572" s="1"/>
      </tp>
      <tp t="s">
        <v>S 0 07/31/21</v>
        <stp/>
        <stp>##V3_BDPV12</stp>
        <stp>912834NU Govt</stp>
        <stp>SECURITY_NAME</stp>
        <stp>[STRIPS.xlsx]Sheet1!R274C16</stp>
        <tr r="P274" s="1"/>
      </tp>
      <tp t="s">
        <v>S 0 04/15/14</v>
        <stp/>
        <stp>##V3_BDPV12</stp>
        <stp>912834KF Govt</stp>
        <stp>SECURITY_NAME</stp>
        <stp>[STRIPS.xlsx]Sheet1!R229C16</stp>
        <tr r="P229" s="1"/>
      </tp>
      <tp t="s">
        <v>S 0 07/15/03</v>
        <stp/>
        <stp>##V3_BDPV12</stp>
        <stp>912833NC Govt</stp>
        <stp>SECURITY_NAME</stp>
        <stp>[STRIPS.xlsx]Sheet1!R570C16</stp>
        <tr r="P570" s="1"/>
      </tp>
      <tp t="s">
        <v>S 0 01/15/04</v>
        <stp/>
        <stp>##V3_BDPV12</stp>
        <stp>912833NE Govt</stp>
        <stp>SECURITY_NAME</stp>
        <stp>[STRIPS.xlsx]Sheet1!R571C16</stp>
        <tr r="P571" s="1"/>
      </tp>
      <tp t="s">
        <v>S 0 03/15/18</v>
        <stp/>
        <stp>##V3_BDPV12</stp>
        <stp>912834JX Govt</stp>
        <stp>SECURITY_NAME</stp>
        <stp>[STRIPS.xlsx]Sheet1!R221C16</stp>
        <tr r="P221" s="1"/>
      </tp>
      <tp t="s">
        <v>S 0 10/31/17</v>
        <stp/>
        <stp>##V3_BDPV12</stp>
        <stp>912834JG Govt</stp>
        <stp>SECURITY_NAME</stp>
        <stp>[STRIPS.xlsx]Sheet1!R228C16</stp>
        <tr r="P228" s="1"/>
      </tp>
      <tp t="s">
        <v>S 0 04/30/18</v>
        <stp/>
        <stp>##V3_BDPV12</stp>
        <stp>912834KG Govt</stp>
        <stp>SECURITY_NAME</stp>
        <stp>[STRIPS.xlsx]Sheet1!R230C16</stp>
        <tr r="P230" s="1"/>
      </tp>
      <tp t="s">
        <v>S 0 08/31/17</v>
        <stp/>
        <stp>##V3_BDPV12</stp>
        <stp>912834JC Govt</stp>
        <stp>SECURITY_NAME</stp>
        <stp>[STRIPS.xlsx]Sheet1!R227C16</stp>
        <tr r="P227" s="1"/>
      </tp>
      <tp t="s">
        <v>S 0 08/31/19</v>
        <stp/>
        <stp>##V3_BDPV12</stp>
        <stp>912834LS Govt</stp>
        <stp>SECURITY_NAME</stp>
        <stp>[STRIPS.xlsx]Sheet1!R270C16</stp>
        <tr r="P270" s="1"/>
      </tp>
      <tp t="s">
        <v>S 0 07/15/02</v>
        <stp/>
        <stp>##V3_BDPV12</stp>
        <stp>912833MY Govt</stp>
        <stp>SECURITY_NAME</stp>
        <stp>[STRIPS.xlsx]Sheet1!R569C16</stp>
        <tr r="P569" s="1"/>
      </tp>
      <tp t="s">
        <v>S 0 02/28/22</v>
        <stp/>
        <stp>##V3_BDPV12</stp>
        <stp>912834JW Govt</stp>
        <stp>SECURITY_NAME</stp>
        <stp>[STRIPS.xlsx]Sheet1!R210C16</stp>
        <tr r="P210" s="1"/>
      </tp>
      <tp t="s">
        <v>S 0 01/15/98</v>
        <stp/>
        <stp>##V3_BDPV12</stp>
        <stp>912833ME Govt</stp>
        <stp>SECURITY_NAME</stp>
        <stp>[STRIPS.xlsx]Sheet1!R567C16</stp>
        <tr r="P567" s="1"/>
      </tp>
      <tp t="s">
        <v>S 0 07/15/99</v>
        <stp/>
        <stp>##V3_BDPV12</stp>
        <stp>912833ML Govt</stp>
        <stp>SECURITY_NAME</stp>
        <stp>[STRIPS.xlsx]Sheet1!R568C16</stp>
        <tr r="P568" s="1"/>
      </tp>
      <tp t="s">
        <v>S 0 02/15/20</v>
        <stp/>
        <stp>##V3_BDPV12</stp>
        <stp>912833KY Govt</stp>
        <stp>SECURITY_NAME</stp>
        <stp>[STRIPS.xlsx]Sheet1!R513C16</stp>
        <tr r="P513" s="1"/>
      </tp>
      <tp t="s">
        <v>S 0 06/30/17</v>
        <stp/>
        <stp>##V3_BDPV12</stp>
        <stp>912834HY Govt</stp>
        <stp>SECURITY_NAME</stp>
        <stp>[STRIPS.xlsx]Sheet1!R226C16</stp>
        <tr r="P226" s="1"/>
      </tp>
      <tp t="s">
        <v>S 0 04/30/17</v>
        <stp/>
        <stp>##V3_BDPV12</stp>
        <stp>912834HU Govt</stp>
        <stp>SECURITY_NAME</stp>
        <stp>[STRIPS.xlsx]Sheet1!R225C16</stp>
        <tr r="P225" s="1"/>
      </tp>
      <tp t="s">
        <v>S 0 07/15/16</v>
        <stp/>
        <stp>##V3_BDPV12</stp>
        <stp>912834MR Govt</stp>
        <stp>SECURITY_NAME</stp>
        <stp>[STRIPS.xlsx]Sheet1!R272C16</stp>
        <tr r="P272" s="1"/>
      </tp>
      <tp t="s">
        <v>S 0 08/15/16</v>
        <stp/>
        <stp>##V3_BDPV12</stp>
        <stp>912833KJ Govt</stp>
        <stp>SECURITY_NAME</stp>
        <stp>[STRIPS.xlsx]Sheet1!R512C16</stp>
        <tr r="P512" s="1"/>
      </tp>
      <tp t="s">
        <v>S 0 02/29/20</v>
        <stp/>
        <stp>##V3_BDPV12</stp>
        <stp>912834MG Govt</stp>
        <stp>SECURITY_NAME</stp>
        <stp>[STRIPS.xlsx]Sheet1!R271C16</stp>
        <tr r="P271" s="1"/>
      </tp>
      <tp t="s">
        <v>S 0 02/15/06</v>
        <stp/>
        <stp>##V3_BDPV12</stp>
        <stp>912833CP Govt</stp>
        <stp>SECURITY_NAME</stp>
        <stp>[STRIPS.xlsx]Sheet1!R564C16</stp>
        <tr r="P564" s="1"/>
      </tp>
      <tp t="s">
        <v>S 0 07/15/08</v>
        <stp/>
        <stp>##V3_BDPV12</stp>
        <stp>912833C6 Govt</stp>
        <stp>SECURITY_NAME</stp>
        <stp>[STRIPS.xlsx]Sheet1!R563C16</stp>
        <tr r="P563" s="1"/>
      </tp>
      <tp t="s">
        <v>S 0 02/15/99</v>
        <stp/>
        <stp>##V3_BDPV12</stp>
        <stp>912833BZ Govt</stp>
        <stp>SECURITY_NAME</stp>
        <stp>[STRIPS.xlsx]Sheet1!R562C16</stp>
        <tr r="P562" s="1"/>
      </tp>
      <tp t="s">
        <v>S 0 02/15/15</v>
        <stp/>
        <stp>##V3_BDPV12</stp>
        <stp>912833DH Govt</stp>
        <stp>SECURITY_NAME</stp>
        <stp>[STRIPS.xlsx]Sheet1!R506C16</stp>
        <tr r="P506" s="1"/>
      </tp>
      <tp t="s">
        <v>S 0 04/15/12</v>
        <stp/>
        <stp>##V3_BDPV12</stp>
        <stp>912834BL Govt</stp>
        <stp>SECURITY_NAME</stp>
        <stp>[STRIPS.xlsx]Sheet1!R262C16</stp>
        <tr r="P262" s="1"/>
      </tp>
      <tp t="s">
        <v>S 0 06/15/11</v>
        <stp/>
        <stp>##V3_BDPV12</stp>
        <stp>912834AK Govt</stp>
        <stp>SECURITY_NAME</stp>
        <stp>[STRIPS.xlsx]Sheet1!R257C16</stp>
        <tr r="P257" s="1"/>
      </tp>
      <tp t="s">
        <v>S 0 10/31/14</v>
        <stp/>
        <stp>##V3_BDPV12</stp>
        <stp>912834BN Govt</stp>
        <stp>SECURITY_NAME</stp>
        <stp>[STRIPS.xlsx]Sheet1!R263C16</stp>
        <tr r="P263" s="1"/>
      </tp>
      <tp t="s">
        <v>S 0 08/15/13</v>
        <stp/>
        <stp>##V3_BDPV12</stp>
        <stp>912833DE Govt</stp>
        <stp>SECURITY_NAME</stp>
        <stp>[STRIPS.xlsx]Sheet1!R505C16</stp>
        <tr r="P505" s="1"/>
      </tp>
      <tp t="s">
        <v>S 0 08/15/12</v>
        <stp/>
        <stp>##V3_BDPV12</stp>
        <stp>912833DC Govt</stp>
        <stp>SECURITY_NAME</stp>
        <stp>[STRIPS.xlsx]Sheet1!R504C16</stp>
        <tr r="P504" s="1"/>
      </tp>
      <tp t="s">
        <v>S 0 07/15/11</v>
        <stp/>
        <stp>##V3_BDPV12</stp>
        <stp>912834AN Govt</stp>
        <stp>SECURITY_NAME</stp>
        <stp>[STRIPS.xlsx]Sheet1!R259C16</stp>
        <tr r="P259" s="1"/>
      </tp>
      <tp t="s">
        <v>S 0 06/30/13</v>
        <stp/>
        <stp>##V3_BDPV12</stp>
        <stp>912834AB Govt</stp>
        <stp>SECURITY_NAME</stp>
        <stp>[STRIPS.xlsx]Sheet1!R256C16</stp>
        <tr r="P256" s="1"/>
      </tp>
      <tp t="s">
        <v>S 0 12/15/11</v>
        <stp/>
        <stp>##V3_BDPV12</stp>
        <stp>912834AL Govt</stp>
        <stp>SECURITY_NAME</stp>
        <stp>[STRIPS.xlsx]Sheet1!R258C16</stp>
        <tr r="P258" s="1"/>
      </tp>
      <tp t="s">
        <v>S 0 06/15/05</v>
        <stp/>
        <stp>##V3_BDPV12</stp>
        <stp>912833B2 Govt</stp>
        <stp>SECURITY_NAME</stp>
        <stp>[STRIPS.xlsx]Sheet1!R561C16</stp>
        <tr r="P561" s="1"/>
      </tp>
      <tp t="s">
        <v>S 0 11/15/06</v>
        <stp/>
        <stp>##V3_BDPV12</stp>
        <stp>912833FZ Govt</stp>
        <stp>SECURITY_NAME</stp>
        <stp>[STRIPS.xlsx]Sheet1!R511C16</stp>
        <tr r="P511" s="1"/>
      </tp>
      <tp t="s">
        <v>S 0 02/29/16</v>
        <stp/>
        <stp>##V3_BDPV12</stp>
        <stp>912834AZ Govt</stp>
        <stp>SECURITY_NAME</stp>
        <stp>[STRIPS.xlsx]Sheet1!R261C16</stp>
        <tr r="P261" s="1"/>
      </tp>
      <tp t="s">
        <v>S 0 01/31/14</v>
        <stp/>
        <stp>##V3_BDPV12</stp>
        <stp>912834AQ Govt</stp>
        <stp>SECURITY_NAME</stp>
        <stp>[STRIPS.xlsx]Sheet1!R260C16</stp>
        <tr r="P260" s="1"/>
      </tp>
      <tp t="s">
        <v>S 0 11/15/04</v>
        <stp/>
        <stp>##V3_BDPV12</stp>
        <stp>912833FV Govt</stp>
        <stp>SECURITY_NAME</stp>
        <stp>[STRIPS.xlsx]Sheet1!R510C16</stp>
        <tr r="P510" s="1"/>
      </tp>
      <tp t="s">
        <v>S 0 06/15/04</v>
        <stp/>
        <stp>##V3_BDPV12</stp>
        <stp>912833A8 Govt</stp>
        <stp>SECURITY_NAME</stp>
        <stp>[STRIPS.xlsx]Sheet1!R560C16</stp>
        <tr r="P560" s="1"/>
      </tp>
      <tp t="s">
        <v>11/15/2037</v>
        <stp/>
        <stp>##V3_BDPV12</stp>
        <stp>912834AD Govt</stp>
        <stp>MATURITY</stp>
        <stp>[STRIPS.xlsx]Sheet1!R92C5</stp>
        <tr r="E92" s="1"/>
      </tp>
      <tp t="s">
        <v>S 0 05/15/03</v>
        <stp/>
        <stp>##V3_BDPV12</stp>
        <stp>912833FS Govt</stp>
        <stp>SECURITY_NAME</stp>
        <stp>[STRIPS.xlsx]Sheet1!R508C16</stp>
        <tr r="P508" s="1"/>
      </tp>
      <tp t="s">
        <v>S 0 05/15/04</v>
        <stp/>
        <stp>##V3_BDPV12</stp>
        <stp>912833FU Govt</stp>
        <stp>SECURITY_NAME</stp>
        <stp>[STRIPS.xlsx]Sheet1!R509C16</stp>
        <tr r="P509" s="1"/>
      </tp>
      <tp t="s">
        <v>S 0 11/15/98</v>
        <stp/>
        <stp>##V3_BDPV12</stp>
        <stp>912833FH Govt</stp>
        <stp>SECURITY_NAME</stp>
        <stp>[STRIPS.xlsx]Sheet1!R507C16</stp>
        <tr r="P507" s="1"/>
      </tp>
      <tp t="s">
        <v>S 0 02/15/10</v>
        <stp/>
        <stp>##V3_BDPV12</stp>
        <stp>912833CX Govt</stp>
        <stp>SECURITY_NAME</stp>
        <stp>[STRIPS.xlsx]Sheet1!R503C16</stp>
        <tr r="P503" s="1"/>
      </tp>
      <tp t="s">
        <v>S 0 08/15/99</v>
        <stp/>
        <stp>##V3_BDPV12</stp>
        <stp>912833CA Govt</stp>
        <stp>SECURITY_NAME</stp>
        <stp>[STRIPS.xlsx]Sheet1!R502C16</stp>
        <tr r="P502" s="1"/>
      </tp>
      <tp t="s">
        <v>S 0 08/15/98</v>
        <stp/>
        <stp>##V3_BDPV12</stp>
        <stp>912833BY Govt</stp>
        <stp>SECURITY_NAME</stp>
        <stp>[STRIPS.xlsx]Sheet1!R501C16</stp>
        <tr r="P501" s="1"/>
      </tp>
      <tp t="s">
        <v>S 0 05/31/15</v>
        <stp/>
        <stp>##V3_BDPV12</stp>
        <stp>912834DY Govt</stp>
        <stp>SECURITY_NAME</stp>
        <stp>[STRIPS.xlsx]Sheet1!R264C16</stp>
        <tr r="P264" s="1"/>
      </tp>
      <tp t="s">
        <v>S 0 06/15/07</v>
        <stp/>
        <stp>##V3_BDPV12</stp>
        <stp>912833B6 Govt</stp>
        <stp>SECURITY_NAME</stp>
        <stp>[STRIPS.xlsx]Sheet1!R500C16</stp>
        <tr r="P500" s="1"/>
      </tp>
      <tp t="s">
        <v>S 0 07/15/21</v>
        <stp/>
        <stp>##V3_BDPV12</stp>
        <stp>912834TT Govt</stp>
        <stp>SECURITY_NAME</stp>
        <stp>[STRIPS.xlsx]Sheet1!R283C16</stp>
        <tr r="P283" s="1"/>
      </tp>
      <tp t="s">
        <v>S 0 04/15/21</v>
        <stp/>
        <stp>##V3_BDPV12</stp>
        <stp>912834TM Govt</stp>
        <stp>SECURITY_NAME</stp>
        <stp>[STRIPS.xlsx]Sheet1!R282C16</stp>
        <tr r="P282" s="1"/>
      </tp>
      <tp t="s">
        <v>S 0 01/15/21</v>
        <stp/>
        <stp>##V3_BDPV12</stp>
        <stp>912834TD Govt</stp>
        <stp>SECURITY_NAME</stp>
        <stp>[STRIPS.xlsx]Sheet1!R281C16</stp>
        <tr r="P281" s="1"/>
      </tp>
      <tp t="s">
        <v>S 0 06/30/28</v>
        <stp/>
        <stp>##V3_BDPV12</stp>
        <stp>912834XC Govt</stp>
        <stp>SECURITY_NAME</stp>
        <stp>[STRIPS.xlsx]Sheet1!R214C16</stp>
        <tr r="P214" s="1"/>
      </tp>
      <tp t="s">
        <v>S 0 09/30/05</v>
        <stp/>
        <stp>##V3_BDPV12</stp>
        <stp>912833ZZ Govt</stp>
        <stp>SECURITY_NAME</stp>
        <stp>[STRIPS.xlsx]Sheet1!R528C16</stp>
        <tr r="P528" s="1"/>
      </tp>
      <tp t="s">
        <v>S 0 06/30/05</v>
        <stp/>
        <stp>##V3_BDPV12</stp>
        <stp>912833ZJ Govt</stp>
        <stp>SECURITY_NAME</stp>
        <stp>[STRIPS.xlsx]Sheet1!R527C16</stp>
        <tr r="P527" s="1"/>
      </tp>
      <tp t="s">
        <v>S 0 04/30/13</v>
        <stp/>
        <stp>##V3_BDPV12</stp>
        <stp>912833Z9 Govt</stp>
        <stp>SECURITY_NAME</stp>
        <stp>[STRIPS.xlsx]Sheet1!R526C16</stp>
        <tr r="P526" s="1"/>
      </tp>
      <tp t="s">
        <v>S 0 04/30/03</v>
        <stp/>
        <stp>##V3_BDPV12</stp>
        <stp>912833RV Govt</stp>
        <stp>SECURITY_NAME</stp>
        <stp>[STRIPS.xlsx]Sheet1!R581C16</stp>
        <tr r="P581" s="1"/>
      </tp>
      <tp t="s">
        <v>S 0 02/28/03</v>
        <stp/>
        <stp>##V3_BDPV12</stp>
        <stp>912833RT Govt</stp>
        <stp>SECURITY_NAME</stp>
        <stp>[STRIPS.xlsx]Sheet1!R580C16</stp>
        <tr r="P580" s="1"/>
      </tp>
      <tp t="s">
        <v>S 0 09/15/20</v>
        <stp/>
        <stp>##V3_BDPV12</stp>
        <stp>912834RT Govt</stp>
        <stp>SECURITY_NAME</stp>
        <stp>[STRIPS.xlsx]Sheet1!R280C16</stp>
        <tr r="P280" s="1"/>
      </tp>
      <tp t="s">
        <v>S 0 07/15/22</v>
        <stp/>
        <stp>##V3_BDPV12</stp>
        <stp>912834UV Govt</stp>
        <stp>SECURITY_NAME</stp>
        <stp>[STRIPS.xlsx]Sheet1!R208C16</stp>
        <tr r="P208" s="1"/>
      </tp>
      <tp t="s">
        <v>S 0 03/31/26</v>
        <stp/>
        <stp>##V3_BDPV12</stp>
        <stp>912834UN Govt</stp>
        <stp>SECURITY_NAME</stp>
        <stp>[STRIPS.xlsx]Sheet1!R206C16</stp>
        <tr r="P206" s="1"/>
      </tp>
      <tp t="s">
        <v>S 0 12/31/25</v>
        <stp/>
        <stp>##V3_BDPV12</stp>
        <stp>912834UE Govt</stp>
        <stp>SECURITY_NAME</stp>
        <stp>[STRIPS.xlsx]Sheet1!R207C16</stp>
        <tr r="P207" s="1"/>
      </tp>
      <tp t="s">
        <v>S 0 02/28/99</v>
        <stp/>
        <stp>##V3_BDPV12</stp>
        <stp>912833RK Govt</stp>
        <stp>SECURITY_NAME</stp>
        <stp>[STRIPS.xlsx]Sheet1!R578C16</stp>
        <tr r="P578" s="1"/>
      </tp>
      <tp t="s">
        <v>S 0 10/31/25</v>
        <stp/>
        <stp>##V3_BDPV12</stp>
        <stp>912834UA Govt</stp>
        <stp>SECURITY_NAME</stp>
        <stp>[STRIPS.xlsx]Sheet1!R200C16</stp>
        <tr r="P200" s="1"/>
      </tp>
      <tp t="s">
        <v>S 0 09/15/23</v>
        <stp/>
        <stp>##V3_BDPV12</stp>
        <stp>912834WE Govt</stp>
        <stp>SECURITY_NAME</stp>
        <stp>[STRIPS.xlsx]Sheet1!R223C16</stp>
        <tr r="P223" s="1"/>
      </tp>
      <tp t="s">
        <v>S 0 08/31/00</v>
        <stp/>
        <stp>##V3_BDPV12</stp>
        <stp>912833RN Govt</stp>
        <stp>SECURITY_NAME</stp>
        <stp>[STRIPS.xlsx]Sheet1!R579C16</stp>
        <tr r="P579" s="1"/>
      </tp>
      <tp t="s">
        <v>S 0 02/28/27</v>
        <stp/>
        <stp>##V3_BDPV12</stp>
        <stp>912834VQ Govt</stp>
        <stp>SECURITY_NAME</stp>
        <stp>[STRIPS.xlsx]Sheet1!R222C16</stp>
        <tr r="P222" s="1"/>
      </tp>
      <tp t="s">
        <v>S 0 03/15/23</v>
        <stp/>
        <stp>##V3_BDPV12</stp>
        <stp>912834VR Govt</stp>
        <stp>SECURITY_NAME</stp>
        <stp>[STRIPS.xlsx]Sheet1!R224C16</stp>
        <tr r="P224" s="1"/>
      </tp>
      <tp t="s">
        <v>S 0 04/30/99</v>
        <stp/>
        <stp>##V3_BDPV12</stp>
        <stp>912833PT Govt</stp>
        <stp>SECURITY_NAME</stp>
        <stp>[STRIPS.xlsx]Sheet1!R575C16</stp>
        <tr r="P575" s="1"/>
      </tp>
      <tp t="s">
        <v>S 0 06/30/27</v>
        <stp/>
        <stp>##V3_BDPV12</stp>
        <stp>912834VY Govt</stp>
        <stp>SECURITY_NAME</stp>
        <stp>[STRIPS.xlsx]Sheet1!R218C16</stp>
        <tr r="P218" s="1"/>
      </tp>
      <tp t="s">
        <v>S 0 09/15/18</v>
        <stp/>
        <stp>##V3_BDPV12</stp>
        <stp>912834PP Govt</stp>
        <stp>SECURITY_NAME</stp>
        <stp>[STRIPS.xlsx]Sheet1!R276C16</stp>
        <tr r="P276" s="1"/>
      </tp>
      <tp t="s">
        <v>S 0 10/31/98</v>
        <stp/>
        <stp>##V3_BDPV12</stp>
        <stp>912833PS Govt</stp>
        <stp>SECURITY_NAME</stp>
        <stp>[STRIPS.xlsx]Sheet1!R574C16</stp>
        <tr r="P574" s="1"/>
      </tp>
      <tp t="s">
        <v>S 0 03/31/00</v>
        <stp/>
        <stp>##V3_BDPV12</stp>
        <stp>912833PK Govt</stp>
        <stp>SECURITY_NAME</stp>
        <stp>[STRIPS.xlsx]Sheet1!R573C16</stp>
        <tr r="P573" s="1"/>
      </tp>
      <tp t="s">
        <v>S 0 11/30/26</v>
        <stp/>
        <stp>##V3_BDPV12</stp>
        <stp>912834VF Govt</stp>
        <stp>SECURITY_NAME</stp>
        <stp>[STRIPS.xlsx]Sheet1!R219C16</stp>
        <tr r="P219" s="1"/>
      </tp>
      <tp t="s">
        <v>S 0 01/15/20</v>
        <stp/>
        <stp>##V3_BDPV12</stp>
        <stp>912834QZ Govt</stp>
        <stp>SECURITY_NAME</stp>
        <stp>[STRIPS.xlsx]Sheet1!R279C16</stp>
        <tr r="P279" s="1"/>
      </tp>
      <tp t="s">
        <v>S 0 06/30/98</v>
        <stp/>
        <stp>##V3_BDPV12</stp>
        <stp>912833QN Govt</stp>
        <stp>SECURITY_NAME</stp>
        <stp>[STRIPS.xlsx]Sheet1!R577C16</stp>
        <tr r="P577" s="1"/>
      </tp>
      <tp t="s">
        <v>S 0 10/31/27</v>
        <stp/>
        <stp>##V3_BDPV12</stp>
        <stp>912834WH Govt</stp>
        <stp>SECURITY_NAME</stp>
        <stp>[STRIPS.xlsx]Sheet1!R215C16</stp>
        <tr r="P215" s="1"/>
      </tp>
      <tp t="s">
        <v>S 0 11/30/98</v>
        <stp/>
        <stp>##V3_BDPV12</stp>
        <stp>912833QD Govt</stp>
        <stp>SECURITY_NAME</stp>
        <stp>[STRIPS.xlsx]Sheet1!R576C16</stp>
        <tr r="P576" s="1"/>
      </tp>
      <tp t="s">
        <v>S 0 06/15/19</v>
        <stp/>
        <stp>##V3_BDPV12</stp>
        <stp>912834QK Govt</stp>
        <stp>SECURITY_NAME</stp>
        <stp>[STRIPS.xlsx]Sheet1!R278C16</stp>
        <tr r="P278" s="1"/>
      </tp>
      <tp t="s">
        <v>S 0 04/15/19</v>
        <stp/>
        <stp>##V3_BDPV12</stp>
        <stp>912834QF Govt</stp>
        <stp>SECURITY_NAME</stp>
        <stp>[STRIPS.xlsx]Sheet1!R277C16</stp>
        <tr r="P277" s="1"/>
      </tp>
      <tp t="s">
        <v>S 0 05/31/04</v>
        <stp/>
        <stp>##V3_BDPV12</stp>
        <stp>912833YU Govt</stp>
        <stp>SECURITY_NAME</stp>
        <stp>[STRIPS.xlsx]Sheet1!R586C16</stp>
        <tr r="P586" s="1"/>
      </tp>
      <tp t="s">
        <v>S 0 03/31/04</v>
        <stp/>
        <stp>##V3_BDPV12</stp>
        <stp>912833YS Govt</stp>
        <stp>SECURITY_NAME</stp>
        <stp>[STRIPS.xlsx]Sheet1!R585C16</stp>
        <tr r="P585" s="1"/>
      </tp>
      <tp t="s">
        <v>S 0 11/30/22</v>
        <stp/>
        <stp>##V3_BDPV12</stp>
        <stp>912834PU Govt</stp>
        <stp>SECURITY_NAME</stp>
        <stp>[STRIPS.xlsx]Sheet1!R212C16</stp>
        <tr r="P212" s="1"/>
      </tp>
      <tp t="s">
        <v>S 0 08/31/23</v>
        <stp/>
        <stp>##V3_BDPV12</stp>
        <stp>912834QQ Govt</stp>
        <stp>SECURITY_NAME</stp>
        <stp>[STRIPS.xlsx]Sheet1!R205C16</stp>
        <tr r="P205" s="1"/>
      </tp>
      <tp t="s">
        <v>S 0 10/31/23</v>
        <stp/>
        <stp>##V3_BDPV12</stp>
        <stp>912834QU Govt</stp>
        <stp>SECURITY_NAME</stp>
        <stp>[STRIPS.xlsx]Sheet1!R201C16</stp>
        <tr r="P201" s="1"/>
      </tp>
      <tp t="s">
        <v>S 0 10/31/03</v>
        <stp/>
        <stp>##V3_BDPV12</stp>
        <stp>912833YK Govt</stp>
        <stp>SECURITY_NAME</stp>
        <stp>[STRIPS.xlsx]Sheet1!R584C16</stp>
        <tr r="P584" s="1"/>
      </tp>
      <tp t="s">
        <v>S 0 08/31/12</v>
        <stp/>
        <stp>##V3_BDPV12</stp>
        <stp>912833Y5 Govt</stp>
        <stp>SECURITY_NAME</stp>
        <stp>[STRIPS.xlsx]Sheet1!R582C16</stp>
        <tr r="P582" s="1"/>
      </tp>
      <tp t="s">
        <v>S 0 10/31/12</v>
        <stp/>
        <stp>##V3_BDPV12</stp>
        <stp>912833Y7 Govt</stp>
        <stp>SECURITY_NAME</stp>
        <stp>[STRIPS.xlsx]Sheet1!R583C16</stp>
        <tr r="P583" s="1"/>
      </tp>
      <tp t="s">
        <v>S 0 10/31/22</v>
        <stp/>
        <stp>##V3_BDPV12</stp>
        <stp>912834PS Govt</stp>
        <stp>SECURITY_NAME</stp>
        <stp>[STRIPS.xlsx]Sheet1!R209C16</stp>
        <tr r="P209" s="1"/>
      </tp>
      <tp t="s">
        <v>S 0 01/31/23</v>
        <stp/>
        <stp>##V3_BDPV12</stp>
        <stp>912834PY Govt</stp>
        <stp>SECURITY_NAME</stp>
        <stp>[STRIPS.xlsx]Sheet1!R202C16</stp>
        <tr r="P202" s="1"/>
      </tp>
      <tp t="s">
        <v>S 0 08/31/02</v>
        <stp/>
        <stp>##V3_BDPV12</stp>
        <stp>912833RS Govt</stp>
        <stp>SECURITY_NAME</stp>
        <stp>[STRIPS.xlsx]Sheet1!R525C16</stp>
        <tr r="P525" s="1"/>
      </tp>
      <tp t="s">
        <v>S 0 02/28/01</v>
        <stp/>
        <stp>##V3_BDPV12</stp>
        <stp>912833RP Govt</stp>
        <stp>SECURITY_NAME</stp>
        <stp>[STRIPS.xlsx]Sheet1!R524C16</stp>
        <tr r="P524" s="1"/>
      </tp>
      <tp t="s">
        <v>S 0 05/31/23</v>
        <stp/>
        <stp>##V3_BDPV12</stp>
        <stp>912834QJ Govt</stp>
        <stp>SECURITY_NAME</stp>
        <stp>[STRIPS.xlsx]Sheet1!R213C16</stp>
        <tr r="P213" s="1"/>
      </tp>
      <tp t="s">
        <v>S 0 08/31/99</v>
        <stp/>
        <stp>##V3_BDPV12</stp>
        <stp>912833RL Govt</stp>
        <stp>SECURITY_NAME</stp>
        <stp>[STRIPS.xlsx]Sheet1!R523C16</stp>
        <tr r="P523" s="1"/>
      </tp>
      <tp t="s">
        <v>S 0 11/30/01</v>
        <stp/>
        <stp>##V3_BDPV12</stp>
        <stp>912833QK Govt</stp>
        <stp>SECURITY_NAME</stp>
        <stp>[STRIPS.xlsx]Sheet1!R519C16</stp>
        <tr r="P519" s="1"/>
      </tp>
      <tp t="s">
        <v>S 0 04/30/23</v>
        <stp/>
        <stp>##V3_BDPV12</stp>
        <stp>912834QG Govt</stp>
        <stp>SECURITY_NAME</stp>
        <stp>[STRIPS.xlsx]Sheet1!R211C16</stp>
        <tr r="P211" s="1"/>
      </tp>
      <tp t="s">
        <v>S 0 01/31/02</v>
        <stp/>
        <stp>##V3_BDPV12</stp>
        <stp>912833RF Govt</stp>
        <stp>SECURITY_NAME</stp>
        <stp>[STRIPS.xlsx]Sheet1!R522C16</stp>
        <tr r="P522" s="1"/>
      </tp>
      <tp t="s">
        <v>S 0 12/31/99</v>
        <stp/>
        <stp>##V3_BDPV12</stp>
        <stp>912833QR Govt</stp>
        <stp>SECURITY_NAME</stp>
        <stp>[STRIPS.xlsx]Sheet1!R521C16</stp>
        <tr r="P521" s="1"/>
      </tp>
      <tp t="s">
        <v>S 0 11/30/02</v>
        <stp/>
        <stp>##V3_BDPV12</stp>
        <stp>912833QM Govt</stp>
        <stp>SECURITY_NAME</stp>
        <stp>[STRIPS.xlsx]Sheet1!R520C16</stp>
        <tr r="P520" s="1"/>
      </tp>
      <tp t="s">
        <v>S 0 03/31/24</v>
        <stp/>
        <stp>##V3_BDPV12</stp>
        <stp>912834RG Govt</stp>
        <stp>SECURITY_NAME</stp>
        <stp>[STRIPS.xlsx]Sheet1!R217C16</stp>
        <tr r="P217" s="1"/>
      </tp>
      <tp t="s">
        <v>S 0 01/31/24</v>
        <stp/>
        <stp>##V3_BDPV12</stp>
        <stp>912834RA Govt</stp>
        <stp>SECURITY_NAME</stp>
        <stp>[STRIPS.xlsx]Sheet1!R216C16</stp>
        <tr r="P216" s="1"/>
      </tp>
      <tp t="s">
        <v>S 0 03/15/08</v>
        <stp/>
        <stp>##V3_BDPV12</stp>
        <stp>912833ZX Govt</stp>
        <stp>SECURITY_NAME</stp>
        <stp>[STRIPS.xlsx]Sheet1!R588C16</stp>
        <tr r="P588" s="1"/>
      </tp>
      <tp t="s">
        <v>S 0 07/31/24</v>
        <stp/>
        <stp>##V3_BDPV12</stp>
        <stp>912834RQ Govt</stp>
        <stp>SECURITY_NAME</stp>
        <stp>[STRIPS.xlsx]Sheet1!R204C16</stp>
        <tr r="P204" s="1"/>
      </tp>
      <tp t="s">
        <v>S 0 04/30/24</v>
        <stp/>
        <stp>##V3_BDPV12</stp>
        <stp>912834RJ Govt</stp>
        <stp>SECURITY_NAME</stp>
        <stp>[STRIPS.xlsx]Sheet1!R203C16</stp>
        <tr r="P203" s="1"/>
      </tp>
      <tp t="s">
        <v>S 0 03/31/05</v>
        <stp/>
        <stp>##V3_BDPV12</stp>
        <stp>912833ZF Govt</stp>
        <stp>SECURITY_NAME</stp>
        <stp>[STRIPS.xlsx]Sheet1!R587C16</stp>
        <tr r="P587" s="1"/>
      </tp>
      <tp t="s">
        <v>S 0 04/30/06</v>
        <stp/>
        <stp>##V3_BDPV12</stp>
        <stp>9128332E Govt</stp>
        <stp>SECURITY_NAME</stp>
        <stp>[STRIPS.xlsx]Sheet1!R597C16</stp>
        <tr r="P597" s="1"/>
      </tp>
      <tp t="s">
        <v>S 0 07/15/09</v>
        <stp/>
        <stp>##V3_BDPV12</stp>
        <stp>9128332J Govt</stp>
        <stp>SECURITY_NAME</stp>
        <stp>[STRIPS.xlsx]Sheet1!R598C16</stp>
        <tr r="P598" s="1"/>
      </tp>
      <tp t="s">
        <v>S 0 10/15/09</v>
        <stp/>
        <stp>##V3_BDPV12</stp>
        <stp>9128333M Govt</stp>
        <stp>SECURITY_NAME</stp>
        <stp>[STRIPS.xlsx]Sheet1!R599C16</stp>
        <tr r="P599" s="1"/>
      </tp>
      <tp t="s">
        <v>S 0 01/15/10</v>
        <stp/>
        <stp>##V3_BDPV12</stp>
        <stp>9128333S Govt</stp>
        <stp>SECURITY_NAME</stp>
        <stp>[STRIPS.xlsx]Sheet1!R553C16</stp>
        <tr r="P553" s="1"/>
      </tp>
      <tp t="s">
        <v>S 0 09/30/06</v>
        <stp/>
        <stp>##V3_BDPV12</stp>
        <stp>9128333L Govt</stp>
        <stp>SECURITY_NAME</stp>
        <stp>[STRIPS.xlsx]Sheet1!R552C16</stp>
        <tr r="P552" s="1"/>
      </tp>
      <tp t="s">
        <v>S 0 01/31/08</v>
        <stp/>
        <stp>##V3_BDPV12</stp>
        <stp>9128334R Govt</stp>
        <stp>SECURITY_NAME</stp>
        <stp>[STRIPS.xlsx]Sheet1!R554C16</stp>
        <tr r="P554" s="1"/>
      </tp>
      <tp t="s">
        <v>S 0 10/31/08</v>
        <stp/>
        <stp>##V3_BDPV12</stp>
        <stp>9128335T Govt</stp>
        <stp>SECURITY_NAME</stp>
        <stp>[STRIPS.xlsx]Sheet1!R556C16</stp>
        <tr r="P556" s="1"/>
      </tp>
      <tp t="s">
        <v>S 0 03/31/11</v>
        <stp/>
        <stp>##V3_BDPV12</stp>
        <stp>9128335R Govt</stp>
        <stp>SECURITY_NAME</stp>
        <stp>[STRIPS.xlsx]Sheet1!R555C16</stp>
        <tr r="P555" s="1"/>
      </tp>
      <tp t="s">
        <v>S 0 06/30/10</v>
        <stp/>
        <stp>##V3_BDPV12</stp>
        <stp>9128336L Govt</stp>
        <stp>SECURITY_NAME</stp>
        <stp>[STRIPS.xlsx]Sheet1!R557C16</stp>
        <tr r="P557" s="1"/>
      </tp>
      <tp t="s">
        <v>S 0 12/31/10</v>
        <stp/>
        <stp>##V3_BDPV12</stp>
        <stp>9128336M Govt</stp>
        <stp>SECURITY_NAME</stp>
        <stp>[STRIPS.xlsx]Sheet1!R558C16</stp>
        <tr r="P558" s="1"/>
      </tp>
      <tp t="s">
        <v>S 0 07/31/12</v>
        <stp/>
        <stp>##V3_BDPV12</stp>
        <stp>9128337M Govt</stp>
        <stp>SECURITY_NAME</stp>
        <stp>[STRIPS.xlsx]Sheet1!R559C16</stp>
        <tr r="P559" s="1"/>
      </tp>
      <tp t="s">
        <v>ACT/ACT</v>
        <stp/>
        <stp>##V3_BDPV12</stp>
        <stp>912834XH Govt</stp>
        <stp>DAY_CNT_DES</stp>
        <stp>[STRIPS.xlsx]Sheet1!R150C17</stp>
        <tr r="Q150" s="1"/>
      </tp>
      <tp t="s">
        <v>S 0 05/15/44</v>
        <stp/>
        <stp>##V3_BDPV12</stp>
        <stp>912834NP Govt</stp>
        <stp>SECURITY_NAME</stp>
        <stp>[STRIPS.xlsx]Sheet1!R130C16</stp>
        <tr r="P130" s="1"/>
      </tp>
      <tp t="s">
        <v>S 0 04/30/22</v>
        <stp/>
        <stp>##V3_BDPV12</stp>
        <stp>912834KA Govt</stp>
        <stp>SECURITY_NAME</stp>
        <stp>[STRIPS.xlsx]Sheet1!R165C16</stp>
        <tr r="P165" s="1"/>
      </tp>
      <tp t="s">
        <v>S 0 11/15/10</v>
        <stp/>
        <stp>##V3_BDPV12</stp>
        <stp>912833JV Govt</stp>
        <stp>SECURITY_NAME</stp>
        <stp>[STRIPS.xlsx]Sheet1!R668C16</stp>
        <tr r="P668" s="1"/>
      </tp>
      <tp t="s">
        <v>S 0 11/15/11</v>
        <stp/>
        <stp>##V3_BDPV12</stp>
        <stp>912833JX Govt</stp>
        <stp>SECURITY_NAME</stp>
        <stp>[STRIPS.xlsx]Sheet1!R669C16</stp>
        <tr r="P669" s="1"/>
      </tp>
      <tp t="s">
        <v>S 0 04/15/03</v>
        <stp/>
        <stp>##V3_BDPV12</stp>
        <stp>912833NB Govt</stp>
        <stp>SECURITY_NAME</stp>
        <stp>[STRIPS.xlsx]Sheet1!R629C16</stp>
        <tr r="P629" s="1"/>
      </tp>
      <tp t="s">
        <v>S 0 08/15/17</v>
        <stp/>
        <stp>##V3_BDPV12</stp>
        <stp>912833KN Govt</stp>
        <stp>SECURITY_NAME</stp>
        <stp>[STRIPS.xlsx]Sheet1!R672C16</stp>
        <tr r="P672" s="1"/>
      </tp>
      <tp t="s">
        <v>S 0 02/15/16</v>
        <stp/>
        <stp>##V3_BDPV12</stp>
        <stp>912833KG Govt</stp>
        <stp>SECURITY_NAME</stp>
        <stp>[STRIPS.xlsx]Sheet1!R671C16</stp>
        <tr r="P671" s="1"/>
      </tp>
      <tp t="s">
        <v>S 0 05/15/15</v>
        <stp/>
        <stp>##V3_BDPV12</stp>
        <stp>912833KE Govt</stp>
        <stp>SECURITY_NAME</stp>
        <stp>[STRIPS.xlsx]Sheet1!R670C16</stp>
        <tr r="P670" s="1"/>
      </tp>
      <tp t="s">
        <v>S 0 04/15/02</v>
        <stp/>
        <stp>##V3_BDPV12</stp>
        <stp>912833MX Govt</stp>
        <stp>SECURITY_NAME</stp>
        <stp>[STRIPS.xlsx]Sheet1!R627C16</stp>
        <tr r="P627" s="1"/>
      </tp>
      <tp t="s">
        <v>S 0 10/15/02</v>
        <stp/>
        <stp>##V3_BDPV12</stp>
        <stp>912833MZ Govt</stp>
        <stp>SECURITY_NAME</stp>
        <stp>[STRIPS.xlsx]Sheet1!R628C16</stp>
        <tr r="P628" s="1"/>
      </tp>
      <tp t="s">
        <v>S 0 08/15/44</v>
        <stp/>
        <stp>##V3_BDPV12</stp>
        <stp>912834NV Govt</stp>
        <stp>SECURITY_NAME</stp>
        <stp>[STRIPS.xlsx]Sheet1!R115C16</stp>
        <tr r="P115" s="1"/>
      </tp>
      <tp t="s">
        <v>S 0 10/15/01</v>
        <stp/>
        <stp>##V3_BDPV12</stp>
        <stp>912833MV Govt</stp>
        <stp>SECURITY_NAME</stp>
        <stp>[STRIPS.xlsx]Sheet1!R626C16</stp>
        <tr r="P626" s="1"/>
      </tp>
      <tp t="s">
        <v>S 0 01/15/01</v>
        <stp/>
        <stp>##V3_BDPV12</stp>
        <stp>912833MS Govt</stp>
        <stp>SECURITY_NAME</stp>
        <stp>[STRIPS.xlsx]Sheet1!R625C16</stp>
        <tr r="P625" s="1"/>
      </tp>
      <tp t="s">
        <v>S 0 01/15/00</v>
        <stp/>
        <stp>##V3_BDPV12</stp>
        <stp>912833MN Govt</stp>
        <stp>SECURITY_NAME</stp>
        <stp>[STRIPS.xlsx]Sheet1!R624C16</stp>
        <tr r="P624" s="1"/>
      </tp>
      <tp t="s">
        <v>S 0 11/15/17</v>
        <stp/>
        <stp>##V3_BDPV12</stp>
        <stp>912833KP Govt</stp>
        <stp>SECURITY_NAME</stp>
        <stp>[STRIPS.xlsx]Sheet1!R623C16</stp>
        <tr r="P623" s="1"/>
      </tp>
      <tp t="s">
        <v>S 0 07/15/17</v>
        <stp/>
        <stp>##V3_BDPV12</stp>
        <stp>912834NT Govt</stp>
        <stp>SECURITY_NAME</stp>
        <stp>[STRIPS.xlsx]Sheet1!R174C16</stp>
        <tr r="P174" s="1"/>
      </tp>
      <tp t="s">
        <v>S 0 07/15/06</v>
        <stp/>
        <stp>##V3_BDPV12</stp>
        <stp>912833NQ Govt</stp>
        <stp>SECURITY_NAME</stp>
        <stp>[STRIPS.xlsx]Sheet1!R677C16</stp>
        <tr r="P677" s="1"/>
      </tp>
      <tp t="s">
        <v>S 0 10/15/03</v>
        <stp/>
        <stp>##V3_BDPV12</stp>
        <stp>912833ND Govt</stp>
        <stp>SECURITY_NAME</stp>
        <stp>[STRIPS.xlsx]Sheet1!R676C16</stp>
        <tr r="P676" s="1"/>
      </tp>
      <tp t="s">
        <v>S 0 05/31/22</v>
        <stp/>
        <stp>##V3_BDPV12</stp>
        <stp>912834KC Govt</stp>
        <stp>SECURITY_NAME</stp>
        <stp>[STRIPS.xlsx]Sheet1!R133C16</stp>
        <tr r="P133" s="1"/>
      </tp>
      <tp t="s">
        <v>S 0 02/15/21</v>
        <stp/>
        <stp>##V3_BDPV12</stp>
        <stp>912833LC Govt</stp>
        <stp>SECURITY_NAME</stp>
        <stp>[STRIPS.xlsx]Sheet1!R673C16</stp>
        <tr r="P673" s="1"/>
      </tp>
      <tp t="s">
        <v>S 0 09/30/21</v>
        <stp/>
        <stp>##V3_BDPV12</stp>
        <stp>912834NY Govt</stp>
        <stp>SECURITY_NAME</stp>
        <stp>[STRIPS.xlsx]Sheet1!R143C16</stp>
        <tr r="P143" s="1"/>
      </tp>
      <tp t="s">
        <v>S 0 01/15/02</v>
        <stp/>
        <stp>##V3_BDPV12</stp>
        <stp>912833MW Govt</stp>
        <stp>SECURITY_NAME</stp>
        <stp>[STRIPS.xlsx]Sheet1!R675C16</stp>
        <tr r="P675" s="1"/>
      </tp>
      <tp t="s">
        <v>S 0 04/15/01</v>
        <stp/>
        <stp>##V3_BDPV12</stp>
        <stp>912833MT Govt</stp>
        <stp>SECURITY_NAME</stp>
        <stp>[STRIPS.xlsx]Sheet1!R674C16</stp>
        <tr r="P674" s="1"/>
      </tp>
      <tp t="s">
        <v>S 0 05/15/45</v>
        <stp/>
        <stp>##V3_BDPV12</stp>
        <stp>912834KB Govt</stp>
        <stp>SECURITY_NAME</stp>
        <stp>[STRIPS.xlsx]Sheet1!R110C16</stp>
        <tr r="P110" s="1"/>
      </tp>
      <tp t="s">
        <v>S 0 12/31/19</v>
        <stp/>
        <stp>##V3_BDPV12</stp>
        <stp>912834MA Govt</stp>
        <stp>SECURITY_NAME</stp>
        <stp>[STRIPS.xlsx]Sheet1!R172C16</stp>
        <tr r="P172" s="1"/>
      </tp>
      <tp t="s">
        <v>S 0 11/15/39</v>
        <stp/>
        <stp>##V3_BDPV12</stp>
        <stp>912834EV Govt</stp>
        <stp>SECURITY_NAME</stp>
        <stp>[STRIPS.xlsx]Sheet1!R101C16</stp>
        <tr r="P101" s="1"/>
      </tp>
      <tp t="s">
        <v>S 0 11/15/05</v>
        <stp/>
        <stp>##V3_BDPV12</stp>
        <stp>912833FX Govt</stp>
        <stp>SECURITY_NAME</stp>
        <stp>[STRIPS.xlsx]Sheet1!R622C16</stp>
        <tr r="P622" s="1"/>
      </tp>
      <tp t="s">
        <v>S 0 05/15/02</v>
        <stp/>
        <stp>##V3_BDPV12</stp>
        <stp>912833FQ Govt</stp>
        <stp>SECURITY_NAME</stp>
        <stp>[STRIPS.xlsx]Sheet1!R620C16</stp>
        <tr r="P620" s="1"/>
      </tp>
      <tp t="s">
        <v>S 0 11/15/03</v>
        <stp/>
        <stp>##V3_BDPV12</stp>
        <stp>912833FT Govt</stp>
        <stp>SECURITY_NAME</stp>
        <stp>[STRIPS.xlsx]Sheet1!R621C16</stp>
        <tr r="P621" s="1"/>
      </tp>
      <tp t="s">
        <v>S 0 02/15/40</v>
        <stp/>
        <stp>##V3_BDPV12</stp>
        <stp>912834FB Govt</stp>
        <stp>SECURITY_NAME</stp>
        <stp>[STRIPS.xlsx]Sheet1!R120C16</stp>
        <tr r="P120" s="1"/>
      </tp>
      <tp t="s">
        <v>S 0 10/31/05</v>
        <stp/>
        <stp>##V3_BDPV12</stp>
        <stp>912833A6 Govt</stp>
        <stp>SECURITY_NAME</stp>
        <stp>[STRIPS.xlsx]Sheet1!R652C16</stp>
        <tr r="P652" s="1"/>
      </tp>
      <tp t="s">
        <v>S 0 11/30/05</v>
        <stp/>
        <stp>##V3_BDPV12</stp>
        <stp>912833A7 Govt</stp>
        <stp>SECURITY_NAME</stp>
        <stp>[STRIPS.xlsx]Sheet1!R653C16</stp>
        <tr r="P653" s="1"/>
      </tp>
      <tp t="s">
        <v>S 0 11/15/97</v>
        <stp/>
        <stp>##V3_BDPV12</stp>
        <stp>912833FF Govt</stp>
        <stp>SECURITY_NAME</stp>
        <stp>[STRIPS.xlsx]Sheet1!R618C16</stp>
        <tr r="P618" s="1"/>
      </tp>
      <tp t="s">
        <v>S 0 11/15/00</v>
        <stp/>
        <stp>##V3_BDPV12</stp>
        <stp>912833FM Govt</stp>
        <stp>SECURITY_NAME</stp>
        <stp>[STRIPS.xlsx]Sheet1!R619C16</stp>
        <tr r="P619" s="1"/>
      </tp>
      <tp t="s">
        <v>S 0 06/15/06</v>
        <stp/>
        <stp>##V3_BDPV12</stp>
        <stp>912833B4 Govt</stp>
        <stp>SECURITY_NAME</stp>
        <stp>[STRIPS.xlsx]Sheet1!R654C16</stp>
        <tr r="P654" s="1"/>
      </tp>
      <tp t="s">
        <v>S 0 02/15/09</v>
        <stp/>
        <stp>##V3_BDPV12</stp>
        <stp>912833CV Govt</stp>
        <stp>SECURITY_NAME</stp>
        <stp>[STRIPS.xlsx]Sheet1!R658C16</stp>
        <tr r="P658" s="1"/>
      </tp>
      <tp t="s">
        <v>S 0 02/15/08</v>
        <stp/>
        <stp>##V3_BDPV12</stp>
        <stp>912833CT Govt</stp>
        <stp>SECURITY_NAME</stp>
        <stp>[STRIPS.xlsx]Sheet1!R657C16</stp>
        <tr r="P657" s="1"/>
      </tp>
      <tp t="s">
        <v>S 0 05/15/39</v>
        <stp/>
        <stp>##V3_BDPV12</stp>
        <stp>912834DV Govt</stp>
        <stp>SECURITY_NAME</stp>
        <stp>[STRIPS.xlsx]Sheet1!R127C16</stp>
        <tr r="P127" s="1"/>
      </tp>
      <tp t="s">
        <v>S 0 02/15/05</v>
        <stp/>
        <stp>##V3_BDPV12</stp>
        <stp>912833CM Govt</stp>
        <stp>SECURITY_NAME</stp>
        <stp>[STRIPS.xlsx]Sheet1!R656C16</stp>
        <tr r="P656" s="1"/>
      </tp>
      <tp t="s">
        <v>S 0 02/15/02</v>
        <stp/>
        <stp>##V3_BDPV12</stp>
        <stp>912833CF Govt</stp>
        <stp>SECURITY_NAME</stp>
        <stp>[STRIPS.xlsx]Sheet1!R655C16</stp>
        <tr r="P655" s="1"/>
      </tp>
      <tp t="s">
        <v>S 0 02/15/13</v>
        <stp/>
        <stp>##V3_BDPV12</stp>
        <stp>912833DD Govt</stp>
        <stp>SECURITY_NAME</stp>
        <stp>[STRIPS.xlsx]Sheet1!R659C16</stp>
        <tr r="P659" s="1"/>
      </tp>
      <tp t="s">
        <v>S 0 11/15/09</v>
        <stp/>
        <stp>##V3_BDPV12</stp>
        <stp>912833GF Govt</stp>
        <stp>SECURITY_NAME</stp>
        <stp>[STRIPS.xlsx]Sheet1!R667C16</stp>
        <tr r="P667" s="1"/>
      </tp>
      <tp t="s">
        <v>S 0 11/15/07</v>
        <stp/>
        <stp>##V3_BDPV12</stp>
        <stp>912833GB Govt</stp>
        <stp>SECURITY_NAME</stp>
        <stp>[STRIPS.xlsx]Sheet1!R666C16</stp>
        <tr r="P666" s="1"/>
      </tp>
      <tp t="s">
        <v>S 0 04/15/07</v>
        <stp/>
        <stp>##V3_BDPV12</stp>
        <stp>912833A2 Govt</stp>
        <stp>SECURITY_NAME</stp>
        <stp>[STRIPS.xlsx]Sheet1!R608C16</stp>
        <tr r="P608" s="1"/>
      </tp>
      <tp t="s">
        <v>S 0 12/15/04</v>
        <stp/>
        <stp>##V3_BDPV12</stp>
        <stp>912833A9 Govt</stp>
        <stp>SECURITY_NAME</stp>
        <stp>[STRIPS.xlsx]Sheet1!R609C16</stp>
        <tr r="P609" s="1"/>
      </tp>
      <tp t="s">
        <v>S 0 05/15/06</v>
        <stp/>
        <stp>##V3_BDPV12</stp>
        <stp>912833FY Govt</stp>
        <stp>SECURITY_NAME</stp>
        <stp>[STRIPS.xlsx]Sheet1!R665C16</stp>
        <tr r="P665" s="1"/>
      </tp>
      <tp t="s">
        <v>S 0 11/15/01</v>
        <stp/>
        <stp>##V3_BDPV12</stp>
        <stp>912833FP Govt</stp>
        <stp>SECURITY_NAME</stp>
        <stp>[STRIPS.xlsx]Sheet1!R664C16</stp>
        <tr r="P664" s="1"/>
      </tp>
      <tp t="s">
        <v>S 0 11/15/99</v>
        <stp/>
        <stp>##V3_BDPV12</stp>
        <stp>912833FK Govt</stp>
        <stp>SECURITY_NAME</stp>
        <stp>[STRIPS.xlsx]Sheet1!R662C16</stp>
        <tr r="P662" s="1"/>
      </tp>
      <tp t="s">
        <v>S 0 05/15/00</v>
        <stp/>
        <stp>##V3_BDPV12</stp>
        <stp>912833FL Govt</stp>
        <stp>SECURITY_NAME</stp>
        <stp>[STRIPS.xlsx]Sheet1!R663C16</stp>
        <tr r="P663" s="1"/>
      </tp>
      <tp t="s">
        <v>S 0 05/15/38</v>
        <stp/>
        <stp>##V3_BDPV12</stp>
        <stp>912834AE Govt</stp>
        <stp>SECURITY_NAME</stp>
        <stp>[STRIPS.xlsx]Sheet1!R118C16</stp>
        <tr r="P118" s="1"/>
      </tp>
      <tp t="s">
        <v>S 0 05/15/98</v>
        <stp/>
        <stp>##V3_BDPV12</stp>
        <stp>912833FG Govt</stp>
        <stp>SECURITY_NAME</stp>
        <stp>[STRIPS.xlsx]Sheet1!R661C16</stp>
        <tr r="P661" s="1"/>
      </tp>
      <tp t="s">
        <v>S 0 09/30/28</v>
        <stp/>
        <stp>##V3_BDPV12</stp>
        <stp>912834A3 Govt</stp>
        <stp>SECURITY_NAME</stp>
        <stp>[STRIPS.xlsx]Sheet1!R119C16</stp>
        <tr r="P119" s="1"/>
      </tp>
      <tp t="s">
        <v>S 0 02/15/39</v>
        <stp/>
        <stp>##V3_BDPV12</stp>
        <stp>912834AU Govt</stp>
        <stp>SECURITY_NAME</stp>
        <stp>[STRIPS.xlsx]Sheet1!R125C16</stp>
        <tr r="P125" s="1"/>
      </tp>
      <tp t="s">
        <v>S 0 08/15/97</v>
        <stp/>
        <stp>##V3_BDPV12</stp>
        <stp>912833BW Govt</stp>
        <stp>SECURITY_NAME</stp>
        <stp>[STRIPS.xlsx]Sheet1!R610C16</stp>
        <tr r="P610" s="1"/>
      </tp>
      <tp t="s">
        <v>S 0 09/15/24</v>
        <stp/>
        <stp>##V3_BDPV12</stp>
        <stp>912834A2 Govt</stp>
        <stp>SECURITY_NAME</stp>
        <stp>[STRIPS.xlsx]Sheet1!R122C16</stp>
        <tr r="P122" s="1"/>
      </tp>
      <tp t="s">
        <v>S 0 10/31/16</v>
        <stp/>
        <stp>##V3_BDPV12</stp>
        <stp>912834EU Govt</stp>
        <stp>SECURITY_NAME</stp>
        <stp>[STRIPS.xlsx]Sheet1!R175C16</stp>
        <tr r="P175" s="1"/>
      </tp>
      <tp t="s">
        <v>S 0 02/15/07</v>
        <stp/>
        <stp>##V3_BDPV12</stp>
        <stp>912833CR Govt</stp>
        <stp>SECURITY_NAME</stp>
        <stp>[STRIPS.xlsx]Sheet1!R617C16</stp>
        <tr r="P617" s="1"/>
      </tp>
      <tp t="s">
        <v>S 0 08/15/04</v>
        <stp/>
        <stp>##V3_BDPV12</stp>
        <stp>912833CL Govt</stp>
        <stp>SECURITY_NAME</stp>
        <stp>[STRIPS.xlsx]Sheet1!R616C16</stp>
        <tr r="P616" s="1"/>
      </tp>
      <tp t="s">
        <v>S 0 02/15/03</v>
        <stp/>
        <stp>##V3_BDPV12</stp>
        <stp>912833CH Govt</stp>
        <stp>SECURITY_NAME</stp>
        <stp>[STRIPS.xlsx]Sheet1!R615C16</stp>
        <tr r="P615" s="1"/>
      </tp>
      <tp t="s">
        <v>S 0 02/15/00</v>
        <stp/>
        <stp>##V3_BDPV12</stp>
        <stp>912833CB Govt</stp>
        <stp>SECURITY_NAME</stp>
        <stp>[STRIPS.xlsx]Sheet1!R614C16</stp>
        <tr r="P614" s="1"/>
      </tp>
      <tp t="s">
        <v>S 0 02/15/14</v>
        <stp/>
        <stp>##V3_BDPV12</stp>
        <stp>912833DF Govt</stp>
        <stp>SECURITY_NAME</stp>
        <stp>[STRIPS.xlsx]Sheet1!R660C16</stp>
        <tr r="P660" s="1"/>
      </tp>
      <tp t="s">
        <v>S 0 01/31/06</v>
        <stp/>
        <stp>##V3_BDPV12</stp>
        <stp>912833C9 Govt</stp>
        <stp>SECURITY_NAME</stp>
        <stp>[STRIPS.xlsx]Sheet1!R613C16</stp>
        <tr r="P613" s="1"/>
      </tp>
      <tp t="s">
        <v>S 0 12/31/05</v>
        <stp/>
        <stp>##V3_BDPV12</stp>
        <stp>912833C2 Govt</stp>
        <stp>SECURITY_NAME</stp>
        <stp>[STRIPS.xlsx]Sheet1!R611C16</stp>
        <tr r="P611" s="1"/>
      </tp>
      <tp t="s">
        <v>S 0 07/15/07</v>
        <stp/>
        <stp>##V3_BDPV12</stp>
        <stp>912833C4 Govt</stp>
        <stp>SECURITY_NAME</stp>
        <stp>[STRIPS.xlsx]Sheet1!R612C16</stp>
        <tr r="P612" s="1"/>
      </tp>
      <tp t="s">
        <v>S 0 07/31/26</v>
        <stp/>
        <stp>##V3_BDPV12</stp>
        <stp>912834UX Govt</stp>
        <stp>SECURITY_NAME</stp>
        <stp>[STRIPS.xlsx]Sheet1!R182C16</stp>
        <tr r="P182" s="1"/>
      </tp>
      <tp t="s">
        <v>S 0 08/31/26</v>
        <stp/>
        <stp>##V3_BDPV12</stp>
        <stp>912834UZ Govt</stp>
        <stp>SECURITY_NAME</stp>
        <stp>[STRIPS.xlsx]Sheet1!R181C16</stp>
        <tr r="P181" s="1"/>
      </tp>
      <tp t="s">
        <v>S 0 09/30/25</v>
        <stp/>
        <stp>##V3_BDPV12</stp>
        <stp>912834TY Govt</stp>
        <stp>SECURITY_NAME</stp>
        <stp>[STRIPS.xlsx]Sheet1!R199C16</stp>
        <tr r="P199" s="1"/>
      </tp>
      <tp t="s">
        <v>S 0 06/15/22</v>
        <stp/>
        <stp>##V3_BDPV12</stp>
        <stp>912834UT Govt</stp>
        <stp>SECURITY_NAME</stp>
        <stp>[STRIPS.xlsx]Sheet1!R184C16</stp>
        <tr r="P184" s="1"/>
      </tp>
      <tp t="s">
        <v>S 0 06/30/25</v>
        <stp/>
        <stp>##V3_BDPV12</stp>
        <stp>912834TS Govt</stp>
        <stp>SECURITY_NAME</stp>
        <stp>[STRIPS.xlsx]Sheet1!R196C16</stp>
        <tr r="P196" s="1"/>
      </tp>
      <tp t="s">
        <v>S 0 08/31/28</v>
        <stp/>
        <stp>##V3_BDPV12</stp>
        <stp>912834XH Govt</stp>
        <stp>SECURITY_NAME</stp>
        <stp>[STRIPS.xlsx]Sheet1!R150C16</stp>
        <tr r="P150" s="1"/>
      </tp>
      <tp t="s">
        <v>S 0 03/31/25</v>
        <stp/>
        <stp>##V3_BDPV12</stp>
        <stp>912834TL Govt</stp>
        <stp>SECURITY_NAME</stp>
        <stp>[STRIPS.xlsx]Sheet1!R195C16</stp>
        <tr r="P195" s="1"/>
      </tp>
      <tp t="s">
        <v>S 0 03/15/22</v>
        <stp/>
        <stp>##V3_BDPV12</stp>
        <stp>912834UM Govt</stp>
        <stp>SECURITY_NAME</stp>
        <stp>[STRIPS.xlsx]Sheet1!R180C16</stp>
        <tr r="P180" s="1"/>
      </tp>
      <tp t="s">
        <v>S 0 12/15/21</v>
        <stp/>
        <stp>##V3_BDPV12</stp>
        <stp>912834UD Govt</stp>
        <stp>SECURITY_NAME</stp>
        <stp>[STRIPS.xlsx]Sheet1!R197C16</stp>
        <tr r="P197" s="1"/>
      </tp>
      <tp t="s">
        <v>S 0 03/31/28</v>
        <stp/>
        <stp>##V3_BDPV12</stp>
        <stp>912834WW Govt</stp>
        <stp>SECURITY_NAME</stp>
        <stp>[STRIPS.xlsx]Sheet1!R185C16</stp>
        <tr r="P185" s="1"/>
      </tp>
      <tp t="s">
        <v>S 0 04/30/28</v>
        <stp/>
        <stp>##V3_BDPV12</stp>
        <stp>912834WY Govt</stp>
        <stp>SECURITY_NAME</stp>
        <stp>[STRIPS.xlsx]Sheet1!R189C16</stp>
        <tr r="P189" s="1"/>
      </tp>
      <tp t="s">
        <v>S 0 08/31/27</v>
        <stp/>
        <stp>##V3_BDPV12</stp>
        <stp>912834WD Govt</stp>
        <stp>SECURITY_NAME</stp>
        <stp>[STRIPS.xlsx]Sheet1!R186C16</stp>
        <tr r="P186" s="1"/>
      </tp>
      <tp t="s">
        <v>S 0 12/31/27</v>
        <stp/>
        <stp>##V3_BDPV12</stp>
        <stp>912834WM Govt</stp>
        <stp>SECURITY_NAME</stp>
        <stp>[STRIPS.xlsx]Sheet1!R188C16</stp>
        <tr r="P188" s="1"/>
      </tp>
      <tp t="s">
        <v>S 0 09/15/07</v>
        <stp/>
        <stp>##V3_BDPV12</stp>
        <stp>912833ZW Govt</stp>
        <stp>SECURITY_NAME</stp>
        <stp>[STRIPS.xlsx]Sheet1!R640C16</stp>
        <tr r="P640" s="1"/>
      </tp>
      <tp t="s">
        <v>S 0 01/15/24</v>
        <stp/>
        <stp>##V3_BDPV12</stp>
        <stp>912834WN Govt</stp>
        <stp>SECURITY_NAME</stp>
        <stp>[STRIPS.xlsx]Sheet1!R191C16</stp>
        <tr r="P191" s="1"/>
      </tp>
      <tp t="s">
        <v>S 0 09/15/04</v>
        <stp/>
        <stp>##V3_BDPV12</stp>
        <stp>912833ZQ Govt</stp>
        <stp>SECURITY_NAME</stp>
        <stp>[STRIPS.xlsx]Sheet1!R639C16</stp>
        <tr r="P639" s="1"/>
      </tp>
      <tp t="s">
        <v>S 0 06/30/01</v>
        <stp/>
        <stp>##V3_BDPV12</stp>
        <stp>912833QU Govt</stp>
        <stp>SECURITY_NAME</stp>
        <stp>[STRIPS.xlsx]Sheet1!R688C16</stp>
        <tr r="P688" s="1"/>
      </tp>
      <tp t="s">
        <v>S 0 12/31/98</v>
        <stp/>
        <stp>##V3_BDPV12</stp>
        <stp>912833QP Govt</stp>
        <stp>SECURITY_NAME</stp>
        <stp>[STRIPS.xlsx]Sheet1!R687C16</stp>
        <tr r="P687" s="1"/>
      </tp>
      <tp t="s">
        <v>S 0 05/31/01</v>
        <stp/>
        <stp>##V3_BDPV12</stp>
        <stp>912833QJ Govt</stp>
        <stp>SECURITY_NAME</stp>
        <stp>[STRIPS.xlsx]Sheet1!R686C16</stp>
        <tr r="P686" s="1"/>
      </tp>
      <tp t="s">
        <v>S 0 11/30/99</v>
        <stp/>
        <stp>##V3_BDPV12</stp>
        <stp>912833QF Govt</stp>
        <stp>SECURITY_NAME</stp>
        <stp>[STRIPS.xlsx]Sheet1!R684C16</stp>
        <tr r="P684" s="1"/>
      </tp>
      <tp t="s">
        <v>S 0 05/31/00</v>
        <stp/>
        <stp>##V3_BDPV12</stp>
        <stp>912833QG Govt</stp>
        <stp>SECURITY_NAME</stp>
        <stp>[STRIPS.xlsx]Sheet1!R685C16</stp>
        <tr r="P685" s="1"/>
      </tp>
      <tp t="s">
        <v>S 0 01/31/05</v>
        <stp/>
        <stp>##V3_BDPV12</stp>
        <stp>912833ZD Govt</stp>
        <stp>SECURITY_NAME</stp>
        <stp>[STRIPS.xlsx]Sheet1!R637C16</stp>
        <tr r="P637" s="1"/>
      </tp>
      <tp t="s">
        <v>S 0 08/31/05</v>
        <stp/>
        <stp>##V3_BDPV12</stp>
        <stp>912833ZN Govt</stp>
        <stp>SECURITY_NAME</stp>
        <stp>[STRIPS.xlsx]Sheet1!R638C16</stp>
        <tr r="P638" s="1"/>
      </tp>
      <tp t="s">
        <v>S 0 09/30/02</v>
        <stp/>
        <stp>##V3_BDPV12</stp>
        <stp>912833PQ Govt</stp>
        <stp>SECURITY_NAME</stp>
        <stp>[STRIPS.xlsx]Sheet1!R682C16</stp>
        <tr r="P682" s="1"/>
      </tp>
      <tp t="s">
        <v>S 0 10/31/99</v>
        <stp/>
        <stp>##V3_BDPV12</stp>
        <stp>912833PU Govt</stp>
        <stp>SECURITY_NAME</stp>
        <stp>[STRIPS.xlsx]Sheet1!R683C16</stp>
        <tr r="P683" s="1"/>
      </tp>
      <tp t="s">
        <v>S 0 09/30/99</v>
        <stp/>
        <stp>##V3_BDPV12</stp>
        <stp>912833PJ Govt</stp>
        <stp>SECURITY_NAME</stp>
        <stp>[STRIPS.xlsx]Sheet1!R680C16</stp>
        <tr r="P680" s="1"/>
      </tp>
      <tp t="s">
        <v>S 0 09/30/01</v>
        <stp/>
        <stp>##V3_BDPV12</stp>
        <stp>912833PN Govt</stp>
        <stp>SECURITY_NAME</stp>
        <stp>[STRIPS.xlsx]Sheet1!R681C16</stp>
        <tr r="P681" s="1"/>
      </tp>
      <tp t="s">
        <v>S 0 08/31/01</v>
        <stp/>
        <stp>##V3_BDPV12</stp>
        <stp>912833RQ Govt</stp>
        <stp>SECURITY_NAME</stp>
        <stp>[STRIPS.xlsx]Sheet1!R692C16</stp>
        <tr r="P692" s="1"/>
      </tp>
      <tp t="s">
        <v>S 0 02/28/02</v>
        <stp/>
        <stp>##V3_BDPV12</stp>
        <stp>912833RR Govt</stp>
        <stp>SECURITY_NAME</stp>
        <stp>[STRIPS.xlsx]Sheet1!R693C16</stp>
        <tr r="P693" s="1"/>
      </tp>
      <tp t="s">
        <v>S 0 06/30/24</v>
        <stp/>
        <stp>##V3_BDPV12</stp>
        <stp>912834RN Govt</stp>
        <stp>SECURITY_NAME</stp>
        <stp>[STRIPS.xlsx]Sheet1!R194C16</stp>
        <tr r="P194" s="1"/>
      </tp>
      <tp t="s">
        <v>S 0 07/31/00</v>
        <stp/>
        <stp>##V3_BDPV12</stp>
        <stp>912833RC Govt</stp>
        <stp>SECURITY_NAME</stp>
        <stp>[STRIPS.xlsx]Sheet1!R690C16</stp>
        <tr r="P690" s="1"/>
      </tp>
      <tp t="s">
        <v>S 0 07/31/01</v>
        <stp/>
        <stp>##V3_BDPV12</stp>
        <stp>912833RE Govt</stp>
        <stp>SECURITY_NAME</stp>
        <stp>[STRIPS.xlsx]Sheet1!R691C16</stp>
        <tr r="P691" s="1"/>
      </tp>
      <tp t="s">
        <v>S 0 05/31/24</v>
        <stp/>
        <stp>##V3_BDPV12</stp>
        <stp>912834RL Govt</stp>
        <stp>SECURITY_NAME</stp>
        <stp>[STRIPS.xlsx]Sheet1!R198C16</stp>
        <tr r="P198" s="1"/>
      </tp>
      <tp t="s">
        <v>S 0 01/31/00</v>
        <stp/>
        <stp>##V3_BDPV12</stp>
        <stp>912833RB Govt</stp>
        <stp>SECURITY_NAME</stp>
        <stp>[STRIPS.xlsx]Sheet1!R689C16</stp>
        <tr r="P689" s="1"/>
      </tp>
      <tp t="s">
        <v>S 0 09/30/03</v>
        <stp/>
        <stp>##V3_BDPV12</stp>
        <stp>912833YC Govt</stp>
        <stp>SECURITY_NAME</stp>
        <stp>[STRIPS.xlsx]Sheet1!R636C16</stp>
        <tr r="P636" s="1"/>
      </tp>
      <tp t="s">
        <v>S 0 03/15/24</v>
        <stp/>
        <stp>##V3_BDPV12</stp>
        <stp>912834WV Govt</stp>
        <stp>SECURITY_NAME</stp>
        <stp>[STRIPS.xlsx]Sheet1!R129C16</stp>
        <tr r="P129" s="1"/>
      </tp>
      <tp t="s">
        <v>S 0 12/31/22</v>
        <stp/>
        <stp>##V3_BDPV12</stp>
        <stp>912834PW Govt</stp>
        <stp>SECURITY_NAME</stp>
        <stp>[STRIPS.xlsx]Sheet1!R154C16</stp>
        <tr r="P154" s="1"/>
      </tp>
      <tp t="s">
        <v>S 0 05/31/27</v>
        <stp/>
        <stp>##V3_BDPV12</stp>
        <stp>912834VW Govt</stp>
        <stp>SECURITY_NAME</stp>
        <stp>[STRIPS.xlsx]Sheet1!R131C16</stp>
        <tr r="P131" s="1"/>
      </tp>
      <tp t="s">
        <v>S 0 05/15/48</v>
        <stp/>
        <stp>##V3_BDPV12</stp>
        <stp>912834TP Govt</stp>
        <stp>SECURITY_NAME</stp>
        <stp>[STRIPS.xlsx]Sheet1!R117C16</stp>
        <tr r="P117" s="1"/>
      </tp>
      <tp t="s">
        <v>S 0 06/30/23</v>
        <stp/>
        <stp>##V3_BDPV12</stp>
        <stp>912834QL Govt</stp>
        <stp>SECURITY_NAME</stp>
        <stp>[STRIPS.xlsx]Sheet1!R142C16</stp>
        <tr r="P142" s="1"/>
      </tp>
      <tp t="s">
        <v>S 0 03/31/23</v>
        <stp/>
        <stp>##V3_BDPV12</stp>
        <stp>912834QE Govt</stp>
        <stp>SECURITY_NAME</stp>
        <stp>[STRIPS.xlsx]Sheet1!R149C16</stp>
        <tr r="P149" s="1"/>
      </tp>
      <tp t="s">
        <v>S 0 02/15/49</v>
        <stp/>
        <stp>##V3_BDPV12</stp>
        <stp>912834UH Govt</stp>
        <stp>SECURITY_NAME</stp>
        <stp>[STRIPS.xlsx]Sheet1!R105C16</stp>
        <tr r="P105" s="1"/>
      </tp>
      <tp t="s">
        <v>S 0 02/28/23</v>
        <stp/>
        <stp>##V3_BDPV12</stp>
        <stp>912834QC Govt</stp>
        <stp>SECURITY_NAME</stp>
        <stp>[STRIPS.xlsx]Sheet1!R141C16</stp>
        <tr r="P141" s="1"/>
      </tp>
      <tp t="s">
        <v>S 0 01/31/27</v>
        <stp/>
        <stp>##V3_BDPV12</stp>
        <stp>912834VL Govt</stp>
        <stp>SECURITY_NAME</stp>
        <stp>[STRIPS.xlsx]Sheet1!R138C16</stp>
        <tr r="P138" s="1"/>
      </tp>
      <tp t="s">
        <v>S 0 08/31/24</v>
        <stp/>
        <stp>##V3_BDPV12</stp>
        <stp>912834RS Govt</stp>
        <stp>SECURITY_NAME</stp>
        <stp>[STRIPS.xlsx]Sheet1!R169C16</stp>
        <tr r="P169" s="1"/>
      </tp>
      <tp t="s">
        <v>S 0 09/30/22</v>
        <stp/>
        <stp>##V3_BDPV12</stp>
        <stp>912834PQ Govt</stp>
        <stp>SECURITY_NAME</stp>
        <stp>[STRIPS.xlsx]Sheet1!R140C16</stp>
        <tr r="P140" s="1"/>
      </tp>
      <tp t="s">
        <v>S 0 01/31/28</v>
        <stp/>
        <stp>##V3_BDPV12</stp>
        <stp>912834WQ Govt</stp>
        <stp>SECURITY_NAME</stp>
        <stp>[STRIPS.xlsx]Sheet1!R136C16</stp>
        <tr r="P136" s="1"/>
      </tp>
      <tp t="s">
        <v>S 0 11/30/21</v>
        <stp/>
        <stp>##V3_BDPV12</stp>
        <stp>912834PC Govt</stp>
        <stp>SECURITY_NAME</stp>
        <stp>[STRIPS.xlsx]Sheet1!R148C16</stp>
        <tr r="P148" s="1"/>
      </tp>
      <tp t="s">
        <v>S 0 06/30/22</v>
        <stp/>
        <stp>##V3_BDPV12</stp>
        <stp>912834PJ Govt</stp>
        <stp>SECURITY_NAME</stp>
        <stp>[STRIPS.xlsx]Sheet1!R144C16</stp>
        <tr r="P144" s="1"/>
      </tp>
      <tp t="s">
        <v>S 0 02/29/24</v>
        <stp/>
        <stp>##V3_BDPV12</stp>
        <stp>912834RE Govt</stp>
        <stp>SECURITY_NAME</stp>
        <stp>[STRIPS.xlsx]Sheet1!R168C16</stp>
        <tr r="P168" s="1"/>
      </tp>
      <tp t="s">
        <v>S 0 11/15/48</v>
        <stp/>
        <stp>##V3_BDPV12</stp>
        <stp>912834UB Govt</stp>
        <stp>SECURITY_NAME</stp>
        <stp>[STRIPS.xlsx]Sheet1!R113C16</stp>
        <tr r="P113" s="1"/>
      </tp>
      <tp t="s">
        <v>S 0 10/15/21</v>
        <stp/>
        <stp>##V3_BDPV12</stp>
        <stp>912834TZ Govt</stp>
        <stp>SECURITY_NAME</stp>
        <stp>[STRIPS.xlsx]Sheet1!R139C16</stp>
        <tr r="P139" s="1"/>
      </tp>
      <tp t="s">
        <v>S 0 03/31/98</v>
        <stp/>
        <stp>##V3_BDPV12</stp>
        <stp>912833PF Govt</stp>
        <stp>SECURITY_NAME</stp>
        <stp>[STRIPS.xlsx]Sheet1!R678C16</stp>
        <tr r="P678" s="1"/>
      </tp>
      <tp t="s">
        <v>S 0 09/30/98</v>
        <stp/>
        <stp>##V3_BDPV12</stp>
        <stp>912833PG Govt</stp>
        <stp>SECURITY_NAME</stp>
        <stp>[STRIPS.xlsx]Sheet1!R679C16</stp>
        <tr r="P679" s="1"/>
      </tp>
      <tp t="s">
        <v>S 0 11/15/49</v>
        <stp/>
        <stp>##V3_BDPV12</stp>
        <stp>912834VE Govt</stp>
        <stp>SECURITY_NAME</stp>
        <stp>[STRIPS.xlsx]Sheet1!R116C16</stp>
        <tr r="P116" s="1"/>
      </tp>
      <tp t="s">
        <v>S 0 11/30/23</v>
        <stp/>
        <stp>##V3_BDPV12</stp>
        <stp>912834QW Govt</stp>
        <stp>SECURITY_NAME</stp>
        <stp>[STRIPS.xlsx]Sheet1!R171C16</stp>
        <tr r="P171" s="1"/>
      </tp>
      <tp t="s">
        <v>S 0 08/31/22</v>
        <stp/>
        <stp>##V3_BDPV12</stp>
        <stp>912834PN Govt</stp>
        <stp>SECURITY_NAME</stp>
        <stp>[STRIPS.xlsx]Sheet1!R164C16</stp>
        <tr r="P164" s="1"/>
      </tp>
      <tp t="s">
        <v>S 0 01/31/26</v>
        <stp/>
        <stp>##V3_BDPV12</stp>
        <stp>912834UG Govt</stp>
        <stp>SECURITY_NAME</stp>
        <stp>[STRIPS.xlsx]Sheet1!R137C16</stp>
        <tr r="P137" s="1"/>
      </tp>
      <tp t="s">
        <v>S 0 07/31/23</v>
        <stp/>
        <stp>##V3_BDPV12</stp>
        <stp>912834QN Govt</stp>
        <stp>SECURITY_NAME</stp>
        <stp>[STRIPS.xlsx]Sheet1!R179C16</stp>
        <tr r="P179" s="1"/>
      </tp>
      <tp t="s">
        <v>S 0 08/15/46</v>
        <stp/>
        <stp>##V3_BDPV12</stp>
        <stp>912834QP Govt</stp>
        <stp>SECURITY_NAME</stp>
        <stp>[STRIPS.xlsx]Sheet1!R108C16</stp>
        <tr r="P108" s="1"/>
      </tp>
      <tp t="s">
        <v>S 0 11/15/46</v>
        <stp/>
        <stp>##V3_BDPV12</stp>
        <stp>912834QV Govt</stp>
        <stp>SECURITY_NAME</stp>
        <stp>[STRIPS.xlsx]Sheet1!R104C16</stp>
        <tr r="P104" s="1"/>
      </tp>
      <tp t="s">
        <v>S 0 03/31/27</v>
        <stp/>
        <stp>##V3_BDPV12</stp>
        <stp>912834VS Govt</stp>
        <stp>SECURITY_NAME</stp>
        <stp>[STRIPS.xlsx]Sheet1!R170C16</stp>
        <tr r="P170" s="1"/>
      </tp>
      <tp t="s">
        <v>S 0 02/29/28</v>
        <stp/>
        <stp>##V3_BDPV12</stp>
        <stp>912834WU Govt</stp>
        <stp>SECURITY_NAME</stp>
        <stp>[STRIPS.xlsx]Sheet1!R166C16</stp>
        <tr r="P166" s="1"/>
      </tp>
      <tp t="s">
        <v>S 0 03/31/03</v>
        <stp/>
        <stp>##V3_BDPV12</stp>
        <stp>912833RU Govt</stp>
        <stp>SECURITY_NAME</stp>
        <stp>[STRIPS.xlsx]Sheet1!R635C16</stp>
        <tr r="P635" s="1"/>
      </tp>
      <tp t="s">
        <v>S 0 09/15/22</v>
        <stp/>
        <stp>##V3_BDPV12</stp>
        <stp>912834VA Govt</stp>
        <stp>SECURITY_NAME</stp>
        <stp>[STRIPS.xlsx]Sheet1!R178C16</stp>
        <tr r="P178" s="1"/>
      </tp>
      <tp t="s">
        <v>S 0 01/31/03</v>
        <stp/>
        <stp>##V3_BDPV12</stp>
        <stp>912833RH Govt</stp>
        <stp>SECURITY_NAME</stp>
        <stp>[STRIPS.xlsx]Sheet1!R634C16</stp>
        <tr r="P634" s="1"/>
      </tp>
      <tp t="s">
        <v>S 0 01/31/25</v>
        <stp/>
        <stp>##V3_BDPV12</stp>
        <stp>912834TE Govt</stp>
        <stp>SECURITY_NAME</stp>
        <stp>[STRIPS.xlsx]Sheet1!R155C16</stp>
        <tr r="P155" s="1"/>
      </tp>
      <tp t="s">
        <v>S 0 01/15/22</v>
        <stp/>
        <stp>##V3_BDPV12</stp>
        <stp>912834UF Govt</stp>
        <stp>SECURITY_NAME</stp>
        <stp>[STRIPS.xlsx]Sheet1!R147C16</stp>
        <tr r="P147" s="1"/>
      </tp>
      <tp t="s">
        <v>S 0 05/31/28</v>
        <stp/>
        <stp>##V3_BDPV12</stp>
        <stp>912834XA Govt</stp>
        <stp>SECURITY_NAME</stp>
        <stp>[STRIPS.xlsx]Sheet1!R190C16</stp>
        <tr r="P190" s="1"/>
      </tp>
      <tp t="s">
        <v>S 0 04/30/25</v>
        <stp/>
        <stp>##V3_BDPV12</stp>
        <stp>912834TN Govt</stp>
        <stp>SECURITY_NAME</stp>
        <stp>[STRIPS.xlsx]Sheet1!R158C16</stp>
        <tr r="P158" s="1"/>
      </tp>
      <tp t="s">
        <v>S 0 09/30/04</v>
        <stp/>
        <stp>##V3_BDPV12</stp>
        <stp>912833YZ Govt</stp>
        <stp>SECURITY_NAME</stp>
        <stp>[STRIPS.xlsx]Sheet1!R695C16</stp>
        <tr r="P695" s="1"/>
      </tp>
      <tp t="s">
        <v>S 0 09/15/21</v>
        <stp/>
        <stp>##V3_BDPV12</stp>
        <stp>912834TX Govt</stp>
        <stp>SECURITY_NAME</stp>
        <stp>[STRIPS.xlsx]Sheet1!R145C16</stp>
        <tr r="P145" s="1"/>
      </tp>
      <tp t="s">
        <v>S 0 11/15/45</v>
        <stp/>
        <stp>##V3_BDPV12</stp>
        <stp>912834PT Govt</stp>
        <stp>SECURITY_NAME</stp>
        <stp>[STRIPS.xlsx]Sheet1!R106C16</stp>
        <tr r="P106" s="1"/>
      </tp>
      <tp t="s">
        <v>S 0 11/15/44</v>
        <stp/>
        <stp>##V3_BDPV12</stp>
        <stp>912834PB Govt</stp>
        <stp>SECURITY_NAME</stp>
        <stp>[STRIPS.xlsx]Sheet1!R109C16</stp>
        <tr r="P109" s="1"/>
      </tp>
      <tp t="s">
        <v>S 0 05/15/47</v>
        <stp/>
        <stp>##V3_BDPV12</stp>
        <stp>912834RK Govt</stp>
        <stp>SECURITY_NAME</stp>
        <stp>[STRIPS.xlsx]Sheet1!R124C16</stp>
        <tr r="P124" s="1"/>
      </tp>
      <tp t="s">
        <v>S 0 06/15/24</v>
        <stp/>
        <stp>##V3_BDPV12</stp>
        <stp>912834XB Govt</stp>
        <stp>SECURITY_NAME</stp>
        <stp>[STRIPS.xlsx]Sheet1!R183C16</stp>
        <tr r="P183" s="1"/>
      </tp>
      <tp t="s">
        <v>S 0 07/31/28</v>
        <stp/>
        <stp>##V3_BDPV12</stp>
        <stp>912834XF Govt</stp>
        <stp>SECURITY_NAME</stp>
        <stp>[STRIPS.xlsx]Sheet1!R187C16</stp>
        <tr r="P187" s="1"/>
      </tp>
      <tp t="s">
        <v>S 0 12/15/22</v>
        <stp/>
        <stp>##V3_BDPV12</stp>
        <stp>912834VG Govt</stp>
        <stp>SECURITY_NAME</stp>
        <stp>[STRIPS.xlsx]Sheet1!R160C16</stp>
        <tr r="P160" s="1"/>
      </tp>
      <tp t="s">
        <v>S 0 07/31/03</v>
        <stp/>
        <stp>##V3_BDPV12</stp>
        <stp>912833YA Govt</stp>
        <stp>SECURITY_NAME</stp>
        <stp>[STRIPS.xlsx]Sheet1!R694C16</stp>
        <tr r="P694" s="1"/>
      </tp>
      <tp t="s">
        <v>S 0 09/30/26</v>
        <stp/>
        <stp>##V3_BDPV12</stp>
        <stp>912834VB Govt</stp>
        <stp>SECURITY_NAME</stp>
        <stp>[STRIPS.xlsx]Sheet1!R159C16</stp>
        <tr r="P159" s="1"/>
      </tp>
      <tp t="s">
        <v>S 0 05/31/05</v>
        <stp/>
        <stp>##V3_BDPV12</stp>
        <stp>912833ZH Govt</stp>
        <stp>SECURITY_NAME</stp>
        <stp>[STRIPS.xlsx]Sheet1!R698C16</stp>
        <tr r="P698" s="1"/>
      </tp>
      <tp t="s">
        <v>S 0 02/15/47</v>
        <stp/>
        <stp>##V3_BDPV12</stp>
        <stp>912834RB Govt</stp>
        <stp>SECURITY_NAME</stp>
        <stp>[STRIPS.xlsx]Sheet1!R112C16</stp>
        <tr r="P112" s="1"/>
      </tp>
      <tp t="s">
        <v>S 0 12/31/21</v>
        <stp/>
        <stp>##V3_BDPV12</stp>
        <stp>912834PE Govt</stp>
        <stp>SECURITY_NAME</stp>
        <stp>[STRIPS.xlsx]Sheet1!R132C16</stp>
        <tr r="P132" s="1"/>
      </tp>
      <tp t="s">
        <v>S 0 07/31/05</v>
        <stp/>
        <stp>##V3_BDPV12</stp>
        <stp>912833ZM Govt</stp>
        <stp>SECURITY_NAME</stp>
        <stp>[STRIPS.xlsx]Sheet1!R699C16</stp>
        <tr r="P699" s="1"/>
      </tp>
      <tp t="s">
        <v>S 0 03/31/13</v>
        <stp/>
        <stp>##V3_BDPV12</stp>
        <stp>912833Z8 Govt</stp>
        <stp>SECURITY_NAME</stp>
        <stp>[STRIPS.xlsx]Sheet1!R697C16</stp>
        <tr r="P697" s="1"/>
      </tp>
      <tp t="s">
        <v>S 0 02/28/13</v>
        <stp/>
        <stp>##V3_BDPV12</stp>
        <stp>912833Z7 Govt</stp>
        <stp>SECURITY_NAME</stp>
        <stp>[STRIPS.xlsx]Sheet1!R696C16</stp>
        <tr r="P696" s="1"/>
      </tp>
      <tp t="s">
        <v>S 0 07/31/98</v>
        <stp/>
        <stp>##V3_BDPV12</stp>
        <stp>912833QY Govt</stp>
        <stp>SECURITY_NAME</stp>
        <stp>[STRIPS.xlsx]Sheet1!R633C16</stp>
        <tr r="P633" s="1"/>
      </tp>
      <tp t="s">
        <v>S 0 02/15/46</v>
        <stp/>
        <stp>##V3_BDPV12</stp>
        <stp>912834PZ Govt</stp>
        <stp>SECURITY_NAME</stp>
        <stp>[STRIPS.xlsx]Sheet1!R126C16</stp>
        <tr r="P126" s="1"/>
      </tp>
      <tp t="s">
        <v>S 0 12/31/23</v>
        <stp/>
        <stp>##V3_BDPV12</stp>
        <stp>912834QY Govt</stp>
        <stp>SECURITY_NAME</stp>
        <stp>[STRIPS.xlsx]Sheet1!R134C16</stp>
        <tr r="P134" s="1"/>
      </tp>
      <tp t="s">
        <v>S 0 06/30/00</v>
        <stp/>
        <stp>##V3_BDPV12</stp>
        <stp>912833QS Govt</stp>
        <stp>SECURITY_NAME</stp>
        <stp>[STRIPS.xlsx]Sheet1!R632C16</stp>
        <tr r="P632" s="1"/>
      </tp>
      <tp t="s">
        <v>S 0 09/30/23</v>
        <stp/>
        <stp>##V3_BDPV12</stp>
        <stp>912834QS Govt</stp>
        <stp>SECURITY_NAME</stp>
        <stp>[STRIPS.xlsx]Sheet1!R135C16</stp>
        <tr r="P135" s="1"/>
      </tp>
      <tp t="s">
        <v>S 0 11/30/00</v>
        <stp/>
        <stp>##V3_BDPV12</stp>
        <stp>912833QH Govt</stp>
        <stp>SECURITY_NAME</stp>
        <stp>[STRIPS.xlsx]Sheet1!R630C16</stp>
        <tr r="P630" s="1"/>
      </tp>
      <tp t="s">
        <v>S 0 12/31/26</v>
        <stp/>
        <stp>##V3_BDPV12</stp>
        <stp>912834VH Govt</stp>
        <stp>SECURITY_NAME</stp>
        <stp>[STRIPS.xlsx]Sheet1!R146C16</stp>
        <tr r="P146" s="1"/>
      </tp>
      <tp t="s">
        <v>S 0 05/31/02</v>
        <stp/>
        <stp>##V3_BDPV12</stp>
        <stp>912833QL Govt</stp>
        <stp>SECURITY_NAME</stp>
        <stp>[STRIPS.xlsx]Sheet1!R631C16</stp>
        <tr r="P631" s="1"/>
      </tp>
      <tp t="s">
        <v>S 0 10/31/21</v>
        <stp/>
        <stp>##V3_BDPV12</stp>
        <stp>912834PA Govt</stp>
        <stp>SECURITY_NAME</stp>
        <stp>[STRIPS.xlsx]Sheet1!R123C16</stp>
        <tr r="P123" s="1"/>
      </tp>
      <tp t="s">
        <v>S 0 12/31/24</v>
        <stp/>
        <stp>##V3_BDPV12</stp>
        <stp>912834TC Govt</stp>
        <stp>SECURITY_NAME</stp>
        <stp>[STRIPS.xlsx]Sheet1!R163C16</stp>
        <tr r="P163" s="1"/>
      </tp>
      <tp t="s">
        <v>S 0 07/31/22</v>
        <stp/>
        <stp>##V3_BDPV12</stp>
        <stp>912834PL Govt</stp>
        <stp>SECURITY_NAME</stp>
        <stp>[STRIPS.xlsx]Sheet1!R128C16</stp>
        <tr r="P128" s="1"/>
      </tp>
      <tp t="s">
        <v>S 0 10/31/07</v>
        <stp/>
        <stp>##V3_BDPV12</stp>
        <stp>9128334J Govt</stp>
        <stp>SECURITY_NAME</stp>
        <stp>[STRIPS.xlsx]Sheet1!R605C16</stp>
        <tr r="P605" s="1"/>
      </tp>
      <tp t="s">
        <v>S 0 09/15/10</v>
        <stp/>
        <stp>##V3_BDPV12</stp>
        <stp>9128334F Govt</stp>
        <stp>SECURITY_NAME</stp>
        <stp>[STRIPS.xlsx]Sheet1!R604C16</stp>
        <tr r="P604" s="1"/>
      </tp>
      <tp t="s">
        <v>S 0 06/30/07</v>
        <stp/>
        <stp>##V3_BDPV12</stp>
        <stp>9128334B Govt</stp>
        <stp>SECURITY_NAME</stp>
        <stp>[STRIPS.xlsx]Sheet1!R603C16</stp>
        <tr r="P603" s="1"/>
      </tp>
      <tp t="s">
        <v>S 0 01/31/11</v>
        <stp/>
        <stp>##V3_BDPV12</stp>
        <stp>9128336U Govt</stp>
        <stp>SECURITY_NAME</stp>
        <stp>[STRIPS.xlsx]Sheet1!R606C16</stp>
        <tr r="P606" s="1"/>
      </tp>
      <tp t="s">
        <v>S 0 08/31/11</v>
        <stp/>
        <stp>##V3_BDPV12</stp>
        <stp>9128336W Govt</stp>
        <stp>SECURITY_NAME</stp>
        <stp>[STRIPS.xlsx]Sheet1!R607C16</stp>
        <tr r="P607" s="1"/>
      </tp>
      <tp t="s">
        <v>S 0 04/15/09</v>
        <stp/>
        <stp>##V3_BDPV12</stp>
        <stp>9128332D Govt</stp>
        <stp>SECURITY_NAME</stp>
        <stp>[STRIPS.xlsx]Sheet1!R648C16</stp>
        <tr r="P648" s="1"/>
      </tp>
      <tp t="s">
        <v>S 0 04/30/08</v>
        <stp/>
        <stp>##V3_BDPV12</stp>
        <stp>9128335S Govt</stp>
        <stp>SECURITY_NAME</stp>
        <stp>[STRIPS.xlsx]Sheet1!R649C16</stp>
        <tr r="P649" s="1"/>
      </tp>
      <tp t="s">
        <v>S 0 05/31/08</v>
        <stp/>
        <stp>##V3_BDPV12</stp>
        <stp>9128335Z Govt</stp>
        <stp>SECURITY_NAME</stp>
        <stp>[STRIPS.xlsx]Sheet1!R650C16</stp>
        <tr r="P650" s="1"/>
      </tp>
      <tp t="s">
        <v>S 0 05/31/07</v>
        <stp/>
        <stp>##V3_BDPV12</stp>
        <stp>9128333Z Govt</stp>
        <stp>SECURITY_NAME</stp>
        <stp>[STRIPS.xlsx]Sheet1!R602C16</stp>
        <tr r="P602" s="1"/>
      </tp>
      <tp t="s">
        <v>S 0 04/15/10</v>
        <stp/>
        <stp>##V3_BDPV12</stp>
        <stp>9128333X Govt</stp>
        <stp>SECURITY_NAME</stp>
        <stp>[STRIPS.xlsx]Sheet1!R601C16</stp>
        <tr r="P601" s="1"/>
      </tp>
      <tp t="s">
        <v>S 0 07/31/06</v>
        <stp/>
        <stp>##V3_BDPV12</stp>
        <stp>9128333H Govt</stp>
        <stp>SECURITY_NAME</stp>
        <stp>[STRIPS.xlsx]Sheet1!R600C16</stp>
        <tr r="P600" s="1"/>
      </tp>
      <tp t="s">
        <v>S 0 06/30/12</v>
        <stp/>
        <stp>##V3_BDPV12</stp>
        <stp>9128337L Govt</stp>
        <stp>SECURITY_NAME</stp>
        <stp>[STRIPS.xlsx]Sheet1!R651C16</stp>
        <tr r="P651" s="1"/>
      </tp>
      <tp t="s">
        <v>S 0 05/15/19</v>
        <stp/>
        <stp>##V3_BDPV12</stp>
        <stp>912833KV Govt</stp>
        <stp>SECURITY_NAME</stp>
        <stp>[STRIPS.xlsx]Sheet1!R742C16</stp>
        <tr r="P742" s="1"/>
      </tp>
      <tp t="s">
        <v>S 0 11/15/12</v>
        <stp/>
        <stp>##V3_BDPV12</stp>
        <stp>912833JZ Govt</stp>
        <stp>SECURITY_NAME</stp>
        <stp>[STRIPS.xlsx]Sheet1!R741C16</stp>
        <tr r="P741" s="1"/>
      </tp>
      <tp t="s">
        <v>S 0 05/15/11</v>
        <stp/>
        <stp>##V3_BDPV12</stp>
        <stp>912833JW Govt</stp>
        <stp>SECURITY_NAME</stp>
        <stp>[STRIPS.xlsx]Sheet1!R740C16</stp>
        <tr r="P740" s="1"/>
      </tp>
      <tp t="s">
        <v>S 0 05/15/05</v>
        <stp/>
        <stp>##V3_BDPV12</stp>
        <stp>912833FW Govt</stp>
        <stp>SECURITY_NAME</stp>
        <stp>[STRIPS.xlsx]Sheet1!R739C16</stp>
        <tr r="P739" s="1"/>
      </tp>
      <tp t="s">
        <v>S 0 05/15/99</v>
        <stp/>
        <stp>##V3_BDPV12</stp>
        <stp>912833FJ Govt</stp>
        <stp>SECURITY_NAME</stp>
        <stp>[STRIPS.xlsx]Sheet1!R737C16</stp>
        <tr r="P737" s="1"/>
      </tp>
      <tp t="s">
        <v>S 0 05/15/01</v>
        <stp/>
        <stp>##V3_BDPV12</stp>
        <stp>912833FN Govt</stp>
        <stp>SECURITY_NAME</stp>
        <stp>[STRIPS.xlsx]Sheet1!R738C16</stp>
        <tr r="P738" s="1"/>
      </tp>
      <tp t="s">
        <v>S 0 08/15/14</v>
        <stp/>
        <stp>##V3_BDPV12</stp>
        <stp>912833DG Govt</stp>
        <stp>SECURITY_NAME</stp>
        <stp>[STRIPS.xlsx]Sheet1!R736C16</stp>
        <tr r="P736" s="1"/>
      </tp>
      <tp t="s">
        <v>S 0 12/15/05</v>
        <stp/>
        <stp>##V3_BDPV12</stp>
        <stp>912833B3 Govt</stp>
        <stp>SECURITY_NAME</stp>
        <stp>[STRIPS.xlsx]Sheet1!R732C16</stp>
        <tr r="P732" s="1"/>
      </tp>
      <tp t="s">
        <v>S 0 08/15/09</v>
        <stp/>
        <stp>##V3_BDPV12</stp>
        <stp>912833CW Govt</stp>
        <stp>SECURITY_NAME</stp>
        <stp>[STRIPS.xlsx]Sheet1!R735C16</stp>
        <tr r="P735" s="1"/>
      </tp>
      <tp t="s">
        <v>S 0 08/15/05</v>
        <stp/>
        <stp>##V3_BDPV12</stp>
        <stp>912833CN Govt</stp>
        <stp>SECURITY_NAME</stp>
        <stp>[STRIPS.xlsx]Sheet1!R734C16</stp>
        <tr r="P734" s="1"/>
      </tp>
      <tp t="s">
        <v>S 0 02/15/04</v>
        <stp/>
        <stp>##V3_BDPV12</stp>
        <stp>912833CK Govt</stp>
        <stp>SECURITY_NAME</stp>
        <stp>[STRIPS.xlsx]Sheet1!R733C16</stp>
        <tr r="P733" s="1"/>
      </tp>
      <tp t="s">
        <v>S 0 10/15/07</v>
        <stp/>
        <stp>##V3_BDPV12</stp>
        <stp>912833A3 Govt</stp>
        <stp>SECURITY_NAME</stp>
        <stp>[STRIPS.xlsx]Sheet1!R731C16</stp>
        <tr r="P731" s="1"/>
      </tp>
      <tp t="s">
        <v>S 0 07/31/08</v>
        <stp/>
        <stp>##V3_BDPV12</stp>
        <stp>9128336P Govt</stp>
        <stp>SECURITY_NAME</stp>
        <stp>[STRIPS.xlsx]Sheet1!R729C16</stp>
        <tr r="P729" s="1"/>
      </tp>
      <tp t="s">
        <v>S 0 09/30/10</v>
        <stp/>
        <stp>##V3_BDPV12</stp>
        <stp>9128335Q Govt</stp>
        <stp>SECURITY_NAME</stp>
        <stp>[STRIPS.xlsx]Sheet1!R711C16</stp>
        <tr r="P711" s="1"/>
      </tp>
      <tp t="s">
        <v>S 0 04/30/09</v>
        <stp/>
        <stp>##V3_BDPV12</stp>
        <stp>9128335U Govt</stp>
        <stp>SECURITY_NAME</stp>
        <stp>[STRIPS.xlsx]Sheet1!R712C16</stp>
        <tr r="P712" s="1"/>
      </tp>
      <tp t="s">
        <v>S 0 04/30/12</v>
        <stp/>
        <stp>##V3_BDPV12</stp>
        <stp>9128337J Govt</stp>
        <stp>SECURITY_NAME</stp>
        <stp>[STRIPS.xlsx]Sheet1!R730C16</stp>
        <tr r="P730" s="1"/>
      </tp>
      <tp t="s">
        <v>S 0 09/30/07</v>
        <stp/>
        <stp>##V3_BDPV12</stp>
        <stp>9128334G Govt</stp>
        <stp>SECURITY_NAME</stp>
        <stp>[STRIPS.xlsx]Sheet1!R709C16</stp>
        <tr r="P709" s="1"/>
      </tp>
      <tp t="s">
        <v>S 0 08/31/07</v>
        <stp/>
        <stp>##V3_BDPV12</stp>
        <stp>9128334E Govt</stp>
        <stp>SECURITY_NAME</stp>
        <stp>[STRIPS.xlsx]Sheet1!R708C16</stp>
        <tr r="P708" s="1"/>
      </tp>
      <tp t="s">
        <v>S 0 03/31/09</v>
        <stp/>
        <stp>##V3_BDPV12</stp>
        <stp>9128335M Govt</stp>
        <stp>SECURITY_NAME</stp>
        <stp>[STRIPS.xlsx]Sheet1!R710C16</stp>
        <tr r="P710" s="1"/>
      </tp>
      <tp t="s">
        <v>S 0 11/30/10</v>
        <stp/>
        <stp>##V3_BDPV12</stp>
        <stp>9128336E Govt</stp>
        <stp>SECURITY_NAME</stp>
        <stp>[STRIPS.xlsx]Sheet1!R728C16</stp>
        <tr r="P728" s="1"/>
      </tp>
      <tp t="s">
        <v>S 0 07/15/10</v>
        <stp/>
        <stp>##V3_BDPV12</stp>
        <stp>9128334C Govt</stp>
        <stp>SECURITY_NAME</stp>
        <stp>[STRIPS.xlsx]Sheet1!R707C16</stp>
        <tr r="P707" s="1"/>
      </tp>
      <tp t="s">
        <v>S 0 05/31/09</v>
        <stp/>
        <stp>##V3_BDPV12</stp>
        <stp>9128336B Govt</stp>
        <stp>SECURITY_NAME</stp>
        <stp>[STRIPS.xlsx]Sheet1!R727C16</stp>
        <tr r="P727" s="1"/>
      </tp>
      <tp t="s">
        <v>S 0 04/30/11</v>
        <stp/>
        <stp>##V3_BDPV12</stp>
        <stp>9128335Y Govt</stp>
        <stp>SECURITY_NAME</stp>
        <stp>[STRIPS.xlsx]Sheet1!R726C16</stp>
        <tr r="P726" s="1"/>
      </tp>
      <tp t="s">
        <v>S 0 10/31/09</v>
        <stp/>
        <stp>##V3_BDPV12</stp>
        <stp>9128335V Govt</stp>
        <stp>SECURITY_NAME</stp>
        <stp>[STRIPS.xlsx]Sheet1!R724C16</stp>
        <tr r="P724" s="1"/>
      </tp>
      <tp t="s">
        <v>S 0 04/30/10</v>
        <stp/>
        <stp>##V3_BDPV12</stp>
        <stp>9128335W Govt</stp>
        <stp>SECURITY_NAME</stp>
        <stp>[STRIPS.xlsx]Sheet1!R725C16</stp>
        <tr r="P725" s="1"/>
      </tp>
      <tp t="s">
        <v>S 0 03/31/10</v>
        <stp/>
        <stp>##V3_BDPV12</stp>
        <stp>9128335P Govt</stp>
        <stp>SECURITY_NAME</stp>
        <stp>[STRIPS.xlsx]Sheet1!R723C16</stp>
        <tr r="P723" s="1"/>
      </tp>
      <tp t="s">
        <v>S 0 07/31/11</v>
        <stp/>
        <stp>##V3_BDPV12</stp>
        <stp>9128336V Govt</stp>
        <stp>SECURITY_NAME</stp>
        <stp>[STRIPS.xlsx]Sheet1!R715C16</stp>
        <tr r="P715" s="1"/>
      </tp>
      <tp t="s">
        <v>S 0 07/31/10</v>
        <stp/>
        <stp>##V3_BDPV12</stp>
        <stp>9128336T Govt</stp>
        <stp>SECURITY_NAME</stp>
        <stp>[STRIPS.xlsx]Sheet1!R714C16</stp>
        <tr r="P714" s="1"/>
      </tp>
      <tp t="s">
        <v>S 0 08/31/10</v>
        <stp/>
        <stp>##V3_BDPV12</stp>
        <stp>9128335H Govt</stp>
        <stp>SECURITY_NAME</stp>
        <stp>[STRIPS.xlsx]Sheet1!R722C16</stp>
        <tr r="P722" s="1"/>
      </tp>
      <tp t="s">
        <v>S 0 09/15/09</v>
        <stp/>
        <stp>##V3_BDPV12</stp>
        <stp>9128333K Govt</stp>
        <stp>SECURITY_NAME</stp>
        <stp>[STRIPS.xlsx]Sheet1!R743C16</stp>
        <tr r="P743" s="1"/>
      </tp>
      <tp t="s">
        <v>S 0 02/29/08</v>
        <stp/>
        <stp>##V3_BDPV12</stp>
        <stp>9128335C Govt</stp>
        <stp>SECURITY_NAME</stp>
        <stp>[STRIPS.xlsx]Sheet1!R720C16</stp>
        <tr r="P720" s="1"/>
      </tp>
      <tp t="s">
        <v>S 0 11/30/09</v>
        <stp/>
        <stp>##V3_BDPV12</stp>
        <stp>9128336C Govt</stp>
        <stp>SECURITY_NAME</stp>
        <stp>[STRIPS.xlsx]Sheet1!R713C16</stp>
        <tr r="P713" s="1"/>
      </tp>
      <tp t="s">
        <v>S 0 08/31/09</v>
        <stp/>
        <stp>##V3_BDPV12</stp>
        <stp>9128335F Govt</stp>
        <stp>SECURITY_NAME</stp>
        <stp>[STRIPS.xlsx]Sheet1!R721C16</stp>
        <tr r="P721" s="1"/>
      </tp>
      <tp t="s">
        <v>S 0 02/29/12</v>
        <stp/>
        <stp>##V3_BDPV12</stp>
        <stp>9128337G Govt</stp>
        <stp>SECURITY_NAME</stp>
        <stp>[STRIPS.xlsx]Sheet1!R716C16</stp>
        <tr r="P716" s="1"/>
      </tp>
      <tp t="s">
        <v>S 0 10/31/10</v>
        <stp/>
        <stp>##V3_BDPV12</stp>
        <stp>9128335X Govt</stp>
        <stp>SECURITY_NAME</stp>
        <stp>[STRIPS.xlsx]Sheet1!R747C16</stp>
        <tr r="P747" s="1"/>
      </tp>
      <tp t="s">
        <v>S 0 09/30/09</v>
        <stp/>
        <stp>##V3_BDPV12</stp>
        <stp>9128335N Govt</stp>
        <stp>SECURITY_NAME</stp>
        <stp>[STRIPS.xlsx]Sheet1!R746C16</stp>
        <tr r="P746" s="1"/>
      </tp>
      <tp t="s">
        <v>S 0 02/28/09</v>
        <stp/>
        <stp>##V3_BDPV12</stp>
        <stp>9128335E Govt</stp>
        <stp>SECURITY_NAME</stp>
        <stp>[STRIPS.xlsx]Sheet1!R745C16</stp>
        <tr r="P745" s="1"/>
      </tp>
      <tp t="s">
        <v>S 0 01/15/11</v>
        <stp/>
        <stp>##V3_BDPV12</stp>
        <stp>9128334N Govt</stp>
        <stp>SECURITY_NAME</stp>
        <stp>[STRIPS.xlsx]Sheet1!R744C16</stp>
        <tr r="P744" s="1"/>
      </tp>
      <tp t="s">
        <v>S 0 01/31/10</v>
        <stp/>
        <stp>##V3_BDPV12</stp>
        <stp>9128336S Govt</stp>
        <stp>SECURITY_NAME</stp>
        <stp>[STRIPS.xlsx]Sheet1!R751C16</stp>
        <tr r="P751" s="1"/>
      </tp>
      <tp t="s">
        <v>S 0 02/28/07</v>
        <stp/>
        <stp>##V3_BDPV12</stp>
        <stp>9128333U Govt</stp>
        <stp>SECURITY_NAME</stp>
        <stp>[STRIPS.xlsx]Sheet1!R706C16</stp>
        <tr r="P706" s="1"/>
      </tp>
      <tp t="s">
        <v>S 0 01/31/09</v>
        <stp/>
        <stp>##V3_BDPV12</stp>
        <stp>9128336Q Govt</stp>
        <stp>SECURITY_NAME</stp>
        <stp>[STRIPS.xlsx]Sheet1!R750C16</stp>
        <tr r="P750" s="1"/>
      </tp>
      <tp t="s">
        <v>S 0 12/31/06</v>
        <stp/>
        <stp>##V3_BDPV12</stp>
        <stp>9128333R Govt</stp>
        <stp>SECURITY_NAME</stp>
        <stp>[STRIPS.xlsx]Sheet1!R705C16</stp>
        <tr r="P705" s="1"/>
      </tp>
      <tp t="s">
        <v>S 0 11/30/06</v>
        <stp/>
        <stp>##V3_BDPV12</stp>
        <stp>9128333P Govt</stp>
        <stp>SECURITY_NAME</stp>
        <stp>[STRIPS.xlsx]Sheet1!R704C16</stp>
        <tr r="P704" s="1"/>
      </tp>
      <tp t="s">
        <v>S 0 06/30/06</v>
        <stp/>
        <stp>##V3_BDPV12</stp>
        <stp>9128332H Govt</stp>
        <stp>SECURITY_NAME</stp>
        <stp>[STRIPS.xlsx]Sheet1!R718C16</stp>
        <tr r="P718" s="1"/>
      </tp>
      <tp t="s">
        <v>S 0 03/15/09</v>
        <stp/>
        <stp>##V3_BDPV12</stp>
        <stp>9128332B Govt</stp>
        <stp>SECURITY_NAME</stp>
        <stp>[STRIPS.xlsx]Sheet1!R717C16</stp>
        <tr r="P717" s="1"/>
      </tp>
      <tp t="s">
        <v>S 0 12/15/09</v>
        <stp/>
        <stp>##V3_BDPV12</stp>
        <stp>9128333Q Govt</stp>
        <stp>SECURITY_NAME</stp>
        <stp>[STRIPS.xlsx]Sheet1!R719C16</stp>
        <tr r="P719" s="1"/>
      </tp>
      <tp t="s">
        <v>S 0 11/30/08</v>
        <stp/>
        <stp>##V3_BDPV12</stp>
        <stp>9128336A Govt</stp>
        <stp>SECURITY_NAME</stp>
        <stp>[STRIPS.xlsx]Sheet1!R748C16</stp>
        <tr r="P748" s="1"/>
      </tp>
      <tp t="s">
        <v>S 0 05/31/10</v>
        <stp/>
        <stp>##V3_BDPV12</stp>
        <stp>9128336D Govt</stp>
        <stp>SECURITY_NAME</stp>
        <stp>[STRIPS.xlsx]Sheet1!R749C16</stp>
        <tr r="P749" s="1"/>
      </tp>
      <tp t="s">
        <v>S 0 03/31/06</v>
        <stp/>
        <stp>##V3_BDPV12</stp>
        <stp>9128332C Govt</stp>
        <stp>SECURITY_NAME</stp>
        <stp>[STRIPS.xlsx]Sheet1!R701C16</stp>
        <tr r="P701" s="1"/>
      </tp>
      <tp t="s">
        <v>S 0 02/28/06</v>
        <stp/>
        <stp>##V3_BDPV12</stp>
        <stp>9128332A Govt</stp>
        <stp>SECURITY_NAME</stp>
        <stp>[STRIPS.xlsx]Sheet1!R700C16</stp>
        <tr r="P700" s="1"/>
      </tp>
      <tp t="s">
        <v>S 0 05/31/06</v>
        <stp/>
        <stp>##V3_BDPV12</stp>
        <stp>9128332F Govt</stp>
        <stp>SECURITY_NAME</stp>
        <stp>[STRIPS.xlsx]Sheet1!R702C16</stp>
        <tr r="P702" s="1"/>
      </tp>
      <tp t="s">
        <v>S 0 06/15/09</v>
        <stp/>
        <stp>##V3_BDPV12</stp>
        <stp>9128332G Govt</stp>
        <stp>SECURITY_NAME</stp>
        <stp>[STRIPS.xlsx]Sheet1!R703C16</stp>
        <tr r="P703" s="1"/>
      </tp>
      <tp t="s">
        <v>S 0 07/15/24</v>
        <stp/>
        <stp>##V3_BDPV12</stp>
        <stp>912834XD Govt</stp>
        <stp>SECURITY_NAME</stp>
        <stp>[STRIPS.xlsx]Sheet1!R764C16</stp>
        <tr r="P764" s="1"/>
      </tp>
      <tp t="s">
        <v>S 0 09/30/24</v>
        <stp/>
        <stp>##V3_BDPV12</stp>
        <stp>912834RU Govt</stp>
        <stp>SECURITY_NAME</stp>
        <stp>[STRIPS.xlsx]Sheet1!R759C16</stp>
        <tr r="P759" s="1"/>
      </tp>
      <tp t="s">
        <v>S 0 10/31/24</v>
        <stp/>
        <stp>##V3_BDPV12</stp>
        <stp>912834RW Govt</stp>
        <stp>SECURITY_NAME</stp>
        <stp>[STRIPS.xlsx]Sheet1!R753C16</stp>
        <tr r="P753" s="1"/>
      </tp>
      <tp t="s">
        <v>S 0 05/31/25</v>
        <stp/>
        <stp>##V3_BDPV12</stp>
        <stp>912834TQ Govt</stp>
        <stp>SECURITY_NAME</stp>
        <stp>[STRIPS.xlsx]Sheet1!R758C16</stp>
        <tr r="P758" s="1"/>
      </tp>
      <tp t="s">
        <v>S 0 07/31/25</v>
        <stp/>
        <stp>##V3_BDPV12</stp>
        <stp>912834TU Govt</stp>
        <stp>SECURITY_NAME</stp>
        <stp>[STRIPS.xlsx]Sheet1!R752C16</stp>
        <tr r="P752" s="1"/>
      </tp>
      <tp t="s">
        <v>S 0 04/15/23</v>
        <stp/>
        <stp>##V3_BDPV12</stp>
        <stp>912834VT Govt</stp>
        <stp>SECURITY_NAME</stp>
        <stp>[STRIPS.xlsx]Sheet1!R773C16</stp>
        <tr r="P773" s="1"/>
      </tp>
      <tp t="s">
        <v>S 0 01/15/23</v>
        <stp/>
        <stp>##V3_BDPV12</stp>
        <stp>912834VJ Govt</stp>
        <stp>SECURITY_NAME</stp>
        <stp>[STRIPS.xlsx]Sheet1!R774C16</stp>
        <tr r="P774" s="1"/>
      </tp>
      <tp t="s">
        <v>S 0 02/28/25</v>
        <stp/>
        <stp>##V3_BDPV12</stp>
        <stp>912834TJ Govt</stp>
        <stp>SECURITY_NAME</stp>
        <stp>[STRIPS.xlsx]Sheet1!R757C16</stp>
        <tr r="P757" s="1"/>
      </tp>
      <tp t="s">
        <v>S 0 11/30/24</v>
        <stp/>
        <stp>##V3_BDPV12</stp>
        <stp>912834TA Govt</stp>
        <stp>SECURITY_NAME</stp>
        <stp>[STRIPS.xlsx]Sheet1!R756C16</stp>
        <tr r="P756" s="1"/>
      </tp>
      <tp t="s">
        <v>S 0 12/15/23</v>
        <stp/>
        <stp>##V3_BDPV12</stp>
        <stp>912834WL Govt</stp>
        <stp>SECURITY_NAME</stp>
        <stp>[STRIPS.xlsx]Sheet1!R768C16</stp>
        <tr r="P768" s="1"/>
      </tp>
      <tp t="s">
        <v>S 0 04/15/24</v>
        <stp/>
        <stp>##V3_BDPV12</stp>
        <stp>912834WX Govt</stp>
        <stp>SECURITY_NAME</stp>
        <stp>[STRIPS.xlsx]Sheet1!R776C16</stp>
        <tr r="P776" s="1"/>
      </tp>
      <tp t="s">
        <v>S 0 06/15/23</v>
        <stp/>
        <stp>##V3_BDPV12</stp>
        <stp>912834VX Govt</stp>
        <stp>SECURITY_NAME</stp>
        <stp>[STRIPS.xlsx]Sheet1!R767C16</stp>
        <tr r="P767" s="1"/>
      </tp>
      <tp t="s">
        <v>S 0 04/30/27</v>
        <stp/>
        <stp>##V3_BDPV12</stp>
        <stp>912834VU Govt</stp>
        <stp>SECURITY_NAME</stp>
        <stp>[STRIPS.xlsx]Sheet1!R769C16</stp>
        <tr r="P769" s="1"/>
      </tp>
      <tp t="s">
        <v>S 0 07/15/23</v>
        <stp/>
        <stp>##V3_BDPV12</stp>
        <stp>912834VZ Govt</stp>
        <stp>SECURITY_NAME</stp>
        <stp>[STRIPS.xlsx]Sheet1!R766C16</stp>
        <tr r="P766" s="1"/>
      </tp>
      <tp t="s">
        <v>S 0 06/30/26</v>
        <stp/>
        <stp>##V3_BDPV12</stp>
        <stp>912834UU Govt</stp>
        <stp>SECURITY_NAME</stp>
        <stp>[STRIPS.xlsx]Sheet1!R755C16</stp>
        <tr r="P755" s="1"/>
      </tp>
      <tp t="s">
        <v>S 0 04/15/22</v>
        <stp/>
        <stp>##V3_BDPV12</stp>
        <stp>912834UP Govt</stp>
        <stp>SECURITY_NAME</stp>
        <stp>[STRIPS.xlsx]Sheet1!R754C16</stp>
        <tr r="P754" s="1"/>
      </tp>
      <tp t="s">
        <v>S 0 11/30/27</v>
        <stp/>
        <stp>##V3_BDPV12</stp>
        <stp>912834WK Govt</stp>
        <stp>SECURITY_NAME</stp>
        <stp>[STRIPS.xlsx]Sheet1!R775C16</stp>
        <tr r="P775" s="1"/>
      </tp>
      <tp t="s">
        <v>S 0 07/31/27</v>
        <stp/>
        <stp>##V3_BDPV12</stp>
        <stp>912834WB Govt</stp>
        <stp>SECURITY_NAME</stp>
        <stp>[STRIPS.xlsx]Sheet1!R771C16</stp>
        <tr r="P771" s="1"/>
      </tp>
      <tp t="s">
        <v>S 0 10/15/22</v>
        <stp/>
        <stp>##V3_BDPV12</stp>
        <stp>912834VC Govt</stp>
        <stp>SECURITY_NAME</stp>
        <stp>[STRIPS.xlsx]Sheet1!R763C16</stp>
        <tr r="P763" s="1"/>
      </tp>
      <tp t="s">
        <v>S 0 10/31/26</v>
        <stp/>
        <stp>##V3_BDPV12</stp>
        <stp>912834VD Govt</stp>
        <stp>SECURITY_NAME</stp>
        <stp>[STRIPS.xlsx]Sheet1!R765C16</stp>
        <tr r="P765" s="1"/>
      </tp>
      <tp t="s">
        <v>S 0 09/30/27</v>
        <stp/>
        <stp>##V3_BDPV12</stp>
        <stp>912834WF Govt</stp>
        <stp>SECURITY_NAME</stp>
        <stp>[STRIPS.xlsx]Sheet1!R770C16</stp>
        <tr r="P770" s="1"/>
      </tp>
      <tp t="s">
        <v>S 0 10/15/23</v>
        <stp/>
        <stp>##V3_BDPV12</stp>
        <stp>912834WG Govt</stp>
        <stp>SECURITY_NAME</stp>
        <stp>[STRIPS.xlsx]Sheet1!R772C16</stp>
        <tr r="P772" s="1"/>
      </tp>
      <tp t="s">
        <v>S 0 05/31/26</v>
        <stp/>
        <stp>##V3_BDPV12</stp>
        <stp>912834US Govt</stp>
        <stp>SECURITY_NAME</stp>
        <stp>[STRIPS.xlsx]Sheet1!R762C16</stp>
        <tr r="P762" s="1"/>
      </tp>
      <tp t="s">
        <v>S 0 11/30/25</v>
        <stp/>
        <stp>##V3_BDPV12</stp>
        <stp>912834UC Govt</stp>
        <stp>SECURITY_NAME</stp>
        <stp>[STRIPS.xlsx]Sheet1!R761C16</stp>
        <tr r="P761" s="1"/>
      </tp>
      <tp t="s">
        <v>S 0 08/31/25</v>
        <stp/>
        <stp>##V3_BDPV12</stp>
        <stp>912834TW Govt</stp>
        <stp>SECURITY_NAME</stp>
        <stp>[STRIPS.xlsx]Sheet1!R760C16</stp>
        <tr r="P760" s="1"/>
      </tp>
      <tp t="s">
        <v>S 0 05/15/12</v>
        <stp/>
        <stp>##V3_BDPV12</stp>
        <stp>912833JY Govt</stp>
        <stp>SECURITY_NAME</stp>
        <stp>[STRIPS.xlsx]Sheet1!R173C16</stp>
        <tr r="P173" s="1"/>
      </tp>
      <tp t="s">
        <v>S 0 11/15/18</v>
        <stp/>
        <stp>##V3_BDPV12</stp>
        <stp>912833KT Govt</stp>
        <stp>SECURITY_NAME</stp>
        <stp>[STRIPS.xlsx]Sheet1!R161C16</stp>
        <tr r="P161" s="1"/>
      </tp>
      <tp t="s">
        <v>S 0 08/15/19</v>
        <stp/>
        <stp>##V3_BDPV12</stp>
        <stp>912833KW Govt</stp>
        <stp>SECURITY_NAME</stp>
        <stp>[STRIPS.xlsx]Sheet1!R177C16</stp>
        <tr r="P177" s="1"/>
      </tp>
      <tp t="s">
        <v>S 0 08/15/18</v>
        <stp/>
        <stp>##V3_BDPV12</stp>
        <stp>912833KS Govt</stp>
        <stp>SECURITY_NAME</stp>
        <stp>[STRIPS.xlsx]Sheet1!R176C16</stp>
        <tr r="P176" s="1"/>
      </tp>
      <tp t="s">
        <v>S 0 08/15/15</v>
        <stp/>
        <stp>##V3_BDPV12</stp>
        <stp>912833JT Govt</stp>
        <stp>SECURITY_NAME</stp>
        <stp>[STRIPS.xlsx]Sheet1!R156C16</stp>
        <tr r="P156" s="1"/>
      </tp>
      <tp t="s">
        <v>S 0 05/15/20</v>
        <stp/>
        <stp>##V3_BDPV12</stp>
        <stp>912833KZ Govt</stp>
        <stp>SECURITY_NAME</stp>
        <stp>[STRIPS.xlsx]Sheet1!R152C16</stp>
        <tr r="P152" s="1"/>
      </tp>
      <tp t="s">
        <v>S 0 11/15/19</v>
        <stp/>
        <stp>##V3_BDPV12</stp>
        <stp>912833KX Govt</stp>
        <stp>SECURITY_NAME</stp>
        <stp>[STRIPS.xlsx]Sheet1!R157C16</stp>
        <tr r="P157" s="1"/>
      </tp>
      <tp t="s">
        <v>S 0 09/30/17</v>
        <stp/>
        <stp>##V3_BDPV12</stp>
        <stp>912834JE Govt</stp>
        <stp>SECURITY_NAME</stp>
        <stp>[STRIPS.xlsx]Sheet1!R646C16</stp>
        <tr r="P646" s="1"/>
      </tp>
      <tp t="s">
        <v>S 0 10/15/13</v>
        <stp/>
        <stp>##V3_BDPV12</stp>
        <stp>912834JF Govt</stp>
        <stp>SECURITY_NAME</stp>
        <stp>[STRIPS.xlsx]Sheet1!R647C16</stp>
        <tr r="P647" s="1"/>
      </tp>
      <tp t="s">
        <v>S 0 08/15/21</v>
        <stp/>
        <stp>##V3_BDPV12</stp>
        <stp>912833LE Govt</stp>
        <stp>SECURITY_NAME</stp>
        <stp>[STRIPS.xlsx]Sheet1!R153C16</stp>
        <tr r="P153" s="1"/>
      </tp>
      <tp t="s">
        <v>S 0 05/15/21</v>
        <stp/>
        <stp>##V3_BDPV12</stp>
        <stp>912833LD Govt</stp>
        <stp>SECURITY_NAME</stp>
        <stp>[STRIPS.xlsx]Sheet1!R151C16</stp>
        <tr r="P151" s="1"/>
      </tp>
      <tp t="s">
        <v>S 0 08/31/15</v>
        <stp/>
        <stp>##V3_BDPV12</stp>
        <stp>912834AY Govt</stp>
        <stp>SECURITY_NAME</stp>
        <stp>[STRIPS.xlsx]Sheet1!R642C16</stp>
        <tr r="P642" s="1"/>
      </tp>
      <tp t="s">
        <v>S 0 08/31/14</v>
        <stp/>
        <stp>##V3_BDPV12</stp>
        <stp>912834AW Govt</stp>
        <stp>SECURITY_NAME</stp>
        <stp>[STRIPS.xlsx]Sheet1!R641C16</stp>
        <tr r="P641" s="1"/>
      </tp>
      <tp t="s">
        <v>S 0 03/31/14</v>
        <stp/>
        <stp>##V3_BDPV12</stp>
        <stp>912834BD Govt</stp>
        <stp>SECURITY_NAME</stp>
        <stp>[STRIPS.xlsx]Sheet1!R643C16</stp>
        <tr r="P643" s="1"/>
      </tp>
      <tp t="s">
        <v>S 0 12/31/14</v>
        <stp/>
        <stp>##V3_BDPV12</stp>
        <stp>912834ED Govt</stp>
        <stp>SECURITY_NAME</stp>
        <stp>[STRIPS.xlsx]Sheet1!R645C16</stp>
        <tr r="P645" s="1"/>
      </tp>
      <tp t="s">
        <v>S 0 06/15/12</v>
        <stp/>
        <stp>##V3_BDPV12</stp>
        <stp>912834EB Govt</stp>
        <stp>SECURITY_NAME</stp>
        <stp>[STRIPS.xlsx]Sheet1!R644C16</stp>
        <tr r="P644" s="1"/>
      </tp>
      <tp t="s">
        <v>S 0 05/15/13</v>
        <stp/>
        <stp>##V3_BDPV12</stp>
        <stp>912833KA Govt</stp>
        <stp>SECURITY_NAME</stp>
        <stp>[STRIPS.xlsx]Sheet1!R193C16</stp>
        <tr r="P193" s="1"/>
      </tp>
      <tp t="s">
        <v>S 0 02/15/12</v>
        <stp/>
        <stp>##V3_BDPV12</stp>
        <stp>912833DB Govt</stp>
        <stp>SECURITY_NAME</stp>
        <stp>[STRIPS.xlsx]Sheet1!R162C16</stp>
        <tr r="P162" s="1"/>
      </tp>
      <tp t="s">
        <v>S 0 08/15/11</v>
        <stp/>
        <stp>##V3_BDPV12</stp>
        <stp>912833DA Govt</stp>
        <stp>SECURITY_NAME</stp>
        <stp>[STRIPS.xlsx]Sheet1!R167C16</stp>
        <tr r="P167" s="1"/>
      </tp>
      <tp t="s">
        <v>S 0 11/15/36</v>
        <stp/>
        <stp>##V3_BDPV12</stp>
        <stp>912833Y3 Govt</stp>
        <stp>SECURITY_NAME</stp>
        <stp>[STRIPS.xlsx]Sheet1!R103C16</stp>
        <tr r="P103" s="1"/>
      </tp>
      <tp t="s">
        <v>S 0 02/15/38</v>
        <stp/>
        <stp>##V3_BDPV12</stp>
        <stp>912833Z6 Govt</stp>
        <stp>SECURITY_NAME</stp>
        <stp>[STRIPS.xlsx]Sheet1!R111C16</stp>
        <tr r="P111" s="1"/>
      </tp>
      <tp t="s">
        <v>S 0 03/15/04</v>
        <stp/>
        <stp>##V3_BDPV12</stp>
        <stp>912833ZP Govt</stp>
        <stp>SECURITY_NAME</stp>
        <stp>[STRIPS.xlsx]Sheet1!R192C16</stp>
        <tr r="P192" s="1"/>
      </tp>
      <tp t="s">
        <v>S 0 05/15/33</v>
        <stp/>
        <stp>##V3_BDPV12</stp>
        <stp>9128337T Govt</stp>
        <stp>SECURITY_NAME</stp>
        <stp>[STRIPS.xlsx]Sheet1!R121C16</stp>
        <tr r="P121" s="1"/>
      </tp>
      <tp t="s">
        <v>S 0 02/15/34</v>
        <stp/>
        <stp>##V3_BDPV12</stp>
        <stp>9128334X Govt</stp>
        <stp>SECURITY_NAME</stp>
        <stp>[STRIPS.xlsx]Sheet1!R107C16</stp>
        <tr r="P107" s="1"/>
      </tp>
      <tp t="s">
        <v>S 0 08/15/32</v>
        <stp/>
        <stp>##V3_BDPV12</stp>
        <stp>9128334U Govt</stp>
        <stp>SECURITY_NAME</stp>
        <stp>[STRIPS.xlsx]Sheet1!R102C16</stp>
        <tr r="P102" s="1"/>
      </tp>
      <tp t="s">
        <v>S 0 05/15/34</v>
        <stp/>
        <stp>##V3_BDPV12</stp>
        <stp>9128337V Govt</stp>
        <stp>SECURITY_NAME</stp>
        <stp>[STRIPS.xlsx]Sheet1!R100C16</stp>
        <tr r="P100" s="1"/>
      </tp>
      <tp t="s">
        <v>S 0 05/15/32</v>
        <stp/>
        <stp>##V3_BDPV12</stp>
        <stp>9128337R Govt</stp>
        <stp>SECURITY_NAME</stp>
        <stp>[STRIPS.xlsx]Sheet1!R114C16</stp>
        <tr r="P114" s="1"/>
      </tp>
      <tp t="s">
        <v>S 0 10/15/04</v>
        <stp/>
        <stp>##V3_BDPV12</stp>
        <stp>912833NH Govt</stp>
        <stp>SECURITY_NAME</stp>
        <stp>[STRIPS.xlsx]Sheet1!R237C16</stp>
        <tr r="P237" s="1"/>
      </tp>
      <tp t="s">
        <v>S 0 09/15/12</v>
        <stp/>
        <stp>##V3_BDPV12</stp>
        <stp>912834ER Govt</stp>
        <stp>SECURITY_NAME</stp>
        <stp>[STRIPS.xlsx]Sheet1!R596C16</stp>
        <tr r="P596" s="1"/>
      </tp>
      <tp t="s">
        <v>S 0 07/31/14</v>
        <stp/>
        <stp>##V3_BDPV12</stp>
        <stp>912834EJ Govt</stp>
        <stp>SECURITY_NAME</stp>
        <stp>[STRIPS.xlsx]Sheet1!R595C16</stp>
        <tr r="P595" s="1"/>
      </tp>
      <tp t="s">
        <v>S 0 05/31/16</v>
        <stp/>
        <stp>##V3_BDPV12</stp>
        <stp>912834EA Govt</stp>
        <stp>SECURITY_NAME</stp>
        <stp>[STRIPS.xlsx]Sheet1!R593C16</stp>
        <tr r="P593" s="1"/>
      </tp>
      <tp t="s">
        <v>S 0 12/31/15</v>
        <stp/>
        <stp>##V3_BDPV12</stp>
        <stp>912834EF Govt</stp>
        <stp>SECURITY_NAME</stp>
        <stp>[STRIPS.xlsx]Sheet1!R594C16</stp>
        <tr r="P594" s="1"/>
      </tp>
      <tp t="s">
        <v>S 0 11/30/19</v>
        <stp/>
        <stp>##V3_BDPV12</stp>
        <stp>912834LY Govt</stp>
        <stp>SECURITY_NAME</stp>
        <stp>[STRIPS.xlsx]Sheet1!R539C16</stp>
        <tr r="P539" s="1"/>
      </tp>
      <tp t="s">
        <v>S 0 07/15/00</v>
        <stp/>
        <stp>##V3_BDPV12</stp>
        <stp>912833MQ Govt</stp>
        <stp>SECURITY_NAME</stp>
        <stp>[STRIPS.xlsx]Sheet1!R236C16</stp>
        <tr r="P236" s="1"/>
      </tp>
      <tp t="s">
        <v>S 0 04/15/00</v>
        <stp/>
        <stp>##V3_BDPV12</stp>
        <stp>912833MP Govt</stp>
        <stp>SECURITY_NAME</stp>
        <stp>[STRIPS.xlsx]Sheet1!R235C16</stp>
        <tr r="P235" s="1"/>
      </tp>
      <tp t="s">
        <v>S 0 06/15/16</v>
        <stp/>
        <stp>##V3_BDPV12</stp>
        <stp>912834MP Govt</stp>
        <stp>SECURITY_NAME</stp>
        <stp>[STRIPS.xlsx]Sheet1!R542C16</stp>
        <tr r="P542" s="1"/>
      </tp>
      <tp t="s">
        <v>S 0 09/15/16</v>
        <stp/>
        <stp>##V3_BDPV12</stp>
        <stp>912834MV Govt</stp>
        <stp>SECURITY_NAME</stp>
        <stp>[STRIPS.xlsx]Sheet1!R543C16</stp>
        <tr r="P543" s="1"/>
      </tp>
      <tp t="s">
        <v>S 0 05/31/13</v>
        <stp/>
        <stp>##V3_BDPV12</stp>
        <stp>912834AA Govt</stp>
        <stp>SECURITY_NAME</stp>
        <stp>[STRIPS.xlsx]Sheet1!R589C16</stp>
        <tr r="P589" s="1"/>
      </tp>
      <tp t="s">
        <v>S 0 01/15/16</v>
        <stp/>
        <stp>##V3_BDPV12</stp>
        <stp>912834MB Govt</stp>
        <stp>SECURITY_NAME</stp>
        <stp>[STRIPS.xlsx]Sheet1!R540C16</stp>
        <tr r="P540" s="1"/>
      </tp>
      <tp t="s">
        <v>S 0 01/31/20</v>
        <stp/>
        <stp>##V3_BDPV12</stp>
        <stp>912834MC Govt</stp>
        <stp>SECURITY_NAME</stp>
        <stp>[STRIPS.xlsx]Sheet1!R541C16</stp>
        <tr r="P541" s="1"/>
      </tp>
      <tp t="s">
        <v>S 0 07/31/17</v>
        <stp/>
        <stp>##V3_BDPV12</stp>
        <stp>912834JA Govt</stp>
        <stp>SECURITY_NAME</stp>
        <stp>[STRIPS.xlsx]Sheet1!R537C16</stp>
        <tr r="P537" s="1"/>
      </tp>
      <tp t="s">
        <v>S 0 12/31/17</v>
        <stp/>
        <stp>##V3_BDPV12</stp>
        <stp>912834JL Govt</stp>
        <stp>SECURITY_NAME</stp>
        <stp>[STRIPS.xlsx]Sheet1!R538C16</stp>
        <tr r="P538" s="1"/>
      </tp>
      <tp t="s">
        <v>S 0 11/30/13</v>
        <stp/>
        <stp>##V3_BDPV12</stp>
        <stp>912834AJ Govt</stp>
        <stp>SECURITY_NAME</stp>
        <stp>[STRIPS.xlsx]Sheet1!R591C16</stp>
        <tr r="P591" s="1"/>
      </tp>
      <tp t="s">
        <v>S 0 09/30/13</v>
        <stp/>
        <stp>##V3_BDPV12</stp>
        <stp>912834AG Govt</stp>
        <stp>SECURITY_NAME</stp>
        <stp>[STRIPS.xlsx]Sheet1!R590C16</stp>
        <tr r="P590" s="1"/>
      </tp>
      <tp t="s">
        <v>S 0 05/31/17</v>
        <stp/>
        <stp>##V3_BDPV12</stp>
        <stp>912834HW Govt</stp>
        <stp>SECURITY_NAME</stp>
        <stp>[STRIPS.xlsx]Sheet1!R536C16</stp>
        <tr r="P536" s="1"/>
      </tp>
      <tp t="s">
        <v>S 0 03/15/13</v>
        <stp/>
        <stp>##V3_BDPV12</stp>
        <stp>912834HR Govt</stp>
        <stp>SECURITY_NAME</stp>
        <stp>[STRIPS.xlsx]Sheet1!R535C16</stp>
        <tr r="P535" s="1"/>
      </tp>
      <tp t="s">
        <v>S 0 09/30/15</v>
        <stp/>
        <stp>##V3_BDPV12</stp>
        <stp>912834BG Govt</stp>
        <stp>SECURITY_NAME</stp>
        <stp>[STRIPS.xlsx]Sheet1!R592C16</stp>
        <tr r="P592" s="1"/>
      </tp>
      <tp t="s">
        <v>S 0 06/15/08</v>
        <stp/>
        <stp>##V3_BDPV12</stp>
        <stp>912833B8 Govt</stp>
        <stp>SECURITY_NAME</stp>
        <stp>[STRIPS.xlsx]Sheet1!R293C16</stp>
        <tr r="P293" s="1"/>
      </tp>
      <tp t="s">
        <v>S 0 08/15/07</v>
        <stp/>
        <stp>##V3_BDPV12</stp>
        <stp>912833CS Govt</stp>
        <stp>SECURITY_NAME</stp>
        <stp>[STRIPS.xlsx]Sheet1!R298C16</stp>
        <tr r="P298" s="1"/>
      </tp>
      <tp t="s">
        <v>S 0 08/31/21</v>
        <stp/>
        <stp>##V3_BDPV12</stp>
        <stp>912834NW Govt</stp>
        <stp>SECURITY_NAME</stp>
        <stp>[STRIPS.xlsx]Sheet1!R548C16</stp>
        <tr r="P548" s="1"/>
      </tp>
      <tp t="s">
        <v>S 0 08/15/08</v>
        <stp/>
        <stp>##V3_BDPV12</stp>
        <stp>912833CU Govt</stp>
        <stp>SECURITY_NAME</stp>
        <stp>[STRIPS.xlsx]Sheet1!R299C16</stp>
        <tr r="P299" s="1"/>
      </tp>
      <tp t="s">
        <v>S 0 06/30/21</v>
        <stp/>
        <stp>##V3_BDPV12</stp>
        <stp>912834NS Govt</stp>
        <stp>SECURITY_NAME</stp>
        <stp>[STRIPS.xlsx]Sheet1!R547C16</stp>
        <tr r="P547" s="1"/>
      </tp>
      <tp t="s">
        <v>S 0 08/15/03</v>
        <stp/>
        <stp>##V3_BDPV12</stp>
        <stp>912833CJ Govt</stp>
        <stp>SECURITY_NAME</stp>
        <stp>[STRIPS.xlsx]Sheet1!R297C16</stp>
        <tr r="P297" s="1"/>
      </tp>
      <tp t="s">
        <v>S 0 01/31/21</v>
        <stp/>
        <stp>##V3_BDPV12</stp>
        <stp>912834NE Govt</stp>
        <stp>SECURITY_NAME</stp>
        <stp>[STRIPS.xlsx]Sheet1!R546C16</stp>
        <tr r="P546" s="1"/>
      </tp>
      <tp t="s">
        <v>S 0 02/15/01</v>
        <stp/>
        <stp>##V3_BDPV12</stp>
        <stp>912833CD Govt</stp>
        <stp>SECURITY_NAME</stp>
        <stp>[STRIPS.xlsx]Sheet1!R295C16</stp>
        <tr r="P295" s="1"/>
      </tp>
      <tp t="s">
        <v>S 0 08/15/02</v>
        <stp/>
        <stp>##V3_BDPV12</stp>
        <stp>912833CG Govt</stp>
        <stp>SECURITY_NAME</stp>
        <stp>[STRIPS.xlsx]Sheet1!R296C16</stp>
        <tr r="P296" s="1"/>
      </tp>
      <tp t="s">
        <v>S 0 01/15/17</v>
        <stp/>
        <stp>##V3_BDPV12</stp>
        <stp>912834ND Govt</stp>
        <stp>SECURITY_NAME</stp>
        <stp>[STRIPS.xlsx]Sheet1!R545C16</stp>
        <tr r="P545" s="1"/>
      </tp>
      <tp t="s">
        <v>S 0 12/15/16</v>
        <stp/>
        <stp>##V3_BDPV12</stp>
        <stp>912834NB Govt</stp>
        <stp>SECURITY_NAME</stp>
        <stp>[STRIPS.xlsx]Sheet1!R544C16</stp>
        <tr r="P544" s="1"/>
      </tp>
      <tp t="s">
        <v>S 0 01/15/09</v>
        <stp/>
        <stp>##V3_BDPV12</stp>
        <stp>912833C7 Govt</stp>
        <stp>SECURITY_NAME</stp>
        <stp>[STRIPS.xlsx]Sheet1!R294C16</stp>
        <tr r="P294" s="1"/>
      </tp>
      <tp t="s">
        <v>S 0 02/28/17</v>
        <stp/>
        <stp>##V3_BDPV12</stp>
        <stp>912834FC Govt</stp>
        <stp>SECURITY_NAME</stp>
        <stp>[STRIPS.xlsx]Sheet1!R534C16</stp>
        <tr r="P534" s="1"/>
      </tp>
      <tp t="s">
        <v>S 0 06/30/15</v>
        <stp/>
        <stp>##V3_BDPV12</stp>
        <stp>912834EE Govt</stp>
        <stp>SECURITY_NAME</stp>
        <stp>[STRIPS.xlsx]Sheet1!R532C16</stp>
        <tr r="P532" s="1"/>
      </tp>
      <tp t="s">
        <v>S 0 06/30/16</v>
        <stp/>
        <stp>##V3_BDPV12</stp>
        <stp>912834EG Govt</stp>
        <stp>SECURITY_NAME</stp>
        <stp>[STRIPS.xlsx]Sheet1!R533C16</stp>
        <tr r="P533" s="1"/>
      </tp>
      <tp t="s">
        <v>S 0 02/15/11</v>
        <stp/>
        <stp>##V3_BDPV12</stp>
        <stp>912833CZ Govt</stp>
        <stp>SECURITY_NAME</stp>
        <stp>[STRIPS.xlsx]Sheet1!R220C16</stp>
        <tr r="P220" s="1"/>
      </tp>
      <tp t="s">
        <v>S 0 04/30/16</v>
        <stp/>
        <stp>##V3_BDPV12</stp>
        <stp>912834BR Govt</stp>
        <stp>SECURITY_NAME</stp>
        <stp>[STRIPS.xlsx]Sheet1!R531C16</stp>
        <tr r="P531" s="1"/>
      </tp>
      <tp t="s">
        <v>S 0 09/30/14</v>
        <stp/>
        <stp>##V3_BDPV12</stp>
        <stp>912834BE Govt</stp>
        <stp>SECURITY_NAME</stp>
        <stp>[STRIPS.xlsx]Sheet1!R530C16</stp>
        <tr r="P530" s="1"/>
      </tp>
      <tp t="s">
        <v>S 0 03/15/11</v>
        <stp/>
        <stp>##V3_BDPV12</stp>
        <stp>912834BA Govt</stp>
        <stp>SECURITY_NAME</stp>
        <stp>[STRIPS.xlsx]Sheet1!R529C16</stp>
        <tr r="P529" s="1"/>
      </tp>
      <tp t="s">
        <v>S 0 04/30/04</v>
        <stp/>
        <stp>##V3_BDPV12</stp>
        <stp>912833YT Govt</stp>
        <stp>SECURITY_NAME</stp>
        <stp>[STRIPS.xlsx]Sheet1!R249C16</stp>
        <tr r="P249" s="1"/>
      </tp>
      <tp t="s">
        <v>S 0 11/30/12</v>
        <stp/>
        <stp>##V3_BDPV12</stp>
        <stp>912833Y8 Govt</stp>
        <stp>SECURITY_NAME</stp>
        <stp>[STRIPS.xlsx]Sheet1!R248C16</stp>
        <tr r="P248" s="1"/>
      </tp>
      <tp t="s">
        <v>S 0 09/30/12</v>
        <stp/>
        <stp>##V3_BDPV12</stp>
        <stp>912833Y6 Govt</stp>
        <stp>SECURITY_NAME</stp>
        <stp>[STRIPS.xlsx]Sheet1!R247C16</stp>
        <tr r="P247" s="1"/>
      </tp>
      <tp t="s">
        <v>S 0 06/30/04</v>
        <stp/>
        <stp>##V3_BDPV12</stp>
        <stp>912833YV Govt</stp>
        <stp>SECURITY_NAME</stp>
        <stp>[STRIPS.xlsx]Sheet1!R250C16</stp>
        <tr r="P250" s="1"/>
      </tp>
      <tp t="s">
        <v>S 0 09/15/08</v>
        <stp/>
        <stp>##V3_BDPV12</stp>
        <stp>912833ZY Govt</stp>
        <stp>SECURITY_NAME</stp>
        <stp>[STRIPS.xlsx]Sheet1!R255C16</stp>
        <tr r="P255" s="1"/>
      </tp>
      <tp t="s">
        <v>S 0 03/15/07</v>
        <stp/>
        <stp>##V3_BDPV12</stp>
        <stp>912833ZV Govt</stp>
        <stp>SECURITY_NAME</stp>
        <stp>[STRIPS.xlsx]Sheet1!R254C16</stp>
        <tr r="P254" s="1"/>
      </tp>
      <tp t="s">
        <v>S 0 10/31/04</v>
        <stp/>
        <stp>##V3_BDPV12</stp>
        <stp>912833ZA Govt</stp>
        <stp>SECURITY_NAME</stp>
        <stp>[STRIPS.xlsx]Sheet1!R251C16</stp>
        <tr r="P251" s="1"/>
      </tp>
      <tp t="s">
        <v>S 0 02/28/05</v>
        <stp/>
        <stp>##V3_BDPV12</stp>
        <stp>912833ZE Govt</stp>
        <stp>SECURITY_NAME</stp>
        <stp>[STRIPS.xlsx]Sheet1!R252C16</stp>
        <tr r="P252" s="1"/>
      </tp>
      <tp t="s">
        <v>S 0 04/30/05</v>
        <stp/>
        <stp>##V3_BDPV12</stp>
        <stp>912833ZG Govt</stp>
        <stp>SECURITY_NAME</stp>
        <stp>[STRIPS.xlsx]Sheet1!R253C16</stp>
        <tr r="P253" s="1"/>
      </tp>
      <tp t="s">
        <v>S 0 12/31/02</v>
        <stp/>
        <stp>##V3_BDPV12</stp>
        <stp>912833QX Govt</stp>
        <stp>SECURITY_NAME</stp>
        <stp>[STRIPS.xlsx]Sheet1!R243C16</stp>
        <tr r="P243" s="1"/>
      </tp>
      <tp t="s">
        <v>S 0 12/31/01</v>
        <stp/>
        <stp>##V3_BDPV12</stp>
        <stp>912833QV Govt</stp>
        <stp>SECURITY_NAME</stp>
        <stp>[STRIPS.xlsx]Sheet1!R242C16</stp>
        <tr r="P242" s="1"/>
      </tp>
      <tp t="s">
        <v>S 0 05/31/99</v>
        <stp/>
        <stp>##V3_BDPV12</stp>
        <stp>912833QE Govt</stp>
        <stp>SECURITY_NAME</stp>
        <stp>[STRIPS.xlsx]Sheet1!R241C16</stp>
        <tr r="P241" s="1"/>
      </tp>
      <tp t="s">
        <v>S 0 04/30/02</v>
        <stp/>
        <stp>##V3_BDPV12</stp>
        <stp>912833PZ Govt</stp>
        <stp>SECURITY_NAME</stp>
        <stp>[STRIPS.xlsx]Sheet1!R240C16</stp>
        <tr r="P240" s="1"/>
      </tp>
      <tp t="s">
        <v>S 0 10/15/18</v>
        <stp/>
        <stp>##V3_BDPV12</stp>
        <stp>912834PR Govt</stp>
        <stp>SECURITY_NAME</stp>
        <stp>[STRIPS.xlsx]Sheet1!R549C16</stp>
        <tr r="P549" s="1"/>
      </tp>
      <tp t="s">
        <v>S 0 03/15/19</v>
        <stp/>
        <stp>##V3_BDPV12</stp>
        <stp>912834QD Govt</stp>
        <stp>SECURITY_NAME</stp>
        <stp>[STRIPS.xlsx]Sheet1!R550C16</stp>
        <tr r="P550" s="1"/>
      </tp>
      <tp t="s">
        <v>S 0 03/15/20</v>
        <stp/>
        <stp>##V3_BDPV12</stp>
        <stp>912834RF Govt</stp>
        <stp>SECURITY_NAME</stp>
        <stp>[STRIPS.xlsx]Sheet1!R551C16</stp>
        <tr r="P551" s="1"/>
      </tp>
      <tp t="s">
        <v>S 0 05/31/03</v>
        <stp/>
        <stp>##V3_BDPV12</stp>
        <stp>912833RW Govt</stp>
        <stp>SECURITY_NAME</stp>
        <stp>[STRIPS.xlsx]Sheet1!R246C16</stp>
        <tr r="P246" s="1"/>
      </tp>
      <tp t="s">
        <v>S 0 08/31/98</v>
        <stp/>
        <stp>##V3_BDPV12</stp>
        <stp>912833RJ Govt</stp>
        <stp>SECURITY_NAME</stp>
        <stp>[STRIPS.xlsx]Sheet1!R245C16</stp>
        <tr r="P245" s="1"/>
      </tp>
      <tp t="s">
        <v>S 0 07/31/02</v>
        <stp/>
        <stp>##V3_BDPV12</stp>
        <stp>912833RG Govt</stp>
        <stp>SECURITY_NAME</stp>
        <stp>[STRIPS.xlsx]Sheet1!R244C16</stp>
        <tr r="P244" s="1"/>
      </tp>
      <tp t="s">
        <v>S 0 10/31/00</v>
        <stp/>
        <stp>##V3_BDPV12</stp>
        <stp>912833PW Govt</stp>
        <stp>SECURITY_NAME</stp>
        <stp>[STRIPS.xlsx]Sheet1!R239C16</stp>
        <tr r="P239" s="1"/>
      </tp>
      <tp t="s">
        <v>S 0 03/31/01</v>
        <stp/>
        <stp>##V3_BDPV12</stp>
        <stp>912833PM Govt</stp>
        <stp>SECURITY_NAME</stp>
        <stp>[STRIPS.xlsx]Sheet1!R238C16</stp>
        <tr r="P238" s="1"/>
      </tp>
      <tp t="s">
        <v>S 0 09/30/08</v>
        <stp/>
        <stp>##V3_BDPV12</stp>
        <stp>9128335L Govt</stp>
        <stp>SECURITY_NAME</stp>
        <stp>[STRIPS.xlsx]Sheet1!R287C16</stp>
        <tr r="P287" s="1"/>
      </tp>
      <tp t="s">
        <v>S 0 08/31/08</v>
        <stp/>
        <stp>##V3_BDPV12</stp>
        <stp>9128335D Govt</stp>
        <stp>SECURITY_NAME</stp>
        <stp>[STRIPS.xlsx]Sheet1!R285C16</stp>
        <tr r="P285" s="1"/>
      </tp>
      <tp t="s">
        <v>S 0 02/28/10</v>
        <stp/>
        <stp>##V3_BDPV12</stp>
        <stp>9128335G Govt</stp>
        <stp>SECURITY_NAME</stp>
        <stp>[STRIPS.xlsx]Sheet1!R286C16</stp>
        <tr r="P286" s="1"/>
      </tp>
      <tp t="s">
        <v>S 0 12/15/10</v>
        <stp/>
        <stp>##V3_BDPV12</stp>
        <stp>9128334L Govt</stp>
        <stp>SECURITY_NAME</stp>
        <stp>[STRIPS.xlsx]Sheet1!R284C16</stp>
        <tr r="P284" s="1"/>
      </tp>
      <tp t="s">
        <v>S 0 09/30/11</v>
        <stp/>
        <stp>##V3_BDPV12</stp>
        <stp>9128336X Govt</stp>
        <stp>SECURITY_NAME</stp>
        <stp>[STRIPS.xlsx]Sheet1!R290C16</stp>
        <tr r="P290" s="1"/>
      </tp>
      <tp t="s">
        <v>S 0 05/31/12</v>
        <stp/>
        <stp>##V3_BDPV12</stp>
        <stp>9128337K Govt</stp>
        <stp>SECURITY_NAME</stp>
        <stp>[STRIPS.xlsx]Sheet1!R292C16</stp>
        <tr r="P292" s="1"/>
      </tp>
      <tp t="s">
        <v>S 0 05/31/11</v>
        <stp/>
        <stp>##V3_BDPV12</stp>
        <stp>9128336F Govt</stp>
        <stp>SECURITY_NAME</stp>
        <stp>[STRIPS.xlsx]Sheet1!R288C16</stp>
        <tr r="P288" s="1"/>
      </tp>
      <tp t="s">
        <v>S 0 06/30/09</v>
        <stp/>
        <stp>##V3_BDPV12</stp>
        <stp>9128336J Govt</stp>
        <stp>SECURITY_NAME</stp>
        <stp>[STRIPS.xlsx]Sheet1!R289C16</stp>
        <tr r="P289" s="1"/>
      </tp>
      <tp t="s">
        <v>S 0 01/31/12</v>
        <stp/>
        <stp>##V3_BDPV12</stp>
        <stp>9128337D Govt</stp>
        <stp>SECURITY_NAME</stp>
        <stp>[STRIPS.xlsx]Sheet1!R291C16</stp>
        <tr r="P291" s="1"/>
      </tp>
      <tp t="s">
        <v>S 0 07/31/20</v>
        <stp/>
        <stp>##V3_BDPV12</stp>
        <stp>912834MS Govt</stp>
        <stp>SECURITY_NAME</stp>
        <stp>[STRIPS.xlsx]Sheet1!R406C16</stp>
        <tr r="P406" s="1"/>
      </tp>
      <tp t="s">
        <v>S 0 07/15/05</v>
        <stp/>
        <stp>##V3_BDPV12</stp>
        <stp>912833NL Govt</stp>
        <stp>SECURITY_NAME</stp>
        <stp>[STRIPS.xlsx]Sheet1!R335C16</stp>
        <tr r="P335" s="1"/>
      </tp>
      <tp t="s">
        <v>S 0 11/15/15</v>
        <stp/>
        <stp>##V3_BDPV12</stp>
        <stp>912833KF Govt</stp>
        <stp>SECURITY_NAME</stp>
        <stp>[STRIPS.xlsx]Sheet1!R368C16</stp>
        <tr r="P368" s="1"/>
      </tp>
      <tp t="s">
        <v>S 0 10/15/98</v>
        <stp/>
        <stp>##V3_BDPV12</stp>
        <stp>912833MH Govt</stp>
        <stp>SECURITY_NAME</stp>
        <stp>[STRIPS.xlsx]Sheet1!R306C16</stp>
        <tr r="P306" s="1"/>
      </tp>
      <tp t="s">
        <v>S 0 01/15/05</v>
        <stp/>
        <stp>##V3_BDPV12</stp>
        <stp>912833NJ Govt</stp>
        <stp>SECURITY_NAME</stp>
        <stp>[STRIPS.xlsx]Sheet1!R334C16</stp>
        <tr r="P334" s="1"/>
      </tp>
      <tp t="s">
        <v>S 0 04/15/16</v>
        <stp/>
        <stp>##V3_BDPV12</stp>
        <stp>912834MK Govt</stp>
        <stp>SECURITY_NAME</stp>
        <stp>[STRIPS.xlsx]Sheet1!R405C16</stp>
        <tr r="P405" s="1"/>
      </tp>
      <tp t="s">
        <v>S 0 04/15/98</v>
        <stp/>
        <stp>##V3_BDPV12</stp>
        <stp>912833MF Govt</stp>
        <stp>SECURITY_NAME</stp>
        <stp>[STRIPS.xlsx]Sheet1!R305C16</stp>
        <tr r="P305" s="1"/>
      </tp>
      <tp t="s">
        <v>S 0 10/15/97</v>
        <stp/>
        <stp>##V3_BDPV12</stp>
        <stp>912833MD Govt</stp>
        <stp>SECURITY_NAME</stp>
        <stp>[STRIPS.xlsx]Sheet1!R304C16</stp>
        <tr r="P304" s="1"/>
      </tp>
      <tp t="s">
        <v>S 0 07/31/18</v>
        <stp/>
        <stp>##V3_BDPV12</stp>
        <stp>912834KN Govt</stp>
        <stp>SECURITY_NAME</stp>
        <stp>[STRIPS.xlsx]Sheet1!R469C16</stp>
        <tr r="P469" s="1"/>
      </tp>
      <tp t="s">
        <v>S 0 06/30/18</v>
        <stp/>
        <stp>##V3_BDPV12</stp>
        <stp>912834KL Govt</stp>
        <stp>SECURITY_NAME</stp>
        <stp>[STRIPS.xlsx]Sheet1!R468C16</stp>
        <tr r="P468" s="1"/>
      </tp>
      <tp t="s">
        <v>S 0 11/15/13</v>
        <stp/>
        <stp>##V3_BDPV12</stp>
        <stp>912833KB Govt</stp>
        <stp>SECURITY_NAME</stp>
        <stp>[STRIPS.xlsx]Sheet1!R367C16</stp>
        <tr r="P367" s="1"/>
      </tp>
      <tp t="s">
        <v>S 0 12/31/18</v>
        <stp/>
        <stp>##V3_BDPV12</stp>
        <stp>912834KY Govt</stp>
        <stp>SECURITY_NAME</stp>
        <stp>[STRIPS.xlsx]Sheet1!R472C16</stp>
        <tr r="P472" s="1"/>
      </tp>
      <tp t="s">
        <v>S 0 12/15/14</v>
        <stp/>
        <stp>##V3_BDPV12</stp>
        <stp>912834KX Govt</stp>
        <stp>SECURITY_NAME</stp>
        <stp>[STRIPS.xlsx]Sheet1!R471C16</stp>
        <tr r="P471" s="1"/>
      </tp>
      <tp t="s">
        <v>S 0 06/30/20</v>
        <stp/>
        <stp>##V3_BDPV12</stp>
        <stp>912834MQ Govt</stp>
        <stp>SECURITY_NAME</stp>
        <stp>[STRIPS.xlsx]Sheet1!R418C16</stp>
        <tr r="P418" s="1"/>
      </tp>
      <tp t="s">
        <v>S 0 08/31/20</v>
        <stp/>
        <stp>##V3_BDPV12</stp>
        <stp>912834MU Govt</stp>
        <stp>SECURITY_NAME</stp>
        <stp>[STRIPS.xlsx]Sheet1!R419C16</stp>
        <tr r="P419" s="1"/>
      </tp>
      <tp t="s">
        <v>S 0 05/15/10</v>
        <stp/>
        <stp>##V3_BDPV12</stp>
        <stp>912833JU Govt</stp>
        <stp>SECURITY_NAME</stp>
        <stp>[STRIPS.xlsx]Sheet1!R366C16</stp>
        <tr r="P366" s="1"/>
      </tp>
      <tp t="s">
        <v>S 0 03/15/14</v>
        <stp/>
        <stp>##V3_BDPV12</stp>
        <stp>912834JT Govt</stp>
        <stp>SECURITY_NAME</stp>
        <stp>[STRIPS.xlsx]Sheet1!R467C16</stp>
        <tr r="P467" s="1"/>
      </tp>
      <tp t="s">
        <v>S 0 06/15/17</v>
        <stp/>
        <stp>##V3_BDPV12</stp>
        <stp>912834NR Govt</stp>
        <stp>SECURITY_NAME</stp>
        <stp>[STRIPS.xlsx]Sheet1!R422C16</stp>
        <tr r="P422" s="1"/>
      </tp>
      <tp t="s">
        <v>S 0 11/30/18</v>
        <stp/>
        <stp>##V3_BDPV12</stp>
        <stp>912834KW Govt</stp>
        <stp>SECURITY_NAME</stp>
        <stp>[STRIPS.xlsx]Sheet1!R470C16</stp>
        <tr r="P470" s="1"/>
      </tp>
      <tp t="s">
        <v>S 0 07/31/19</v>
        <stp/>
        <stp>##V3_BDPV12</stp>
        <stp>912834LQ Govt</stp>
        <stp>SECURITY_NAME</stp>
        <stp>[STRIPS.xlsx]Sheet1!R404C16</stp>
        <tr r="P404" s="1"/>
      </tp>
      <tp t="s">
        <v>S 0 02/28/21</v>
        <stp/>
        <stp>##V3_BDPV12</stp>
        <stp>912834NJ Govt</stp>
        <stp>SECURITY_NAME</stp>
        <stp>[STRIPS.xlsx]Sheet1!R420C16</stp>
        <tr r="P420" s="1"/>
      </tp>
      <tp t="s">
        <v>S 0 04/30/19</v>
        <stp/>
        <stp>##V3_BDPV12</stp>
        <stp>912834LJ Govt</stp>
        <stp>SECURITY_NAME</stp>
        <stp>[STRIPS.xlsx]Sheet1!R403C16</stp>
        <tr r="P403" s="1"/>
      </tp>
      <tp t="s">
        <v>S 0 05/31/20</v>
        <stp/>
        <stp>##V3_BDPV12</stp>
        <stp>912834MN Govt</stp>
        <stp>SECURITY_NAME</stp>
        <stp>[STRIPS.xlsx]Sheet1!R417C16</stp>
        <tr r="P417" s="1"/>
      </tp>
      <tp t="s">
        <v>S 0 11/30/17</v>
        <stp/>
        <stp>##V3_BDPV12</stp>
        <stp>912834JJ Govt</stp>
        <stp>SECURITY_NAME</stp>
        <stp>[STRIPS.xlsx]Sheet1!R465C16</stp>
        <tr r="P465" s="1"/>
      </tp>
      <tp t="s">
        <v>S 0 04/30/21</v>
        <stp/>
        <stp>##V3_BDPV12</stp>
        <stp>912834NN Govt</stp>
        <stp>SECURITY_NAME</stp>
        <stp>[STRIPS.xlsx]Sheet1!R421C16</stp>
        <tr r="P421" s="1"/>
      </tp>
      <tp t="s">
        <v>S 0 12/15/13</v>
        <stp/>
        <stp>##V3_BDPV12</stp>
        <stp>912834JK Govt</stp>
        <stp>SECURITY_NAME</stp>
        <stp>[STRIPS.xlsx]Sheet1!R466C16</stp>
        <tr r="P466" s="1"/>
      </tp>
      <tp t="s">
        <v>S 0 01/31/19</v>
        <stp/>
        <stp>##V3_BDPV12</stp>
        <stp>912834LA Govt</stp>
        <stp>SECURITY_NAME</stp>
        <stp>[STRIPS.xlsx]Sheet1!R402C16</stp>
        <tr r="P402" s="1"/>
      </tp>
      <tp t="s">
        <v>S 0 09/15/17</v>
        <stp/>
        <stp>##V3_BDPV12</stp>
        <stp>912834NX Govt</stp>
        <stp>SECURITY_NAME</stp>
        <stp>[STRIPS.xlsx]Sheet1!R410C16</stp>
        <tr r="P410" s="1"/>
      </tp>
      <tp t="s">
        <v>S 0 11/15/20</v>
        <stp/>
        <stp>##V3_BDPV12</stp>
        <stp>912833LB Govt</stp>
        <stp>SECURITY_NAME</stp>
        <stp>[STRIPS.xlsx]Sheet1!R332C16</stp>
        <tr r="P332" s="1"/>
      </tp>
      <tp t="s">
        <v>S 0 10/15/00</v>
        <stp/>
        <stp>##V3_BDPV12</stp>
        <stp>912833MR Govt</stp>
        <stp>SECURITY_NAME</stp>
        <stp>[STRIPS.xlsx]Sheet1!R333C16</stp>
        <tr r="P333" s="1"/>
      </tp>
      <tp t="s">
        <v>S 0 12/31/20</v>
        <stp/>
        <stp>##V3_BDPV12</stp>
        <stp>912834NC Govt</stp>
        <stp>SECURITY_NAME</stp>
        <stp>[STRIPS.xlsx]Sheet1!R407C16</stp>
        <tr r="P407" s="1"/>
      </tp>
      <tp t="s">
        <v>S 0 03/31/21</v>
        <stp/>
        <stp>##V3_BDPV12</stp>
        <stp>912834NL Govt</stp>
        <stp>SECURITY_NAME</stp>
        <stp>[STRIPS.xlsx]Sheet1!R408C16</stp>
        <tr r="P408" s="1"/>
      </tp>
      <tp t="s">
        <v>S 0 04/15/17</v>
        <stp/>
        <stp>##V3_BDPV12</stp>
        <stp>912834NM Govt</stp>
        <stp>SECURITY_NAME</stp>
        <stp>[STRIPS.xlsx]Sheet1!R409C16</stp>
        <tr r="P409" s="1"/>
      </tp>
      <tp t="s">
        <v>S 0 04/15/06</v>
        <stp/>
        <stp>##V3_BDPV12</stp>
        <stp>912833NP Govt</stp>
        <stp>SECURITY_NAME</stp>
        <stp>[STRIPS.xlsx]Sheet1!R373C16</stp>
        <tr r="P373" s="1"/>
      </tp>
      <tp t="s">
        <v>S 0 04/15/05</v>
        <stp/>
        <stp>##V3_BDPV12</stp>
        <stp>912833NK Govt</stp>
        <stp>SECURITY_NAME</stp>
        <stp>[STRIPS.xlsx]Sheet1!R372C16</stp>
        <tr r="P372" s="1"/>
      </tp>
      <tp t="s">
        <v>S 0 03/15/17</v>
        <stp/>
        <stp>##V3_BDPV12</stp>
        <stp>912834NK Govt</stp>
        <stp>SECURITY_NAME</stp>
        <stp>[STRIPS.xlsx]Sheet1!R477C16</stp>
        <tr r="P477" s="1"/>
      </tp>
      <tp t="s">
        <v>S 0 11/30/20</v>
        <stp/>
        <stp>##V3_BDPV12</stp>
        <stp>912834NA Govt</stp>
        <stp>SECURITY_NAME</stp>
        <stp>[STRIPS.xlsx]Sheet1!R476C16</stp>
        <tr r="P476" s="1"/>
      </tp>
      <tp t="s">
        <v>S 0 09/15/14</v>
        <stp/>
        <stp>##V3_BDPV12</stp>
        <stp>912834KR Govt</stp>
        <stp>SECURITY_NAME</stp>
        <stp>[STRIPS.xlsx]Sheet1!R400C16</stp>
        <tr r="P400" s="1"/>
      </tp>
      <tp t="s">
        <v>S 0 10/31/18</v>
        <stp/>
        <stp>##V3_BDPV12</stp>
        <stp>912834KU Govt</stp>
        <stp>SECURITY_NAME</stp>
        <stp>[STRIPS.xlsx]Sheet1!R401C16</stp>
        <tr r="P401" s="1"/>
      </tp>
      <tp t="s">
        <v>S 0 07/15/15</v>
        <stp/>
        <stp>##V3_BDPV12</stp>
        <stp>912834LP Govt</stp>
        <stp>SECURITY_NAME</stp>
        <stp>[STRIPS.xlsx]Sheet1!R474C16</stp>
        <tr r="P474" s="1"/>
      </tp>
      <tp t="s">
        <v>S 0 11/15/16</v>
        <stp/>
        <stp>##V3_BDPV12</stp>
        <stp>912833KK Govt</stp>
        <stp>SECURITY_NAME</stp>
        <stp>[STRIPS.xlsx]Sheet1!R301C16</stp>
        <tr r="P301" s="1"/>
      </tp>
      <tp t="s">
        <v>S 0 02/15/17</v>
        <stp/>
        <stp>##V3_BDPV12</stp>
        <stp>912833KL Govt</stp>
        <stp>SECURITY_NAME</stp>
        <stp>[STRIPS.xlsx]Sheet1!R302C16</stp>
        <tr r="P302" s="1"/>
      </tp>
      <tp t="s">
        <v>S 0 05/15/17</v>
        <stp/>
        <stp>##V3_BDPV12</stp>
        <stp>912833KM Govt</stp>
        <stp>SECURITY_NAME</stp>
        <stp>[STRIPS.xlsx]Sheet1!R303C16</stp>
        <tr r="P303" s="1"/>
      </tp>
      <tp t="s">
        <v>S 0 02/28/19</v>
        <stp/>
        <stp>##V3_BDPV12</stp>
        <stp>912834LE Govt</stp>
        <stp>SECURITY_NAME</stp>
        <stp>[STRIPS.xlsx]Sheet1!R473C16</stp>
        <tr r="P473" s="1"/>
      </tp>
      <tp t="s">
        <v>S 0 11/15/14</v>
        <stp/>
        <stp>##V3_BDPV12</stp>
        <stp>912833KD Govt</stp>
        <stp>SECURITY_NAME</stp>
        <stp>[STRIPS.xlsx]Sheet1!R300C16</stp>
        <tr r="P300" s="1"/>
      </tp>
      <tp t="s">
        <v>S 0 01/15/99</v>
        <stp/>
        <stp>##V3_BDPV12</stp>
        <stp>912833MJ Govt</stp>
        <stp>SECURITY_NAME</stp>
        <stp>[STRIPS.xlsx]Sheet1!R370C16</stp>
        <tr r="P370" s="1"/>
      </tp>
      <tp t="s">
        <v>S 0 08/15/20</v>
        <stp/>
        <stp>##V3_BDPV12</stp>
        <stp>912833LA Govt</stp>
        <stp>SECURITY_NAME</stp>
        <stp>[STRIPS.xlsx]Sheet1!R369C16</stp>
        <tr r="P369" s="1"/>
      </tp>
      <tp t="s">
        <v>S 0 04/30/20</v>
        <stp/>
        <stp>##V3_BDPV12</stp>
        <stp>912834ML Govt</stp>
        <stp>SECURITY_NAME</stp>
        <stp>[STRIPS.xlsx]Sheet1!R475C16</stp>
        <tr r="P475" s="1"/>
      </tp>
      <tp t="s">
        <v>S 0 10/15/99</v>
        <stp/>
        <stp>##V3_BDPV12</stp>
        <stp>912833MM Govt</stp>
        <stp>SECURITY_NAME</stp>
        <stp>[STRIPS.xlsx]Sheet1!R371C16</stp>
        <tr r="P371" s="1"/>
      </tp>
      <tp t="s">
        <v>S 0 08/15/10</v>
        <stp/>
        <stp>##V3_BDPV12</stp>
        <stp>912833CY Govt</stp>
        <stp>SECURITY_NAME</stp>
        <stp>[STRIPS.xlsx]Sheet1!R363C16</stp>
        <tr r="P363" s="1"/>
      </tp>
      <tp t="s">
        <v>S 0 01/15/07</v>
        <stp/>
        <stp>##V3_BDPV12</stp>
        <stp>912833C3 Govt</stp>
        <stp>SECURITY_NAME</stp>
        <stp>[STRIPS.xlsx]Sheet1!R362C16</stp>
        <tr r="P362" s="1"/>
      </tp>
      <tp t="s">
        <v>S 0 02/15/98</v>
        <stp/>
        <stp>##V3_BDPV12</stp>
        <stp>912833BX Govt</stp>
        <stp>SECURITY_NAME</stp>
        <stp>[STRIPS.xlsx]Sheet1!R361C16</stp>
        <tr r="P361" s="1"/>
      </tp>
      <tp t="s">
        <v>S 0 12/31/13</v>
        <stp/>
        <stp>##V3_BDPV12</stp>
        <stp>912834AM Govt</stp>
        <stp>SECURITY_NAME</stp>
        <stp>[STRIPS.xlsx]Sheet1!R457C16</stp>
        <tr r="P457" s="1"/>
      </tp>
      <tp t="s">
        <v>S 0 08/31/13</v>
        <stp/>
        <stp>##V3_BDPV12</stp>
        <stp>912834AF Govt</stp>
        <stp>SECURITY_NAME</stp>
        <stp>[STRIPS.xlsx]Sheet1!R456C16</stp>
        <tr r="P456" s="1"/>
      </tp>
      <tp t="s">
        <v>S 0 10/31/15</v>
        <stp/>
        <stp>##V3_BDPV12</stp>
        <stp>912834BQ Govt</stp>
        <stp>SECURITY_NAME</stp>
        <stp>[STRIPS.xlsx]Sheet1!R459C16</stp>
        <tr r="P459" s="1"/>
      </tp>
      <tp t="s">
        <v>S 0 03/15/12</v>
        <stp/>
        <stp>##V3_BDPV12</stp>
        <stp>912834BC Govt</stp>
        <stp>SECURITY_NAME</stp>
        <stp>[STRIPS.xlsx]Sheet1!R458C16</stp>
        <tr r="P458" s="1"/>
      </tp>
      <tp t="s">
        <v>S 0 11/15/08</v>
        <stp/>
        <stp>##V3_BDPV12</stp>
        <stp>912833GD Govt</stp>
        <stp>SECURITY_NAME</stp>
        <stp>[STRIPS.xlsx]Sheet1!R365C16</stp>
        <tr r="P365" s="1"/>
      </tp>
      <tp t="s">
        <v>S 0 12/15/06</v>
        <stp/>
        <stp>##V3_BDPV12</stp>
        <stp>912833B5 Govt</stp>
        <stp>SECURITY_NAME</stp>
        <stp>[STRIPS.xlsx]Sheet1!R331C16</stp>
        <tr r="P331" s="1"/>
      </tp>
      <tp t="s">
        <v>S 0 11/15/02</v>
        <stp/>
        <stp>##V3_BDPV12</stp>
        <stp>912833FR Govt</stp>
        <stp>SECURITY_NAME</stp>
        <stp>[STRIPS.xlsx]Sheet1!R364C16</stp>
        <tr r="P364" s="1"/>
      </tp>
      <tp t="s">
        <v>S 0 09/30/16</v>
        <stp/>
        <stp>##V3_BDPV12</stp>
        <stp>912834ES Govt</stp>
        <stp>SECURITY_NAME</stp>
        <stp>[STRIPS.xlsx]Sheet1!R464C16</stp>
        <tr r="P464" s="1"/>
      </tp>
      <tp t="s">
        <v>S 0 07/31/15</v>
        <stp/>
        <stp>##V3_BDPV12</stp>
        <stp>912834EL Govt</stp>
        <stp>SECURITY_NAME</stp>
        <stp>[STRIPS.xlsx]Sheet1!R462C16</stp>
        <tr r="P462" s="1"/>
      </tp>
      <tp t="s">
        <v>S 0 01/31/16</v>
        <stp/>
        <stp>##V3_BDPV12</stp>
        <stp>912834EM Govt</stp>
        <stp>SECURITY_NAME</stp>
        <stp>[STRIPS.xlsx]Sheet1!R463C16</stp>
        <tr r="P463" s="1"/>
      </tp>
      <tp t="s">
        <v>S 0 06/30/14</v>
        <stp/>
        <stp>##V3_BDPV12</stp>
        <stp>912834EC Govt</stp>
        <stp>SECURITY_NAME</stp>
        <stp>[STRIPS.xlsx]Sheet1!R461C16</stp>
        <tr r="P461" s="1"/>
      </tp>
      <tp t="s">
        <v>S 0 11/30/15</v>
        <stp/>
        <stp>##V3_BDPV12</stp>
        <stp>912834DZ Govt</stp>
        <stp>SECURITY_NAME</stp>
        <stp>[STRIPS.xlsx]Sheet1!R460C16</stp>
        <tr r="P460" s="1"/>
      </tp>
      <tp t="s">
        <v>S 0 04/15/08</v>
        <stp/>
        <stp>##V3_BDPV12</stp>
        <stp>912833A4 Govt</stp>
        <stp>SECURITY_NAME</stp>
        <stp>[STRIPS.xlsx]Sheet1!R330C16</stp>
        <tr r="P330" s="1"/>
      </tp>
      <tp t="s">
        <v>S 0 02/29/04</v>
        <stp/>
        <stp>##V3_BDPV12</stp>
        <stp>912833YR Govt</stp>
        <stp>SECURITY_NAME</stp>
        <stp>[STRIPS.xlsx]Sheet1!R345C16</stp>
        <tr r="P345" s="1"/>
      </tp>
      <tp t="s">
        <v>S 0 01/31/04</v>
        <stp/>
        <stp>##V3_BDPV12</stp>
        <stp>912833YQ Govt</stp>
        <stp>SECURITY_NAME</stp>
        <stp>[STRIPS.xlsx]Sheet1!R344C16</stp>
        <tr r="P344" s="1"/>
      </tp>
      <tp t="s">
        <v>S 0 11/30/03</v>
        <stp/>
        <stp>##V3_BDPV12</stp>
        <stp>912833YL Govt</stp>
        <stp>SECURITY_NAME</stp>
        <stp>[STRIPS.xlsx]Sheet1!R343C16</stp>
        <tr r="P343" s="1"/>
      </tp>
      <tp t="s">
        <v>S 0 09/15/06</v>
        <stp/>
        <stp>##V3_BDPV12</stp>
        <stp>912833ZU Govt</stp>
        <stp>SECURITY_NAME</stp>
        <stp>[STRIPS.xlsx]Sheet1!R348C16</stp>
        <tr r="P348" s="1"/>
      </tp>
      <tp t="s">
        <v>S 0 03/15/06</v>
        <stp/>
        <stp>##V3_BDPV12</stp>
        <stp>912833ZT Govt</stp>
        <stp>SECURITY_NAME</stp>
        <stp>[STRIPS.xlsx]Sheet1!R347C16</stp>
        <tr r="P347" s="1"/>
      </tp>
      <tp t="s">
        <v>S 0 12/31/04</v>
        <stp/>
        <stp>##V3_BDPV12</stp>
        <stp>912833ZC Govt</stp>
        <stp>SECURITY_NAME</stp>
        <stp>[STRIPS.xlsx]Sheet1!R346C16</stp>
        <tr r="P346" s="1"/>
      </tp>
      <tp t="s">
        <v>S 0 09/15/19</v>
        <stp/>
        <stp>##V3_BDPV12</stp>
        <stp>912834QR Govt</stp>
        <stp>SECURITY_NAME</stp>
        <stp>[STRIPS.xlsx]Sheet1!R480C16</stp>
        <tr r="P480" s="1"/>
      </tp>
      <tp t="s">
        <v>S 0 10/15/20</v>
        <stp/>
        <stp>##V3_BDPV12</stp>
        <stp>912834RV Govt</stp>
        <stp>SECURITY_NAME</stp>
        <stp>[STRIPS.xlsx]Sheet1!R482C16</stp>
        <tr r="P482" s="1"/>
      </tp>
      <tp t="s">
        <v>S 0 04/15/20</v>
        <stp/>
        <stp>##V3_BDPV12</stp>
        <stp>912834RH Govt</stp>
        <stp>SECURITY_NAME</stp>
        <stp>[STRIPS.xlsx]Sheet1!R481C16</stp>
        <tr r="P481" s="1"/>
      </tp>
      <tp t="s">
        <v>S 0 01/31/01</v>
        <stp/>
        <stp>##V3_BDPV12</stp>
        <stp>912833RD Govt</stp>
        <stp>SECURITY_NAME</stp>
        <stp>[STRIPS.xlsx]Sheet1!R380C16</stp>
        <tr r="P380" s="1"/>
      </tp>
      <tp t="s">
        <v>S 0 05/31/98</v>
        <stp/>
        <stp>##V3_BDPV12</stp>
        <stp>912833QC Govt</stp>
        <stp>SECURITY_NAME</stp>
        <stp>[STRIPS.xlsx]Sheet1!R341C16</stp>
        <tr r="P341" s="1"/>
      </tp>
      <tp t="s">
        <v>S 0 10/31/01</v>
        <stp/>
        <stp>##V3_BDPV12</stp>
        <stp>912833PY Govt</stp>
        <stp>SECURITY_NAME</stp>
        <stp>[STRIPS.xlsx]Sheet1!R340C16</stp>
        <tr r="P340" s="1"/>
      </tp>
      <tp t="s">
        <v>S 0 12/15/18</v>
        <stp/>
        <stp>##V3_BDPV12</stp>
        <stp>912834PV Govt</stp>
        <stp>SECURITY_NAME</stp>
        <stp>[STRIPS.xlsx]Sheet1!R479C16</stp>
        <tr r="P479" s="1"/>
      </tp>
      <tp t="s">
        <v>S 0 04/30/98</v>
        <stp/>
        <stp>##V3_BDPV12</stp>
        <stp>912833PR Govt</stp>
        <stp>SECURITY_NAME</stp>
        <stp>[STRIPS.xlsx]Sheet1!R375C16</stp>
        <tr r="P375" s="1"/>
      </tp>
      <tp t="s">
        <v>S 0 09/30/00</v>
        <stp/>
        <stp>##V3_BDPV12</stp>
        <stp>912833PL Govt</stp>
        <stp>SECURITY_NAME</stp>
        <stp>[STRIPS.xlsx]Sheet1!R374C16</stp>
        <tr r="P374" s="1"/>
      </tp>
      <tp t="s">
        <v>S 0 12/15/17</v>
        <stp/>
        <stp>##V3_BDPV12</stp>
        <stp>912834PD Govt</stp>
        <stp>SECURITY_NAME</stp>
        <stp>[STRIPS.xlsx]Sheet1!R478C16</stp>
        <tr r="P478" s="1"/>
      </tp>
      <tp t="s">
        <v>S 0 06/30/02</v>
        <stp/>
        <stp>##V3_BDPV12</stp>
        <stp>912833QW Govt</stp>
        <stp>SECURITY_NAME</stp>
        <stp>[STRIPS.xlsx]Sheet1!R378C16</stp>
        <tr r="P378" s="1"/>
      </tp>
      <tp t="s">
        <v>S 0 01/31/99</v>
        <stp/>
        <stp>##V3_BDPV12</stp>
        <stp>912833QZ Govt</stp>
        <stp>SECURITY_NAME</stp>
        <stp>[STRIPS.xlsx]Sheet1!R379C16</stp>
        <tr r="P379" s="1"/>
      </tp>
      <tp t="s">
        <v>S 0 06/30/99</v>
        <stp/>
        <stp>##V3_BDPV12</stp>
        <stp>912833QQ Govt</stp>
        <stp>SECURITY_NAME</stp>
        <stp>[STRIPS.xlsx]Sheet1!R377C16</stp>
        <tr r="P377" s="1"/>
      </tp>
      <tp t="s">
        <v>S 0 06/15/21</v>
        <stp/>
        <stp>##V3_BDPV12</stp>
        <stp>912834TR Govt</stp>
        <stp>SECURITY_NAME</stp>
        <stp>[STRIPS.xlsx]Sheet1!R426C16</stp>
        <tr r="P426" s="1"/>
      </tp>
      <tp t="s">
        <v>S 0 03/15/21</v>
        <stp/>
        <stp>##V3_BDPV12</stp>
        <stp>912834TK Govt</stp>
        <stp>SECURITY_NAME</stp>
        <stp>[STRIPS.xlsx]Sheet1!R425C16</stp>
        <tr r="P425" s="1"/>
      </tp>
      <tp t="s">
        <v>S 0 07/31/99</v>
        <stp/>
        <stp>##V3_BDPV12</stp>
        <stp>912833RA Govt</stp>
        <stp>SECURITY_NAME</stp>
        <stp>[STRIPS.xlsx]Sheet1!R342C16</stp>
        <tr r="P342" s="1"/>
      </tp>
      <tp t="s">
        <v>S 0 12/15/20</v>
        <stp/>
        <stp>##V3_BDPV12</stp>
        <stp>912834TB Govt</stp>
        <stp>SECURITY_NAME</stp>
        <stp>[STRIPS.xlsx]Sheet1!R424C16</stp>
        <tr r="P424" s="1"/>
      </tp>
      <tp t="s">
        <v>S 0 10/31/02</v>
        <stp/>
        <stp>##V3_BDPV12</stp>
        <stp>912833QA Govt</stp>
        <stp>SECURITY_NAME</stp>
        <stp>[STRIPS.xlsx]Sheet1!R376C16</stp>
        <tr r="P376" s="1"/>
      </tp>
      <tp t="s">
        <v>S 0 01/15/19</v>
        <stp/>
        <stp>##V3_BDPV12</stp>
        <stp>912834PX Govt</stp>
        <stp>SECURITY_NAME</stp>
        <stp>[STRIPS.xlsx]Sheet1!R412C16</stp>
        <tr r="P412" s="1"/>
      </tp>
      <tp t="s">
        <v>S 0 07/31/04</v>
        <stp/>
        <stp>##V3_BDPV12</stp>
        <stp>912833YX Govt</stp>
        <stp>SECURITY_NAME</stp>
        <stp>[STRIPS.xlsx]Sheet1!R381C16</stp>
        <tr r="P381" s="1"/>
      </tp>
      <tp t="s">
        <v>S 0 12/31/00</v>
        <stp/>
        <stp>##V3_BDPV12</stp>
        <stp>912833QT Govt</stp>
        <stp>SECURITY_NAME</stp>
        <stp>[STRIPS.xlsx]Sheet1!R307C16</stp>
        <tr r="P307" s="1"/>
      </tp>
      <tp t="s">
        <v>S 0 01/15/18</v>
        <stp/>
        <stp>##V3_BDPV12</stp>
        <stp>912834PF Govt</stp>
        <stp>SECURITY_NAME</stp>
        <stp>[STRIPS.xlsx]Sheet1!R411C16</stp>
        <tr r="P411" s="1"/>
      </tp>
      <tp t="s">
        <v>S 0 10/15/19</v>
        <stp/>
        <stp>##V3_BDPV12</stp>
        <stp>912834QT Govt</stp>
        <stp>SECURITY_NAME</stp>
        <stp>[STRIPS.xlsx]Sheet1!R414C16</stp>
        <tr r="P414" s="1"/>
      </tp>
      <tp t="s">
        <v>S 0 07/15/19</v>
        <stp/>
        <stp>##V3_BDPV12</stp>
        <stp>912834QM Govt</stp>
        <stp>SECURITY_NAME</stp>
        <stp>[STRIPS.xlsx]Sheet1!R413C16</stp>
        <tr r="P413" s="1"/>
      </tp>
      <tp t="s">
        <v>S 0 12/15/19</v>
        <stp/>
        <stp>##V3_BDPV12</stp>
        <stp>912834QX Govt</stp>
        <stp>SECURITY_NAME</stp>
        <stp>[STRIPS.xlsx]Sheet1!R423C16</stp>
        <tr r="P423" s="1"/>
      </tp>
      <tp t="s">
        <v>S 0 04/30/00</v>
        <stp/>
        <stp>##V3_BDPV12</stp>
        <stp>912833PV Govt</stp>
        <stp>SECURITY_NAME</stp>
        <stp>[STRIPS.xlsx]Sheet1!R338C16</stp>
        <tr r="P338" s="1"/>
      </tp>
      <tp t="s">
        <v>S 0 04/30/01</v>
        <stp/>
        <stp>##V3_BDPV12</stp>
        <stp>912833PX Govt</stp>
        <stp>SECURITY_NAME</stp>
        <stp>[STRIPS.xlsx]Sheet1!R339C16</stp>
        <tr r="P339" s="1"/>
      </tp>
      <tp t="s">
        <v>S 0 07/15/20</v>
        <stp/>
        <stp>##V3_BDPV12</stp>
        <stp>912834RP Govt</stp>
        <stp>SECURITY_NAME</stp>
        <stp>[STRIPS.xlsx]Sheet1!R416C16</stp>
        <tr r="P416" s="1"/>
      </tp>
      <tp t="s">
        <v>S 0 03/31/02</v>
        <stp/>
        <stp>##V3_BDPV12</stp>
        <stp>912833PP Govt</stp>
        <stp>SECURITY_NAME</stp>
        <stp>[STRIPS.xlsx]Sheet1!R337C16</stp>
        <tr r="P337" s="1"/>
      </tp>
      <tp t="s">
        <v>S 0 06/15/20</v>
        <stp/>
        <stp>##V3_BDPV12</stp>
        <stp>912834RM Govt</stp>
        <stp>SECURITY_NAME</stp>
        <stp>[STRIPS.xlsx]Sheet1!R415C16</stp>
        <tr r="P415" s="1"/>
      </tp>
      <tp t="s">
        <v>S 0 03/31/99</v>
        <stp/>
        <stp>##V3_BDPV12</stp>
        <stp>912833PH Govt</stp>
        <stp>SECURITY_NAME</stp>
        <stp>[STRIPS.xlsx]Sheet1!R336C16</stp>
        <tr r="P336" s="1"/>
      </tp>
      <tp t="s">
        <v>S 0 03/15/05</v>
        <stp/>
        <stp>##V3_BDPV12</stp>
        <stp>912833ZR Govt</stp>
        <stp>SECURITY_NAME</stp>
        <stp>[STRIPS.xlsx]Sheet1!R383C16</stp>
        <tr r="P383" s="1"/>
      </tp>
      <tp t="s">
        <v>S 0 01/31/13</v>
        <stp/>
        <stp>##V3_BDPV12</stp>
        <stp>912833Z4 Govt</stp>
        <stp>SECURITY_NAME</stp>
        <stp>[STRIPS.xlsx]Sheet1!R382C16</stp>
        <tr r="P382" s="1"/>
      </tp>
      <tp t="s">
        <v>5/15/2013</v>
        <stp/>
        <stp>##V3_BDPV12</stp>
        <stp>912834MM Govt</stp>
        <stp>ISSUE_DT</stp>
        <stp>[STRIPS.xlsx]Sheet1!R80C15</stp>
        <tr r="O80" s="1"/>
      </tp>
      <tp t="s">
        <v>2/15/2013</v>
        <stp/>
        <stp>##V3_BDPV12</stp>
        <stp>912834MD Govt</stp>
        <stp>ISSUE_DT</stp>
        <stp>[STRIPS.xlsx]Sheet1!R72C15</stp>
        <tr r="O72" s="1"/>
      </tp>
      <tp t="s">
        <v>#N/A Field Not Applicable</v>
        <stp/>
        <stp>##V3_BDPV12</stp>
        <stp>912834WJ Govt</stp>
        <stp>IDX_RATIO</stp>
        <stp>[STRIPS.xlsx]Sheet1!R89C20</stp>
        <tr r="T89" s="1"/>
      </tp>
      <tp t="s">
        <v>#N/A Field Not Applicable</v>
        <stp/>
        <stp>##V3_BDPV12</stp>
        <stp>912833LJ Govt</stp>
        <stp>IDX_RATIO</stp>
        <stp>[STRIPS.xlsx]Sheet1!R18C20</stp>
        <tr r="T18" s="1"/>
      </tp>
      <tp t="s">
        <v>11/15/2013</v>
        <stp/>
        <stp>##V3_BDPV12</stp>
        <stp>912834MZ Govt</stp>
        <stp>ISSUE_DT</stp>
        <stp>[STRIPS.xlsx]Sheet1!R71C15</stp>
        <tr r="O71" s="1"/>
      </tp>
      <tp t="s">
        <v>8/15/2013</v>
        <stp/>
        <stp>##V3_BDPV12</stp>
        <stp>912834MT Govt</stp>
        <stp>ISSUE_DT</stp>
        <stp>[STRIPS.xlsx]Sheet1!R41C15</stp>
        <tr r="O41" s="1"/>
      </tp>
      <tp t="s">
        <v>USD</v>
        <stp/>
        <stp>##V3_BDPV12</stp>
        <stp>912833XS Govt</stp>
        <stp>CRNCY</stp>
        <stp>[STRIPS.xlsx]Sheet1!R47C7</stp>
        <tr r="G47" s="1"/>
      </tp>
      <tp t="s">
        <v>S</v>
        <stp/>
        <stp>##V3_BDPV12</stp>
        <stp>912833WR Govt</stp>
        <stp>TICKER</stp>
        <stp>[STRIPS.xlsx]Sheet1!R52C2</stp>
        <tr r="B52" s="1"/>
      </tp>
      <tp t="s">
        <v>UNITED STATES</v>
        <stp/>
        <stp>##V3_BDPV12</stp>
        <stp>912833C9 Govt</stp>
        <stp>COUNTRY_FULL_NAME</stp>
        <stp>[STRIPS.xlsx]Sheet1!R613C8</stp>
        <tr r="H613" s="1"/>
      </tp>
      <tp t="s">
        <v>UNITED STATES</v>
        <stp/>
        <stp>##V3_BDPV12</stp>
        <stp>912833A2 Govt</stp>
        <stp>COUNTRY_FULL_NAME</stp>
        <stp>[STRIPS.xlsx]Sheet1!R608C8</stp>
        <tr r="H608" s="1"/>
      </tp>
      <tp t="s">
        <v>UNITED STATES</v>
        <stp/>
        <stp>##V3_BDPV12</stp>
        <stp>912834A3 Govt</stp>
        <stp>COUNTRY_FULL_NAME</stp>
        <stp>[STRIPS.xlsx]Sheet1!R119C8</stp>
        <tr r="H119" s="1"/>
      </tp>
      <tp t="s">
        <v>USD</v>
        <stp/>
        <stp>##V3_BDPV12</stp>
        <stp>912834WC Govt</stp>
        <stp>CRNCY</stp>
        <stp>[STRIPS.xlsx]Sheet1!R78C7</stp>
        <tr r="G78" s="1"/>
      </tp>
      <tp t="s">
        <v>NORMAL</v>
        <stp/>
        <stp>##V3_BDPV12</stp>
        <stp>912833XZ Govt</stp>
        <stp>MTY_TYP</stp>
        <stp>[STRIPS.xlsx]Sheet1!R31C6</stp>
        <tr r="F31" s="1"/>
      </tp>
      <tp t="s">
        <v>NORMAL</v>
        <stp/>
        <stp>##V3_BDPV12</stp>
        <stp>912833LK Govt</stp>
        <stp>MTY_TYP</stp>
        <stp>[STRIPS.xlsx]Sheet1!R21C6</stp>
        <tr r="F21" s="1"/>
      </tp>
      <tp t="s">
        <v>NORMAL</v>
        <stp/>
        <stp>##V3_BDPV12</stp>
        <stp>912833LT Govt</stp>
        <stp>MTY_TYP</stp>
        <stp>[STRIPS.xlsx]Sheet1!R11C6</stp>
        <tr r="F11" s="1"/>
      </tp>
      <tp t="s">
        <v>NORMAL</v>
        <stp/>
        <stp>##V3_BDPV12</stp>
        <stp>9128334W Govt</stp>
        <stp>MTY_TYP</stp>
        <stp>[STRIPS.xlsx]Sheet1!R61C6</stp>
        <tr r="F61" s="1"/>
      </tp>
      <tp t="s">
        <v>NORMAL</v>
        <stp/>
        <stp>##V3_BDPV12</stp>
        <stp>912834PH Govt</stp>
        <stp>MTY_TYP</stp>
        <stp>[STRIPS.xlsx]Sheet1!R91C6</stp>
        <tr r="F91" s="1"/>
      </tp>
      <tp t="s">
        <v>NORMAL</v>
        <stp/>
        <stp>##V3_BDPV12</stp>
        <stp>912834VM Govt</stp>
        <stp>MTY_TYP</stp>
        <stp>[STRIPS.xlsx]Sheet1!R81C6</stp>
        <tr r="F81" s="1"/>
      </tp>
      <tp t="s">
        <v>NORMAL</v>
        <stp/>
        <stp>##V3_BDPV12</stp>
        <stp>912834VV Govt</stp>
        <stp>MTY_TYP</stp>
        <stp>[STRIPS.xlsx]Sheet1!R51C6</stp>
        <tr r="F51" s="1"/>
      </tp>
      <tp t="s">
        <v>NORMAL</v>
        <stp/>
        <stp>##V3_BDPV12</stp>
        <stp>912834MT Govt</stp>
        <stp>MTY_TYP</stp>
        <stp>[STRIPS.xlsx]Sheet1!R41C6</stp>
        <tr r="F41" s="1"/>
      </tp>
      <tp t="s">
        <v>NORMAL</v>
        <stp/>
        <stp>##V3_BDPV12</stp>
        <stp>912834MZ Govt</stp>
        <stp>MTY_TYP</stp>
        <stp>[STRIPS.xlsx]Sheet1!R71C6</stp>
        <tr r="F71" s="1"/>
      </tp>
      <tp t="s">
        <v>2/15/2035</v>
        <stp/>
        <stp>##V3_BDPV12</stp>
        <stp>9128334Z Govt</stp>
        <stp>MATURITY</stp>
        <stp>[STRIPS.xlsx]Sheet1!R45C5</stp>
        <tr r="E45" s="1"/>
      </tp>
      <tp t="s">
        <v>11/15/2032</v>
        <stp/>
        <stp>##V3_BDPV12</stp>
        <stp>9128337S Govt</stp>
        <stp>MATURITY</stp>
        <stp>[STRIPS.xlsx]Sheet1!R35C5</stp>
        <tr r="E35" s="1"/>
      </tp>
      <tp t="s">
        <v>5/15/2031</v>
        <stp/>
        <stp>##V3_BDPV12</stp>
        <stp>9128337P Govt</stp>
        <stp>MATURITY</stp>
        <stp>[STRIPS.xlsx]Sheet1!R25C5</stp>
        <tr r="E25" s="1"/>
      </tp>
      <tp t="s">
        <v>S</v>
        <stp/>
        <stp>##V3_BDPV12</stp>
        <stp>9128334S Govt</stp>
        <stp>TICKER</stp>
        <stp>[STRIPS.xlsx]Sheet1!R5C2</stp>
        <tr r="B5" s="1"/>
      </tp>
      <tp t="s">
        <v>5/15/2035</v>
        <stp/>
        <stp>##V3_BDPV12</stp>
        <stp>912833X8 Govt</stp>
        <stp>MATURITY</stp>
        <stp>[STRIPS.xlsx]Sheet1!R66C5</stp>
        <tr r="E66" s="1"/>
      </tp>
      <tp t="s">
        <v>#N/A Field Not Applicable</v>
        <stp/>
        <stp>##V3_BDPV12</stp>
        <stp>912834XC Govt</stp>
        <stp>COUPON_FREQUENCY_DESCRIPTION</stp>
        <stp>[STRIPS.xlsx]Sheet1!R214C10</stp>
        <tr r="J214" s="1"/>
      </tp>
      <tp t="s">
        <v>#N/A Field Not Applicable</v>
        <stp/>
        <stp>##V3_BDPV12</stp>
        <stp>912834JC Govt</stp>
        <stp>COUPON_FREQUENCY_DESCRIPTION</stp>
        <stp>[STRIPS.xlsx]Sheet1!R227C10</stp>
        <tr r="J227" s="1"/>
      </tp>
      <tp t="s">
        <v>#N/A Field Not Applicable</v>
        <stp/>
        <stp>##V3_BDPV12</stp>
        <stp>912834AC Govt</stp>
        <stp>COUPON_FREQUENCY_DESCRIPTION</stp>
        <stp>[STRIPS.xlsx]Sheet1!R384C10</stp>
        <tr r="J384" s="1"/>
      </tp>
      <tp t="s">
        <v>#N/A Field Not Applicable</v>
        <stp/>
        <stp>##V3_BDPV12</stp>
        <stp>912833QC Govt</stp>
        <stp>COUPON_FREQUENCY_DESCRIPTION</stp>
        <stp>[STRIPS.xlsx]Sheet1!R341C10</stp>
        <tr r="J341" s="1"/>
      </tp>
      <tp t="s">
        <v>#N/A Field Not Applicable</v>
        <stp/>
        <stp>##V3_BDPV12</stp>
        <stp>912833ZC Govt</stp>
        <stp>COUPON_FREQUENCY_DESCRIPTION</stp>
        <stp>[STRIPS.xlsx]Sheet1!R346C10</stp>
        <tr r="J346" s="1"/>
      </tp>
      <tp t="s">
        <v>#N/A Field Not Applicable</v>
        <stp/>
        <stp>##V3_BDPV12</stp>
        <stp>912834KC Govt</stp>
        <stp>COUPON_FREQUENCY_DESCRIPTION</stp>
        <stp>[STRIPS.xlsx]Sheet1!R133C10</stp>
        <tr r="J133" s="1"/>
      </tp>
      <tp t="s">
        <v>#N/A Field Not Applicable</v>
        <stp/>
        <stp>##V3_BDPV12</stp>
        <stp>912834QC Govt</stp>
        <stp>COUPON_FREQUENCY_DESCRIPTION</stp>
        <stp>[STRIPS.xlsx]Sheet1!R141C10</stp>
        <tr r="J141" s="1"/>
      </tp>
      <tp t="s">
        <v>#N/A Field Not Applicable</v>
        <stp/>
        <stp>##V3_BDPV12</stp>
        <stp>912834PC Govt</stp>
        <stp>COUPON_FREQUENCY_DESCRIPTION</stp>
        <stp>[STRIPS.xlsx]Sheet1!R148C10</stp>
        <tr r="J148" s="1"/>
      </tp>
      <tp t="s">
        <v>#N/A Field Not Applicable</v>
        <stp/>
        <stp>##V3_BDPV12</stp>
        <stp>912834TC Govt</stp>
        <stp>COUPON_FREQUENCY_DESCRIPTION</stp>
        <stp>[STRIPS.xlsx]Sheet1!R163C10</stp>
        <tr r="J163" s="1"/>
      </tp>
      <tp t="s">
        <v>#N/A Field Not Applicable</v>
        <stp/>
        <stp>##V3_BDPV12</stp>
        <stp>912833RC Govt</stp>
        <stp>COUPON_FREQUENCY_DESCRIPTION</stp>
        <stp>[STRIPS.xlsx]Sheet1!R690C10</stp>
        <tr r="J690" s="1"/>
      </tp>
      <tp t="s">
        <v>#N/A Field Not Applicable</v>
        <stp/>
        <stp>##V3_BDPV12</stp>
        <stp>912833LC Govt</stp>
        <stp>COUPON_FREQUENCY_DESCRIPTION</stp>
        <stp>[STRIPS.xlsx]Sheet1!R673C10</stp>
        <tr r="J673" s="1"/>
      </tp>
      <tp t="s">
        <v>#N/A Field Not Applicable</v>
        <stp/>
        <stp>##V3_BDPV12</stp>
        <stp>912833YC Govt</stp>
        <stp>COUPON_FREQUENCY_DESCRIPTION</stp>
        <stp>[STRIPS.xlsx]Sheet1!R636C10</stp>
        <tr r="J636" s="1"/>
      </tp>
      <tp t="s">
        <v>#N/A Field Not Applicable</v>
        <stp/>
        <stp>##V3_BDPV12</stp>
        <stp>9128335C Govt</stp>
        <stp>COUPON_FREQUENCY_DESCRIPTION</stp>
        <stp>[STRIPS.xlsx]Sheet1!R720C10</stp>
        <tr r="J720" s="1"/>
      </tp>
      <tp t="s">
        <v>#N/A Field Not Applicable</v>
        <stp/>
        <stp>##V3_BDPV12</stp>
        <stp>912834VC Govt</stp>
        <stp>COUPON_FREQUENCY_DESCRIPTION</stp>
        <stp>[STRIPS.xlsx]Sheet1!R763C10</stp>
        <tr r="J763" s="1"/>
      </tp>
      <tp t="s">
        <v>#N/A Field Not Applicable</v>
        <stp/>
        <stp>##V3_BDPV12</stp>
        <stp>912834UC Govt</stp>
        <stp>COUPON_FREQUENCY_DESCRIPTION</stp>
        <stp>[STRIPS.xlsx]Sheet1!R761C10</stp>
        <tr r="J761" s="1"/>
      </tp>
      <tp t="s">
        <v>#N/A Field Not Applicable</v>
        <stp/>
        <stp>##V3_BDPV12</stp>
        <stp>9128336C Govt</stp>
        <stp>COUPON_FREQUENCY_DESCRIPTION</stp>
        <stp>[STRIPS.xlsx]Sheet1!R713C10</stp>
        <tr r="J713" s="1"/>
      </tp>
      <tp t="s">
        <v>#N/A Field Not Applicable</v>
        <stp/>
        <stp>##V3_BDPV12</stp>
        <stp>9128332C Govt</stp>
        <stp>COUPON_FREQUENCY_DESCRIPTION</stp>
        <stp>[STRIPS.xlsx]Sheet1!R701C10</stp>
        <tr r="J701" s="1"/>
      </tp>
      <tp t="s">
        <v>#N/A Field Not Applicable</v>
        <stp/>
        <stp>##V3_BDPV12</stp>
        <stp>9128334C Govt</stp>
        <stp>COUPON_FREQUENCY_DESCRIPTION</stp>
        <stp>[STRIPS.xlsx]Sheet1!R707C10</stp>
        <tr r="J707" s="1"/>
      </tp>
      <tp t="s">
        <v>#N/A Field Not Applicable</v>
        <stp/>
        <stp>##V3_BDPV12</stp>
        <stp>912834NC Govt</stp>
        <stp>COUPON_FREQUENCY_DESCRIPTION</stp>
        <stp>[STRIPS.xlsx]Sheet1!R407C10</stp>
        <tr r="J407" s="1"/>
      </tp>
      <tp t="s">
        <v>#N/A Field Not Applicable</v>
        <stp/>
        <stp>##V3_BDPV12</stp>
        <stp>912833GC Govt</stp>
        <stp>COUPON_FREQUENCY_DESCRIPTION</stp>
        <stp>[STRIPS.xlsx]Sheet1!R440C10</stp>
        <tr r="J440" s="1"/>
      </tp>
      <tp t="s">
        <v>#N/A Field Not Applicable</v>
        <stp/>
        <stp>##V3_BDPV12</stp>
        <stp>912833KC Govt</stp>
        <stp>COUPON_FREQUENCY_DESCRIPTION</stp>
        <stp>[STRIPS.xlsx]Sheet1!R442C10</stp>
        <tr r="J442" s="1"/>
      </tp>
      <tp t="s">
        <v>#N/A Field Not Applicable</v>
        <stp/>
        <stp>##V3_BDPV12</stp>
        <stp>912833CC Govt</stp>
        <stp>COUPON_FREQUENCY_DESCRIPTION</stp>
        <stp>[STRIPS.xlsx]Sheet1!R436C10</stp>
        <tr r="J436" s="1"/>
      </tp>
      <tp t="s">
        <v>#N/A Field Not Applicable</v>
        <stp/>
        <stp>##V3_BDPV12</stp>
        <stp>912834BC Govt</stp>
        <stp>COUPON_FREQUENCY_DESCRIPTION</stp>
        <stp>[STRIPS.xlsx]Sheet1!R458C10</stp>
        <tr r="J458" s="1"/>
      </tp>
      <tp t="s">
        <v>#N/A Field Not Applicable</v>
        <stp/>
        <stp>##V3_BDPV12</stp>
        <stp>912834EC Govt</stp>
        <stp>COUPON_FREQUENCY_DESCRIPTION</stp>
        <stp>[STRIPS.xlsx]Sheet1!R461C10</stp>
        <tr r="J461" s="1"/>
      </tp>
      <tp t="s">
        <v>#N/A Field Not Applicable</v>
        <stp/>
        <stp>##V3_BDPV12</stp>
        <stp>912833NC Govt</stp>
        <stp>COUPON_FREQUENCY_DESCRIPTION</stp>
        <stp>[STRIPS.xlsx]Sheet1!R570C10</stp>
        <tr r="J570" s="1"/>
      </tp>
      <tp t="s">
        <v>#N/A Field Not Applicable</v>
        <stp/>
        <stp>##V3_BDPV12</stp>
        <stp>912834FC Govt</stp>
        <stp>COUPON_FREQUENCY_DESCRIPTION</stp>
        <stp>[STRIPS.xlsx]Sheet1!R534C10</stp>
        <tr r="J534" s="1"/>
      </tp>
      <tp t="s">
        <v>#N/A Field Not Applicable</v>
        <stp/>
        <stp>##V3_BDPV12</stp>
        <stp>912834MC Govt</stp>
        <stp>COUPON_FREQUENCY_DESCRIPTION</stp>
        <stp>[STRIPS.xlsx]Sheet1!R541C10</stp>
        <tr r="J541" s="1"/>
      </tp>
      <tp t="s">
        <v>#N/A Field Not Applicable</v>
        <stp/>
        <stp>##V3_BDPV12</stp>
        <stp>912833DC Govt</stp>
        <stp>COUPON_FREQUENCY_DESCRIPTION</stp>
        <stp>[STRIPS.xlsx]Sheet1!R504C10</stp>
        <tr r="J504" s="1"/>
      </tp>
      <tp t="s">
        <v>2/15/2045</v>
        <stp/>
        <stp>##V3_BDPV12</stp>
        <stp>912834PH Govt</stp>
        <stp>MATURITY</stp>
        <stp>[STRIPS.xlsx]Sheet1!R91C5</stp>
        <tr r="E91" s="1"/>
      </tp>
      <tp t="s">
        <v>8/15/2028</v>
        <stp/>
        <stp>##V3_BDPV12</stp>
        <stp>912833RZ Govt</stp>
        <stp>MATURITY</stp>
        <stp>[STRIPS.xlsx]Sheet1!R26C5</stp>
        <tr r="E26" s="1"/>
      </tp>
      <tp t="s">
        <v>2/15/2050</v>
        <stp/>
        <stp>##V3_BDPV12</stp>
        <stp>912834VM Govt</stp>
        <stp>MATURITY</stp>
        <stp>[STRIPS.xlsx]Sheet1!R81C5</stp>
        <tr r="E81" s="1"/>
      </tp>
      <tp t="s">
        <v>5/15/2050</v>
        <stp/>
        <stp>##V3_BDPV12</stp>
        <stp>912834VV Govt</stp>
        <stp>MATURITY</stp>
        <stp>[STRIPS.xlsx]Sheet1!R51C5</stp>
        <tr r="E51" s="1"/>
      </tp>
      <tp t="s">
        <v>2/15/2023</v>
        <stp/>
        <stp>##V3_BDPV12</stp>
        <stp>912833LL Govt</stp>
        <stp>MATURITY</stp>
        <stp>[STRIPS.xlsx]Sheet1!R36C5</stp>
        <tr r="E36" s="1"/>
      </tp>
      <tp t="s">
        <v>2/15/2026</v>
        <stp/>
        <stp>##V3_BDPV12</stp>
        <stp>912833LY Govt</stp>
        <stp>MATURITY</stp>
        <stp>[STRIPS.xlsx]Sheet1!R16C5</stp>
        <tr r="E16" s="1"/>
      </tp>
      <tp t="s">
        <v>11/15/2043</v>
        <stp/>
        <stp>##V3_BDPV12</stp>
        <stp>912834MZ Govt</stp>
        <stp>MATURITY</stp>
        <stp>[STRIPS.xlsx]Sheet1!R71C5</stp>
        <tr r="E71" s="1"/>
      </tp>
      <tp t="s">
        <v>8/15/2043</v>
        <stp/>
        <stp>##V3_BDPV12</stp>
        <stp>912834MT Govt</stp>
        <stp>MATURITY</stp>
        <stp>[STRIPS.xlsx]Sheet1!R41C5</stp>
        <tr r="E41" s="1"/>
      </tp>
      <tp t="s">
        <v>2/18/2014</v>
        <stp/>
        <stp>##V3_BDPV12</stp>
        <stp>912834NF Govt</stp>
        <stp>ISSUE_DT</stp>
        <stp>[STRIPS.xlsx]Sheet1!R58C15</stp>
        <tr r="O58" s="1"/>
      </tp>
      <tp t="s">
        <v>S</v>
        <stp/>
        <stp>##V3_BDPV12</stp>
        <stp>9128337U Govt</stp>
        <stp>TICKER</stp>
        <stp>[STRIPS.xlsx]Sheet1!R46C2</stp>
        <tr r="B46" s="1"/>
      </tp>
      <tp t="s">
        <v>USD</v>
        <stp/>
        <stp>##V3_BDPV12</stp>
        <stp>912833XP Govt</stp>
        <stp>CRNCY</stp>
        <stp>[STRIPS.xlsx]Sheet1!R44C7</stp>
        <tr r="G44" s="1"/>
      </tp>
      <tp t="s">
        <v>UNITED STATES</v>
        <stp/>
        <stp>##V3_BDPV12</stp>
        <stp>912833Y9 Govt</stp>
        <stp>COUNTRY_FULL_NAME</stp>
        <stp>[STRIPS.xlsx]Sheet1!R450C8</stp>
        <tr r="H450" s="1"/>
      </tp>
      <tp t="s">
        <v>NORMAL</v>
        <stp/>
        <stp>##V3_BDPV12</stp>
        <stp>912833WR Govt</stp>
        <stp>MTY_TYP</stp>
        <stp>[STRIPS.xlsx]Sheet1!R52C6</stp>
        <tr r="F52" s="1"/>
      </tp>
      <tp t="s">
        <v>NORMAL</v>
        <stp/>
        <stp>##V3_BDPV12</stp>
        <stp>912833XX Govt</stp>
        <stp>MTY_TYP</stp>
        <stp>[STRIPS.xlsx]Sheet1!R62C6</stp>
        <tr r="F62" s="1"/>
      </tp>
      <tp t="s">
        <v>NORMAL</v>
        <stp/>
        <stp>##V3_BDPV12</stp>
        <stp>912833LU Govt</stp>
        <stp>MTY_TYP</stp>
        <stp>[STRIPS.xlsx]Sheet1!R22C6</stp>
        <tr r="F22" s="1"/>
      </tp>
      <tp t="s">
        <v>NORMAL</v>
        <stp/>
        <stp>##V3_BDPV12</stp>
        <stp>912833LP Govt</stp>
        <stp>MTY_TYP</stp>
        <stp>[STRIPS.xlsx]Sheet1!R12C6</stp>
        <tr r="F12" s="1"/>
      </tp>
      <tp t="s">
        <v>NORMAL</v>
        <stp/>
        <stp>##V3_BDPV12</stp>
        <stp>9128335A Govt</stp>
        <stp>MTY_TYP</stp>
        <stp>[STRIPS.xlsx]Sheet1!R42C6</stp>
        <tr r="F42" s="1"/>
      </tp>
      <tp t="s">
        <v>NORMAL</v>
        <stp/>
        <stp>##V3_BDPV12</stp>
        <stp>912834XG Govt</stp>
        <stp>MTY_TYP</stp>
        <stp>[STRIPS.xlsx]Sheet1!R32C6</stp>
        <tr r="F32" s="1"/>
      </tp>
      <tp t="s">
        <v>NORMAL</v>
        <stp/>
        <stp>##V3_BDPV12</stp>
        <stp>912834AD Govt</stp>
        <stp>MTY_TYP</stp>
        <stp>[STRIPS.xlsx]Sheet1!R92C6</stp>
        <tr r="F92" s="1"/>
      </tp>
      <tp t="s">
        <v>NORMAL</v>
        <stp/>
        <stp>##V3_BDPV12</stp>
        <stp>912834JB Govt</stp>
        <stp>MTY_TYP</stp>
        <stp>[STRIPS.xlsx]Sheet1!R82C6</stp>
        <tr r="F82" s="1"/>
      </tp>
      <tp t="s">
        <v>NORMAL</v>
        <stp/>
        <stp>##V3_BDPV12</stp>
        <stp>912834MD Govt</stp>
        <stp>MTY_TYP</stp>
        <stp>[STRIPS.xlsx]Sheet1!R72C6</stp>
        <tr r="F72" s="1"/>
      </tp>
      <tp t="s">
        <v>USD</v>
        <stp/>
        <stp>##V3_BDPV12</stp>
        <stp>912834TF Govt</stp>
        <stp>CRNCY</stp>
        <stp>[STRIPS.xlsx]Sheet1!R98C7</stp>
        <tr r="G98" s="1"/>
      </tp>
      <tp t="s">
        <v>11/15/2033</v>
        <stp/>
        <stp>##V3_BDPV12</stp>
        <stp>9128337U Govt</stp>
        <stp>MATURITY</stp>
        <stp>[STRIPS.xlsx]Sheet1!R46C5</stp>
        <tr r="E46" s="1"/>
      </tp>
      <tp t="s">
        <v>5/15/2029</v>
        <stp/>
        <stp>##V3_BDPV12</stp>
        <stp>912833XS Govt</stp>
        <stp>MATURITY</stp>
        <stp>[STRIPS.xlsx]Sheet1!R47C5</stp>
        <tr r="E47" s="1"/>
      </tp>
      <tp t="s">
        <v>#N/A Field Not Applicable</v>
        <stp/>
        <stp>##V3_BDPV12</stp>
        <stp>912834AB Govt</stp>
        <stp>COUPON_FREQUENCY_DESCRIPTION</stp>
        <stp>[STRIPS.xlsx]Sheet1!R256C10</stp>
        <tr r="J256" s="1"/>
      </tp>
      <tp t="s">
        <v>5/15/2036</v>
        <stp/>
        <stp>##V3_BDPV12</stp>
        <stp>912833Y2 Govt</stp>
        <stp>MATURITY</stp>
        <stp>[STRIPS.xlsx]Sheet1!R27C5</stp>
        <tr r="E27" s="1"/>
      </tp>
      <tp t="s">
        <v>ACT/ACT</v>
        <stp/>
        <stp>##V3_BDPV12</stp>
        <stp>912833ZW Govt</stp>
        <stp>DAY_CNT_DES</stp>
        <stp>[STRIPS.xlsx]Sheet1!R640C17</stp>
        <tr r="Q640" s="1"/>
      </tp>
      <tp t="s">
        <v>ACT/ACT</v>
        <stp/>
        <stp>##V3_BDPV12</stp>
        <stp>912833ZR Govt</stp>
        <stp>DAY_CNT_DES</stp>
        <stp>[STRIPS.xlsx]Sheet1!R383C17</stp>
        <tr r="Q383" s="1"/>
      </tp>
      <tp t="s">
        <v>ACT/ACT</v>
        <stp/>
        <stp>##V3_BDPV12</stp>
        <stp>912833ZP Govt</stp>
        <stp>DAY_CNT_DES</stp>
        <stp>[STRIPS.xlsx]Sheet1!R192C17</stp>
        <tr r="Q192" s="1"/>
      </tp>
      <tp t="s">
        <v>#N/A Field Not Applicable</v>
        <stp/>
        <stp>##V3_BDPV12</stp>
        <stp>912833KB Govt</stp>
        <stp>COUPON_FREQUENCY_DESCRIPTION</stp>
        <stp>[STRIPS.xlsx]Sheet1!R367C10</stp>
        <tr r="J367" s="1"/>
      </tp>
      <tp t="s">
        <v>#N/A Field Not Applicable</v>
        <stp/>
        <stp>##V3_BDPV12</stp>
        <stp>912833LB Govt</stp>
        <stp>COUPON_FREQUENCY_DESCRIPTION</stp>
        <stp>[STRIPS.xlsx]Sheet1!R332C10</stp>
        <tr r="J332" s="1"/>
      </tp>
      <tp t="s">
        <v>#N/A Field Not Applicable</v>
        <stp/>
        <stp>##V3_BDPV12</stp>
        <stp>912834BB Govt</stp>
        <stp>COUPON_FREQUENCY_DESCRIPTION</stp>
        <stp>[STRIPS.xlsx]Sheet1!R349C10</stp>
        <tr r="J349" s="1"/>
      </tp>
      <tp t="s">
        <v>#N/A Field Not Applicable</v>
        <stp/>
        <stp>##V3_BDPV12</stp>
        <stp>912834XB Govt</stp>
        <stp>COUPON_FREQUENCY_DESCRIPTION</stp>
        <stp>[STRIPS.xlsx]Sheet1!R183C10</stp>
        <tr r="J183" s="1"/>
      </tp>
      <tp t="s">
        <v>#N/A Field Not Applicable</v>
        <stp/>
        <stp>##V3_BDPV12</stp>
        <stp>912834PB Govt</stp>
        <stp>COUPON_FREQUENCY_DESCRIPTION</stp>
        <stp>[STRIPS.xlsx]Sheet1!R109C10</stp>
        <tr r="J109" s="1"/>
      </tp>
      <tp t="s">
        <v>#N/A Field Not Applicable</v>
        <stp/>
        <stp>##V3_BDPV12</stp>
        <stp>912833DB Govt</stp>
        <stp>COUPON_FREQUENCY_DESCRIPTION</stp>
        <stp>[STRIPS.xlsx]Sheet1!R162C10</stp>
        <tr r="J162" s="1"/>
      </tp>
      <tp t="s">
        <v>#N/A Field Not Applicable</v>
        <stp/>
        <stp>##V3_BDPV12</stp>
        <stp>912834KB Govt</stp>
        <stp>COUPON_FREQUENCY_DESCRIPTION</stp>
        <stp>[STRIPS.xlsx]Sheet1!R110C10</stp>
        <tr r="J110" s="1"/>
      </tp>
      <tp t="s">
        <v>#N/A Field Not Applicable</v>
        <stp/>
        <stp>##V3_BDPV12</stp>
        <stp>912834UB Govt</stp>
        <stp>COUPON_FREQUENCY_DESCRIPTION</stp>
        <stp>[STRIPS.xlsx]Sheet1!R113C10</stp>
        <tr r="J113" s="1"/>
      </tp>
      <tp t="s">
        <v>#N/A Field Not Applicable</v>
        <stp/>
        <stp>##V3_BDPV12</stp>
        <stp>912834RB Govt</stp>
        <stp>COUPON_FREQUENCY_DESCRIPTION</stp>
        <stp>[STRIPS.xlsx]Sheet1!R112C10</stp>
        <tr r="J112" s="1"/>
      </tp>
      <tp t="s">
        <v>#N/A Field Not Applicable</v>
        <stp/>
        <stp>##V3_BDPV12</stp>
        <stp>912834FB Govt</stp>
        <stp>COUPON_FREQUENCY_DESCRIPTION</stp>
        <stp>[STRIPS.xlsx]Sheet1!R120C10</stp>
        <tr r="J120" s="1"/>
      </tp>
      <tp t="s">
        <v>#N/A Field Not Applicable</v>
        <stp/>
        <stp>##V3_BDPV12</stp>
        <stp>912834VB Govt</stp>
        <stp>COUPON_FREQUENCY_DESCRIPTION</stp>
        <stp>[STRIPS.xlsx]Sheet1!R159C10</stp>
        <tr r="J159" s="1"/>
      </tp>
      <tp t="s">
        <v>ACT/ACT</v>
        <stp/>
        <stp>##V3_BDPV12</stp>
        <stp>912833ZV Govt</stp>
        <stp>DAY_CNT_DES</stp>
        <stp>[STRIPS.xlsx]Sheet1!R254C17</stp>
        <tr r="Q254" s="1"/>
      </tp>
      <tp t="s">
        <v>#N/A Field Not Applicable</v>
        <stp/>
        <stp>##V3_BDPV12</stp>
        <stp>912833RB Govt</stp>
        <stp>COUPON_FREQUENCY_DESCRIPTION</stp>
        <stp>[STRIPS.xlsx]Sheet1!R689C10</stp>
        <tr r="J689" s="1"/>
      </tp>
      <tp t="s">
        <v>#N/A Field Not Applicable</v>
        <stp/>
        <stp>##V3_BDPV12</stp>
        <stp>912833GB Govt</stp>
        <stp>COUPON_FREQUENCY_DESCRIPTION</stp>
        <stp>[STRIPS.xlsx]Sheet1!R666C10</stp>
        <tr r="J666" s="1"/>
      </tp>
      <tp t="s">
        <v>#N/A Field Not Applicable</v>
        <stp/>
        <stp>##V3_BDPV12</stp>
        <stp>912834EB Govt</stp>
        <stp>COUPON_FREQUENCY_DESCRIPTION</stp>
        <stp>[STRIPS.xlsx]Sheet1!R644C10</stp>
        <tr r="J644" s="1"/>
      </tp>
      <tp t="s">
        <v>#N/A Field Not Applicable</v>
        <stp/>
        <stp>##V3_BDPV12</stp>
        <stp>912833NB Govt</stp>
        <stp>COUPON_FREQUENCY_DESCRIPTION</stp>
        <stp>[STRIPS.xlsx]Sheet1!R629C10</stp>
        <tr r="J629" s="1"/>
      </tp>
      <tp t="s">
        <v>#N/A Field Not Applicable</v>
        <stp/>
        <stp>##V3_BDPV12</stp>
        <stp>912833CB Govt</stp>
        <stp>COUPON_FREQUENCY_DESCRIPTION</stp>
        <stp>[STRIPS.xlsx]Sheet1!R614C10</stp>
        <tr r="J614" s="1"/>
      </tp>
      <tp t="s">
        <v>#N/A Field Not Applicable</v>
        <stp/>
        <stp>##V3_BDPV12</stp>
        <stp>9128334B Govt</stp>
        <stp>COUPON_FREQUENCY_DESCRIPTION</stp>
        <stp>[STRIPS.xlsx]Sheet1!R603C10</stp>
        <tr r="J603" s="1"/>
      </tp>
      <tp t="s">
        <v>#N/A Field Not Applicable</v>
        <stp/>
        <stp>##V3_BDPV12</stp>
        <stp>9128336B Govt</stp>
        <stp>COUPON_FREQUENCY_DESCRIPTION</stp>
        <stp>[STRIPS.xlsx]Sheet1!R727C10</stp>
        <tr r="J727" s="1"/>
      </tp>
      <tp t="s">
        <v>#N/A Field Not Applicable</v>
        <stp/>
        <stp>##V3_BDPV12</stp>
        <stp>9128332B Govt</stp>
        <stp>COUPON_FREQUENCY_DESCRIPTION</stp>
        <stp>[STRIPS.xlsx]Sheet1!R717C10</stp>
        <tr r="J717" s="1"/>
      </tp>
      <tp t="s">
        <v>#N/A Field Not Applicable</v>
        <stp/>
        <stp>##V3_BDPV12</stp>
        <stp>912834WB Govt</stp>
        <stp>COUPON_FREQUENCY_DESCRIPTION</stp>
        <stp>[STRIPS.xlsx]Sheet1!R771C10</stp>
        <tr r="J771" s="1"/>
      </tp>
      <tp t="s">
        <v>ACT/ACT</v>
        <stp/>
        <stp>##V3_BDPV12</stp>
        <stp>912833ZU Govt</stp>
        <stp>DAY_CNT_DES</stp>
        <stp>[STRIPS.xlsx]Sheet1!R348C17</stp>
        <tr r="Q348" s="1"/>
      </tp>
      <tp t="s">
        <v>#N/A Field Not Applicable</v>
        <stp/>
        <stp>##V3_BDPV12</stp>
        <stp>912834TB Govt</stp>
        <stp>COUPON_FREQUENCY_DESCRIPTION</stp>
        <stp>[STRIPS.xlsx]Sheet1!R424C10</stp>
        <tr r="J424" s="1"/>
      </tp>
      <tp t="s">
        <v>#N/A Field Not Applicable</v>
        <stp/>
        <stp>##V3_BDPV12</stp>
        <stp>912833ZB Govt</stp>
        <stp>COUPON_FREQUENCY_DESCRIPTION</stp>
        <stp>[STRIPS.xlsx]Sheet1!R454C10</stp>
        <tr r="J454" s="1"/>
      </tp>
      <tp t="s">
        <v>#N/A Field Not Applicable</v>
        <stp/>
        <stp>##V3_BDPV12</stp>
        <stp>912833YB Govt</stp>
        <stp>COUPON_FREQUENCY_DESCRIPTION</stp>
        <stp>[STRIPS.xlsx]Sheet1!R451C10</stp>
        <tr r="J451" s="1"/>
      </tp>
      <tp t="s">
        <v>ACT/ACT</v>
        <stp/>
        <stp>##V3_BDPV12</stp>
        <stp>912833ZT Govt</stp>
        <stp>DAY_CNT_DES</stp>
        <stp>[STRIPS.xlsx]Sheet1!R347C17</stp>
        <tr r="Q347" s="1"/>
      </tp>
      <tp t="s">
        <v>ACT/ACT</v>
        <stp/>
        <stp>##V3_BDPV12</stp>
        <stp>912833ZS Govt</stp>
        <stp>DAY_CNT_DES</stp>
        <stp>[STRIPS.xlsx]Sheet1!R455C17</stp>
        <tr r="Q455" s="1"/>
      </tp>
      <tp t="s">
        <v>ACT/ACT</v>
        <stp/>
        <stp>##V3_BDPV12</stp>
        <stp>912833ZQ Govt</stp>
        <stp>DAY_CNT_DES</stp>
        <stp>[STRIPS.xlsx]Sheet1!R639C17</stp>
        <tr r="Q639" s="1"/>
      </tp>
      <tp t="s">
        <v>#N/A Field Not Applicable</v>
        <stp/>
        <stp>##V3_BDPV12</stp>
        <stp>912834MB Govt</stp>
        <stp>COUPON_FREQUENCY_DESCRIPTION</stp>
        <stp>[STRIPS.xlsx]Sheet1!R540C10</stp>
        <tr r="J540" s="1"/>
      </tp>
      <tp t="s">
        <v>#N/A Field Not Applicable</v>
        <stp/>
        <stp>##V3_BDPV12</stp>
        <stp>912834NB Govt</stp>
        <stp>COUPON_FREQUENCY_DESCRIPTION</stp>
        <stp>[STRIPS.xlsx]Sheet1!R544C10</stp>
        <tr r="J544" s="1"/>
      </tp>
      <tp t="s">
        <v>ACT/ACT</v>
        <stp/>
        <stp>##V3_BDPV12</stp>
        <stp>912833ZY Govt</stp>
        <stp>DAY_CNT_DES</stp>
        <stp>[STRIPS.xlsx]Sheet1!R255C17</stp>
        <tr r="Q255" s="1"/>
      </tp>
      <tp t="s">
        <v>8/15/2048</v>
        <stp/>
        <stp>##V3_BDPV12</stp>
        <stp>912834TV Govt</stp>
        <stp>MATURITY</stp>
        <stp>[STRIPS.xlsx]Sheet1!R90C5</stp>
        <tr r="E90" s="1"/>
      </tp>
      <tp t="s">
        <v>ACT/ACT</v>
        <stp/>
        <stp>##V3_BDPV12</stp>
        <stp>912833ZX Govt</stp>
        <stp>DAY_CNT_DES</stp>
        <stp>[STRIPS.xlsx]Sheet1!R588C17</stp>
        <tr r="Q588" s="1"/>
      </tp>
      <tp t="s">
        <v>ACT/ACT</v>
        <stp/>
        <stp>##V3_BDPV12</stp>
        <stp>912833ZZ Govt</stp>
        <stp>DAY_CNT_DES</stp>
        <stp>[STRIPS.xlsx]Sheet1!R528C17</stp>
        <tr r="Q528" s="1"/>
      </tp>
      <tp t="s">
        <v>5/15/2040</v>
        <stp/>
        <stp>##V3_BDPV12</stp>
        <stp>912834HV Govt</stp>
        <stp>MATURITY</stp>
        <stp>[STRIPS.xlsx]Sheet1!R70C5</stp>
        <tr r="E70" s="1"/>
      </tp>
      <tp t="s">
        <v>ACT/ACT</v>
        <stp/>
        <stp>##V3_BDPV12</stp>
        <stp>912833ZC Govt</stp>
        <stp>DAY_CNT_DES</stp>
        <stp>[STRIPS.xlsx]Sheet1!R346C17</stp>
        <tr r="Q346" s="1"/>
      </tp>
      <tp t="s">
        <v>ACT/ACT</v>
        <stp/>
        <stp>##V3_BDPV12</stp>
        <stp>912833ZD Govt</stp>
        <stp>DAY_CNT_DES</stp>
        <stp>[STRIPS.xlsx]Sheet1!R637C17</stp>
        <tr r="Q637" s="1"/>
      </tp>
      <tp t="s">
        <v>ACT/ACT</v>
        <stp/>
        <stp>##V3_BDPV12</stp>
        <stp>912833ZA Govt</stp>
        <stp>DAY_CNT_DES</stp>
        <stp>[STRIPS.xlsx]Sheet1!R251C17</stp>
        <tr r="Q251" s="1"/>
      </tp>
      <tp t="s">
        <v>ACT/ACT</v>
        <stp/>
        <stp>##V3_BDPV12</stp>
        <stp>912833ZF Govt</stp>
        <stp>DAY_CNT_DES</stp>
        <stp>[STRIPS.xlsx]Sheet1!R587C17</stp>
        <tr r="Q587" s="1"/>
      </tp>
      <tp t="s">
        <v>8/15/2023</v>
        <stp/>
        <stp>##V3_BDPV12</stp>
        <stp>912833LM Govt</stp>
        <stp>MATURITY</stp>
        <stp>[STRIPS.xlsx]Sheet1!R17C5</stp>
        <tr r="E17" s="1"/>
      </tp>
      <tp t="s">
        <v>8/15/2024</v>
        <stp/>
        <stp>##V3_BDPV12</stp>
        <stp>912833LS Govt</stp>
        <stp>MATURITY</stp>
        <stp>[STRIPS.xlsx]Sheet1!R37C5</stp>
        <tr r="E37" s="1"/>
      </tp>
      <tp t="s">
        <v>5/15/2043</v>
        <stp/>
        <stp>##V3_BDPV12</stp>
        <stp>912834MM Govt</stp>
        <stp>MATURITY</stp>
        <stp>[STRIPS.xlsx]Sheet1!R80C5</stp>
        <tr r="E80" s="1"/>
      </tp>
      <tp t="s">
        <v>ACT/ACT</v>
        <stp/>
        <stp>##V3_BDPV12</stp>
        <stp>912833ZG Govt</stp>
        <stp>DAY_CNT_DES</stp>
        <stp>[STRIPS.xlsx]Sheet1!R253C17</stp>
        <tr r="Q253" s="1"/>
      </tp>
      <tp t="s">
        <v>ACT/ACT</v>
        <stp/>
        <stp>##V3_BDPV12</stp>
        <stp>912833ZB Govt</stp>
        <stp>DAY_CNT_DES</stp>
        <stp>[STRIPS.xlsx]Sheet1!R454C17</stp>
        <tr r="Q454" s="1"/>
      </tp>
      <tp t="s">
        <v>ACT/ACT</v>
        <stp/>
        <stp>##V3_BDPV12</stp>
        <stp>912833ZE Govt</stp>
        <stp>DAY_CNT_DES</stp>
        <stp>[STRIPS.xlsx]Sheet1!R252C17</stp>
        <tr r="Q252" s="1"/>
      </tp>
      <tp t="s">
        <v>ACT/ACT</v>
        <stp/>
        <stp>##V3_BDPV12</stp>
        <stp>912833ZN Govt</stp>
        <stp>DAY_CNT_DES</stp>
        <stp>[STRIPS.xlsx]Sheet1!R638C17</stp>
        <tr r="Q638" s="1"/>
      </tp>
      <tp t="s">
        <v>ACT/ACT</v>
        <stp/>
        <stp>##V3_BDPV12</stp>
        <stp>912833ZM Govt</stp>
        <stp>DAY_CNT_DES</stp>
        <stp>[STRIPS.xlsx]Sheet1!R699C17</stp>
        <tr r="Q699" s="1"/>
      </tp>
      <tp t="s">
        <v>ACT/ACT</v>
        <stp/>
        <stp>##V3_BDPV12</stp>
        <stp>912833ZH Govt</stp>
        <stp>DAY_CNT_DES</stp>
        <stp>[STRIPS.xlsx]Sheet1!R698C17</stp>
        <tr r="Q698" s="1"/>
      </tp>
      <tp t="s">
        <v>ACT/ACT</v>
        <stp/>
        <stp>##V3_BDPV12</stp>
        <stp>912833ZJ Govt</stp>
        <stp>DAY_CNT_DES</stp>
        <stp>[STRIPS.xlsx]Sheet1!R527C17</stp>
        <tr r="Q527" s="1"/>
      </tp>
      <tp t="s">
        <v>#N/A Field Not Applicable</v>
        <stp/>
        <stp>##V3_BDPV12</stp>
        <stp>912834QH Govt</stp>
        <stp>IDX_RATIO</stp>
        <stp>[STRIPS.xlsx]Sheet1!R96C20</stp>
        <tr r="T96" s="1"/>
      </tp>
      <tp t="s">
        <v>#N/A Field Not Applicable</v>
        <stp/>
        <stp>##V3_BDPV12</stp>
        <stp>912834PH Govt</stp>
        <stp>IDX_RATIO</stp>
        <stp>[STRIPS.xlsx]Sheet1!R91C20</stp>
        <tr r="T91" s="1"/>
      </tp>
      <tp t="s">
        <v>#N/A Field Not Applicable</v>
        <stp/>
        <stp>##V3_BDPV12</stp>
        <stp>912833LH Govt</stp>
        <stp>IDX_RATIO</stp>
        <stp>[STRIPS.xlsx]Sheet1!R40C20</stp>
        <tr r="T40" s="1"/>
      </tp>
      <tp t="s">
        <v>#N/A Field Not Applicable</v>
        <stp/>
        <stp>##V3_BDPV12</stp>
        <stp>912834KH Govt</stp>
        <stp>IDX_RATIO</stp>
        <stp>[STRIPS.xlsx]Sheet1!R56C20</stp>
        <tr r="T56" s="1"/>
      </tp>
      <tp t="s">
        <v>#N/A Field Not Applicable</v>
        <stp/>
        <stp>##V3_BDPV12</stp>
        <stp>912834JH Govt</stp>
        <stp>IDX_RATIO</stp>
        <stp>[STRIPS.xlsx]Sheet1!R68C20</stp>
        <tr r="T68" s="1"/>
      </tp>
      <tp t="s">
        <v>S</v>
        <stp/>
        <stp>##V3_BDPV12</stp>
        <stp>912834AT Govt</stp>
        <stp>TICKER</stp>
        <stp>[STRIPS.xlsx]Sheet1!R76C2</stp>
        <tr r="B76" s="1"/>
      </tp>
      <tp t="s">
        <v>S</v>
        <stp/>
        <stp>##V3_BDPV12</stp>
        <stp>912834DU Govt</stp>
        <stp>TICKER</stp>
        <stp>[STRIPS.xlsx]Sheet1!R87C2</stp>
        <tr r="B87" s="1"/>
      </tp>
      <tp t="s">
        <v>S</v>
        <stp/>
        <stp>##V3_BDPV12</stp>
        <stp>912833LP Govt</stp>
        <stp>TICKER</stp>
        <stp>[STRIPS.xlsx]Sheet1!R12C2</stp>
        <tr r="B12" s="1"/>
      </tp>
      <tp t="s">
        <v>USD</v>
        <stp/>
        <stp>##V3_BDPV12</stp>
        <stp>912833XT Govt</stp>
        <stp>CRNCY</stp>
        <stp>[STRIPS.xlsx]Sheet1!R55C7</stp>
        <tr r="G55" s="1"/>
      </tp>
      <tp t="s">
        <v>UNITED STATES</v>
        <stp/>
        <stp>##V3_BDPV12</stp>
        <stp>912833A8 Govt</stp>
        <stp>COUNTRY_FULL_NAME</stp>
        <stp>[STRIPS.xlsx]Sheet1!R560C8</stp>
        <tr r="H560" s="1"/>
      </tp>
      <tp t="s">
        <v>USD</v>
        <stp/>
        <stp>##V3_BDPV12</stp>
        <stp>912833XN Govt</stp>
        <stp>CRNCY</stp>
        <stp>[STRIPS.xlsx]Sheet1!R85C7</stp>
        <tr r="G85" s="1"/>
      </tp>
      <tp t="s">
        <v>USD</v>
        <stp/>
        <stp>##V3_BDPV12</stp>
        <stp>912834UL Govt</stp>
        <stp>CRNCY</stp>
        <stp>[STRIPS.xlsx]Sheet1!R88C7</stp>
        <tr r="G88" s="1"/>
      </tp>
      <tp t="s">
        <v>NORMAL</v>
        <stp/>
        <stp>##V3_BDPV12</stp>
        <stp>912833PD Govt</stp>
        <stp>MTY_TYP</stp>
        <stp>[STRIPS.xlsx]Sheet1!R13C6</stp>
        <tr r="F13" s="1"/>
      </tp>
      <tp t="s">
        <v>NORMAL</v>
        <stp/>
        <stp>##V3_BDPV12</stp>
        <stp>912833LG Govt</stp>
        <stp>MTY_TYP</stp>
        <stp>[STRIPS.xlsx]Sheet1!R33C6</stp>
        <tr r="F33" s="1"/>
      </tp>
      <tp t="s">
        <v>NORMAL</v>
        <stp/>
        <stp>##V3_BDPV12</stp>
        <stp>912833LN Govt</stp>
        <stp>MTY_TYP</stp>
        <stp>[STRIPS.xlsx]Sheet1!R63C6</stp>
        <tr r="F63" s="1"/>
      </tp>
      <tp t="s">
        <v>NORMAL</v>
        <stp/>
        <stp>##V3_BDPV12</stp>
        <stp>9128337E Govt</stp>
        <stp>MTY_TYP</stp>
        <stp>[STRIPS.xlsx]Sheet1!R23C6</stp>
        <tr r="F23" s="1"/>
      </tp>
      <tp t="s">
        <v>NORMAL</v>
        <stp/>
        <stp>##V3_BDPV12</stp>
        <stp>9128335B Govt</stp>
        <stp>MTY_TYP</stp>
        <stp>[STRIPS.xlsx]Sheet1!R43C6</stp>
        <tr r="F43" s="1"/>
      </tp>
      <tp t="s">
        <v>NORMAL</v>
        <stp/>
        <stp>##V3_BDPV12</stp>
        <stp>912834PG Govt</stp>
        <stp>MTY_TYP</stp>
        <stp>[STRIPS.xlsx]Sheet1!R83C6</stp>
        <tr r="F83" s="1"/>
      </tp>
      <tp t="s">
        <v>NORMAL</v>
        <stp/>
        <stp>##V3_BDPV12</stp>
        <stp>912834LB Govt</stp>
        <stp>MTY_TYP</stp>
        <stp>[STRIPS.xlsx]Sheet1!R73C6</stp>
        <tr r="F73" s="1"/>
      </tp>
      <tp t="s">
        <v>NORMAL</v>
        <stp/>
        <stp>##V3_BDPV12</stp>
        <stp>912834LK Govt</stp>
        <stp>MTY_TYP</stp>
        <stp>[STRIPS.xlsx]Sheet1!R53C6</stp>
        <tr r="F53" s="1"/>
      </tp>
      <tp t="s">
        <v>NORMAL</v>
        <stp/>
        <stp>##V3_BDPV12</stp>
        <stp>912834LX Govt</stp>
        <stp>MTY_TYP</stp>
        <stp>[STRIPS.xlsx]Sheet1!R93C6</stp>
        <tr r="F93" s="1"/>
      </tp>
      <tp t="s">
        <v>ACT/ACT</v>
        <stp/>
        <stp>##V3_BDPV12</stp>
        <stp>912833Z7 Govt</stp>
        <stp>DAY_CNT_DES</stp>
        <stp>[STRIPS.xlsx]Sheet1!R696C17</stp>
        <tr r="Q696" s="1"/>
      </tp>
      <tp t="s">
        <v>ACT/ACT</v>
        <stp/>
        <stp>##V3_BDPV12</stp>
        <stp>912833Z6 Govt</stp>
        <stp>DAY_CNT_DES</stp>
        <stp>[STRIPS.xlsx]Sheet1!R111C17</stp>
        <tr r="Q111" s="1"/>
      </tp>
      <tp t="s">
        <v>ACT/ACT</v>
        <stp/>
        <stp>##V3_BDPV12</stp>
        <stp>912833Z4 Govt</stp>
        <stp>DAY_CNT_DES</stp>
        <stp>[STRIPS.xlsx]Sheet1!R382C17</stp>
        <tr r="Q382" s="1"/>
      </tp>
      <tp t="s">
        <v>8/15/2034</v>
        <stp/>
        <stp>##V3_BDPV12</stp>
        <stp>9128334Y Govt</stp>
        <stp>MATURITY</stp>
        <stp>[STRIPS.xlsx]Sheet1!R67C5</stp>
        <tr r="E67" s="1"/>
      </tp>
      <tp t="s">
        <v>ACT/ACT</v>
        <stp/>
        <stp>##V3_BDPV12</stp>
        <stp>912833Z9 Govt</stp>
        <stp>DAY_CNT_DES</stp>
        <stp>[STRIPS.xlsx]Sheet1!R526C17</stp>
        <tr r="Q526" s="1"/>
      </tp>
      <tp t="s">
        <v>ACT/ACT</v>
        <stp/>
        <stp>##V3_BDPV12</stp>
        <stp>912833Z8 Govt</stp>
        <stp>DAY_CNT_DES</stp>
        <stp>[STRIPS.xlsx]Sheet1!R697C17</stp>
        <tr r="Q697" s="1"/>
      </tp>
      <tp t="s">
        <v>#N/A Field Not Applicable</v>
        <stp/>
        <stp>##V3_BDPV12</stp>
        <stp>912834TM Govt</stp>
        <stp>COUPON_FREQUENCY_DESCRIPTION</stp>
        <stp>[STRIPS.xlsx]Sheet1!R282C10</stp>
        <tr r="J282" s="1"/>
      </tp>
      <tp t="s">
        <v>#N/A Field Not Applicable</v>
        <stp/>
        <stp>##V3_BDPV12</stp>
        <stp>912833PM Govt</stp>
        <stp>COUPON_FREQUENCY_DESCRIPTION</stp>
        <stp>[STRIPS.xlsx]Sheet1!R238C10</stp>
        <tr r="J238" s="1"/>
      </tp>
      <tp t="s">
        <v>#N/A Field Not Applicable</v>
        <stp/>
        <stp>##V3_BDPV12</stp>
        <stp>912834KM Govt</stp>
        <stp>COUPON_FREQUENCY_DESCRIPTION</stp>
        <stp>[STRIPS.xlsx]Sheet1!R399C10</stp>
        <tr r="J399" s="1"/>
      </tp>
      <tp t="s">
        <v>#N/A Field Not Applicable</v>
        <stp/>
        <stp>##V3_BDPV12</stp>
        <stp>912834JM Govt</stp>
        <stp>COUPON_FREQUENCY_DESCRIPTION</stp>
        <stp>[STRIPS.xlsx]Sheet1!R397C10</stp>
        <tr r="J397" s="1"/>
      </tp>
      <tp t="s">
        <v>#N/A Field Not Applicable</v>
        <stp/>
        <stp>##V3_BDPV12</stp>
        <stp>912833MM Govt</stp>
        <stp>COUPON_FREQUENCY_DESCRIPTION</stp>
        <stp>[STRIPS.xlsx]Sheet1!R371C10</stp>
        <tr r="J371" s="1"/>
      </tp>
      <tp t="s">
        <v>#N/A Field Not Applicable</v>
        <stp/>
        <stp>##V3_BDPV12</stp>
        <stp>912834LM Govt</stp>
        <stp>COUPON_FREQUENCY_DESCRIPTION</stp>
        <stp>[STRIPS.xlsx]Sheet1!R324C10</stp>
        <tr r="J324" s="1"/>
      </tp>
      <tp t="s">
        <v>#N/A Field Not Applicable</v>
        <stp/>
        <stp>##V3_BDPV12</stp>
        <stp>912834BM Govt</stp>
        <stp>COUPON_FREQUENCY_DESCRIPTION</stp>
        <stp>[STRIPS.xlsx]Sheet1!R353C10</stp>
        <tr r="J353" s="1"/>
      </tp>
      <tp t="s">
        <v>#N/A Field Not Applicable</v>
        <stp/>
        <stp>##V3_BDPV12</stp>
        <stp>912833KM Govt</stp>
        <stp>COUPON_FREQUENCY_DESCRIPTION</stp>
        <stp>[STRIPS.xlsx]Sheet1!R303C10</stp>
        <tr r="J303" s="1"/>
      </tp>
      <tp t="s">
        <v>ACT/ACT</v>
        <stp/>
        <stp>##V3_BDPV12</stp>
        <stp>912834UU Govt</stp>
        <stp>DAY_CNT_DES</stp>
        <stp>[STRIPS.xlsx]Sheet1!R755C17</stp>
        <tr r="Q755" s="1"/>
      </tp>
      <tp t="s">
        <v>#N/A Field Not Applicable</v>
        <stp/>
        <stp>##V3_BDPV12</stp>
        <stp>912834UM Govt</stp>
        <stp>COUPON_FREQUENCY_DESCRIPTION</stp>
        <stp>[STRIPS.xlsx]Sheet1!R180C10</stp>
        <tr r="J180" s="1"/>
      </tp>
      <tp t="s">
        <v>#N/A Field Not Applicable</v>
        <stp/>
        <stp>##V3_BDPV12</stp>
        <stp>912834WM Govt</stp>
        <stp>COUPON_FREQUENCY_DESCRIPTION</stp>
        <stp>[STRIPS.xlsx]Sheet1!R188C10</stp>
        <tr r="J188" s="1"/>
      </tp>
      <tp t="s">
        <v>ACT/ACT</v>
        <stp/>
        <stp>##V3_BDPV12</stp>
        <stp>912834US Govt</stp>
        <stp>DAY_CNT_DES</stp>
        <stp>[STRIPS.xlsx]Sheet1!R762C17</stp>
        <tr r="Q762" s="1"/>
      </tp>
      <tp t="s">
        <v>ACT/ACT</v>
        <stp/>
        <stp>##V3_BDPV12</stp>
        <stp>912834UV Govt</stp>
        <stp>DAY_CNT_DES</stp>
        <stp>[STRIPS.xlsx]Sheet1!R208C17</stp>
        <tr r="Q208" s="1"/>
      </tp>
      <tp t="s">
        <v>#N/A Field Not Applicable</v>
        <stp/>
        <stp>##V3_BDPV12</stp>
        <stp>912833ZM Govt</stp>
        <stp>COUPON_FREQUENCY_DESCRIPTION</stp>
        <stp>[STRIPS.xlsx]Sheet1!R699C10</stp>
        <tr r="J699" s="1"/>
      </tp>
      <tp t="s">
        <v>#N/A Field Not Applicable</v>
        <stp/>
        <stp>##V3_BDPV12</stp>
        <stp>912833CM Govt</stp>
        <stp>COUPON_FREQUENCY_DESCRIPTION</stp>
        <stp>[STRIPS.xlsx]Sheet1!R656C10</stp>
        <tr r="J656" s="1"/>
      </tp>
      <tp t="s">
        <v>#N/A Field Not Applicable</v>
        <stp/>
        <stp>##V3_BDPV12</stp>
        <stp>912833FM Govt</stp>
        <stp>COUPON_FREQUENCY_DESCRIPTION</stp>
        <stp>[STRIPS.xlsx]Sheet1!R619C10</stp>
        <tr r="J619" s="1"/>
      </tp>
      <tp t="s">
        <v>ACT/ACT</v>
        <stp/>
        <stp>##V3_BDPV12</stp>
        <stp>912834UT Govt</stp>
        <stp>DAY_CNT_DES</stp>
        <stp>[STRIPS.xlsx]Sheet1!R184C17</stp>
        <tr r="Q184" s="1"/>
      </tp>
      <tp t="s">
        <v>#N/A Field Not Applicable</v>
        <stp/>
        <stp>##V3_BDPV12</stp>
        <stp>9128335M Govt</stp>
        <stp>COUPON_FREQUENCY_DESCRIPTION</stp>
        <stp>[STRIPS.xlsx]Sheet1!R710C10</stp>
        <tr r="J710" s="1"/>
      </tp>
      <tp t="s">
        <v>#N/A Field Not Applicable</v>
        <stp/>
        <stp>##V3_BDPV12</stp>
        <stp>9128334M Govt</stp>
        <stp>COUPON_FREQUENCY_DESCRIPTION</stp>
        <stp>[STRIPS.xlsx]Sheet1!R491C10</stp>
        <tr r="J491" s="1"/>
      </tp>
      <tp t="s">
        <v>#N/A Field Not Applicable</v>
        <stp/>
        <stp>##V3_BDPV12</stp>
        <stp>912834NM Govt</stp>
        <stp>COUPON_FREQUENCY_DESCRIPTION</stp>
        <stp>[STRIPS.xlsx]Sheet1!R409C10</stp>
        <tr r="J409" s="1"/>
      </tp>
      <tp t="s">
        <v>#N/A Field Not Applicable</v>
        <stp/>
        <stp>##V3_BDPV12</stp>
        <stp>912834RM Govt</stp>
        <stp>COUPON_FREQUENCY_DESCRIPTION</stp>
        <stp>[STRIPS.xlsx]Sheet1!R415C10</stp>
        <tr r="J415" s="1"/>
      </tp>
      <tp t="s">
        <v>#N/A Field Not Applicable</v>
        <stp/>
        <stp>##V3_BDPV12</stp>
        <stp>912834QM Govt</stp>
        <stp>COUPON_FREQUENCY_DESCRIPTION</stp>
        <stp>[STRIPS.xlsx]Sheet1!R413C10</stp>
        <tr r="J413" s="1"/>
      </tp>
      <tp t="s">
        <v>#N/A Field Not Applicable</v>
        <stp/>
        <stp>##V3_BDPV12</stp>
        <stp>912833YM Govt</stp>
        <stp>COUPON_FREQUENCY_DESCRIPTION</stp>
        <stp>[STRIPS.xlsx]Sheet1!R452C10</stp>
        <tr r="J452" s="1"/>
      </tp>
      <tp t="s">
        <v>#N/A Field Not Applicable</v>
        <stp/>
        <stp>##V3_BDPV12</stp>
        <stp>912833RM Govt</stp>
        <stp>COUPON_FREQUENCY_DESCRIPTION</stp>
        <stp>[STRIPS.xlsx]Sheet1!R448C10</stp>
        <tr r="J448" s="1"/>
      </tp>
      <tp t="s">
        <v>#N/A Field Not Applicable</v>
        <stp/>
        <stp>##V3_BDPV12</stp>
        <stp>912834AM Govt</stp>
        <stp>COUPON_FREQUENCY_DESCRIPTION</stp>
        <stp>[STRIPS.xlsx]Sheet1!R457C10</stp>
        <tr r="J457" s="1"/>
      </tp>
      <tp t="s">
        <v>#N/A Field Not Applicable</v>
        <stp/>
        <stp>##V3_BDPV12</stp>
        <stp>912834EM Govt</stp>
        <stp>COUPON_FREQUENCY_DESCRIPTION</stp>
        <stp>[STRIPS.xlsx]Sheet1!R463C10</stp>
        <tr r="J463" s="1"/>
      </tp>
      <tp t="s">
        <v>ACT/ACT</v>
        <stp/>
        <stp>##V3_BDPV12</stp>
        <stp>912834UP Govt</stp>
        <stp>DAY_CNT_DES</stp>
        <stp>[STRIPS.xlsx]Sheet1!R754C17</stp>
        <tr r="Q754" s="1"/>
      </tp>
      <tp t="s">
        <v>#N/A Field Not Applicable</v>
        <stp/>
        <stp>##V3_BDPV12</stp>
        <stp>9128333M Govt</stp>
        <stp>COUPON_FREQUENCY_DESCRIPTION</stp>
        <stp>[STRIPS.xlsx]Sheet1!R599C10</stp>
        <tr r="J599" s="1"/>
      </tp>
      <tp t="s">
        <v>#N/A Field Not Applicable</v>
        <stp/>
        <stp>##V3_BDPV12</stp>
        <stp>9128336M Govt</stp>
        <stp>COUPON_FREQUENCY_DESCRIPTION</stp>
        <stp>[STRIPS.xlsx]Sheet1!R558C10</stp>
        <tr r="J558" s="1"/>
      </tp>
      <tp t="s">
        <v>#N/A Field Not Applicable</v>
        <stp/>
        <stp>##V3_BDPV12</stp>
        <stp>9128337M Govt</stp>
        <stp>COUPON_FREQUENCY_DESCRIPTION</stp>
        <stp>[STRIPS.xlsx]Sheet1!R559C10</stp>
        <tr r="J559" s="1"/>
      </tp>
      <tp t="s">
        <v>#N/A Field Not Applicable</v>
        <stp/>
        <stp>##V3_BDPV12</stp>
        <stp>912833QM Govt</stp>
        <stp>COUPON_FREQUENCY_DESCRIPTION</stp>
        <stp>[STRIPS.xlsx]Sheet1!R520C10</stp>
        <tr r="J520" s="1"/>
      </tp>
      <tp t="s">
        <v>#N/A Field Not Applicable</v>
        <stp/>
        <stp>##V3_BDPV12</stp>
        <stp>912833NM Govt</stp>
        <stp>COUPON_FREQUENCY_DESCRIPTION</stp>
        <stp>[STRIPS.xlsx]Sheet1!R517C10</stp>
        <tr r="J517" s="1"/>
      </tp>
      <tp t="s">
        <v>ACT/ACT</v>
        <stp/>
        <stp>##V3_BDPV12</stp>
        <stp>912834UX Govt</stp>
        <stp>DAY_CNT_DES</stp>
        <stp>[STRIPS.xlsx]Sheet1!R182C17</stp>
        <tr r="Q182" s="1"/>
      </tp>
      <tp t="s">
        <v>2/15/2028</v>
        <stp/>
        <stp>##V3_BDPV12</stp>
        <stp>912833RY Govt</stp>
        <stp>MATURITY</stp>
        <stp>[STRIPS.xlsx]Sheet1!R28C5</stp>
        <tr r="E28" s="1"/>
      </tp>
      <tp t="s">
        <v>ACT/ACT</v>
        <stp/>
        <stp>##V3_BDPV12</stp>
        <stp>912834UZ Govt</stp>
        <stp>DAY_CNT_DES</stp>
        <stp>[STRIPS.xlsx]Sheet1!R181C17</stp>
        <tr r="Q181" s="1"/>
      </tp>
      <tp t="s">
        <v>ACT/ACT</v>
        <stp/>
        <stp>##V3_BDPV12</stp>
        <stp>912834UA Govt</stp>
        <stp>DAY_CNT_DES</stp>
        <stp>[STRIPS.xlsx]Sheet1!R200C17</stp>
        <tr r="Q200" s="1"/>
      </tp>
      <tp t="s">
        <v>ACT/ACT</v>
        <stp/>
        <stp>##V3_BDPV12</stp>
        <stp>912834UB Govt</stp>
        <stp>DAY_CNT_DES</stp>
        <stp>[STRIPS.xlsx]Sheet1!R113C17</stp>
        <tr r="Q113" s="1"/>
      </tp>
      <tp t="s">
        <v>8/15/2022</v>
        <stp/>
        <stp>##V3_BDPV12</stp>
        <stp>912833LJ Govt</stp>
        <stp>MATURITY</stp>
        <stp>[STRIPS.xlsx]Sheet1!R18C5</stp>
        <tr r="E18" s="1"/>
      </tp>
      <tp t="s">
        <v>2/15/2024</v>
        <stp/>
        <stp>##V3_BDPV12</stp>
        <stp>912833LQ Govt</stp>
        <stp>MATURITY</stp>
        <stp>[STRIPS.xlsx]Sheet1!R38C5</stp>
        <tr r="E38" s="1"/>
      </tp>
      <tp t="s">
        <v>ACT/ACT</v>
        <stp/>
        <stp>##V3_BDPV12</stp>
        <stp>912834UC Govt</stp>
        <stp>DAY_CNT_DES</stp>
        <stp>[STRIPS.xlsx]Sheet1!R761C17</stp>
        <tr r="Q761" s="1"/>
      </tp>
      <tp t="s">
        <v>ACT/ACT</v>
        <stp/>
        <stp>##V3_BDPV12</stp>
        <stp>912834UD Govt</stp>
        <stp>DAY_CNT_DES</stp>
        <stp>[STRIPS.xlsx]Sheet1!R197C17</stp>
        <tr r="Q197" s="1"/>
      </tp>
      <tp t="s">
        <v>ACT/ACT</v>
        <stp/>
        <stp>##V3_BDPV12</stp>
        <stp>912834UG Govt</stp>
        <stp>DAY_CNT_DES</stp>
        <stp>[STRIPS.xlsx]Sheet1!R137C17</stp>
        <tr r="Q137" s="1"/>
      </tp>
      <tp t="s">
        <v>ACT/ACT</v>
        <stp/>
        <stp>##V3_BDPV12</stp>
        <stp>912834UF Govt</stp>
        <stp>DAY_CNT_DES</stp>
        <stp>[STRIPS.xlsx]Sheet1!R147C17</stp>
        <tr r="Q147" s="1"/>
      </tp>
      <tp t="s">
        <v>ACT/ACT</v>
        <stp/>
        <stp>##V3_BDPV12</stp>
        <stp>912834UE Govt</stp>
        <stp>DAY_CNT_DES</stp>
        <stp>[STRIPS.xlsx]Sheet1!R207C17</stp>
        <tr r="Q207" s="1"/>
      </tp>
      <tp t="s">
        <v>ACT/ACT</v>
        <stp/>
        <stp>##V3_BDPV12</stp>
        <stp>912834UH Govt</stp>
        <stp>DAY_CNT_DES</stp>
        <stp>[STRIPS.xlsx]Sheet1!R105C17</stp>
        <tr r="Q105" s="1"/>
      </tp>
      <tp t="s">
        <v>ACT/ACT</v>
        <stp/>
        <stp>##V3_BDPV12</stp>
        <stp>912834UN Govt</stp>
        <stp>DAY_CNT_DES</stp>
        <stp>[STRIPS.xlsx]Sheet1!R206C17</stp>
        <tr r="Q206" s="1"/>
      </tp>
      <tp t="s">
        <v>ACT/ACT</v>
        <stp/>
        <stp>##V3_BDPV12</stp>
        <stp>912834UM Govt</stp>
        <stp>DAY_CNT_DES</stp>
        <stp>[STRIPS.xlsx]Sheet1!R180C17</stp>
        <tr r="Q180" s="1"/>
      </tp>
      <tp t="s">
        <v>#N/A Field Not Applicable</v>
        <stp/>
        <stp>##V3_BDPV12</stp>
        <stp>912834PG Govt</stp>
        <stp>IDX_RATIO</stp>
        <stp>[STRIPS.xlsx]Sheet1!R83C20</stp>
        <tr r="T83" s="1"/>
      </tp>
      <tp t="s">
        <v>#N/A Field Not Applicable</v>
        <stp/>
        <stp>##V3_BDPV12</stp>
        <stp>912834XG Govt</stp>
        <stp>IDX_RATIO</stp>
        <stp>[STRIPS.xlsx]Sheet1!R32C20</stp>
        <tr r="T32" s="1"/>
      </tp>
      <tp t="s">
        <v>#N/A Field Not Applicable</v>
        <stp/>
        <stp>##V3_BDPV12</stp>
        <stp>912833LG Govt</stp>
        <stp>IDX_RATIO</stp>
        <stp>[STRIPS.xlsx]Sheet1!R33C20</stp>
        <tr r="T33" s="1"/>
      </tp>
      <tp t="s">
        <v>912833PE4</v>
        <stp/>
        <stp>##V3_BDPV12</stp>
        <stp>912833PE Govt</stp>
        <stp>ID_CUSIP</stp>
        <stp>[STRIPS.xlsx]Sheet1!R15C19</stp>
        <tr r="S15" s="1"/>
      </tp>
      <tp t="s">
        <v>912833PD6</v>
        <stp/>
        <stp>##V3_BDPV12</stp>
        <stp>912833PD Govt</stp>
        <stp>ID_CUSIP</stp>
        <stp>[STRIPS.xlsx]Sheet1!R13C19</stp>
        <tr r="S13" s="1"/>
      </tp>
      <tp t="s">
        <v>912834PG7</v>
        <stp/>
        <stp>##V3_BDPV12</stp>
        <stp>912834PG Govt</stp>
        <stp>ID_CUSIP</stp>
        <stp>[STRIPS.xlsx]Sheet1!R83C19</stp>
        <tr r="S83" s="1"/>
      </tp>
      <tp t="s">
        <v>912833PC8</v>
        <stp/>
        <stp>##V3_BDPV12</stp>
        <stp>912833PC Govt</stp>
        <stp>ID_CUSIP</stp>
        <stp>[STRIPS.xlsx]Sheet1!R14C19</stp>
        <tr r="S14" s="1"/>
      </tp>
      <tp t="s">
        <v>912834PM4</v>
        <stp/>
        <stp>##V3_BDPV12</stp>
        <stp>912834PM Govt</stp>
        <stp>ID_CUSIP</stp>
        <stp>[STRIPS.xlsx]Sheet1!R84C19</stp>
        <tr r="S84" s="1"/>
      </tp>
      <tp t="s">
        <v>912834PH5</v>
        <stp/>
        <stp>##V3_BDPV12</stp>
        <stp>912834PH Govt</stp>
        <stp>ID_CUSIP</stp>
        <stp>[STRIPS.xlsx]Sheet1!R91C19</stp>
        <tr r="S91" s="1"/>
      </tp>
      <tp t="s">
        <v>S</v>
        <stp/>
        <stp>##V3_BDPV12</stp>
        <stp>912834JY Govt</stp>
        <stp>TICKER</stp>
        <stp>[STRIPS.xlsx]Sheet1!R64C2</stp>
        <tr r="B64" s="1"/>
      </tp>
      <tp t="s">
        <v>USD</v>
        <stp/>
        <stp>##V3_BDPV12</stp>
        <stp>912834UQ Govt</stp>
        <stp>CRNCY</stp>
        <stp>[STRIPS.xlsx]Sheet1!R97C7</stp>
        <tr r="G97" s="1"/>
      </tp>
      <tp t="s">
        <v>UNITED STATES</v>
        <stp/>
        <stp>##V3_BDPV12</stp>
        <stp>912833Z6 Govt</stp>
        <stp>COUNTRY_FULL_NAME</stp>
        <stp>[STRIPS.xlsx]Sheet1!R111C8</stp>
        <tr r="H111" s="1"/>
      </tp>
      <tp t="s">
        <v>UNITED STATES</v>
        <stp/>
        <stp>##V3_BDPV12</stp>
        <stp>912833A5 Govt</stp>
        <stp>COUNTRY_FULL_NAME</stp>
        <stp>[STRIPS.xlsx]Sheet1!R432C8</stp>
        <tr r="H432" s="1"/>
      </tp>
      <tp t="s">
        <v>UNITED STATES</v>
        <stp/>
        <stp>##V3_BDPV12</stp>
        <stp>912833Y5 Govt</stp>
        <stp>COUNTRY_FULL_NAME</stp>
        <stp>[STRIPS.xlsx]Sheet1!R582C8</stp>
        <tr r="H582" s="1"/>
      </tp>
      <tp t="s">
        <v>2/15/2032</v>
        <stp/>
        <stp>##V3_BDPV12</stp>
        <stp>9128334T Govt</stp>
        <stp>MATURITY</stp>
        <stp>[STRIPS.xlsx]Sheet1!R48C5</stp>
        <tr r="E48" s="1"/>
      </tp>
      <tp t="s">
        <v>11/15/2035</v>
        <stp/>
        <stp>##V3_BDPV12</stp>
        <stp>912833X9 Govt</stp>
        <stp>MATURITY</stp>
        <stp>[STRIPS.xlsx]Sheet1!R59C5</stp>
        <tr r="E59" s="1"/>
      </tp>
      <tp t="s">
        <v>ACT/ACT</v>
        <stp/>
        <stp>##V3_BDPV12</stp>
        <stp>912834TW Govt</stp>
        <stp>DAY_CNT_DES</stp>
        <stp>[STRIPS.xlsx]Sheet1!R760C17</stp>
        <tr r="Q760" s="1"/>
      </tp>
      <tp t="s">
        <v>#N/A Field Not Applicable</v>
        <stp/>
        <stp>##V3_BDPV12</stp>
        <stp>9128334L Govt</stp>
        <stp>COUPON_FREQUENCY_DESCRIPTION</stp>
        <stp>[STRIPS.xlsx]Sheet1!R284C10</stp>
        <tr r="J284" s="1"/>
      </tp>
      <tp t="s">
        <v>#N/A Field Not Applicable</v>
        <stp/>
        <stp>##V3_BDPV12</stp>
        <stp>9128335L Govt</stp>
        <stp>COUPON_FREQUENCY_DESCRIPTION</stp>
        <stp>[STRIPS.xlsx]Sheet1!R287C10</stp>
        <tr r="J287" s="1"/>
      </tp>
      <tp t="s">
        <v>#N/A Field Not Applicable</v>
        <stp/>
        <stp>##V3_BDPV12</stp>
        <stp>912834AL Govt</stp>
        <stp>COUPON_FREQUENCY_DESCRIPTION</stp>
        <stp>[STRIPS.xlsx]Sheet1!R258C10</stp>
        <tr r="J258" s="1"/>
      </tp>
      <tp t="s">
        <v>#N/A Field Not Applicable</v>
        <stp/>
        <stp>##V3_BDPV12</stp>
        <stp>912834BL Govt</stp>
        <stp>COUPON_FREQUENCY_DESCRIPTION</stp>
        <stp>[STRIPS.xlsx]Sheet1!R262C10</stp>
        <tr r="J262" s="1"/>
      </tp>
      <tp t="s">
        <v>ACT/ACT</v>
        <stp/>
        <stp>##V3_BDPV12</stp>
        <stp>912834TP Govt</stp>
        <stp>DAY_CNT_DES</stp>
        <stp>[STRIPS.xlsx]Sheet1!R117C17</stp>
        <tr r="Q117" s="1"/>
      </tp>
      <tp t="s">
        <v>#N/A Field Not Applicable</v>
        <stp/>
        <stp>##V3_BDPV12</stp>
        <stp>912833PL Govt</stp>
        <stp>COUPON_FREQUENCY_DESCRIPTION</stp>
        <stp>[STRIPS.xlsx]Sheet1!R374C10</stp>
        <tr r="J374" s="1"/>
      </tp>
      <tp t="s">
        <v>#N/A Field Not Applicable</v>
        <stp/>
        <stp>##V3_BDPV12</stp>
        <stp>912834LL Govt</stp>
        <stp>COUPON_FREQUENCY_DESCRIPTION</stp>
        <stp>[STRIPS.xlsx]Sheet1!R323C10</stp>
        <tr r="J323" s="1"/>
      </tp>
      <tp t="s">
        <v>#N/A Field Not Applicable</v>
        <stp/>
        <stp>##V3_BDPV12</stp>
        <stp>912833YL Govt</stp>
        <stp>COUPON_FREQUENCY_DESCRIPTION</stp>
        <stp>[STRIPS.xlsx]Sheet1!R343C10</stp>
        <tr r="J343" s="1"/>
      </tp>
      <tp t="s">
        <v>#N/A Field Not Applicable</v>
        <stp/>
        <stp>##V3_BDPV12</stp>
        <stp>912833NL Govt</stp>
        <stp>COUPON_FREQUENCY_DESCRIPTION</stp>
        <stp>[STRIPS.xlsx]Sheet1!R335C10</stp>
        <tr r="J335" s="1"/>
      </tp>
      <tp t="s">
        <v>#N/A Field Not Applicable</v>
        <stp/>
        <stp>##V3_BDPV12</stp>
        <stp>912833KL Govt</stp>
        <stp>COUPON_FREQUENCY_DESCRIPTION</stp>
        <stp>[STRIPS.xlsx]Sheet1!R302C10</stp>
        <tr r="J302" s="1"/>
      </tp>
      <tp t="s">
        <v>ACT/ACT</v>
        <stp/>
        <stp>##V3_BDPV12</stp>
        <stp>912834TU Govt</stp>
        <stp>DAY_CNT_DES</stp>
        <stp>[STRIPS.xlsx]Sheet1!R752C17</stp>
        <tr r="Q752" s="1"/>
      </tp>
      <tp t="s">
        <v>ACT/ACT</v>
        <stp/>
        <stp>##V3_BDPV12</stp>
        <stp>912834TS Govt</stp>
        <stp>DAY_CNT_DES</stp>
        <stp>[STRIPS.xlsx]Sheet1!R196C17</stp>
        <tr r="Q196" s="1"/>
      </tp>
      <tp t="s">
        <v>#N/A Field Not Applicable</v>
        <stp/>
        <stp>##V3_BDPV12</stp>
        <stp>912834TL Govt</stp>
        <stp>COUPON_FREQUENCY_DESCRIPTION</stp>
        <stp>[STRIPS.xlsx]Sheet1!R195C10</stp>
        <tr r="J195" s="1"/>
      </tp>
      <tp t="s">
        <v>#N/A Field Not Applicable</v>
        <stp/>
        <stp>##V3_BDPV12</stp>
        <stp>912834RL Govt</stp>
        <stp>COUPON_FREQUENCY_DESCRIPTION</stp>
        <stp>[STRIPS.xlsx]Sheet1!R198C10</stp>
        <tr r="J198" s="1"/>
      </tp>
      <tp t="s">
        <v>#N/A Field Not Applicable</v>
        <stp/>
        <stp>##V3_BDPV12</stp>
        <stp>912834PL Govt</stp>
        <stp>COUPON_FREQUENCY_DESCRIPTION</stp>
        <stp>[STRIPS.xlsx]Sheet1!R128C10</stp>
        <tr r="J128" s="1"/>
      </tp>
      <tp t="s">
        <v>#N/A Field Not Applicable</v>
        <stp/>
        <stp>##V3_BDPV12</stp>
        <stp>912834VL Govt</stp>
        <stp>COUPON_FREQUENCY_DESCRIPTION</stp>
        <stp>[STRIPS.xlsx]Sheet1!R138C10</stp>
        <tr r="J138" s="1"/>
      </tp>
      <tp t="s">
        <v>#N/A Field Not Applicable</v>
        <stp/>
        <stp>##V3_BDPV12</stp>
        <stp>912834QL Govt</stp>
        <stp>COUPON_FREQUENCY_DESCRIPTION</stp>
        <stp>[STRIPS.xlsx]Sheet1!R142C10</stp>
        <tr r="J142" s="1"/>
      </tp>
      <tp t="s">
        <v>#N/A Field Not Applicable</v>
        <stp/>
        <stp>##V3_BDPV12</stp>
        <stp>912833FL Govt</stp>
        <stp>COUPON_FREQUENCY_DESCRIPTION</stp>
        <stp>[STRIPS.xlsx]Sheet1!R663C10</stp>
        <tr r="J663" s="1"/>
      </tp>
      <tp t="s">
        <v>#N/A Field Not Applicable</v>
        <stp/>
        <stp>##V3_BDPV12</stp>
        <stp>9128337L Govt</stp>
        <stp>COUPON_FREQUENCY_DESCRIPTION</stp>
        <stp>[STRIPS.xlsx]Sheet1!R651C10</stp>
        <tr r="J651" s="1"/>
      </tp>
      <tp t="s">
        <v>#N/A Field Not Applicable</v>
        <stp/>
        <stp>##V3_BDPV12</stp>
        <stp>912833QL Govt</stp>
        <stp>COUPON_FREQUENCY_DESCRIPTION</stp>
        <stp>[STRIPS.xlsx]Sheet1!R631C10</stp>
        <tr r="J631" s="1"/>
      </tp>
      <tp t="s">
        <v>#N/A Field Not Applicable</v>
        <stp/>
        <stp>##V3_BDPV12</stp>
        <stp>912833CL Govt</stp>
        <stp>COUPON_FREQUENCY_DESCRIPTION</stp>
        <stp>[STRIPS.xlsx]Sheet1!R616C10</stp>
        <tr r="J616" s="1"/>
      </tp>
      <tp t="s">
        <v>#N/A Field Not Applicable</v>
        <stp/>
        <stp>##V3_BDPV12</stp>
        <stp>912834WL Govt</stp>
        <stp>COUPON_FREQUENCY_DESCRIPTION</stp>
        <stp>[STRIPS.xlsx]Sheet1!R768C10</stp>
        <tr r="J768" s="1"/>
      </tp>
      <tp t="s">
        <v>ACT/ACT</v>
        <stp/>
        <stp>##V3_BDPV12</stp>
        <stp>912834TQ Govt</stp>
        <stp>DAY_CNT_DES</stp>
        <stp>[STRIPS.xlsx]Sheet1!R758C17</stp>
        <tr r="Q758" s="1"/>
      </tp>
      <tp t="s">
        <v>ACT/ACT</v>
        <stp/>
        <stp>##V3_BDPV12</stp>
        <stp>912834TR Govt</stp>
        <stp>DAY_CNT_DES</stp>
        <stp>[STRIPS.xlsx]Sheet1!R426C17</stp>
        <tr r="Q426" s="1"/>
      </tp>
      <tp t="s">
        <v>ACT/ACT</v>
        <stp/>
        <stp>##V3_BDPV12</stp>
        <stp>912834TT Govt</stp>
        <stp>DAY_CNT_DES</stp>
        <stp>[STRIPS.xlsx]Sheet1!R283C17</stp>
        <tr r="Q283" s="1"/>
      </tp>
      <tp t="s">
        <v>#N/A Field Not Applicable</v>
        <stp/>
        <stp>##V3_BDPV12</stp>
        <stp>912834NL Govt</stp>
        <stp>COUPON_FREQUENCY_DESCRIPTION</stp>
        <stp>[STRIPS.xlsx]Sheet1!R408C10</stp>
        <tr r="J408" s="1"/>
      </tp>
      <tp t="s">
        <v>#N/A Field Not Applicable</v>
        <stp/>
        <stp>##V3_BDPV12</stp>
        <stp>912834EL Govt</stp>
        <stp>COUPON_FREQUENCY_DESCRIPTION</stp>
        <stp>[STRIPS.xlsx]Sheet1!R462C10</stp>
        <tr r="J462" s="1"/>
      </tp>
      <tp t="s">
        <v>#N/A Field Not Applicable</v>
        <stp/>
        <stp>##V3_BDPV12</stp>
        <stp>912834KL Govt</stp>
        <stp>COUPON_FREQUENCY_DESCRIPTION</stp>
        <stp>[STRIPS.xlsx]Sheet1!R468C10</stp>
        <tr r="J468" s="1"/>
      </tp>
      <tp t="s">
        <v>#N/A Field Not Applicable</v>
        <stp/>
        <stp>##V3_BDPV12</stp>
        <stp>912834ML Govt</stp>
        <stp>COUPON_FREQUENCY_DESCRIPTION</stp>
        <stp>[STRIPS.xlsx]Sheet1!R475C10</stp>
        <tr r="J475" s="1"/>
      </tp>
      <tp t="s">
        <v>#N/A Field Not Applicable</v>
        <stp/>
        <stp>##V3_BDPV12</stp>
        <stp>912833ML Govt</stp>
        <stp>COUPON_FREQUENCY_DESCRIPTION</stp>
        <stp>[STRIPS.xlsx]Sheet1!R568C10</stp>
        <tr r="J568" s="1"/>
      </tp>
      <tp t="s">
        <v>#N/A Field Not Applicable</v>
        <stp/>
        <stp>##V3_BDPV12</stp>
        <stp>9128333L Govt</stp>
        <stp>COUPON_FREQUENCY_DESCRIPTION</stp>
        <stp>[STRIPS.xlsx]Sheet1!R552C10</stp>
        <tr r="J552" s="1"/>
      </tp>
      <tp t="s">
        <v>#N/A Field Not Applicable</v>
        <stp/>
        <stp>##V3_BDPV12</stp>
        <stp>9128336L Govt</stp>
        <stp>COUPON_FREQUENCY_DESCRIPTION</stp>
        <stp>[STRIPS.xlsx]Sheet1!R557C10</stp>
        <tr r="J557" s="1"/>
      </tp>
      <tp t="s">
        <v>#N/A Field Not Applicable</v>
        <stp/>
        <stp>##V3_BDPV12</stp>
        <stp>912834JL Govt</stp>
        <stp>COUPON_FREQUENCY_DESCRIPTION</stp>
        <stp>[STRIPS.xlsx]Sheet1!R538C10</stp>
        <tr r="J538" s="1"/>
      </tp>
      <tp t="s">
        <v>#N/A Field Not Applicable</v>
        <stp/>
        <stp>##V3_BDPV12</stp>
        <stp>912833RL Govt</stp>
        <stp>COUPON_FREQUENCY_DESCRIPTION</stp>
        <stp>[STRIPS.xlsx]Sheet1!R523C10</stp>
        <tr r="J523" s="1"/>
      </tp>
      <tp t="s">
        <v>ACT/ACT</v>
        <stp/>
        <stp>##V3_BDPV12</stp>
        <stp>912834TY Govt</stp>
        <stp>DAY_CNT_DES</stp>
        <stp>[STRIPS.xlsx]Sheet1!R199C17</stp>
        <tr r="Q199" s="1"/>
      </tp>
      <tp t="s">
        <v>ACT/ACT</v>
        <stp/>
        <stp>##V3_BDPV12</stp>
        <stp>912834TX Govt</stp>
        <stp>DAY_CNT_DES</stp>
        <stp>[STRIPS.xlsx]Sheet1!R145C17</stp>
        <tr r="Q145" s="1"/>
      </tp>
      <tp t="s">
        <v>ACT/ACT</v>
        <stp/>
        <stp>##V3_BDPV12</stp>
        <stp>912834TZ Govt</stp>
        <stp>DAY_CNT_DES</stp>
        <stp>[STRIPS.xlsx]Sheet1!R139C17</stp>
        <tr r="Q139" s="1"/>
      </tp>
      <tp t="s">
        <v>ACT/ACT</v>
        <stp/>
        <stp>##V3_BDPV12</stp>
        <stp>912834TC Govt</stp>
        <stp>DAY_CNT_DES</stp>
        <stp>[STRIPS.xlsx]Sheet1!R163C17</stp>
        <tr r="Q163" s="1"/>
      </tp>
      <tp t="s">
        <v>5/15/2025</v>
        <stp/>
        <stp>##V3_BDPV12</stp>
        <stp>912833LV Govt</stp>
        <stp>MATURITY</stp>
        <stp>[STRIPS.xlsx]Sheet1!R39C5</stp>
        <tr r="E39" s="1"/>
      </tp>
      <tp t="s">
        <v>5/15/2024</v>
        <stp/>
        <stp>##V3_BDPV12</stp>
        <stp>912833LR Govt</stp>
        <stp>MATURITY</stp>
        <stp>[STRIPS.xlsx]Sheet1!R19C5</stp>
        <tr r="E19" s="1"/>
      </tp>
      <tp t="s">
        <v>ACT/ACT</v>
        <stp/>
        <stp>##V3_BDPV12</stp>
        <stp>912834TE Govt</stp>
        <stp>DAY_CNT_DES</stp>
        <stp>[STRIPS.xlsx]Sheet1!R155C17</stp>
        <tr r="Q155" s="1"/>
      </tp>
      <tp t="s">
        <v>ACT/ACT</v>
        <stp/>
        <stp>##V3_BDPV12</stp>
        <stp>912834TA Govt</stp>
        <stp>DAY_CNT_DES</stp>
        <stp>[STRIPS.xlsx]Sheet1!R756C17</stp>
        <tr r="Q756" s="1"/>
      </tp>
      <tp t="s">
        <v>ACT/ACT</v>
        <stp/>
        <stp>##V3_BDPV12</stp>
        <stp>912834TB Govt</stp>
        <stp>DAY_CNT_DES</stp>
        <stp>[STRIPS.xlsx]Sheet1!R424C17</stp>
        <tr r="Q424" s="1"/>
      </tp>
      <tp t="s">
        <v>ACT/ACT</v>
        <stp/>
        <stp>##V3_BDPV12</stp>
        <stp>912834TD Govt</stp>
        <stp>DAY_CNT_DES</stp>
        <stp>[STRIPS.xlsx]Sheet1!R281C17</stp>
        <tr r="Q281" s="1"/>
      </tp>
      <tp t="s">
        <v>ACT/ACT</v>
        <stp/>
        <stp>##V3_BDPV12</stp>
        <stp>912834TJ Govt</stp>
        <stp>DAY_CNT_DES</stp>
        <stp>[STRIPS.xlsx]Sheet1!R757C17</stp>
        <tr r="Q757" s="1"/>
      </tp>
      <tp t="s">
        <v>ACT/ACT</v>
        <stp/>
        <stp>##V3_BDPV12</stp>
        <stp>912834TL Govt</stp>
        <stp>DAY_CNT_DES</stp>
        <stp>[STRIPS.xlsx]Sheet1!R195C17</stp>
        <tr r="Q195" s="1"/>
      </tp>
      <tp t="s">
        <v>ACT/ACT</v>
        <stp/>
        <stp>##V3_BDPV12</stp>
        <stp>912834TN Govt</stp>
        <stp>DAY_CNT_DES</stp>
        <stp>[STRIPS.xlsx]Sheet1!R158C17</stp>
        <tr r="Q158" s="1"/>
      </tp>
      <tp t="s">
        <v>ACT/ACT</v>
        <stp/>
        <stp>##V3_BDPV12</stp>
        <stp>912834TK Govt</stp>
        <stp>DAY_CNT_DES</stp>
        <stp>[STRIPS.xlsx]Sheet1!R425C17</stp>
        <tr r="Q425" s="1"/>
      </tp>
      <tp t="s">
        <v>ACT/ACT</v>
        <stp/>
        <stp>##V3_BDPV12</stp>
        <stp>912834TM Govt</stp>
        <stp>DAY_CNT_DES</stp>
        <stp>[STRIPS.xlsx]Sheet1!R282C17</stp>
        <tr r="Q282" s="1"/>
      </tp>
      <tp t="s">
        <v>8/15/2008</v>
        <stp/>
        <stp>##V3_BDPV12</stp>
        <stp>912834AD Govt</stp>
        <stp>ISSUE_DT</stp>
        <stp>[STRIPS.xlsx]Sheet1!R92C15</stp>
        <tr r="O92" s="1"/>
      </tp>
      <tp t="s">
        <v>#N/A Field Not Applicable</v>
        <stp/>
        <stp>##V3_BDPV12</stp>
        <stp>912834TF Govt</stp>
        <stp>IDX_RATIO</stp>
        <stp>[STRIPS.xlsx]Sheet1!R98C20</stp>
        <tr r="T98" s="1"/>
      </tp>
      <tp t="s">
        <v>#N/A Field Not Applicable</v>
        <stp/>
        <stp>##V3_BDPV12</stp>
        <stp>9128337F Govt</stp>
        <stp>IDX_RATIO</stp>
        <stp>[STRIPS.xlsx]Sheet1!R99C20</stp>
        <tr r="T99" s="1"/>
      </tp>
      <tp t="s">
        <v>#N/A Field Not Applicable</v>
        <stp/>
        <stp>##V3_BDPV12</stp>
        <stp>912834NF Govt</stp>
        <stp>IDX_RATIO</stp>
        <stp>[STRIPS.xlsx]Sheet1!R58C20</stp>
        <tr r="T58" s="1"/>
      </tp>
      <tp t="s">
        <v>912833QB9</v>
        <stp/>
        <stp>##V3_BDPV12</stp>
        <stp>912833QB Govt</stp>
        <stp>ID_CUSIP</stp>
        <stp>[STRIPS.xlsx]Sheet1!R20C19</stp>
        <tr r="S20" s="1"/>
      </tp>
      <tp t="s">
        <v>2/17/2009</v>
        <stp/>
        <stp>##V3_BDPV12</stp>
        <stp>912834AT Govt</stp>
        <stp>ISSUE_DT</stp>
        <stp>[STRIPS.xlsx]Sheet1!R76C15</stp>
        <tr r="O76" s="1"/>
      </tp>
      <tp t="s">
        <v>912834QH4</v>
        <stp/>
        <stp>##V3_BDPV12</stp>
        <stp>912834QH Govt</stp>
        <stp>ID_CUSIP</stp>
        <stp>[STRIPS.xlsx]Sheet1!R96C19</stp>
        <tr r="S96" s="1"/>
      </tp>
      <tp t="s">
        <v>S</v>
        <stp/>
        <stp>##V3_BDPV12</stp>
        <stp>912834UY Govt</stp>
        <stp>TICKER</stp>
        <stp>[STRIPS.xlsx]Sheet1!R75C2</stp>
        <tr r="B75" s="1"/>
      </tp>
      <tp t="s">
        <v>S</v>
        <stp/>
        <stp>##V3_BDPV12</stp>
        <stp>9128334T Govt</stp>
        <stp>TICKER</stp>
        <stp>[STRIPS.xlsx]Sheet1!R48C2</stp>
        <tr r="B48" s="1"/>
      </tp>
      <tp t="s">
        <v>S</v>
        <stp/>
        <stp>##V3_BDPV12</stp>
        <stp>912833RZ Govt</stp>
        <stp>TICKER</stp>
        <stp>[STRIPS.xlsx]Sheet1!R26C2</stp>
        <tr r="B26" s="1"/>
      </tp>
      <tp t="s">
        <v>USD</v>
        <stp/>
        <stp>##V3_BDPV12</stp>
        <stp>912834WR Govt</stp>
        <stp>CRNCY</stp>
        <stp>[STRIPS.xlsx]Sheet1!R54C7</stp>
        <tr r="G54" s="1"/>
      </tp>
      <tp t="s">
        <v>USD</v>
        <stp/>
        <stp>##V3_BDPV12</stp>
        <stp>912833WQ Govt</stp>
        <stp>CRNCY</stp>
        <stp>[STRIPS.xlsx]Sheet1!R24C7</stp>
        <tr r="G24" s="1"/>
      </tp>
      <tp t="s">
        <v>UNITED STATES</v>
        <stp/>
        <stp>##V3_BDPV12</stp>
        <stp>912833Z4 Govt</stp>
        <stp>COUNTRY_FULL_NAME</stp>
        <stp>[STRIPS.xlsx]Sheet1!R382C8</stp>
        <tr r="H382" s="1"/>
      </tp>
      <tp t="s">
        <v>UNITED STATES</v>
        <stp/>
        <stp>##V3_BDPV12</stp>
        <stp>912833B6 Govt</stp>
        <stp>COUNTRY_FULL_NAME</stp>
        <stp>[STRIPS.xlsx]Sheet1!R500C8</stp>
        <tr r="H500" s="1"/>
      </tp>
      <tp t="s">
        <v>UNITED STATES</v>
        <stp/>
        <stp>##V3_BDPV12</stp>
        <stp>912833C4 Govt</stp>
        <stp>COUNTRY_FULL_NAME</stp>
        <stp>[STRIPS.xlsx]Sheet1!R612C8</stp>
        <tr r="H612" s="1"/>
      </tp>
      <tp t="s">
        <v>USD</v>
        <stp/>
        <stp>##V3_BDPV12</stp>
        <stp>912834PG Govt</stp>
        <stp>CRNCY</stp>
        <stp>[STRIPS.xlsx]Sheet1!R83C7</stp>
        <tr r="G83" s="1"/>
      </tp>
      <tp t="s">
        <v>USD</v>
        <stp/>
        <stp>##V3_BDPV12</stp>
        <stp>912833PD Govt</stp>
        <stp>CRNCY</stp>
        <stp>[STRIPS.xlsx]Sheet1!R13C7</stp>
        <tr r="G13" s="1"/>
      </tp>
      <tp t="s">
        <v>2/15/2033</v>
        <stp/>
        <stp>##V3_BDPV12</stp>
        <stp>9128334V Govt</stp>
        <stp>MATURITY</stp>
        <stp>[STRIPS.xlsx]Sheet1!R69C5</stp>
        <tr r="E69" s="1"/>
      </tp>
      <tp t="s">
        <v>11/15/2030</v>
        <stp/>
        <stp>##V3_BDPV12</stp>
        <stp>9128337N Govt</stp>
        <stp>MATURITY</stp>
        <stp>[STRIPS.xlsx]Sheet1!R49C5</stp>
        <tr r="E49" s="1"/>
      </tp>
      <tp t="s">
        <v>2/15/2037</v>
        <stp/>
        <stp>##V3_BDPV12</stp>
        <stp>9128337F Govt</stp>
        <stp>MATURITY</stp>
        <stp>[STRIPS.xlsx]Sheet1!R99C5</stp>
        <tr r="E99" s="1"/>
      </tp>
      <tp t="s">
        <v>11/15/2034</v>
        <stp/>
        <stp>##V3_BDPV12</stp>
        <stp>9128337W Govt</stp>
        <stp>MATURITY</stp>
        <stp>[STRIPS.xlsx]Sheet1!R79C5</stp>
        <tr r="E79" s="1"/>
      </tp>
      <tp t="s">
        <v>11/15/2031</v>
        <stp/>
        <stp>##V3_BDPV12</stp>
        <stp>9128337Q Govt</stp>
        <stp>MATURITY</stp>
        <stp>[STRIPS.xlsx]Sheet1!R29C5</stp>
        <tr r="E29" s="1"/>
      </tp>
      <tp t="s">
        <v>ACT/ACT</v>
        <stp/>
        <stp>##V3_BDPV12</stp>
        <stp>912834WQ Govt</stp>
        <stp>DAY_CNT_DES</stp>
        <stp>[STRIPS.xlsx]Sheet1!R136C17</stp>
        <tr r="Q136" s="1"/>
      </tp>
      <tp t="s">
        <v>ACT/ACT</v>
        <stp/>
        <stp>##V3_BDPV12</stp>
        <stp>912834WU Govt</stp>
        <stp>DAY_CNT_DES</stp>
        <stp>[STRIPS.xlsx]Sheet1!R166C17</stp>
        <tr r="Q166" s="1"/>
      </tp>
      <tp t="s">
        <v>ACT/ACT</v>
        <stp/>
        <stp>##V3_BDPV12</stp>
        <stp>912834WW Govt</stp>
        <stp>DAY_CNT_DES</stp>
        <stp>[STRIPS.xlsx]Sheet1!R185C17</stp>
        <tr r="Q185" s="1"/>
      </tp>
      <tp t="s">
        <v>ACT/ACT</v>
        <stp/>
        <stp>##V3_BDPV12</stp>
        <stp>912834WV Govt</stp>
        <stp>DAY_CNT_DES</stp>
        <stp>[STRIPS.xlsx]Sheet1!R129C17</stp>
        <tr r="Q129" s="1"/>
      </tp>
      <tp t="s">
        <v>ACT/ACT</v>
        <stp/>
        <stp>##V3_BDPV12</stp>
        <stp>912834WY Govt</stp>
        <stp>DAY_CNT_DES</stp>
        <stp>[STRIPS.xlsx]Sheet1!R189C17</stp>
        <tr r="Q189" s="1"/>
      </tp>
      <tp t="s">
        <v>ACT/ACT</v>
        <stp/>
        <stp>##V3_BDPV12</stp>
        <stp>912834WX Govt</stp>
        <stp>DAY_CNT_DES</stp>
        <stp>[STRIPS.xlsx]Sheet1!R776C17</stp>
        <tr r="Q776" s="1"/>
      </tp>
      <tp t="s">
        <v>ACT/ACT</v>
        <stp/>
        <stp>##V3_BDPV12</stp>
        <stp>912834WG Govt</stp>
        <stp>DAY_CNT_DES</stp>
        <stp>[STRIPS.xlsx]Sheet1!R772C17</stp>
        <tr r="Q772" s="1"/>
      </tp>
      <tp t="s">
        <v>ACT/ACT</v>
        <stp/>
        <stp>##V3_BDPV12</stp>
        <stp>912834WF Govt</stp>
        <stp>DAY_CNT_DES</stp>
        <stp>[STRIPS.xlsx]Sheet1!R770C17</stp>
        <tr r="Q770" s="1"/>
      </tp>
      <tp t="s">
        <v>ACT/ACT</v>
        <stp/>
        <stp>##V3_BDPV12</stp>
        <stp>912834WB Govt</stp>
        <stp>DAY_CNT_DES</stp>
        <stp>[STRIPS.xlsx]Sheet1!R771C17</stp>
        <tr r="Q771" s="1"/>
      </tp>
      <tp t="s">
        <v>ACT/ACT</v>
        <stp/>
        <stp>##V3_BDPV12</stp>
        <stp>912834WD Govt</stp>
        <stp>DAY_CNT_DES</stp>
        <stp>[STRIPS.xlsx]Sheet1!R186C17</stp>
        <tr r="Q186" s="1"/>
      </tp>
      <tp t="s">
        <v>ACT/ACT</v>
        <stp/>
        <stp>##V3_BDPV12</stp>
        <stp>912834WE Govt</stp>
        <stp>DAY_CNT_DES</stp>
        <stp>[STRIPS.xlsx]Sheet1!R223C17</stp>
        <tr r="Q223" s="1"/>
      </tp>
      <tp t="s">
        <v>ACT/ACT</v>
        <stp/>
        <stp>##V3_BDPV12</stp>
        <stp>912834WH Govt</stp>
        <stp>DAY_CNT_DES</stp>
        <stp>[STRIPS.xlsx]Sheet1!R215C17</stp>
        <tr r="Q215" s="1"/>
      </tp>
      <tp t="s">
        <v>ACT/ACT</v>
        <stp/>
        <stp>##V3_BDPV12</stp>
        <stp>912834WL Govt</stp>
        <stp>DAY_CNT_DES</stp>
        <stp>[STRIPS.xlsx]Sheet1!R768C17</stp>
        <tr r="Q768" s="1"/>
      </tp>
      <tp t="s">
        <v>ACT/ACT</v>
        <stp/>
        <stp>##V3_BDPV12</stp>
        <stp>912834WK Govt</stp>
        <stp>DAY_CNT_DES</stp>
        <stp>[STRIPS.xlsx]Sheet1!R775C17</stp>
        <tr r="Q775" s="1"/>
      </tp>
      <tp t="s">
        <v>ACT/ACT</v>
        <stp/>
        <stp>##V3_BDPV12</stp>
        <stp>912834WM Govt</stp>
        <stp>DAY_CNT_DES</stp>
        <stp>[STRIPS.xlsx]Sheet1!R188C17</stp>
        <tr r="Q188" s="1"/>
      </tp>
      <tp t="s">
        <v>ACT/ACT</v>
        <stp/>
        <stp>##V3_BDPV12</stp>
        <stp>912834WN Govt</stp>
        <stp>DAY_CNT_DES</stp>
        <stp>[STRIPS.xlsx]Sheet1!R191C17</stp>
        <tr r="Q191" s="1"/>
      </tp>
      <tp t="s">
        <v>912834RR1</v>
        <stp/>
        <stp>##V3_BDPV12</stp>
        <stp>912834RR Govt</stp>
        <stp>ID_CUSIP</stp>
        <stp>[STRIPS.xlsx]Sheet1!R86C19</stp>
        <tr r="S86" s="1"/>
      </tp>
      <tp t="s">
        <v>912833RY8</v>
        <stp/>
        <stp>##V3_BDPV12</stp>
        <stp>912833RY Govt</stp>
        <stp>ID_CUSIP</stp>
        <stp>[STRIPS.xlsx]Sheet1!R28C19</stp>
        <tr r="S28" s="1"/>
      </tp>
      <tp t="s">
        <v>#N/A Field Not Applicable</v>
        <stp/>
        <stp>##V3_BDPV12</stp>
        <stp>9128337E Govt</stp>
        <stp>IDX_RATIO</stp>
        <stp>[STRIPS.xlsx]Sheet1!R23C20</stp>
        <tr r="T23" s="1"/>
      </tp>
      <tp t="s">
        <v>#N/A Field Not Applicable</v>
        <stp/>
        <stp>##V3_BDPV12</stp>
        <stp>912833PE Govt</stp>
        <stp>IDX_RATIO</stp>
        <stp>[STRIPS.xlsx]Sheet1!R15C20</stp>
        <tr r="T15" s="1"/>
      </tp>
      <tp t="s">
        <v>912833RZ5</v>
        <stp/>
        <stp>##V3_BDPV12</stp>
        <stp>912833RZ Govt</stp>
        <stp>ID_CUSIP</stp>
        <stp>[STRIPS.xlsx]Sheet1!R26C19</stp>
        <tr r="S26" s="1"/>
      </tp>
      <tp t="s">
        <v>USD</v>
        <stp/>
        <stp>##V3_BDPV12</stp>
        <stp>912834UY Govt</stp>
        <stp>CRNCY</stp>
        <stp>[STRIPS.xlsx]Sheet1!R75C7</stp>
        <tr r="G75" s="1"/>
      </tp>
      <tp t="s">
        <v>S</v>
        <stp/>
        <stp>##V3_BDPV12</stp>
        <stp>9128334Z Govt</stp>
        <stp>TICKER</stp>
        <stp>[STRIPS.xlsx]Sheet1!R45C2</stp>
        <tr r="B45" s="1"/>
      </tp>
      <tp t="s">
        <v>S</v>
        <stp/>
        <stp>##V3_BDPV12</stp>
        <stp>9128334V Govt</stp>
        <stp>TICKER</stp>
        <stp>[STRIPS.xlsx]Sheet1!R69C2</stp>
        <tr r="B69" s="1"/>
      </tp>
      <tp t="s">
        <v>S</v>
        <stp/>
        <stp>##V3_BDPV12</stp>
        <stp>912833LY Govt</stp>
        <stp>TICKER</stp>
        <stp>[STRIPS.xlsx]Sheet1!R16C2</stp>
        <tr r="B16" s="1"/>
      </tp>
      <tp t="s">
        <v>S</v>
        <stp/>
        <stp>##V3_BDPV12</stp>
        <stp>912833LV Govt</stp>
        <stp>TICKER</stp>
        <stp>[STRIPS.xlsx]Sheet1!R39C2</stp>
        <tr r="B39" s="1"/>
      </tp>
      <tp t="s">
        <v>USD</v>
        <stp/>
        <stp>##V3_BDPV12</stp>
        <stp>912834UR Govt</stp>
        <stp>CRNCY</stp>
        <stp>[STRIPS.xlsx]Sheet1!R65C7</stp>
        <tr r="G65" s="1"/>
      </tp>
      <tp t="s">
        <v>UNITED STATES</v>
        <stp/>
        <stp>##V3_BDPV12</stp>
        <stp>912833C6 Govt</stp>
        <stp>COUNTRY_FULL_NAME</stp>
        <stp>[STRIPS.xlsx]Sheet1!R563C8</stp>
        <tr r="H563" s="1"/>
      </tp>
      <tp t="s">
        <v>ACT/ACT</v>
        <stp/>
        <stp>##V3_BDPV12</stp>
        <stp>912834VR Govt</stp>
        <stp>DAY_CNT_DES</stp>
        <stp>[STRIPS.xlsx]Sheet1!R224C17</stp>
        <tr r="Q224" s="1"/>
      </tp>
      <tp t="s">
        <v>#N/A Field Not Applicable</v>
        <stp/>
        <stp>##V3_BDPV12</stp>
        <stp>912834UN Govt</stp>
        <stp>COUPON_FREQUENCY_DESCRIPTION</stp>
        <stp>[STRIPS.xlsx]Sheet1!R206C10</stp>
        <tr r="J206" s="1"/>
      </tp>
      <tp t="s">
        <v>#N/A Field Not Applicable</v>
        <stp/>
        <stp>##V3_BDPV12</stp>
        <stp>912834LN Govt</stp>
        <stp>COUPON_FREQUENCY_DESCRIPTION</stp>
        <stp>[STRIPS.xlsx]Sheet1!R231C10</stp>
        <tr r="J231" s="1"/>
      </tp>
      <tp t="s">
        <v>#N/A Field Not Applicable</v>
        <stp/>
        <stp>##V3_BDPV12</stp>
        <stp>912834AN Govt</stp>
        <stp>COUPON_FREQUENCY_DESCRIPTION</stp>
        <stp>[STRIPS.xlsx]Sheet1!R259C10</stp>
        <tr r="J259" s="1"/>
      </tp>
      <tp t="s">
        <v>#N/A Field Not Applicable</v>
        <stp/>
        <stp>##V3_BDPV12</stp>
        <stp>912834BN Govt</stp>
        <stp>COUPON_FREQUENCY_DESCRIPTION</stp>
        <stp>[STRIPS.xlsx]Sheet1!R263C10</stp>
        <tr r="J263" s="1"/>
      </tp>
      <tp t="s">
        <v>#N/A Field Not Applicable</v>
        <stp/>
        <stp>##V3_BDPV12</stp>
        <stp>912834EN Govt</stp>
        <stp>COUPON_FREQUENCY_DESCRIPTION</stp>
        <stp>[STRIPS.xlsx]Sheet1!R310C10</stp>
        <tr r="J310" s="1"/>
      </tp>
      <tp t="s">
        <v>#N/A Field Not Applicable</v>
        <stp/>
        <stp>##V3_BDPV12</stp>
        <stp>912834JN Govt</stp>
        <stp>COUPON_FREQUENCY_DESCRIPTION</stp>
        <stp>[STRIPS.xlsx]Sheet1!R357C10</stp>
        <tr r="J357" s="1"/>
      </tp>
      <tp t="s">
        <v>ACT/ACT</v>
        <stp/>
        <stp>##V3_BDPV12</stp>
        <stp>912834VU Govt</stp>
        <stp>DAY_CNT_DES</stp>
        <stp>[STRIPS.xlsx]Sheet1!R769C17</stp>
        <tr r="Q769" s="1"/>
      </tp>
      <tp t="s">
        <v>ACT/ACT</v>
        <stp/>
        <stp>##V3_BDPV12</stp>
        <stp>912834VS Govt</stp>
        <stp>DAY_CNT_DES</stp>
        <stp>[STRIPS.xlsx]Sheet1!R170C17</stp>
        <tr r="Q170" s="1"/>
      </tp>
      <tp t="s">
        <v>ACT/ACT</v>
        <stp/>
        <stp>##V3_BDPV12</stp>
        <stp>912834VT Govt</stp>
        <stp>DAY_CNT_DES</stp>
        <stp>[STRIPS.xlsx]Sheet1!R773C17</stp>
        <tr r="Q773" s="1"/>
      </tp>
      <tp t="s">
        <v>ACT/ACT</v>
        <stp/>
        <stp>##V3_BDPV12</stp>
        <stp>912834VQ Govt</stp>
        <stp>DAY_CNT_DES</stp>
        <stp>[STRIPS.xlsx]Sheet1!R222C17</stp>
        <tr r="Q222" s="1"/>
      </tp>
      <tp t="s">
        <v>#N/A Field Not Applicable</v>
        <stp/>
        <stp>##V3_BDPV12</stp>
        <stp>912834RN Govt</stp>
        <stp>COUPON_FREQUENCY_DESCRIPTION</stp>
        <stp>[STRIPS.xlsx]Sheet1!R194C10</stp>
        <tr r="J194" s="1"/>
      </tp>
      <tp t="s">
        <v>#N/A Field Not Applicable</v>
        <stp/>
        <stp>##V3_BDPV12</stp>
        <stp>912834WN Govt</stp>
        <stp>COUPON_FREQUENCY_DESCRIPTION</stp>
        <stp>[STRIPS.xlsx]Sheet1!R191C10</stp>
        <tr r="J191" s="1"/>
      </tp>
      <tp t="s">
        <v>#N/A Field Not Applicable</v>
        <stp/>
        <stp>##V3_BDPV12</stp>
        <stp>912834TN Govt</stp>
        <stp>COUPON_FREQUENCY_DESCRIPTION</stp>
        <stp>[STRIPS.xlsx]Sheet1!R158C10</stp>
        <tr r="J158" s="1"/>
      </tp>
      <tp t="s">
        <v>#N/A Field Not Applicable</v>
        <stp/>
        <stp>##V3_BDPV12</stp>
        <stp>912834PN Govt</stp>
        <stp>COUPON_FREQUENCY_DESCRIPTION</stp>
        <stp>[STRIPS.xlsx]Sheet1!R164C10</stp>
        <tr r="J164" s="1"/>
      </tp>
      <tp t="s">
        <v>#N/A Field Not Applicable</v>
        <stp/>
        <stp>##V3_BDPV12</stp>
        <stp>912834QN Govt</stp>
        <stp>COUPON_FREQUENCY_DESCRIPTION</stp>
        <stp>[STRIPS.xlsx]Sheet1!R179C10</stp>
        <tr r="J179" s="1"/>
      </tp>
      <tp t="s">
        <v>#N/A Field Not Applicable</v>
        <stp/>
        <stp>##V3_BDPV12</stp>
        <stp>912833PN Govt</stp>
        <stp>COUPON_FREQUENCY_DESCRIPTION</stp>
        <stp>[STRIPS.xlsx]Sheet1!R681C10</stp>
        <tr r="J681" s="1"/>
      </tp>
      <tp t="s">
        <v>#N/A Field Not Applicable</v>
        <stp/>
        <stp>##V3_BDPV12</stp>
        <stp>912833KN Govt</stp>
        <stp>COUPON_FREQUENCY_DESCRIPTION</stp>
        <stp>[STRIPS.xlsx]Sheet1!R672C10</stp>
        <tr r="J672" s="1"/>
      </tp>
      <tp t="s">
        <v>#N/A Field Not Applicable</v>
        <stp/>
        <stp>##V3_BDPV12</stp>
        <stp>912833ZN Govt</stp>
        <stp>COUPON_FREQUENCY_DESCRIPTION</stp>
        <stp>[STRIPS.xlsx]Sheet1!R638C10</stp>
        <tr r="J638" s="1"/>
      </tp>
      <tp t="s">
        <v>#N/A Field Not Applicable</v>
        <stp/>
        <stp>##V3_BDPV12</stp>
        <stp>912833MN Govt</stp>
        <stp>COUPON_FREQUENCY_DESCRIPTION</stp>
        <stp>[STRIPS.xlsx]Sheet1!R624C10</stp>
        <tr r="J624" s="1"/>
      </tp>
      <tp t="s">
        <v>#N/A Field Not Applicable</v>
        <stp/>
        <stp>##V3_BDPV12</stp>
        <stp>9128334N Govt</stp>
        <stp>COUPON_FREQUENCY_DESCRIPTION</stp>
        <stp>[STRIPS.xlsx]Sheet1!R744C10</stp>
        <tr r="J744" s="1"/>
      </tp>
      <tp t="s">
        <v>#N/A Field Not Applicable</v>
        <stp/>
        <stp>##V3_BDPV12</stp>
        <stp>9128335N Govt</stp>
        <stp>COUPON_FREQUENCY_DESCRIPTION</stp>
        <stp>[STRIPS.xlsx]Sheet1!R746C10</stp>
        <tr r="J746" s="1"/>
      </tp>
      <tp t="s">
        <v>#N/A Field Not Applicable</v>
        <stp/>
        <stp>##V3_BDPV12</stp>
        <stp>912833CN Govt</stp>
        <stp>COUPON_FREQUENCY_DESCRIPTION</stp>
        <stp>[STRIPS.xlsx]Sheet1!R734C10</stp>
        <tr r="J734" s="1"/>
      </tp>
      <tp t="s">
        <v>#N/A Field Not Applicable</v>
        <stp/>
        <stp>##V3_BDPV12</stp>
        <stp>912833FN Govt</stp>
        <stp>COUPON_FREQUENCY_DESCRIPTION</stp>
        <stp>[STRIPS.xlsx]Sheet1!R738C10</stp>
        <tr r="J738" s="1"/>
      </tp>
      <tp t="s">
        <v>ACT/ACT</v>
        <stp/>
        <stp>##V3_BDPV12</stp>
        <stp>912834VW Govt</stp>
        <stp>DAY_CNT_DES</stp>
        <stp>[STRIPS.xlsx]Sheet1!R131C17</stp>
        <tr r="Q131" s="1"/>
      </tp>
      <tp t="s">
        <v>#N/A Field Not Applicable</v>
        <stp/>
        <stp>##V3_BDPV12</stp>
        <stp>9128336N Govt</stp>
        <stp>COUPON_FREQUENCY_DESCRIPTION</stp>
        <stp>[STRIPS.xlsx]Sheet1!R497C10</stp>
        <tr r="J497" s="1"/>
      </tp>
      <tp t="s">
        <v>#N/A Field Not Applicable</v>
        <stp/>
        <stp>##V3_BDPV12</stp>
        <stp>912834MN Govt</stp>
        <stp>COUPON_FREQUENCY_DESCRIPTION</stp>
        <stp>[STRIPS.xlsx]Sheet1!R417C10</stp>
        <tr r="J417" s="1"/>
      </tp>
      <tp t="s">
        <v>#N/A Field Not Applicable</v>
        <stp/>
        <stp>##V3_BDPV12</stp>
        <stp>912834NN Govt</stp>
        <stp>COUPON_FREQUENCY_DESCRIPTION</stp>
        <stp>[STRIPS.xlsx]Sheet1!R421C10</stp>
        <tr r="J421" s="1"/>
      </tp>
      <tp t="s">
        <v>#N/A Field Not Applicable</v>
        <stp/>
        <stp>##V3_BDPV12</stp>
        <stp>9128333N Govt</stp>
        <stp>COUPON_FREQUENCY_DESCRIPTION</stp>
        <stp>[STRIPS.xlsx]Sheet1!R428C10</stp>
        <tr r="J428" s="1"/>
      </tp>
      <tp t="s">
        <v>#N/A Field Not Applicable</v>
        <stp/>
        <stp>##V3_BDPV12</stp>
        <stp>912834KN Govt</stp>
        <stp>COUPON_FREQUENCY_DESCRIPTION</stp>
        <stp>[STRIPS.xlsx]Sheet1!R469C10</stp>
        <tr r="J469" s="1"/>
      </tp>
      <tp t="s">
        <v>#N/A Field Not Applicable</v>
        <stp/>
        <stp>##V3_BDPV12</stp>
        <stp>912833QN Govt</stp>
        <stp>COUPON_FREQUENCY_DESCRIPTION</stp>
        <stp>[STRIPS.xlsx]Sheet1!R577C10</stp>
        <tr r="J577" s="1"/>
      </tp>
      <tp t="s">
        <v>#N/A Field Not Applicable</v>
        <stp/>
        <stp>##V3_BDPV12</stp>
        <stp>912833RN Govt</stp>
        <stp>COUPON_FREQUENCY_DESCRIPTION</stp>
        <stp>[STRIPS.xlsx]Sheet1!R579C10</stp>
        <tr r="J579" s="1"/>
      </tp>
      <tp t="s">
        <v>#N/A Field Not Applicable</v>
        <stp/>
        <stp>##V3_BDPV12</stp>
        <stp>912833NN Govt</stp>
        <stp>COUPON_FREQUENCY_DESCRIPTION</stp>
        <stp>[STRIPS.xlsx]Sheet1!R518C10</stp>
        <tr r="J518" s="1"/>
      </tp>
      <tp t="s">
        <v>ACT/ACT</v>
        <stp/>
        <stp>##V3_BDPV12</stp>
        <stp>912834VY Govt</stp>
        <stp>DAY_CNT_DES</stp>
        <stp>[STRIPS.xlsx]Sheet1!R218C17</stp>
        <tr r="Q218" s="1"/>
      </tp>
      <tp t="s">
        <v>ACT/ACT</v>
        <stp/>
        <stp>##V3_BDPV12</stp>
        <stp>912834VZ Govt</stp>
        <stp>DAY_CNT_DES</stp>
        <stp>[STRIPS.xlsx]Sheet1!R766C17</stp>
        <tr r="Q766" s="1"/>
      </tp>
      <tp t="s">
        <v>ACT/ACT</v>
        <stp/>
        <stp>##V3_BDPV12</stp>
        <stp>912834VX Govt</stp>
        <stp>DAY_CNT_DES</stp>
        <stp>[STRIPS.xlsx]Sheet1!R767C17</stp>
        <tr r="Q767" s="1"/>
      </tp>
      <tp t="s">
        <v>ACT/ACT</v>
        <stp/>
        <stp>##V3_BDPV12</stp>
        <stp>912834VA Govt</stp>
        <stp>DAY_CNT_DES</stp>
        <stp>[STRIPS.xlsx]Sheet1!R178C17</stp>
        <tr r="Q178" s="1"/>
      </tp>
      <tp t="s">
        <v>ACT/ACT</v>
        <stp/>
        <stp>##V3_BDPV12</stp>
        <stp>912834VB Govt</stp>
        <stp>DAY_CNT_DES</stp>
        <stp>[STRIPS.xlsx]Sheet1!R159C17</stp>
        <tr r="Q159" s="1"/>
      </tp>
      <tp t="s">
        <v>ACT/ACT</v>
        <stp/>
        <stp>##V3_BDPV12</stp>
        <stp>912834VD Govt</stp>
        <stp>DAY_CNT_DES</stp>
        <stp>[STRIPS.xlsx]Sheet1!R765C17</stp>
        <tr r="Q765" s="1"/>
      </tp>
      <tp t="s">
        <v>ACT/ACT</v>
        <stp/>
        <stp>##V3_BDPV12</stp>
        <stp>912834VC Govt</stp>
        <stp>DAY_CNT_DES</stp>
        <stp>[STRIPS.xlsx]Sheet1!R763C17</stp>
        <tr r="Q763" s="1"/>
      </tp>
      <tp t="s">
        <v>ACT/ACT</v>
        <stp/>
        <stp>##V3_BDPV12</stp>
        <stp>912834VF Govt</stp>
        <stp>DAY_CNT_DES</stp>
        <stp>[STRIPS.xlsx]Sheet1!R219C17</stp>
        <tr r="Q219" s="1"/>
      </tp>
      <tp t="s">
        <v>ACT/ACT</v>
        <stp/>
        <stp>##V3_BDPV12</stp>
        <stp>912834VE Govt</stp>
        <stp>DAY_CNT_DES</stp>
        <stp>[STRIPS.xlsx]Sheet1!R116C17</stp>
        <tr r="Q116" s="1"/>
      </tp>
      <tp t="s">
        <v>ACT/ACT</v>
        <stp/>
        <stp>##V3_BDPV12</stp>
        <stp>912834VG Govt</stp>
        <stp>DAY_CNT_DES</stp>
        <stp>[STRIPS.xlsx]Sheet1!R160C17</stp>
        <tr r="Q160" s="1"/>
      </tp>
      <tp t="s">
        <v>ACT/ACT</v>
        <stp/>
        <stp>##V3_BDPV12</stp>
        <stp>9128337P Govt</stp>
        <stp>DAY_CNT_DES</stp>
        <stp>[STRIPS.xlsx]Sheet1!R25C17</stp>
        <tr r="Q25" s="1"/>
      </tp>
      <tp t="s">
        <v>ACT/ACT</v>
        <stp/>
        <stp>##V3_BDPV12</stp>
        <stp>9128337Q Govt</stp>
        <stp>DAY_CNT_DES</stp>
        <stp>[STRIPS.xlsx]Sheet1!R29C17</stp>
        <tr r="Q29" s="1"/>
      </tp>
      <tp t="s">
        <v>ACT/ACT</v>
        <stp/>
        <stp>##V3_BDPV12</stp>
        <stp>9128337S Govt</stp>
        <stp>DAY_CNT_DES</stp>
        <stp>[STRIPS.xlsx]Sheet1!R35C17</stp>
        <tr r="Q35" s="1"/>
      </tp>
      <tp t="s">
        <v>ACT/ACT</v>
        <stp/>
        <stp>##V3_BDPV12</stp>
        <stp>9128337W Govt</stp>
        <stp>DAY_CNT_DES</stp>
        <stp>[STRIPS.xlsx]Sheet1!R79C17</stp>
        <tr r="Q79" s="1"/>
      </tp>
      <tp t="s">
        <v>ACT/ACT</v>
        <stp/>
        <stp>##V3_BDPV12</stp>
        <stp>9128337U Govt</stp>
        <stp>DAY_CNT_DES</stp>
        <stp>[STRIPS.xlsx]Sheet1!R46C17</stp>
        <tr r="Q46" s="1"/>
      </tp>
      <tp t="s">
        <v>ACT/ACT</v>
        <stp/>
        <stp>##V3_BDPV12</stp>
        <stp>9128337E Govt</stp>
        <stp>DAY_CNT_DES</stp>
        <stp>[STRIPS.xlsx]Sheet1!R23C17</stp>
        <tr r="Q23" s="1"/>
      </tp>
      <tp t="s">
        <v>ACT/ACT</v>
        <stp/>
        <stp>##V3_BDPV12</stp>
        <stp>9128337F Govt</stp>
        <stp>DAY_CNT_DES</stp>
        <stp>[STRIPS.xlsx]Sheet1!R99C17</stp>
        <tr r="Q99" s="1"/>
      </tp>
      <tp t="s">
        <v>ACT/ACT</v>
        <stp/>
        <stp>##V3_BDPV12</stp>
        <stp>9128337N Govt</stp>
        <stp>DAY_CNT_DES</stp>
        <stp>[STRIPS.xlsx]Sheet1!R49C17</stp>
        <tr r="Q49" s="1"/>
      </tp>
      <tp t="s">
        <v>ACT/ACT</v>
        <stp/>
        <stp>##V3_BDPV12</stp>
        <stp>912834VH Govt</stp>
        <stp>DAY_CNT_DES</stp>
        <stp>[STRIPS.xlsx]Sheet1!R146C17</stp>
        <tr r="Q146" s="1"/>
      </tp>
      <tp t="s">
        <v>ACT/ACT</v>
        <stp/>
        <stp>##V3_BDPV12</stp>
        <stp>9128335B Govt</stp>
        <stp>DAY_CNT_DES</stp>
        <stp>[STRIPS.xlsx]Sheet1!R43C17</stp>
        <tr r="Q43" s="1"/>
      </tp>
      <tp t="s">
        <v>ACT/ACT</v>
        <stp/>
        <stp>##V3_BDPV12</stp>
        <stp>9128335A Govt</stp>
        <stp>DAY_CNT_DES</stp>
        <stp>[STRIPS.xlsx]Sheet1!R42C17</stp>
        <tr r="Q42" s="1"/>
      </tp>
      <tp t="s">
        <v>ACT/ACT</v>
        <stp/>
        <stp>##V3_BDPV12</stp>
        <stp>9128334V Govt</stp>
        <stp>DAY_CNT_DES</stp>
        <stp>[STRIPS.xlsx]Sheet1!R69C17</stp>
        <tr r="Q69" s="1"/>
      </tp>
      <tp t="s">
        <v>ACT/ACT</v>
        <stp/>
        <stp>##V3_BDPV12</stp>
        <stp>9128334T Govt</stp>
        <stp>DAY_CNT_DES</stp>
        <stp>[STRIPS.xlsx]Sheet1!R48C17</stp>
        <tr r="Q48" s="1"/>
      </tp>
      <tp t="s">
        <v>ACT/ACT</v>
        <stp/>
        <stp>##V3_BDPV12</stp>
        <stp>9128334W Govt</stp>
        <stp>DAY_CNT_DES</stp>
        <stp>[STRIPS.xlsx]Sheet1!R61C17</stp>
        <tr r="Q61" s="1"/>
      </tp>
      <tp t="s">
        <v>ACT/ACT</v>
        <stp/>
        <stp>##V3_BDPV12</stp>
        <stp>9128334Z Govt</stp>
        <stp>DAY_CNT_DES</stp>
        <stp>[STRIPS.xlsx]Sheet1!R45C17</stp>
        <tr r="Q45" s="1"/>
      </tp>
      <tp t="s">
        <v>ACT/ACT</v>
        <stp/>
        <stp>##V3_BDPV12</stp>
        <stp>9128334Y Govt</stp>
        <stp>DAY_CNT_DES</stp>
        <stp>[STRIPS.xlsx]Sheet1!R67C17</stp>
        <tr r="Q67" s="1"/>
      </tp>
      <tp t="s">
        <v>ACT/ACT</v>
        <stp/>
        <stp>##V3_BDPV12</stp>
        <stp>912834VJ Govt</stp>
        <stp>DAY_CNT_DES</stp>
        <stp>[STRIPS.xlsx]Sheet1!R774C17</stp>
        <tr r="Q774" s="1"/>
      </tp>
      <tp t="s">
        <v>ACT/ACT</v>
        <stp/>
        <stp>##V3_BDPV12</stp>
        <stp>912834VL Govt</stp>
        <stp>DAY_CNT_DES</stp>
        <stp>[STRIPS.xlsx]Sheet1!R138C17</stp>
        <tr r="Q138" s="1"/>
      </tp>
      <tp t="s">
        <v>USD</v>
        <stp/>
        <stp>##V3_BDPV12</stp>
        <stp>912833X9 Govt</stp>
        <stp>CRNCY</stp>
        <stp>[STRIPS.xlsx]Sheet1!R59C7</stp>
        <tr r="G59" s="1"/>
      </tp>
      <tp t="s">
        <v>#N/A Field Not Applicable</v>
        <stp/>
        <stp>##V3_BDPV12</stp>
        <stp>912834AD Govt</stp>
        <stp>IDX_RATIO</stp>
        <stp>[STRIPS.xlsx]Sheet1!R92C20</stp>
        <tr r="T92" s="1"/>
      </tp>
      <tp t="s">
        <v>#N/A Field Not Applicable</v>
        <stp/>
        <stp>##V3_BDPV12</stp>
        <stp>912834MD Govt</stp>
        <stp>IDX_RATIO</stp>
        <stp>[STRIPS.xlsx]Sheet1!R72C20</stp>
        <tr r="T72" s="1"/>
      </tp>
      <tp t="s">
        <v>#N/A Field Not Applicable</v>
        <stp/>
        <stp>##V3_BDPV12</stp>
        <stp>912833PD Govt</stp>
        <stp>IDX_RATIO</stp>
        <stp>[STRIPS.xlsx]Sheet1!R13C20</stp>
        <tr r="T13" s="1"/>
      </tp>
      <tp t="s">
        <v>912834SZ2</v>
        <stp/>
        <stp>##V3_BDPV12</stp>
        <stp>912834SZ Govt</stp>
        <stp>ID_CUSIP</stp>
        <stp>[STRIPS.xlsx]Sheet1!R94C19</stp>
        <tr r="S94" s="1"/>
      </tp>
      <tp t="s">
        <v>S</v>
        <stp/>
        <stp>##V3_BDPV12</stp>
        <stp>912834SZ Govt</stp>
        <stp>TICKER</stp>
        <stp>[STRIPS.xlsx]Sheet1!R94C2</stp>
        <tr r="B94" s="1"/>
      </tp>
      <tp t="s">
        <v>S</v>
        <stp/>
        <stp>##V3_BDPV12</stp>
        <stp>9128337W Govt</stp>
        <stp>TICKER</stp>
        <stp>[STRIPS.xlsx]Sheet1!R79C2</stp>
        <tr r="B79" s="1"/>
      </tp>
      <tp t="s">
        <v>S</v>
        <stp/>
        <stp>##V3_BDPV12</stp>
        <stp>9128334Y Govt</stp>
        <stp>TICKER</stp>
        <stp>[STRIPS.xlsx]Sheet1!R67C2</stp>
        <tr r="B67" s="1"/>
      </tp>
      <tp t="s">
        <v>UNITED STATES</v>
        <stp/>
        <stp>##V3_BDPV12</stp>
        <stp>912833A4 Govt</stp>
        <stp>COUNTRY_FULL_NAME</stp>
        <stp>[STRIPS.xlsx]Sheet1!R330C8</stp>
        <tr r="H330" s="1"/>
      </tp>
      <tp t="s">
        <v>UNITED STATES</v>
        <stp/>
        <stp>##V3_BDPV12</stp>
        <stp>912833B5 Govt</stp>
        <stp>COUNTRY_FULL_NAME</stp>
        <stp>[STRIPS.xlsx]Sheet1!R331C8</stp>
        <tr r="H331" s="1"/>
      </tp>
      <tp t="s">
        <v>UNITED STATES</v>
        <stp/>
        <stp>##V3_BDPV12</stp>
        <stp>912833B7 Govt</stp>
        <stp>COUNTRY_FULL_NAME</stp>
        <stp>[STRIPS.xlsx]Sheet1!R433C8</stp>
        <tr r="H433" s="1"/>
      </tp>
      <tp t="s">
        <v>UNITED STATES</v>
        <stp/>
        <stp>##V3_BDPV12</stp>
        <stp>912833Y7 Govt</stp>
        <stp>COUNTRY_FULL_NAME</stp>
        <stp>[STRIPS.xlsx]Sheet1!R583C8</stp>
        <tr r="H583" s="1"/>
      </tp>
      <tp t="s">
        <v>UNITED STATES</v>
        <stp/>
        <stp>##V3_BDPV12</stp>
        <stp>912833A6 Govt</stp>
        <stp>COUNTRY_FULL_NAME</stp>
        <stp>[STRIPS.xlsx]Sheet1!R652C8</stp>
        <tr r="H652" s="1"/>
      </tp>
      <tp t="s">
        <v>UNITED STATES</v>
        <stp/>
        <stp>##V3_BDPV12</stp>
        <stp>912833A7 Govt</stp>
        <stp>COUNTRY_FULL_NAME</stp>
        <stp>[STRIPS.xlsx]Sheet1!R653C8</stp>
        <tr r="H653" s="1"/>
      </tp>
      <tp t="s">
        <v>USD</v>
        <stp/>
        <stp>##V3_BDPV12</stp>
        <stp>912834PH Govt</stp>
        <stp>CRNCY</stp>
        <stp>[STRIPS.xlsx]Sheet1!R91C7</stp>
        <tr r="G91" s="1"/>
      </tp>
      <tp t="s">
        <v>USD</v>
        <stp/>
        <stp>##V3_BDPV12</stp>
        <stp>912833QB Govt</stp>
        <stp>CRNCY</stp>
        <stp>[STRIPS.xlsx]Sheet1!R20C7</stp>
        <tr r="G20" s="1"/>
      </tp>
      <tp t="s">
        <v>ACT/ACT</v>
        <stp/>
        <stp>##V3_BDPV12</stp>
        <stp>912833LU Govt</stp>
        <stp>DAY_CNT_DES</stp>
        <stp>[STRIPS.xlsx]Sheet1!R22C17</stp>
        <tr r="Q22" s="1"/>
      </tp>
      <tp t="s">
        <v>ACT/ACT</v>
        <stp/>
        <stp>##V3_BDPV12</stp>
        <stp>912833LT Govt</stp>
        <stp>DAY_CNT_DES</stp>
        <stp>[STRIPS.xlsx]Sheet1!R11C17</stp>
        <tr r="Q11" s="1"/>
      </tp>
      <tp t="s">
        <v>ACT/ACT</v>
        <stp/>
        <stp>##V3_BDPV12</stp>
        <stp>912833LV Govt</stp>
        <stp>DAY_CNT_DES</stp>
        <stp>[STRIPS.xlsx]Sheet1!R39C17</stp>
        <tr r="Q39" s="1"/>
      </tp>
      <tp t="s">
        <v>ACT/ACT</v>
        <stp/>
        <stp>##V3_BDPV12</stp>
        <stp>912833LQ Govt</stp>
        <stp>DAY_CNT_DES</stp>
        <stp>[STRIPS.xlsx]Sheet1!R38C17</stp>
        <tr r="Q38" s="1"/>
      </tp>
      <tp t="s">
        <v>ACT/ACT</v>
        <stp/>
        <stp>##V3_BDPV12</stp>
        <stp>912833LR Govt</stp>
        <stp>DAY_CNT_DES</stp>
        <stp>[STRIPS.xlsx]Sheet1!R19C17</stp>
        <tr r="Q19" s="1"/>
      </tp>
      <tp t="s">
        <v>ACT/ACT</v>
        <stp/>
        <stp>##V3_BDPV12</stp>
        <stp>912833LS Govt</stp>
        <stp>DAY_CNT_DES</stp>
        <stp>[STRIPS.xlsx]Sheet1!R37C17</stp>
        <tr r="Q37" s="1"/>
      </tp>
      <tp t="s">
        <v>ACT/ACT</v>
        <stp/>
        <stp>##V3_BDPV12</stp>
        <stp>912833LP Govt</stp>
        <stp>DAY_CNT_DES</stp>
        <stp>[STRIPS.xlsx]Sheet1!R12C17</stp>
        <tr r="Q12" s="1"/>
      </tp>
      <tp t="s">
        <v>ACT/ACT</v>
        <stp/>
        <stp>##V3_BDPV12</stp>
        <stp>912833LY Govt</stp>
        <stp>DAY_CNT_DES</stp>
        <stp>[STRIPS.xlsx]Sheet1!R16C17</stp>
        <tr r="Q16" s="1"/>
      </tp>
      <tp t="s">
        <v>ACT/ACT</v>
        <stp/>
        <stp>##V3_BDPV12</stp>
        <stp>912833LX Govt</stp>
        <stp>DAY_CNT_DES</stp>
        <stp>[STRIPS.xlsx]Sheet1!R10C17</stp>
        <tr r="Q10" s="1"/>
      </tp>
      <tp t="s">
        <v>ACT/ACT</v>
        <stp/>
        <stp>##V3_BDPV12</stp>
        <stp>912833LG Govt</stp>
        <stp>DAY_CNT_DES</stp>
        <stp>[STRIPS.xlsx]Sheet1!R33C17</stp>
        <tr r="Q33" s="1"/>
      </tp>
      <tp t="s">
        <v>ACT/ACT</v>
        <stp/>
        <stp>##V3_BDPV12</stp>
        <stp>912833LL Govt</stp>
        <stp>DAY_CNT_DES</stp>
        <stp>[STRIPS.xlsx]Sheet1!R36C17</stp>
        <tr r="Q36" s="1"/>
      </tp>
      <tp t="s">
        <v>ACT/ACT</v>
        <stp/>
        <stp>##V3_BDPV12</stp>
        <stp>912833LH Govt</stp>
        <stp>DAY_CNT_DES</stp>
        <stp>[STRIPS.xlsx]Sheet1!R40C17</stp>
        <tr r="Q40" s="1"/>
      </tp>
      <tp t="s">
        <v>ACT/ACT</v>
        <stp/>
        <stp>##V3_BDPV12</stp>
        <stp>912833LM Govt</stp>
        <stp>DAY_CNT_DES</stp>
        <stp>[STRIPS.xlsx]Sheet1!R17C17</stp>
        <tr r="Q17" s="1"/>
      </tp>
      <tp t="s">
        <v>ACT/ACT</v>
        <stp/>
        <stp>##V3_BDPV12</stp>
        <stp>912833LJ Govt</stp>
        <stp>DAY_CNT_DES</stp>
        <stp>[STRIPS.xlsx]Sheet1!R18C17</stp>
        <tr r="Q18" s="1"/>
      </tp>
      <tp t="s">
        <v>ACT/ACT</v>
        <stp/>
        <stp>##V3_BDPV12</stp>
        <stp>912833LN Govt</stp>
        <stp>DAY_CNT_DES</stp>
        <stp>[STRIPS.xlsx]Sheet1!R63C17</stp>
        <tr r="Q63" s="1"/>
      </tp>
      <tp t="s">
        <v>ACT/ACT</v>
        <stp/>
        <stp>##V3_BDPV12</stp>
        <stp>912833LK Govt</stp>
        <stp>DAY_CNT_DES</stp>
        <stp>[STRIPS.xlsx]Sheet1!R21C17</stp>
        <tr r="Q21" s="1"/>
      </tp>
      <tp t="s">
        <v>ACT/ACT</v>
        <stp/>
        <stp>##V3_BDPV12</stp>
        <stp>912833Z5 Govt</stp>
        <stp>DAY_CNT_DES</stp>
        <stp>[STRIPS.xlsx]Sheet1!R74C17</stp>
        <tr r="Q74" s="1"/>
      </tp>
      <tp t="s">
        <v>ACT/ACT</v>
        <stp/>
        <stp>##V3_BDPV12</stp>
        <stp>912833Y4 Govt</stp>
        <stp>DAY_CNT_DES</stp>
        <stp>[STRIPS.xlsx]Sheet1!R60C17</stp>
        <tr r="Q60" s="1"/>
      </tp>
      <tp t="s">
        <v>ACT/ACT</v>
        <stp/>
        <stp>##V3_BDPV12</stp>
        <stp>912833Y2 Govt</stp>
        <stp>DAY_CNT_DES</stp>
        <stp>[STRIPS.xlsx]Sheet1!R27C17</stp>
        <tr r="Q27" s="1"/>
      </tp>
      <tp t="s">
        <v>ACT/ACT</v>
        <stp/>
        <stp>##V3_BDPV12</stp>
        <stp>912833XU Govt</stp>
        <stp>DAY_CNT_DES</stp>
        <stp>[STRIPS.xlsx]Sheet1!R30C17</stp>
        <tr r="Q30" s="1"/>
      </tp>
      <tp t="s">
        <v>ACT/ACT</v>
        <stp/>
        <stp>##V3_BDPV12</stp>
        <stp>912833XS Govt</stp>
        <stp>DAY_CNT_DES</stp>
        <stp>[STRIPS.xlsx]Sheet1!R47C17</stp>
        <tr r="Q47" s="1"/>
      </tp>
      <tp t="s">
        <v>ACT/ACT</v>
        <stp/>
        <stp>##V3_BDPV12</stp>
        <stp>912833XP Govt</stp>
        <stp>DAY_CNT_DES</stp>
        <stp>[STRIPS.xlsx]Sheet1!R44C17</stp>
        <tr r="Q44" s="1"/>
      </tp>
      <tp t="s">
        <v>ACT/ACT</v>
        <stp/>
        <stp>##V3_BDPV12</stp>
        <stp>912833XT Govt</stp>
        <stp>DAY_CNT_DES</stp>
        <stp>[STRIPS.xlsx]Sheet1!R55C17</stp>
        <tr r="Q55" s="1"/>
      </tp>
      <tp t="s">
        <v>ACT/ACT</v>
        <stp/>
        <stp>##V3_BDPV12</stp>
        <stp>912833XX Govt</stp>
        <stp>DAY_CNT_DES</stp>
        <stp>[STRIPS.xlsx]Sheet1!R62C17</stp>
        <tr r="Q62" s="1"/>
      </tp>
      <tp t="s">
        <v>ACT/ACT</v>
        <stp/>
        <stp>##V3_BDPV12</stp>
        <stp>912833XY Govt</stp>
        <stp>DAY_CNT_DES</stp>
        <stp>[STRIPS.xlsx]Sheet1!R50C17</stp>
        <tr r="Q50" s="1"/>
      </tp>
      <tp t="s">
        <v>ACT/ACT</v>
        <stp/>
        <stp>##V3_BDPV12</stp>
        <stp>912833XZ Govt</stp>
        <stp>DAY_CNT_DES</stp>
        <stp>[STRIPS.xlsx]Sheet1!R31C17</stp>
        <tr r="Q31" s="1"/>
      </tp>
      <tp t="s">
        <v>ACT/ACT</v>
        <stp/>
        <stp>##V3_BDPV12</stp>
        <stp>912833XN Govt</stp>
        <stp>DAY_CNT_DES</stp>
        <stp>[STRIPS.xlsx]Sheet1!R85C17</stp>
        <tr r="Q85" s="1"/>
      </tp>
      <tp t="s">
        <v>ACT/ACT</v>
        <stp/>
        <stp>##V3_BDPV12</stp>
        <stp>912833X8 Govt</stp>
        <stp>DAY_CNT_DES</stp>
        <stp>[STRIPS.xlsx]Sheet1!R66C17</stp>
        <tr r="Q66" s="1"/>
      </tp>
      <tp t="s">
        <v>ACT/ACT</v>
        <stp/>
        <stp>##V3_BDPV12</stp>
        <stp>912833X9 Govt</stp>
        <stp>DAY_CNT_DES</stp>
        <stp>[STRIPS.xlsx]Sheet1!R59C17</stp>
        <tr r="Q59" s="1"/>
      </tp>
      <tp t="s">
        <v>ACT/ACT</v>
        <stp/>
        <stp>##V3_BDPV12</stp>
        <stp>912833WR Govt</stp>
        <stp>DAY_CNT_DES</stp>
        <stp>[STRIPS.xlsx]Sheet1!R52C17</stp>
        <tr r="Q52" s="1"/>
      </tp>
      <tp t="s">
        <v>ACT/ACT</v>
        <stp/>
        <stp>##V3_BDPV12</stp>
        <stp>912833WQ Govt</stp>
        <stp>DAY_CNT_DES</stp>
        <stp>[STRIPS.xlsx]Sheet1!R24C17</stp>
        <tr r="Q24" s="1"/>
      </tp>
      <tp t="s">
        <v>ACT/ACT</v>
        <stp/>
        <stp>##V3_BDPV12</stp>
        <stp>912833RY Govt</stp>
        <stp>DAY_CNT_DES</stp>
        <stp>[STRIPS.xlsx]Sheet1!R28C17</stp>
        <tr r="Q28" s="1"/>
      </tp>
      <tp t="s">
        <v>ACT/ACT</v>
        <stp/>
        <stp>##V3_BDPV12</stp>
        <stp>912833RZ Govt</stp>
        <stp>DAY_CNT_DES</stp>
        <stp>[STRIPS.xlsx]Sheet1!R26C17</stp>
        <tr r="Q26" s="1"/>
      </tp>
      <tp t="s">
        <v>ACT/ACT</v>
        <stp/>
        <stp>##V3_BDPV12</stp>
        <stp>912833QB Govt</stp>
        <stp>DAY_CNT_DES</stp>
        <stp>[STRIPS.xlsx]Sheet1!R20C17</stp>
        <tr r="Q20" s="1"/>
      </tp>
      <tp t="s">
        <v>ACT/ACT</v>
        <stp/>
        <stp>##V3_BDPV12</stp>
        <stp>912833PE Govt</stp>
        <stp>DAY_CNT_DES</stp>
        <stp>[STRIPS.xlsx]Sheet1!R15C17</stp>
        <tr r="Q15" s="1"/>
      </tp>
      <tp t="s">
        <v>ACT/ACT</v>
        <stp/>
        <stp>##V3_BDPV12</stp>
        <stp>912833PD Govt</stp>
        <stp>DAY_CNT_DES</stp>
        <stp>[STRIPS.xlsx]Sheet1!R13C17</stp>
        <tr r="Q13" s="1"/>
      </tp>
      <tp t="s">
        <v>ACT/ACT</v>
        <stp/>
        <stp>##V3_BDPV12</stp>
        <stp>912833PC Govt</stp>
        <stp>DAY_CNT_DES</stp>
        <stp>[STRIPS.xlsx]Sheet1!R14C17</stp>
        <tr r="Q14" s="1"/>
      </tp>
      <tp t="s">
        <v>ACT/ACT</v>
        <stp/>
        <stp>##V3_BDPV12</stp>
        <stp>912834QT Govt</stp>
        <stp>DAY_CNT_DES</stp>
        <stp>[STRIPS.xlsx]Sheet1!R414C17</stp>
        <tr r="Q414" s="1"/>
      </tp>
      <tp t="s">
        <v>ACT/ACT</v>
        <stp/>
        <stp>##V3_BDPV12</stp>
        <stp>912834QP Govt</stp>
        <stp>DAY_CNT_DES</stp>
        <stp>[STRIPS.xlsx]Sheet1!R108C17</stp>
        <tr r="Q108" s="1"/>
      </tp>
      <tp t="s">
        <v>ACT/ACT</v>
        <stp/>
        <stp>##V3_BDPV12</stp>
        <stp>912833QQ Govt</stp>
        <stp>DAY_CNT_DES</stp>
        <stp>[STRIPS.xlsx]Sheet1!R377C17</stp>
        <tr r="Q377" s="1"/>
      </tp>
      <tp t="s">
        <v>ACT/ACT</v>
        <stp/>
        <stp>##V3_BDPV12</stp>
        <stp>912834QS Govt</stp>
        <stp>DAY_CNT_DES</stp>
        <stp>[STRIPS.xlsx]Sheet1!R135C17</stp>
        <tr r="Q135" s="1"/>
      </tp>
      <tp t="s">
        <v>ACT/ACT</v>
        <stp/>
        <stp>##V3_BDPV12</stp>
        <stp>912834QQ Govt</stp>
        <stp>DAY_CNT_DES</stp>
        <stp>[STRIPS.xlsx]Sheet1!R205C17</stp>
        <tr r="Q205" s="1"/>
      </tp>
      <tp t="s">
        <v>ACT/ACT</v>
        <stp/>
        <stp>##V3_BDPV12</stp>
        <stp>912833QU Govt</stp>
        <stp>DAY_CNT_DES</stp>
        <stp>[STRIPS.xlsx]Sheet1!R688C17</stp>
        <tr r="Q688" s="1"/>
      </tp>
      <tp t="s">
        <v>ACT/ACT</v>
        <stp/>
        <stp>##V3_BDPV12</stp>
        <stp>912833QV Govt</stp>
        <stp>DAY_CNT_DES</stp>
        <stp>[STRIPS.xlsx]Sheet1!R242C17</stp>
        <tr r="Q242" s="1"/>
      </tp>
      <tp t="s">
        <v>ACT/ACT</v>
        <stp/>
        <stp>##V3_BDPV12</stp>
        <stp>912833QW Govt</stp>
        <stp>DAY_CNT_DES</stp>
        <stp>[STRIPS.xlsx]Sheet1!R378C17</stp>
        <tr r="Q378" s="1"/>
      </tp>
      <tp t="s">
        <v>ACT/ACT</v>
        <stp/>
        <stp>##V3_BDPV12</stp>
        <stp>912833QS Govt</stp>
        <stp>DAY_CNT_DES</stp>
        <stp>[STRIPS.xlsx]Sheet1!R632C17</stp>
        <tr r="Q632" s="1"/>
      </tp>
      <tp t="s">
        <v>ACT/ACT</v>
        <stp/>
        <stp>##V3_BDPV12</stp>
        <stp>912834QW Govt</stp>
        <stp>DAY_CNT_DES</stp>
        <stp>[STRIPS.xlsx]Sheet1!R171C17</stp>
        <tr r="Q171" s="1"/>
      </tp>
      <tp t="s">
        <v>ACT/ACT</v>
        <stp/>
        <stp>##V3_BDPV12</stp>
        <stp>912833QP Govt</stp>
        <stp>DAY_CNT_DES</stp>
        <stp>[STRIPS.xlsx]Sheet1!R687C17</stp>
        <tr r="Q687" s="1"/>
      </tp>
      <tp t="s">
        <v>ACT/ACT</v>
        <stp/>
        <stp>##V3_BDPV12</stp>
        <stp>912834QR Govt</stp>
        <stp>DAY_CNT_DES</stp>
        <stp>[STRIPS.xlsx]Sheet1!R480C17</stp>
        <tr r="Q480" s="1"/>
      </tp>
      <tp t="s">
        <v>ACT/ACT</v>
        <stp/>
        <stp>##V3_BDPV12</stp>
        <stp>912834QV Govt</stp>
        <stp>DAY_CNT_DES</stp>
        <stp>[STRIPS.xlsx]Sheet1!R104C17</stp>
        <tr r="Q104" s="1"/>
      </tp>
      <tp t="s">
        <v>ACT/ACT</v>
        <stp/>
        <stp>##V3_BDPV12</stp>
        <stp>912833QT Govt</stp>
        <stp>DAY_CNT_DES</stp>
        <stp>[STRIPS.xlsx]Sheet1!R307C17</stp>
        <tr r="Q307" s="1"/>
      </tp>
      <tp t="s">
        <v>ACT/ACT</v>
        <stp/>
        <stp>##V3_BDPV12</stp>
        <stp>912834QU Govt</stp>
        <stp>DAY_CNT_DES</stp>
        <stp>[STRIPS.xlsx]Sheet1!R201C17</stp>
        <tr r="Q201" s="1"/>
      </tp>
      <tp t="s">
        <v>ACT/ACT</v>
        <stp/>
        <stp>##V3_BDPV12</stp>
        <stp>912833QR Govt</stp>
        <stp>DAY_CNT_DES</stp>
        <stp>[STRIPS.xlsx]Sheet1!R521C17</stp>
        <tr r="Q521" s="1"/>
      </tp>
      <tp t="s">
        <v>ACT/ACT</v>
        <stp/>
        <stp>##V3_BDPV12</stp>
        <stp>912834QZ Govt</stp>
        <stp>DAY_CNT_DES</stp>
        <stp>[STRIPS.xlsx]Sheet1!R279C17</stp>
        <tr r="Q279" s="1"/>
      </tp>
      <tp t="s">
        <v>ACT/ACT</v>
        <stp/>
        <stp>##V3_BDPV12</stp>
        <stp>912834QY Govt</stp>
        <stp>DAY_CNT_DES</stp>
        <stp>[STRIPS.xlsx]Sheet1!R134C17</stp>
        <tr r="Q134" s="1"/>
      </tp>
      <tp t="s">
        <v>ACT/ACT</v>
        <stp/>
        <stp>##V3_BDPV12</stp>
        <stp>912833QZ Govt</stp>
        <stp>DAY_CNT_DES</stp>
        <stp>[STRIPS.xlsx]Sheet1!R379C17</stp>
        <tr r="Q379" s="1"/>
      </tp>
      <tp t="s">
        <v>ACT/ACT</v>
        <stp/>
        <stp>##V3_BDPV12</stp>
        <stp>912833QX Govt</stp>
        <stp>DAY_CNT_DES</stp>
        <stp>[STRIPS.xlsx]Sheet1!R243C17</stp>
        <tr r="Q243" s="1"/>
      </tp>
      <tp t="s">
        <v>ACT/ACT</v>
        <stp/>
        <stp>##V3_BDPV12</stp>
        <stp>912834QX Govt</stp>
        <stp>DAY_CNT_DES</stp>
        <stp>[STRIPS.xlsx]Sheet1!R423C17</stp>
        <tr r="Q423" s="1"/>
      </tp>
      <tp t="s">
        <v>ACT/ACT</v>
        <stp/>
        <stp>##V3_BDPV12</stp>
        <stp>912833QY Govt</stp>
        <stp>DAY_CNT_DES</stp>
        <stp>[STRIPS.xlsx]Sheet1!R633C17</stp>
        <tr r="Q633" s="1"/>
      </tp>
      <tp t="s">
        <v>ACT/ACT</v>
        <stp/>
        <stp>##V3_BDPV12</stp>
        <stp>912833QC Govt</stp>
        <stp>DAY_CNT_DES</stp>
        <stp>[STRIPS.xlsx]Sheet1!R341C17</stp>
        <tr r="Q341" s="1"/>
      </tp>
      <tp t="s">
        <v>ACT/ACT</v>
        <stp/>
        <stp>##V3_BDPV12</stp>
        <stp>912833QF Govt</stp>
        <stp>DAY_CNT_DES</stp>
        <stp>[STRIPS.xlsx]Sheet1!R684C17</stp>
        <tr r="Q684" s="1"/>
      </tp>
      <tp t="s">
        <v>ACT/ACT</v>
        <stp/>
        <stp>##V3_BDPV12</stp>
        <stp>912834QD Govt</stp>
        <stp>DAY_CNT_DES</stp>
        <stp>[STRIPS.xlsx]Sheet1!R550C17</stp>
        <tr r="Q550" s="1"/>
      </tp>
      <tp t="s">
        <v>ACT/ACT</v>
        <stp/>
        <stp>##V3_BDPV12</stp>
        <stp>912833QD Govt</stp>
        <stp>DAY_CNT_DES</stp>
        <stp>[STRIPS.xlsx]Sheet1!R576C17</stp>
        <tr r="Q576" s="1"/>
      </tp>
      <tp t="s">
        <v>ACT/ACT</v>
        <stp/>
        <stp>##V3_BDPV12</stp>
        <stp>912833QG Govt</stp>
        <stp>DAY_CNT_DES</stp>
        <stp>[STRIPS.xlsx]Sheet1!R685C17</stp>
        <tr r="Q685" s="1"/>
      </tp>
      <tp t="s">
        <v>ACT/ACT</v>
        <stp/>
        <stp>##V3_BDPV12</stp>
        <stp>912834QC Govt</stp>
        <stp>DAY_CNT_DES</stp>
        <stp>[STRIPS.xlsx]Sheet1!R141C17</stp>
        <tr r="Q141" s="1"/>
      </tp>
      <tp t="s">
        <v>ACT/ACT</v>
        <stp/>
        <stp>##V3_BDPV12</stp>
        <stp>912833QA Govt</stp>
        <stp>DAY_CNT_DES</stp>
        <stp>[STRIPS.xlsx]Sheet1!R376C17</stp>
        <tr r="Q376" s="1"/>
      </tp>
      <tp t="s">
        <v>ACT/ACT</v>
        <stp/>
        <stp>##V3_BDPV12</stp>
        <stp>912834QE Govt</stp>
        <stp>DAY_CNT_DES</stp>
        <stp>[STRIPS.xlsx]Sheet1!R149C17</stp>
        <tr r="Q149" s="1"/>
      </tp>
      <tp t="s">
        <v>ACT/ACT</v>
        <stp/>
        <stp>##V3_BDPV12</stp>
        <stp>912834QF Govt</stp>
        <stp>DAY_CNT_DES</stp>
        <stp>[STRIPS.xlsx]Sheet1!R277C17</stp>
        <tr r="Q277" s="1"/>
      </tp>
      <tp t="s">
        <v>ACT/ACT</v>
        <stp/>
        <stp>##V3_BDPV12</stp>
        <stp>912834QG Govt</stp>
        <stp>DAY_CNT_DES</stp>
        <stp>[STRIPS.xlsx]Sheet1!R211C17</stp>
        <tr r="Q211" s="1"/>
      </tp>
      <tp t="s">
        <v>ACT/ACT</v>
        <stp/>
        <stp>##V3_BDPV12</stp>
        <stp>912833QE Govt</stp>
        <stp>DAY_CNT_DES</stp>
        <stp>[STRIPS.xlsx]Sheet1!R241C17</stp>
        <tr r="Q241" s="1"/>
      </tp>
      <tp t="s">
        <v>ACT/ACT</v>
        <stp/>
        <stp>##V3_BDPV12</stp>
        <stp>912834QJ Govt</stp>
        <stp>DAY_CNT_DES</stp>
        <stp>[STRIPS.xlsx]Sheet1!R213C17</stp>
        <tr r="Q213" s="1"/>
      </tp>
      <tp t="s">
        <v>ACT/ACT</v>
        <stp/>
        <stp>##V3_BDPV12</stp>
        <stp>912833QM Govt</stp>
        <stp>DAY_CNT_DES</stp>
        <stp>[STRIPS.xlsx]Sheet1!R520C17</stp>
        <tr r="Q520" s="1"/>
      </tp>
      <tp t="s">
        <v>ACT/ACT</v>
        <stp/>
        <stp>##V3_BDPV12</stp>
        <stp>912834QK Govt</stp>
        <stp>DAY_CNT_DES</stp>
        <stp>[STRIPS.xlsx]Sheet1!R278C17</stp>
        <tr r="Q278" s="1"/>
      </tp>
      <tp t="s">
        <v>ACT/ACT</v>
        <stp/>
        <stp>##V3_BDPV12</stp>
        <stp>912834QM Govt</stp>
        <stp>DAY_CNT_DES</stp>
        <stp>[STRIPS.xlsx]Sheet1!R413C17</stp>
        <tr r="Q413" s="1"/>
      </tp>
      <tp t="s">
        <v>ACT/ACT</v>
        <stp/>
        <stp>##V3_BDPV12</stp>
        <stp>912833QL Govt</stp>
        <stp>DAY_CNT_DES</stp>
        <stp>[STRIPS.xlsx]Sheet1!R631C17</stp>
        <tr r="Q631" s="1"/>
      </tp>
      <tp t="s">
        <v>ACT/ACT</v>
        <stp/>
        <stp>##V3_BDPV12</stp>
        <stp>912833QN Govt</stp>
        <stp>DAY_CNT_DES</stp>
        <stp>[STRIPS.xlsx]Sheet1!R577C17</stp>
        <tr r="Q577" s="1"/>
      </tp>
      <tp t="s">
        <v>ACT/ACT</v>
        <stp/>
        <stp>##V3_BDPV12</stp>
        <stp>912833QJ Govt</stp>
        <stp>DAY_CNT_DES</stp>
        <stp>[STRIPS.xlsx]Sheet1!R686C17</stp>
        <tr r="Q686" s="1"/>
      </tp>
      <tp t="s">
        <v>ACT/ACT</v>
        <stp/>
        <stp>##V3_BDPV12</stp>
        <stp>912834QL Govt</stp>
        <stp>DAY_CNT_DES</stp>
        <stp>[STRIPS.xlsx]Sheet1!R142C17</stp>
        <tr r="Q142" s="1"/>
      </tp>
      <tp t="s">
        <v>ACT/ACT</v>
        <stp/>
        <stp>##V3_BDPV12</stp>
        <stp>912833QK Govt</stp>
        <stp>DAY_CNT_DES</stp>
        <stp>[STRIPS.xlsx]Sheet1!R519C17</stp>
        <tr r="Q519" s="1"/>
      </tp>
      <tp t="s">
        <v>ACT/ACT</v>
        <stp/>
        <stp>##V3_BDPV12</stp>
        <stp>912833QH Govt</stp>
        <stp>DAY_CNT_DES</stp>
        <stp>[STRIPS.xlsx]Sheet1!R630C17</stp>
        <tr r="Q630" s="1"/>
      </tp>
      <tp t="s">
        <v>ACT/ACT</v>
        <stp/>
        <stp>##V3_BDPV12</stp>
        <stp>912834QN Govt</stp>
        <stp>DAY_CNT_DES</stp>
        <stp>[STRIPS.xlsx]Sheet1!R179C17</stp>
        <tr r="Q179" s="1"/>
      </tp>
      <tp t="s">
        <v>912834TV0</v>
        <stp/>
        <stp>##V3_BDPV12</stp>
        <stp>912834TV Govt</stp>
        <stp>ID_CUSIP</stp>
        <stp>[STRIPS.xlsx]Sheet1!R90C19</stp>
        <tr r="S90" s="1"/>
      </tp>
      <tp t="s">
        <v>#N/A Field Not Applicable</v>
        <stp/>
        <stp>##V3_BDPV12</stp>
        <stp>912834WC Govt</stp>
        <stp>IDX_RATIO</stp>
        <stp>[STRIPS.xlsx]Sheet1!R78C20</stp>
        <tr r="T78" s="1"/>
      </tp>
      <tp t="s">
        <v>#N/A Field Not Applicable</v>
        <stp/>
        <stp>##V3_BDPV12</stp>
        <stp>912833PC Govt</stp>
        <stp>IDX_RATIO</stp>
        <stp>[STRIPS.xlsx]Sheet1!R14C20</stp>
        <tr r="T14" s="1"/>
      </tp>
      <tp t="s">
        <v>912834TF5</v>
        <stp/>
        <stp>##V3_BDPV12</stp>
        <stp>912834TF Govt</stp>
        <stp>ID_CUSIP</stp>
        <stp>[STRIPS.xlsx]Sheet1!R98C19</stp>
        <tr r="S98" s="1"/>
      </tp>
      <tp t="s">
        <v>5/15/2009</v>
        <stp/>
        <stp>##V3_BDPV12</stp>
        <stp>912834DU Govt</stp>
        <stp>ISSUE_DT</stp>
        <stp>[STRIPS.xlsx]Sheet1!R87C15</stp>
        <tr r="O87" s="1"/>
      </tp>
      <tp t="s">
        <v>S</v>
        <stp/>
        <stp>##V3_BDPV12</stp>
        <stp>912833XY Govt</stp>
        <stp>TICKER</stp>
        <stp>[STRIPS.xlsx]Sheet1!R50C2</stp>
        <tr r="B50" s="1"/>
      </tp>
      <tp t="s">
        <v>S</v>
        <stp/>
        <stp>##V3_BDPV12</stp>
        <stp>912833LQ Govt</stp>
        <stp>TICKER</stp>
        <stp>[STRIPS.xlsx]Sheet1!R38C2</stp>
        <tr r="B38" s="1"/>
      </tp>
      <tp t="s">
        <v>UNITED STATES</v>
        <stp/>
        <stp>##V3_BDPV12</stp>
        <stp>912833C7 Govt</stp>
        <stp>COUNTRY_FULL_NAME</stp>
        <stp>[STRIPS.xlsx]Sheet1!R294C8</stp>
        <tr r="H294" s="1"/>
      </tp>
      <tp t="s">
        <v>UNITED STATES</v>
        <stp/>
        <stp>##V3_BDPV12</stp>
        <stp>912833B2 Govt</stp>
        <stp>COUNTRY_FULL_NAME</stp>
        <stp>[STRIPS.xlsx]Sheet1!R561C8</stp>
        <tr r="H561" s="1"/>
      </tp>
      <tp t="s">
        <v>UNITED STATES</v>
        <stp/>
        <stp>##V3_BDPV12</stp>
        <stp>912833C2 Govt</stp>
        <stp>COUNTRY_FULL_NAME</stp>
        <stp>[STRIPS.xlsx]Sheet1!R611C8</stp>
        <tr r="H611" s="1"/>
      </tp>
      <tp t="s">
        <v>NORMAL</v>
        <stp/>
        <stp>##V3_BDPV12</stp>
        <stp>912833RY Govt</stp>
        <stp>MTY_TYP</stp>
        <stp>[STRIPS.xlsx]Sheet1!R28C6</stp>
        <tr r="F28" s="1"/>
      </tp>
      <tp t="s">
        <v>NORMAL</v>
        <stp/>
        <stp>##V3_BDPV12</stp>
        <stp>912833LJ Govt</stp>
        <stp>MTY_TYP</stp>
        <stp>[STRIPS.xlsx]Sheet1!R18C6</stp>
        <tr r="F18" s="1"/>
      </tp>
      <tp t="s">
        <v>NORMAL</v>
        <stp/>
        <stp>##V3_BDPV12</stp>
        <stp>912833LQ Govt</stp>
        <stp>MTY_TYP</stp>
        <stp>[STRIPS.xlsx]Sheet1!R38C6</stp>
        <tr r="F38" s="1"/>
      </tp>
      <tp t="s">
        <v>NORMAL</v>
        <stp/>
        <stp>##V3_BDPV12</stp>
        <stp>9128334T Govt</stp>
        <stp>MTY_TYP</stp>
        <stp>[STRIPS.xlsx]Sheet1!R48C6</stp>
        <tr r="F48" s="1"/>
      </tp>
      <tp t="s">
        <v>NORMAL</v>
        <stp/>
        <stp>##V3_BDPV12</stp>
        <stp>912834WC Govt</stp>
        <stp>MTY_TYP</stp>
        <stp>[STRIPS.xlsx]Sheet1!R78C6</stp>
        <tr r="F78" s="1"/>
      </tp>
      <tp t="s">
        <v>NORMAL</v>
        <stp/>
        <stp>##V3_BDPV12</stp>
        <stp>912834TF Govt</stp>
        <stp>MTY_TYP</stp>
        <stp>[STRIPS.xlsx]Sheet1!R98C6</stp>
        <tr r="F98" s="1"/>
      </tp>
      <tp t="s">
        <v>NORMAL</v>
        <stp/>
        <stp>##V3_BDPV12</stp>
        <stp>912834UL Govt</stp>
        <stp>MTY_TYP</stp>
        <stp>[STRIPS.xlsx]Sheet1!R88C6</stp>
        <tr r="F88" s="1"/>
      </tp>
      <tp t="s">
        <v>NORMAL</v>
        <stp/>
        <stp>##V3_BDPV12</stp>
        <stp>912834JH Govt</stp>
        <stp>MTY_TYP</stp>
        <stp>[STRIPS.xlsx]Sheet1!R68C6</stp>
        <tr r="F68" s="1"/>
      </tp>
      <tp t="s">
        <v>NORMAL</v>
        <stp/>
        <stp>##V3_BDPV12</stp>
        <stp>912834NF Govt</stp>
        <stp>MTY_TYP</stp>
        <stp>[STRIPS.xlsx]Sheet1!R58C6</stp>
        <tr r="F58" s="1"/>
      </tp>
      <tp t="s">
        <v>ACT/ACT</v>
        <stp/>
        <stp>##V3_BDPV12</stp>
        <stp>912834NF Govt</stp>
        <stp>DAY_CNT_DES</stp>
        <stp>[STRIPS.xlsx]Sheet1!R58C17</stp>
        <tr r="Q58" s="1"/>
      </tp>
      <tp t="s">
        <v>ACT/ACT</v>
        <stp/>
        <stp>##V3_BDPV12</stp>
        <stp>912834MT Govt</stp>
        <stp>DAY_CNT_DES</stp>
        <stp>[STRIPS.xlsx]Sheet1!R41C17</stp>
        <tr r="Q41" s="1"/>
      </tp>
      <tp t="s">
        <v>ACT/ACT</v>
        <stp/>
        <stp>##V3_BDPV12</stp>
        <stp>912834MZ Govt</stp>
        <stp>DAY_CNT_DES</stp>
        <stp>[STRIPS.xlsx]Sheet1!R71C17</stp>
        <tr r="Q71" s="1"/>
      </tp>
      <tp t="s">
        <v>ACT/ACT</v>
        <stp/>
        <stp>##V3_BDPV12</stp>
        <stp>912834MM Govt</stp>
        <stp>DAY_CNT_DES</stp>
        <stp>[STRIPS.xlsx]Sheet1!R80C17</stp>
        <tr r="Q80" s="1"/>
      </tp>
      <tp t="s">
        <v>ACT/ACT</v>
        <stp/>
        <stp>##V3_BDPV12</stp>
        <stp>912834MD Govt</stp>
        <stp>DAY_CNT_DES</stp>
        <stp>[STRIPS.xlsx]Sheet1!R72C17</stp>
        <tr r="Q72" s="1"/>
      </tp>
      <tp t="s">
        <v>ACT/ACT</v>
        <stp/>
        <stp>##V3_BDPV12</stp>
        <stp>912834LX Govt</stp>
        <stp>DAY_CNT_DES</stp>
        <stp>[STRIPS.xlsx]Sheet1!R93C17</stp>
        <tr r="Q93" s="1"/>
      </tp>
      <tp t="s">
        <v>ACT/ACT</v>
        <stp/>
        <stp>##V3_BDPV12</stp>
        <stp>912834LR Govt</stp>
        <stp>DAY_CNT_DES</stp>
        <stp>[STRIPS.xlsx]Sheet1!R95C17</stp>
        <tr r="Q95" s="1"/>
      </tp>
      <tp t="s">
        <v>ACT/ACT</v>
        <stp/>
        <stp>##V3_BDPV12</stp>
        <stp>912834LB Govt</stp>
        <stp>DAY_CNT_DES</stp>
        <stp>[STRIPS.xlsx]Sheet1!R73C17</stp>
        <tr r="Q73" s="1"/>
      </tp>
      <tp t="s">
        <v>ACT/ACT</v>
        <stp/>
        <stp>##V3_BDPV12</stp>
        <stp>912834LK Govt</stp>
        <stp>DAY_CNT_DES</stp>
        <stp>[STRIPS.xlsx]Sheet1!R53C17</stp>
        <tr r="Q53" s="1"/>
      </tp>
      <tp t="s">
        <v>ACT/ACT</v>
        <stp/>
        <stp>##V3_BDPV12</stp>
        <stp>912834KV Govt</stp>
        <stp>DAY_CNT_DES</stp>
        <stp>[STRIPS.xlsx]Sheet1!R57C17</stp>
        <tr r="Q57" s="1"/>
      </tp>
      <tp t="s">
        <v>ACT/ACT</v>
        <stp/>
        <stp>##V3_BDPV12</stp>
        <stp>912834KH Govt</stp>
        <stp>DAY_CNT_DES</stp>
        <stp>[STRIPS.xlsx]Sheet1!R56C17</stp>
        <tr r="Q56" s="1"/>
      </tp>
      <tp t="s">
        <v>ACT/ACT</v>
        <stp/>
        <stp>##V3_BDPV12</stp>
        <stp>912834JP Govt</stp>
        <stp>DAY_CNT_DES</stp>
        <stp>[STRIPS.xlsx]Sheet1!R34C17</stp>
        <tr r="Q34" s="1"/>
      </tp>
      <tp t="s">
        <v>ACT/ACT</v>
        <stp/>
        <stp>##V3_BDPV12</stp>
        <stp>912834JY Govt</stp>
        <stp>DAY_CNT_DES</stp>
        <stp>[STRIPS.xlsx]Sheet1!R64C17</stp>
        <tr r="Q64" s="1"/>
      </tp>
      <tp t="s">
        <v>ACT/ACT</v>
        <stp/>
        <stp>##V3_BDPV12</stp>
        <stp>912834JH Govt</stp>
        <stp>DAY_CNT_DES</stp>
        <stp>[STRIPS.xlsx]Sheet1!R68C17</stp>
        <tr r="Q68" s="1"/>
      </tp>
      <tp t="s">
        <v>ACT/ACT</v>
        <stp/>
        <stp>##V3_BDPV12</stp>
        <stp>912834JB Govt</stp>
        <stp>DAY_CNT_DES</stp>
        <stp>[STRIPS.xlsx]Sheet1!R82C17</stp>
        <tr r="Q82" s="1"/>
      </tp>
      <tp t="s">
        <v>ACT/ACT</v>
        <stp/>
        <stp>##V3_BDPV12</stp>
        <stp>912834HV Govt</stp>
        <stp>DAY_CNT_DES</stp>
        <stp>[STRIPS.xlsx]Sheet1!R70C17</stp>
        <tr r="Q70" s="1"/>
      </tp>
      <tp t="s">
        <v>ACT/ACT</v>
        <stp/>
        <stp>##V3_BDPV12</stp>
        <stp>912834EP Govt</stp>
        <stp>DAY_CNT_DES</stp>
        <stp>[STRIPS.xlsx]Sheet1!R77C17</stp>
        <tr r="Q77" s="1"/>
      </tp>
      <tp t="s">
        <v>ACT/ACT</v>
        <stp/>
        <stp>##V3_BDPV12</stp>
        <stp>912834DU Govt</stp>
        <stp>DAY_CNT_DES</stp>
        <stp>[STRIPS.xlsx]Sheet1!R87C17</stp>
        <tr r="Q87" s="1"/>
      </tp>
      <tp t="s">
        <v>ACT/ACT</v>
        <stp/>
        <stp>##V3_BDPV12</stp>
        <stp>912834AT Govt</stp>
        <stp>DAY_CNT_DES</stp>
        <stp>[STRIPS.xlsx]Sheet1!R76C17</stp>
        <tr r="Q76" s="1"/>
      </tp>
      <tp t="s">
        <v>ACT/ACT</v>
        <stp/>
        <stp>##V3_BDPV12</stp>
        <stp>912834AD Govt</stp>
        <stp>DAY_CNT_DES</stp>
        <stp>[STRIPS.xlsx]Sheet1!R92C17</stp>
        <tr r="Q92" s="1"/>
      </tp>
      <tp t="s">
        <v>ACT/ACT</v>
        <stp/>
        <stp>##V3_BDPV12</stp>
        <stp>912834XG Govt</stp>
        <stp>DAY_CNT_DES</stp>
        <stp>[STRIPS.xlsx]Sheet1!R32C17</stp>
        <tr r="Q32" s="1"/>
      </tp>
      <tp t="s">
        <v>ACT/ACT</v>
        <stp/>
        <stp>##V3_BDPV12</stp>
        <stp>912834WR Govt</stp>
        <stp>DAY_CNT_DES</stp>
        <stp>[STRIPS.xlsx]Sheet1!R54C17</stp>
        <tr r="Q54" s="1"/>
      </tp>
      <tp t="s">
        <v>ACT/ACT</v>
        <stp/>
        <stp>##V3_BDPV12</stp>
        <stp>912834WC Govt</stp>
        <stp>DAY_CNT_DES</stp>
        <stp>[STRIPS.xlsx]Sheet1!R78C17</stp>
        <tr r="Q78" s="1"/>
      </tp>
      <tp t="s">
        <v>ACT/ACT</v>
        <stp/>
        <stp>##V3_BDPV12</stp>
        <stp>912834WJ Govt</stp>
        <stp>DAY_CNT_DES</stp>
        <stp>[STRIPS.xlsx]Sheet1!R89C17</stp>
        <tr r="Q89" s="1"/>
      </tp>
      <tp t="s">
        <v>ACT/ACT</v>
        <stp/>
        <stp>##V3_BDPV12</stp>
        <stp>912834VV Govt</stp>
        <stp>DAY_CNT_DES</stp>
        <stp>[STRIPS.xlsx]Sheet1!R51C17</stp>
        <tr r="Q51" s="1"/>
      </tp>
      <tp t="s">
        <v>ACT/ACT</v>
        <stp/>
        <stp>##V3_BDPV12</stp>
        <stp>912834VM Govt</stp>
        <stp>DAY_CNT_DES</stp>
        <stp>[STRIPS.xlsx]Sheet1!R81C17</stp>
        <tr r="Q81" s="1"/>
      </tp>
      <tp t="s">
        <v>ACT/ACT</v>
        <stp/>
        <stp>##V3_BDPV12</stp>
        <stp>912834UR Govt</stp>
        <stp>DAY_CNT_DES</stp>
        <stp>[STRIPS.xlsx]Sheet1!R65C17</stp>
        <tr r="Q65" s="1"/>
      </tp>
      <tp t="s">
        <v>ACT/ACT</v>
        <stp/>
        <stp>##V3_BDPV12</stp>
        <stp>912834UY Govt</stp>
        <stp>DAY_CNT_DES</stp>
        <stp>[STRIPS.xlsx]Sheet1!R75C17</stp>
        <tr r="Q75" s="1"/>
      </tp>
      <tp t="s">
        <v>ACT/ACT</v>
        <stp/>
        <stp>##V3_BDPV12</stp>
        <stp>912834UQ Govt</stp>
        <stp>DAY_CNT_DES</stp>
        <stp>[STRIPS.xlsx]Sheet1!R97C17</stp>
        <tr r="Q97" s="1"/>
      </tp>
      <tp t="s">
        <v>ACT/ACT</v>
        <stp/>
        <stp>##V3_BDPV12</stp>
        <stp>912834UL Govt</stp>
        <stp>DAY_CNT_DES</stp>
        <stp>[STRIPS.xlsx]Sheet1!R88C17</stp>
        <tr r="Q88" s="1"/>
      </tp>
      <tp t="s">
        <v>ACT/ACT</v>
        <stp/>
        <stp>##V3_BDPV12</stp>
        <stp>912834TV Govt</stp>
        <stp>DAY_CNT_DES</stp>
        <stp>[STRIPS.xlsx]Sheet1!R90C17</stp>
        <tr r="Q90" s="1"/>
      </tp>
      <tp t="s">
        <v>ACT/ACT</v>
        <stp/>
        <stp>##V3_BDPV12</stp>
        <stp>912834TF Govt</stp>
        <stp>DAY_CNT_DES</stp>
        <stp>[STRIPS.xlsx]Sheet1!R98C17</stp>
        <tr r="Q98" s="1"/>
      </tp>
      <tp t="s">
        <v>ACT/ACT</v>
        <stp/>
        <stp>##V3_BDPV12</stp>
        <stp>912834SZ Govt</stp>
        <stp>DAY_CNT_DES</stp>
        <stp>[STRIPS.xlsx]Sheet1!R94C17</stp>
        <tr r="Q94" s="1"/>
      </tp>
      <tp t="s">
        <v>ACT/ACT</v>
        <stp/>
        <stp>##V3_BDPV12</stp>
        <stp>912834RR Govt</stp>
        <stp>DAY_CNT_DES</stp>
        <stp>[STRIPS.xlsx]Sheet1!R86C17</stp>
        <tr r="Q86" s="1"/>
      </tp>
      <tp t="s">
        <v>ACT/ACT</v>
        <stp/>
        <stp>##V3_BDPV12</stp>
        <stp>912834QH Govt</stp>
        <stp>DAY_CNT_DES</stp>
        <stp>[STRIPS.xlsx]Sheet1!R96C17</stp>
        <tr r="Q96" s="1"/>
      </tp>
      <tp t="s">
        <v>ACT/ACT</v>
        <stp/>
        <stp>##V3_BDPV12</stp>
        <stp>912834PM Govt</stp>
        <stp>DAY_CNT_DES</stp>
        <stp>[STRIPS.xlsx]Sheet1!R84C17</stp>
        <tr r="Q84" s="1"/>
      </tp>
      <tp t="s">
        <v>ACT/ACT</v>
        <stp/>
        <stp>##V3_BDPV12</stp>
        <stp>912834PH Govt</stp>
        <stp>DAY_CNT_DES</stp>
        <stp>[STRIPS.xlsx]Sheet1!R91C17</stp>
        <tr r="Q91" s="1"/>
      </tp>
      <tp t="s">
        <v>ACT/ACT</v>
        <stp/>
        <stp>##V3_BDPV12</stp>
        <stp>912834PG Govt</stp>
        <stp>DAY_CNT_DES</stp>
        <stp>[STRIPS.xlsx]Sheet1!R83C17</stp>
        <tr r="Q83" s="1"/>
      </tp>
      <tp t="s">
        <v>ACT/ACT</v>
        <stp/>
        <stp>##V3_BDPV12</stp>
        <stp>912834PQ Govt</stp>
        <stp>DAY_CNT_DES</stp>
        <stp>[STRIPS.xlsx]Sheet1!R140C17</stp>
        <tr r="Q140" s="1"/>
      </tp>
      <tp t="s">
        <v>#N/A Field Not Applicable</v>
        <stp/>
        <stp>##V3_BDPV12</stp>
        <stp>912834WH Govt</stp>
        <stp>COUPON_FREQUENCY_DESCRIPTION</stp>
        <stp>[STRIPS.xlsx]Sheet1!R215C10</stp>
        <tr r="J215" s="1"/>
      </tp>
      <tp t="s">
        <v>#N/A Field Not Applicable</v>
        <stp/>
        <stp>##V3_BDPV12</stp>
        <stp>912833NH Govt</stp>
        <stp>COUPON_FREQUENCY_DESCRIPTION</stp>
        <stp>[STRIPS.xlsx]Sheet1!R237C10</stp>
        <tr r="J237" s="1"/>
      </tp>
      <tp t="s">
        <v>ACT/ACT</v>
        <stp/>
        <stp>##V3_BDPV12</stp>
        <stp>912833PR Govt</stp>
        <stp>DAY_CNT_DES</stp>
        <stp>[STRIPS.xlsx]Sheet1!R375C17</stp>
        <tr r="Q375" s="1"/>
      </tp>
      <tp t="s">
        <v>ACT/ACT</v>
        <stp/>
        <stp>##V3_BDPV12</stp>
        <stp>912833PT Govt</stp>
        <stp>DAY_CNT_DES</stp>
        <stp>[STRIPS.xlsx]Sheet1!R575C17</stp>
        <tr r="Q575" s="1"/>
      </tp>
      <tp t="s">
        <v>ACT/ACT</v>
        <stp/>
        <stp>##V3_BDPV12</stp>
        <stp>912834PS Govt</stp>
        <stp>DAY_CNT_DES</stp>
        <stp>[STRIPS.xlsx]Sheet1!R209C17</stp>
        <tr r="Q209" s="1"/>
      </tp>
      <tp t="s">
        <v>#N/A Field Not Applicable</v>
        <stp/>
        <stp>##V3_BDPV12</stp>
        <stp>912834AH Govt</stp>
        <stp>COUPON_FREQUENCY_DESCRIPTION</stp>
        <stp>[STRIPS.xlsx]Sheet1!R385C10</stp>
        <tr r="J385" s="1"/>
      </tp>
      <tp t="s">
        <v>#N/A Field Not Applicable</v>
        <stp/>
        <stp>##V3_BDPV12</stp>
        <stp>912834EH Govt</stp>
        <stp>COUPON_FREQUENCY_DESCRIPTION</stp>
        <stp>[STRIPS.xlsx]Sheet1!R309C10</stp>
        <tr r="J309" s="1"/>
      </tp>
      <tp t="s">
        <v>#N/A Field Not Applicable</v>
        <stp/>
        <stp>##V3_BDPV12</stp>
        <stp>912834LH Govt</stp>
        <stp>COUPON_FREQUENCY_DESCRIPTION</stp>
        <stp>[STRIPS.xlsx]Sheet1!R322C10</stp>
        <tr r="J322" s="1"/>
      </tp>
      <tp t="s">
        <v>#N/A Field Not Applicable</v>
        <stp/>
        <stp>##V3_BDPV12</stp>
        <stp>912834MH Govt</stp>
        <stp>COUPON_FREQUENCY_DESCRIPTION</stp>
        <stp>[STRIPS.xlsx]Sheet1!R326C10</stp>
        <tr r="J326" s="1"/>
      </tp>
      <tp t="s">
        <v>#N/A Field Not Applicable</v>
        <stp/>
        <stp>##V3_BDPV12</stp>
        <stp>912833PH Govt</stp>
        <stp>COUPON_FREQUENCY_DESCRIPTION</stp>
        <stp>[STRIPS.xlsx]Sheet1!R336C10</stp>
        <tr r="J336" s="1"/>
      </tp>
      <tp t="s">
        <v>#N/A Field Not Applicable</v>
        <stp/>
        <stp>##V3_BDPV12</stp>
        <stp>912834BH Govt</stp>
        <stp>COUPON_FREQUENCY_DESCRIPTION</stp>
        <stp>[STRIPS.xlsx]Sheet1!R351C10</stp>
        <tr r="J351" s="1"/>
      </tp>
      <tp t="s">
        <v>#N/A Field Not Applicable</v>
        <stp/>
        <stp>##V3_BDPV12</stp>
        <stp>912833MH Govt</stp>
        <stp>COUPON_FREQUENCY_DESCRIPTION</stp>
        <stp>[STRIPS.xlsx]Sheet1!R306C10</stp>
        <tr r="J306" s="1"/>
      </tp>
      <tp t="s">
        <v>ACT/ACT</v>
        <stp/>
        <stp>##V3_BDPV12</stp>
        <stp>912834PV Govt</stp>
        <stp>DAY_CNT_DES</stp>
        <stp>[STRIPS.xlsx]Sheet1!R479C17</stp>
        <tr r="Q479" s="1"/>
      </tp>
      <tp t="s">
        <v>ACT/ACT</v>
        <stp/>
        <stp>##V3_BDPV12</stp>
        <stp>912834PP Govt</stp>
        <stp>DAY_CNT_DES</stp>
        <stp>[STRIPS.xlsx]Sheet1!R276C17</stp>
        <tr r="Q276" s="1"/>
      </tp>
      <tp t="s">
        <v>ACT/ACT</v>
        <stp/>
        <stp>##V3_BDPV12</stp>
        <stp>912833PP Govt</stp>
        <stp>DAY_CNT_DES</stp>
        <stp>[STRIPS.xlsx]Sheet1!R337C17</stp>
        <tr r="Q337" s="1"/>
      </tp>
      <tp t="s">
        <v>ACT/ACT</v>
        <stp/>
        <stp>##V3_BDPV12</stp>
        <stp>912833PU Govt</stp>
        <stp>DAY_CNT_DES</stp>
        <stp>[STRIPS.xlsx]Sheet1!R683C17</stp>
        <tr r="Q683" s="1"/>
      </tp>
      <tp t="s">
        <v>#N/A Field Not Applicable</v>
        <stp/>
        <stp>##V3_BDPV12</stp>
        <stp>912834UH Govt</stp>
        <stp>COUPON_FREQUENCY_DESCRIPTION</stp>
        <stp>[STRIPS.xlsx]Sheet1!R105C10</stp>
        <tr r="J105" s="1"/>
      </tp>
      <tp t="s">
        <v>#N/A Field Not Applicable</v>
        <stp/>
        <stp>##V3_BDPV12</stp>
        <stp>912834VH Govt</stp>
        <stp>COUPON_FREQUENCY_DESCRIPTION</stp>
        <stp>[STRIPS.xlsx]Sheet1!R146C10</stp>
        <tr r="J146" s="1"/>
      </tp>
      <tp t="s">
        <v>#N/A Field Not Applicable</v>
        <stp/>
        <stp>##V3_BDPV12</stp>
        <stp>912834XH Govt</stp>
        <stp>COUPON_FREQUENCY_DESCRIPTION</stp>
        <stp>[STRIPS.xlsx]Sheet1!R150C10</stp>
        <tr r="J150" s="1"/>
      </tp>
      <tp t="s">
        <v>#N/A Field Not Applicable</v>
        <stp/>
        <stp>##V3_BDPV12</stp>
        <stp>912833ZH Govt</stp>
        <stp>COUPON_FREQUENCY_DESCRIPTION</stp>
        <stp>[STRIPS.xlsx]Sheet1!R698C10</stp>
        <tr r="J698" s="1"/>
      </tp>
      <tp t="s">
        <v>#N/A Field Not Applicable</v>
        <stp/>
        <stp>##V3_BDPV12</stp>
        <stp>912833RH Govt</stp>
        <stp>COUPON_FREQUENCY_DESCRIPTION</stp>
        <stp>[STRIPS.xlsx]Sheet1!R634C10</stp>
        <tr r="J634" s="1"/>
      </tp>
      <tp t="s">
        <v>#N/A Field Not Applicable</v>
        <stp/>
        <stp>##V3_BDPV12</stp>
        <stp>912833QH Govt</stp>
        <stp>COUPON_FREQUENCY_DESCRIPTION</stp>
        <stp>[STRIPS.xlsx]Sheet1!R630C10</stp>
        <tr r="J630" s="1"/>
      </tp>
      <tp t="s">
        <v>#N/A Field Not Applicable</v>
        <stp/>
        <stp>##V3_BDPV12</stp>
        <stp>912833CH Govt</stp>
        <stp>COUPON_FREQUENCY_DESCRIPTION</stp>
        <stp>[STRIPS.xlsx]Sheet1!R615C10</stp>
        <tr r="J615" s="1"/>
      </tp>
      <tp t="s">
        <v>#N/A Field Not Applicable</v>
        <stp/>
        <stp>##V3_BDPV12</stp>
        <stp>9128333H Govt</stp>
        <stp>COUPON_FREQUENCY_DESCRIPTION</stp>
        <stp>[STRIPS.xlsx]Sheet1!R600C10</stp>
        <tr r="J600" s="1"/>
      </tp>
      <tp t="s">
        <v>ACT/ACT</v>
        <stp/>
        <stp>##V3_BDPV12</stp>
        <stp>912834PT Govt</stp>
        <stp>DAY_CNT_DES</stp>
        <stp>[STRIPS.xlsx]Sheet1!R106C17</stp>
        <tr r="Q106" s="1"/>
      </tp>
      <tp t="s">
        <v>ACT/ACT</v>
        <stp/>
        <stp>##V3_BDPV12</stp>
        <stp>912833PW Govt</stp>
        <stp>DAY_CNT_DES</stp>
        <stp>[STRIPS.xlsx]Sheet1!R239C17</stp>
        <tr r="Q239" s="1"/>
      </tp>
      <tp t="s">
        <v>ACT/ACT</v>
        <stp/>
        <stp>##V3_BDPV12</stp>
        <stp>912833PV Govt</stp>
        <stp>DAY_CNT_DES</stp>
        <stp>[STRIPS.xlsx]Sheet1!R338C17</stp>
        <tr r="Q338" s="1"/>
      </tp>
      <tp t="s">
        <v>#N/A Field Not Applicable</v>
        <stp/>
        <stp>##V3_BDPV12</stp>
        <stp>9128335H Govt</stp>
        <stp>COUPON_FREQUENCY_DESCRIPTION</stp>
        <stp>[STRIPS.xlsx]Sheet1!R722C10</stp>
        <tr r="J722" s="1"/>
      </tp>
      <tp t="s">
        <v>#N/A Field Not Applicable</v>
        <stp/>
        <stp>##V3_BDPV12</stp>
        <stp>9128332H Govt</stp>
        <stp>COUPON_FREQUENCY_DESCRIPTION</stp>
        <stp>[STRIPS.xlsx]Sheet1!R718C10</stp>
        <tr r="J718" s="1"/>
      </tp>
      <tp t="s">
        <v>ACT/ACT</v>
        <stp/>
        <stp>##V3_BDPV12</stp>
        <stp>912834PW Govt</stp>
        <stp>DAY_CNT_DES</stp>
        <stp>[STRIPS.xlsx]Sheet1!R154C17</stp>
        <tr r="Q154" s="1"/>
      </tp>
      <tp t="s">
        <v>ACT/ACT</v>
        <stp/>
        <stp>##V3_BDPV12</stp>
        <stp>912833PS Govt</stp>
        <stp>DAY_CNT_DES</stp>
        <stp>[STRIPS.xlsx]Sheet1!R574C17</stp>
        <tr r="Q574" s="1"/>
      </tp>
      <tp t="s">
        <v>#N/A Field Not Applicable</v>
        <stp/>
        <stp>##V3_BDPV12</stp>
        <stp>912834RH Govt</stp>
        <stp>COUPON_FREQUENCY_DESCRIPTION</stp>
        <stp>[STRIPS.xlsx]Sheet1!R481C10</stp>
        <tr r="J481" s="1"/>
      </tp>
      <tp t="s">
        <v>#N/A Field Not Applicable</v>
        <stp/>
        <stp>##V3_BDPV12</stp>
        <stp>9128336H Govt</stp>
        <stp>COUPON_FREQUENCY_DESCRIPTION</stp>
        <stp>[STRIPS.xlsx]Sheet1!R495C10</stp>
        <tr r="J495" s="1"/>
      </tp>
      <tp t="s">
        <v>#N/A Field Not Applicable</v>
        <stp/>
        <stp>##V3_BDPV12</stp>
        <stp>9128334H Govt</stp>
        <stp>COUPON_FREQUENCY_DESCRIPTION</stp>
        <stp>[STRIPS.xlsx]Sheet1!R489C10</stp>
        <tr r="J489" s="1"/>
      </tp>
      <tp t="s">
        <v>#N/A Field Not Applicable</v>
        <stp/>
        <stp>##V3_BDPV12</stp>
        <stp>9128337H Govt</stp>
        <stp>COUPON_FREQUENCY_DESCRIPTION</stp>
        <stp>[STRIPS.xlsx]Sheet1!R431C10</stp>
        <tr r="J431" s="1"/>
      </tp>
      <tp t="s">
        <v>ACT/ACT</v>
        <stp/>
        <stp>##V3_BDPV12</stp>
        <stp>912834PR Govt</stp>
        <stp>DAY_CNT_DES</stp>
        <stp>[STRIPS.xlsx]Sheet1!R549C17</stp>
        <tr r="Q549" s="1"/>
      </tp>
      <tp t="s">
        <v>ACT/ACT</v>
        <stp/>
        <stp>##V3_BDPV12</stp>
        <stp>912834PU Govt</stp>
        <stp>DAY_CNT_DES</stp>
        <stp>[STRIPS.xlsx]Sheet1!R212C17</stp>
        <tr r="Q212" s="1"/>
      </tp>
      <tp t="s">
        <v>ACT/ACT</v>
        <stp/>
        <stp>##V3_BDPV12</stp>
        <stp>912833PQ Govt</stp>
        <stp>DAY_CNT_DES</stp>
        <stp>[STRIPS.xlsx]Sheet1!R682C17</stp>
        <tr r="Q682" s="1"/>
      </tp>
      <tp t="s">
        <v>#N/A Field Not Applicable</v>
        <stp/>
        <stp>##V3_BDPV12</stp>
        <stp>912833KH Govt</stp>
        <stp>COUPON_FREQUENCY_DESCRIPTION</stp>
        <stp>[STRIPS.xlsx]Sheet1!R565C10</stp>
        <tr r="J565" s="1"/>
      </tp>
      <tp t="s">
        <v>#N/A Field Not Applicable</v>
        <stp/>
        <stp>##V3_BDPV12</stp>
        <stp>912833FH Govt</stp>
        <stp>COUPON_FREQUENCY_DESCRIPTION</stp>
        <stp>[STRIPS.xlsx]Sheet1!R507C10</stp>
        <tr r="J507" s="1"/>
      </tp>
      <tp t="s">
        <v>#N/A Field Not Applicable</v>
        <stp/>
        <stp>##V3_BDPV12</stp>
        <stp>912833DH Govt</stp>
        <stp>COUPON_FREQUENCY_DESCRIPTION</stp>
        <stp>[STRIPS.xlsx]Sheet1!R506C10</stp>
        <tr r="J506" s="1"/>
      </tp>
      <tp t="s">
        <v>ACT/ACT</v>
        <stp/>
        <stp>##V3_BDPV12</stp>
        <stp>912833PZ Govt</stp>
        <stp>DAY_CNT_DES</stp>
        <stp>[STRIPS.xlsx]Sheet1!R240C17</stp>
        <tr r="Q240" s="1"/>
      </tp>
      <tp t="s">
        <v>ACT/ACT</v>
        <stp/>
        <stp>##V3_BDPV12</stp>
        <stp>912833PY Govt</stp>
        <stp>DAY_CNT_DES</stp>
        <stp>[STRIPS.xlsx]Sheet1!R340C17</stp>
        <tr r="Q340" s="1"/>
      </tp>
      <tp t="s">
        <v>ACT/ACT</v>
        <stp/>
        <stp>##V3_BDPV12</stp>
        <stp>912834PY Govt</stp>
        <stp>DAY_CNT_DES</stp>
        <stp>[STRIPS.xlsx]Sheet1!R202C17</stp>
        <tr r="Q202" s="1"/>
      </tp>
      <tp t="s">
        <v>ACT/ACT</v>
        <stp/>
        <stp>##V3_BDPV12</stp>
        <stp>912834PZ Govt</stp>
        <stp>DAY_CNT_DES</stp>
        <stp>[STRIPS.xlsx]Sheet1!R126C17</stp>
        <tr r="Q126" s="1"/>
      </tp>
      <tp t="s">
        <v>ACT/ACT</v>
        <stp/>
        <stp>##V3_BDPV12</stp>
        <stp>912833PX Govt</stp>
        <stp>DAY_CNT_DES</stp>
        <stp>[STRIPS.xlsx]Sheet1!R339C17</stp>
        <tr r="Q339" s="1"/>
      </tp>
      <tp t="s">
        <v>ACT/ACT</v>
        <stp/>
        <stp>##V3_BDPV12</stp>
        <stp>912834PX Govt</stp>
        <stp>DAY_CNT_DES</stp>
        <stp>[STRIPS.xlsx]Sheet1!R412C17</stp>
        <tr r="Q412" s="1"/>
      </tp>
      <tp t="s">
        <v>ACT/ACT</v>
        <stp/>
        <stp>##V3_BDPV12</stp>
        <stp>912833PF Govt</stp>
        <stp>DAY_CNT_DES</stp>
        <stp>[STRIPS.xlsx]Sheet1!R678C17</stp>
        <tr r="Q678" s="1"/>
      </tp>
      <tp t="s">
        <v>ACT/ACT</v>
        <stp/>
        <stp>##V3_BDPV12</stp>
        <stp>912834PD Govt</stp>
        <stp>DAY_CNT_DES</stp>
        <stp>[STRIPS.xlsx]Sheet1!R478C17</stp>
        <tr r="Q478" s="1"/>
      </tp>
      <tp t="s">
        <v>ACT/ACT</v>
        <stp/>
        <stp>##V3_BDPV12</stp>
        <stp>912834PA Govt</stp>
        <stp>DAY_CNT_DES</stp>
        <stp>[STRIPS.xlsx]Sheet1!R123C17</stp>
        <tr r="Q123" s="1"/>
      </tp>
      <tp t="s">
        <v>ACT/ACT</v>
        <stp/>
        <stp>##V3_BDPV12</stp>
        <stp>912833PG Govt</stp>
        <stp>DAY_CNT_DES</stp>
        <stp>[STRIPS.xlsx]Sheet1!R679C17</stp>
        <tr r="Q679" s="1"/>
      </tp>
      <tp t="s">
        <v>ACT/ACT</v>
        <stp/>
        <stp>##V3_BDPV12</stp>
        <stp>912834PC Govt</stp>
        <stp>DAY_CNT_DES</stp>
        <stp>[STRIPS.xlsx]Sheet1!R148C17</stp>
        <tr r="Q148" s="1"/>
      </tp>
      <tp t="s">
        <v>ACT/ACT</v>
        <stp/>
        <stp>##V3_BDPV12</stp>
        <stp>912834PF Govt</stp>
        <stp>DAY_CNT_DES</stp>
        <stp>[STRIPS.xlsx]Sheet1!R411C17</stp>
        <tr r="Q411" s="1"/>
      </tp>
      <tp t="s">
        <v>ACT/ACT</v>
        <stp/>
        <stp>##V3_BDPV12</stp>
        <stp>912834PB Govt</stp>
        <stp>DAY_CNT_DES</stp>
        <stp>[STRIPS.xlsx]Sheet1!R109C17</stp>
        <tr r="Q109" s="1"/>
      </tp>
      <tp t="s">
        <v>ACT/ACT</v>
        <stp/>
        <stp>##V3_BDPV12</stp>
        <stp>912834PE Govt</stp>
        <stp>DAY_CNT_DES</stp>
        <stp>[STRIPS.xlsx]Sheet1!R132C17</stp>
        <tr r="Q132" s="1"/>
      </tp>
      <tp t="s">
        <v>ACT/ACT</v>
        <stp/>
        <stp>##V3_BDPV12</stp>
        <stp>912834PK Govt</stp>
        <stp>DAY_CNT_DES</stp>
        <stp>[STRIPS.xlsx]Sheet1!R329C17</stp>
        <tr r="Q329" s="1"/>
      </tp>
      <tp t="s">
        <v>ACT/ACT</v>
        <stp/>
        <stp>##V3_BDPV12</stp>
        <stp>912833PN Govt</stp>
        <stp>DAY_CNT_DES</stp>
        <stp>[STRIPS.xlsx]Sheet1!R681C17</stp>
        <tr r="Q681" s="1"/>
      </tp>
      <tp t="s">
        <v>ACT/ACT</v>
        <stp/>
        <stp>##V3_BDPV12</stp>
        <stp>912834PJ Govt</stp>
        <stp>DAY_CNT_DES</stp>
        <stp>[STRIPS.xlsx]Sheet1!R144C17</stp>
        <tr r="Q144" s="1"/>
      </tp>
      <tp t="s">
        <v>ACT/ACT</v>
        <stp/>
        <stp>##V3_BDPV12</stp>
        <stp>912833PH Govt</stp>
        <stp>DAY_CNT_DES</stp>
        <stp>[STRIPS.xlsx]Sheet1!R336C17</stp>
        <tr r="Q336" s="1"/>
      </tp>
      <tp t="s">
        <v>ACT/ACT</v>
        <stp/>
        <stp>##V3_BDPV12</stp>
        <stp>912833PJ Govt</stp>
        <stp>DAY_CNT_DES</stp>
        <stp>[STRIPS.xlsx]Sheet1!R680C17</stp>
        <tr r="Q680" s="1"/>
      </tp>
      <tp t="s">
        <v>ACT/ACT</v>
        <stp/>
        <stp>##V3_BDPV12</stp>
        <stp>912834PL Govt</stp>
        <stp>DAY_CNT_DES</stp>
        <stp>[STRIPS.xlsx]Sheet1!R128C17</stp>
        <tr r="Q128" s="1"/>
      </tp>
      <tp t="s">
        <v>ACT/ACT</v>
        <stp/>
        <stp>##V3_BDPV12</stp>
        <stp>912833PK Govt</stp>
        <stp>DAY_CNT_DES</stp>
        <stp>[STRIPS.xlsx]Sheet1!R573C17</stp>
        <tr r="Q573" s="1"/>
      </tp>
      <tp t="s">
        <v>ACT/ACT</v>
        <stp/>
        <stp>##V3_BDPV12</stp>
        <stp>912834PN Govt</stp>
        <stp>DAY_CNT_DES</stp>
        <stp>[STRIPS.xlsx]Sheet1!R164C17</stp>
        <tr r="Q164" s="1"/>
      </tp>
      <tp t="s">
        <v>ACT/ACT</v>
        <stp/>
        <stp>##V3_BDPV12</stp>
        <stp>912833PL Govt</stp>
        <stp>DAY_CNT_DES</stp>
        <stp>[STRIPS.xlsx]Sheet1!R374C17</stp>
        <tr r="Q374" s="1"/>
      </tp>
      <tp t="s">
        <v>ACT/ACT</v>
        <stp/>
        <stp>##V3_BDPV12</stp>
        <stp>912833PM Govt</stp>
        <stp>DAY_CNT_DES</stp>
        <stp>[STRIPS.xlsx]Sheet1!R238C17</stp>
        <tr r="Q238" s="1"/>
      </tp>
      <tp t="s">
        <v>912834UQ9</v>
        <stp/>
        <stp>##V3_BDPV12</stp>
        <stp>912834UQ Govt</stp>
        <stp>ID_CUSIP</stp>
        <stp>[STRIPS.xlsx]Sheet1!R97C19</stp>
        <tr r="S97" s="1"/>
      </tp>
      <tp t="s">
        <v>912834UR7</v>
        <stp/>
        <stp>##V3_BDPV12</stp>
        <stp>912834UR Govt</stp>
        <stp>ID_CUSIP</stp>
        <stp>[STRIPS.xlsx]Sheet1!R65C19</stp>
        <tr r="S65" s="1"/>
      </tp>
      <tp t="s">
        <v>912834UY2</v>
        <stp/>
        <stp>##V3_BDPV12</stp>
        <stp>912834UY Govt</stp>
        <stp>ID_CUSIP</stp>
        <stp>[STRIPS.xlsx]Sheet1!R75C19</stp>
        <tr r="S75" s="1"/>
      </tp>
      <tp t="s">
        <v>#N/A Field Not Applicable</v>
        <stp/>
        <stp>##V3_BDPV12</stp>
        <stp>912834JB Govt</stp>
        <stp>IDX_RATIO</stp>
        <stp>[STRIPS.xlsx]Sheet1!R82C20</stp>
        <tr r="T82" s="1"/>
      </tp>
      <tp t="s">
        <v>#N/A Field Not Applicable</v>
        <stp/>
        <stp>##V3_BDPV12</stp>
        <stp>9128335B Govt</stp>
        <stp>IDX_RATIO</stp>
        <stp>[STRIPS.xlsx]Sheet1!R43C20</stp>
        <tr r="T43" s="1"/>
      </tp>
      <tp t="s">
        <v>#N/A Field Not Applicable</v>
        <stp/>
        <stp>##V3_BDPV12</stp>
        <stp>912833QB Govt</stp>
        <stp>IDX_RATIO</stp>
        <stp>[STRIPS.xlsx]Sheet1!R20C20</stp>
        <tr r="T20" s="1"/>
      </tp>
      <tp t="s">
        <v>#N/A Field Not Applicable</v>
        <stp/>
        <stp>##V3_BDPV12</stp>
        <stp>912834LB Govt</stp>
        <stp>IDX_RATIO</stp>
        <stp>[STRIPS.xlsx]Sheet1!R73C20</stp>
        <tr r="T73" s="1"/>
      </tp>
      <tp t="s">
        <v>912834UL0</v>
        <stp/>
        <stp>##V3_BDPV12</stp>
        <stp>912834UL Govt</stp>
        <stp>ID_CUSIP</stp>
        <stp>[STRIPS.xlsx]Sheet1!R88C19</stp>
        <tr r="S88" s="1"/>
      </tp>
      <tp t="s">
        <v>8/17/2009</v>
        <stp/>
        <stp>##V3_BDPV12</stp>
        <stp>912834EP Govt</stp>
        <stp>ISSUE_DT</stp>
        <stp>[STRIPS.xlsx]Sheet1!R77C15</stp>
        <tr r="O77" s="1"/>
      </tp>
      <tp t="s">
        <v>USD</v>
        <stp/>
        <stp>##V3_BDPV12</stp>
        <stp>912834SZ Govt</stp>
        <stp>CRNCY</stp>
        <stp>[STRIPS.xlsx]Sheet1!R94C7</stp>
        <tr r="G94" s="1"/>
      </tp>
      <tp t="s">
        <v>S</v>
        <stp/>
        <stp>##V3_BDPV12</stp>
        <stp>9128337Q Govt</stp>
        <stp>TICKER</stp>
        <stp>[STRIPS.xlsx]Sheet1!R29C2</stp>
        <tr r="B29" s="1"/>
      </tp>
      <tp t="s">
        <v>S</v>
        <stp/>
        <stp>##V3_BDPV12</stp>
        <stp>912833LX Govt</stp>
        <stp>TICKER</stp>
        <stp>[STRIPS.xlsx]Sheet1!R10C2</stp>
        <tr r="B10" s="1"/>
      </tp>
      <tp t="s">
        <v>USD</v>
        <stp/>
        <stp>##V3_BDPV12</stp>
        <stp>912834VV Govt</stp>
        <stp>CRNCY</stp>
        <stp>[STRIPS.xlsx]Sheet1!R51C7</stp>
        <tr r="G51" s="1"/>
      </tp>
      <tp t="s">
        <v>UNITED STATES</v>
        <stp/>
        <stp>##V3_BDPV12</stp>
        <stp>912833A3 Govt</stp>
        <stp>COUNTRY_FULL_NAME</stp>
        <stp>[STRIPS.xlsx]Sheet1!R731C8</stp>
        <tr r="H731" s="1"/>
      </tp>
      <tp t="s">
        <v>USD</v>
        <stp/>
        <stp>##V3_BDPV12</stp>
        <stp>912834QH Govt</stp>
        <stp>CRNCY</stp>
        <stp>[STRIPS.xlsx]Sheet1!R96C7</stp>
        <tr r="G96" s="1"/>
      </tp>
      <tp t="s">
        <v>USD</v>
        <stp/>
        <stp>##V3_BDPV12</stp>
        <stp>912834VM Govt</stp>
        <stp>CRNCY</stp>
        <stp>[STRIPS.xlsx]Sheet1!R81C7</stp>
        <tr r="G81" s="1"/>
      </tp>
      <tp t="s">
        <v>NORMAL</v>
        <stp/>
        <stp>##V3_BDPV12</stp>
        <stp>912833X9 Govt</stp>
        <stp>MTY_TYP</stp>
        <stp>[STRIPS.xlsx]Sheet1!R59C6</stp>
        <tr r="F59" s="1"/>
      </tp>
      <tp t="s">
        <v>NORMAL</v>
        <stp/>
        <stp>##V3_BDPV12</stp>
        <stp>912833LV Govt</stp>
        <stp>MTY_TYP</stp>
        <stp>[STRIPS.xlsx]Sheet1!R39C6</stp>
        <tr r="F39" s="1"/>
      </tp>
      <tp t="s">
        <v>NORMAL</v>
        <stp/>
        <stp>##V3_BDPV12</stp>
        <stp>912833LR Govt</stp>
        <stp>MTY_TYP</stp>
        <stp>[STRIPS.xlsx]Sheet1!R19C6</stp>
        <tr r="F19" s="1"/>
      </tp>
      <tp t="s">
        <v>NORMAL</v>
        <stp/>
        <stp>##V3_BDPV12</stp>
        <stp>9128337F Govt</stp>
        <stp>MTY_TYP</stp>
        <stp>[STRIPS.xlsx]Sheet1!R99C6</stp>
        <tr r="F99" s="1"/>
      </tp>
      <tp t="s">
        <v>NORMAL</v>
        <stp/>
        <stp>##V3_BDPV12</stp>
        <stp>9128337N Govt</stp>
        <stp>MTY_TYP</stp>
        <stp>[STRIPS.xlsx]Sheet1!R49C6</stp>
        <tr r="F49" s="1"/>
      </tp>
      <tp t="s">
        <v>NORMAL</v>
        <stp/>
        <stp>##V3_BDPV12</stp>
        <stp>9128337Q Govt</stp>
        <stp>MTY_TYP</stp>
        <stp>[STRIPS.xlsx]Sheet1!R29C6</stp>
        <tr r="F29" s="1"/>
      </tp>
      <tp t="s">
        <v>NORMAL</v>
        <stp/>
        <stp>##V3_BDPV12</stp>
        <stp>9128337W Govt</stp>
        <stp>MTY_TYP</stp>
        <stp>[STRIPS.xlsx]Sheet1!R79C6</stp>
        <tr r="F79" s="1"/>
      </tp>
      <tp t="s">
        <v>NORMAL</v>
        <stp/>
        <stp>##V3_BDPV12</stp>
        <stp>9128334V Govt</stp>
        <stp>MTY_TYP</stp>
        <stp>[STRIPS.xlsx]Sheet1!R69C6</stp>
        <tr r="F69" s="1"/>
      </tp>
      <tp t="s">
        <v>NORMAL</v>
        <stp/>
        <stp>##V3_BDPV12</stp>
        <stp>912834WJ Govt</stp>
        <stp>MTY_TYP</stp>
        <stp>[STRIPS.xlsx]Sheet1!R89C6</stp>
        <tr r="F89" s="1"/>
      </tp>
      <tp t="s">
        <v>#N/A Field Not Applicable</v>
        <stp/>
        <stp>##V3_BDPV12</stp>
        <stp>9128337K Govt</stp>
        <stp>COUPON_FREQUENCY_DESCRIPTION</stp>
        <stp>[STRIPS.xlsx]Sheet1!R292C10</stp>
        <tr r="J292" s="1"/>
      </tp>
      <tp t="s">
        <v>#N/A Field Not Applicable</v>
        <stp/>
        <stp>##V3_BDPV12</stp>
        <stp>912834AK Govt</stp>
        <stp>COUPON_FREQUENCY_DESCRIPTION</stp>
        <stp>[STRIPS.xlsx]Sheet1!R257C10</stp>
        <tr r="J257" s="1"/>
      </tp>
      <tp t="s">
        <v>#N/A Field Not Applicable</v>
        <stp/>
        <stp>##V3_BDPV12</stp>
        <stp>912834QK Govt</stp>
        <stp>COUPON_FREQUENCY_DESCRIPTION</stp>
        <stp>[STRIPS.xlsx]Sheet1!R278C10</stp>
        <tr r="J278" s="1"/>
      </tp>
      <tp t="s">
        <v>#N/A Field Not Applicable</v>
        <stp/>
        <stp>##V3_BDPV12</stp>
        <stp>912834EK Govt</stp>
        <stp>COUPON_FREQUENCY_DESCRIPTION</stp>
        <stp>[STRIPS.xlsx]Sheet1!R392C10</stp>
        <tr r="J392" s="1"/>
      </tp>
      <tp t="s">
        <v>#N/A Field Not Applicable</v>
        <stp/>
        <stp>##V3_BDPV12</stp>
        <stp>912833NK Govt</stp>
        <stp>COUPON_FREQUENCY_DESCRIPTION</stp>
        <stp>[STRIPS.xlsx]Sheet1!R372C10</stp>
        <tr r="J372" s="1"/>
      </tp>
      <tp t="s">
        <v>#N/A Field Not Applicable</v>
        <stp/>
        <stp>##V3_BDPV12</stp>
        <stp>912834BK Govt</stp>
        <stp>COUPON_FREQUENCY_DESCRIPTION</stp>
        <stp>[STRIPS.xlsx]Sheet1!R308C10</stp>
        <tr r="J308" s="1"/>
      </tp>
      <tp t="s">
        <v>#N/A Field Not Applicable</v>
        <stp/>
        <stp>##V3_BDPV12</stp>
        <stp>912834KK Govt</stp>
        <stp>COUPON_FREQUENCY_DESCRIPTION</stp>
        <stp>[STRIPS.xlsx]Sheet1!R317C10</stp>
        <tr r="J317" s="1"/>
      </tp>
      <tp t="s">
        <v>#N/A Field Not Applicable</v>
        <stp/>
        <stp>##V3_BDPV12</stp>
        <stp>912834PK Govt</stp>
        <stp>COUPON_FREQUENCY_DESCRIPTION</stp>
        <stp>[STRIPS.xlsx]Sheet1!R329C10</stp>
        <tr r="J329" s="1"/>
      </tp>
      <tp t="s">
        <v>#N/A Field Not Applicable</v>
        <stp/>
        <stp>##V3_BDPV12</stp>
        <stp>912833KK Govt</stp>
        <stp>COUPON_FREQUENCY_DESCRIPTION</stp>
        <stp>[STRIPS.xlsx]Sheet1!R301C10</stp>
        <tr r="J301" s="1"/>
      </tp>
      <tp t="s">
        <v>#N/A Field Not Applicable</v>
        <stp/>
        <stp>##V3_BDPV12</stp>
        <stp>912834RK Govt</stp>
        <stp>COUPON_FREQUENCY_DESCRIPTION</stp>
        <stp>[STRIPS.xlsx]Sheet1!R124C10</stp>
        <tr r="J124" s="1"/>
      </tp>
      <tp t="s">
        <v>#N/A Field Not Applicable</v>
        <stp/>
        <stp>##V3_BDPV12</stp>
        <stp>912833FK Govt</stp>
        <stp>COUPON_FREQUENCY_DESCRIPTION</stp>
        <stp>[STRIPS.xlsx]Sheet1!R662C10</stp>
        <tr r="J662" s="1"/>
      </tp>
      <tp t="s">
        <v>#N/A Field Not Applicable</v>
        <stp/>
        <stp>##V3_BDPV12</stp>
        <stp>9128333K Govt</stp>
        <stp>COUPON_FREQUENCY_DESCRIPTION</stp>
        <stp>[STRIPS.xlsx]Sheet1!R743C10</stp>
        <tr r="J743" s="1"/>
      </tp>
      <tp t="s">
        <v>#N/A Field Not Applicable</v>
        <stp/>
        <stp>##V3_BDPV12</stp>
        <stp>912833CK Govt</stp>
        <stp>COUPON_FREQUENCY_DESCRIPTION</stp>
        <stp>[STRIPS.xlsx]Sheet1!R733C10</stp>
        <tr r="J733" s="1"/>
      </tp>
      <tp t="s">
        <v>#N/A Field Not Applicable</v>
        <stp/>
        <stp>##V3_BDPV12</stp>
        <stp>912834WK Govt</stp>
        <stp>COUPON_FREQUENCY_DESCRIPTION</stp>
        <stp>[STRIPS.xlsx]Sheet1!R775C10</stp>
        <tr r="J775" s="1"/>
      </tp>
      <tp t="s">
        <v>#N/A Field Not Applicable</v>
        <stp/>
        <stp>##V3_BDPV12</stp>
        <stp>9128334K Govt</stp>
        <stp>COUPON_FREQUENCY_DESCRIPTION</stp>
        <stp>[STRIPS.xlsx]Sheet1!R490C10</stp>
        <tr r="J490" s="1"/>
      </tp>
      <tp t="s">
        <v>#N/A Field Not Applicable</v>
        <stp/>
        <stp>##V3_BDPV12</stp>
        <stp>9128335K Govt</stp>
        <stp>COUPON_FREQUENCY_DESCRIPTION</stp>
        <stp>[STRIPS.xlsx]Sheet1!R493C10</stp>
        <tr r="J493" s="1"/>
      </tp>
      <tp t="s">
        <v>#N/A Field Not Applicable</v>
        <stp/>
        <stp>##V3_BDPV12</stp>
        <stp>9128336K Govt</stp>
        <stp>COUPON_FREQUENCY_DESCRIPTION</stp>
        <stp>[STRIPS.xlsx]Sheet1!R496C10</stp>
        <tr r="J496" s="1"/>
      </tp>
      <tp t="s">
        <v>#N/A Field Not Applicable</v>
        <stp/>
        <stp>##V3_BDPV12</stp>
        <stp>912834MK Govt</stp>
        <stp>COUPON_FREQUENCY_DESCRIPTION</stp>
        <stp>[STRIPS.xlsx]Sheet1!R405C10</stp>
        <tr r="J405" s="1"/>
      </tp>
      <tp t="s">
        <v>#N/A Field Not Applicable</v>
        <stp/>
        <stp>##V3_BDPV12</stp>
        <stp>912834TK Govt</stp>
        <stp>COUPON_FREQUENCY_DESCRIPTION</stp>
        <stp>[STRIPS.xlsx]Sheet1!R425C10</stp>
        <tr r="J425" s="1"/>
      </tp>
      <tp t="s">
        <v>#N/A Field Not Applicable</v>
        <stp/>
        <stp>##V3_BDPV12</stp>
        <stp>912833MK Govt</stp>
        <stp>COUPON_FREQUENCY_DESCRIPTION</stp>
        <stp>[STRIPS.xlsx]Sheet1!R445C10</stp>
        <tr r="J445" s="1"/>
      </tp>
      <tp t="s">
        <v>#N/A Field Not Applicable</v>
        <stp/>
        <stp>##V3_BDPV12</stp>
        <stp>912834JK Govt</stp>
        <stp>COUPON_FREQUENCY_DESCRIPTION</stp>
        <stp>[STRIPS.xlsx]Sheet1!R466C10</stp>
        <tr r="J466" s="1"/>
      </tp>
      <tp t="s">
        <v>#N/A Field Not Applicable</v>
        <stp/>
        <stp>##V3_BDPV12</stp>
        <stp>912834NK Govt</stp>
        <stp>COUPON_FREQUENCY_DESCRIPTION</stp>
        <stp>[STRIPS.xlsx]Sheet1!R477C10</stp>
        <tr r="J477" s="1"/>
      </tp>
      <tp t="s">
        <v>#N/A Field Not Applicable</v>
        <stp/>
        <stp>##V3_BDPV12</stp>
        <stp>912833YK Govt</stp>
        <stp>COUPON_FREQUENCY_DESCRIPTION</stp>
        <stp>[STRIPS.xlsx]Sheet1!R584C10</stp>
        <tr r="J584" s="1"/>
      </tp>
      <tp t="s">
        <v>#N/A Field Not Applicable</v>
        <stp/>
        <stp>##V3_BDPV12</stp>
        <stp>912833PK Govt</stp>
        <stp>COUPON_FREQUENCY_DESCRIPTION</stp>
        <stp>[STRIPS.xlsx]Sheet1!R573C10</stp>
        <tr r="J573" s="1"/>
      </tp>
      <tp t="s">
        <v>#N/A Field Not Applicable</v>
        <stp/>
        <stp>##V3_BDPV12</stp>
        <stp>912833RK Govt</stp>
        <stp>COUPON_FREQUENCY_DESCRIPTION</stp>
        <stp>[STRIPS.xlsx]Sheet1!R578C10</stp>
        <tr r="J578" s="1"/>
      </tp>
      <tp t="s">
        <v>#N/A Field Not Applicable</v>
        <stp/>
        <stp>##V3_BDPV12</stp>
        <stp>912833QK Govt</stp>
        <stp>COUPON_FREQUENCY_DESCRIPTION</stp>
        <stp>[STRIPS.xlsx]Sheet1!R519C10</stp>
        <tr r="J519" s="1"/>
      </tp>
      <tp t="s">
        <v>11/15/2050</v>
        <stp/>
        <stp>##V3_BDPV12</stp>
        <stp>912834WJ Govt</stp>
        <stp>MATURITY</stp>
        <stp>[STRIPS.xlsx]Sheet1!R89C5</stp>
        <tr r="E89" s="1"/>
      </tp>
      <tp t="s">
        <v>912834VV7</v>
        <stp/>
        <stp>##V3_BDPV12</stp>
        <stp>912834VV Govt</stp>
        <stp>ID_CUSIP</stp>
        <stp>[STRIPS.xlsx]Sheet1!R51C19</stp>
        <tr r="S51" s="1"/>
      </tp>
      <tp t="s">
        <v>#N/A Field Not Applicable</v>
        <stp/>
        <stp>##V3_BDPV12</stp>
        <stp>9128335A Govt</stp>
        <stp>IDX_RATIO</stp>
        <stp>[STRIPS.xlsx]Sheet1!R42C20</stp>
        <tr r="T42" s="1"/>
      </tp>
      <tp t="s">
        <v>912834VM7</v>
        <stp/>
        <stp>##V3_BDPV12</stp>
        <stp>912834VM Govt</stp>
        <stp>ID_CUSIP</stp>
        <stp>[STRIPS.xlsx]Sheet1!R81C19</stp>
        <tr r="S81" s="1"/>
      </tp>
      <tp t="s">
        <v>USD</v>
        <stp/>
        <stp>##V3_BDPV12</stp>
        <stp>912833RZ Govt</stp>
        <stp>CRNCY</stp>
        <stp>[STRIPS.xlsx]Sheet1!R26C7</stp>
        <tr r="G26" s="1"/>
      </tp>
      <tp t="s">
        <v>S</v>
        <stp/>
        <stp>##V3_BDPV12</stp>
        <stp>912834LX Govt</stp>
        <stp>TICKER</stp>
        <stp>[STRIPS.xlsx]Sheet1!R93C2</stp>
        <tr r="B93" s="1"/>
      </tp>
      <tp t="s">
        <v>S</v>
        <stp/>
        <stp>##V3_BDPV12</stp>
        <stp>912834MZ Govt</stp>
        <stp>TICKER</stp>
        <stp>[STRIPS.xlsx]Sheet1!R71C2</stp>
        <tr r="B71" s="1"/>
      </tp>
      <tp t="s">
        <v>S</v>
        <stp/>
        <stp>##V3_BDPV12</stp>
        <stp>912833XZ Govt</stp>
        <stp>TICKER</stp>
        <stp>[STRIPS.xlsx]Sheet1!R31C2</stp>
        <tr r="B31" s="1"/>
      </tp>
      <tp t="s">
        <v>S</v>
        <stp/>
        <stp>##V3_BDPV12</stp>
        <stp>912833LR Govt</stp>
        <stp>TICKER</stp>
        <stp>[STRIPS.xlsx]Sheet1!R19C2</stp>
        <tr r="B19" s="1"/>
      </tp>
      <tp t="s">
        <v>USD</v>
        <stp/>
        <stp>##V3_BDPV12</stp>
        <stp>912834RR Govt</stp>
        <stp>CRNCY</stp>
        <stp>[STRIPS.xlsx]Sheet1!R86C7</stp>
        <tr r="G86" s="1"/>
      </tp>
      <tp t="s">
        <v>USD</v>
        <stp/>
        <stp>##V3_BDPV12</stp>
        <stp>912834TV Govt</stp>
        <stp>CRNCY</stp>
        <stp>[STRIPS.xlsx]Sheet1!R90C7</stp>
        <tr r="G90" s="1"/>
      </tp>
      <tp t="s">
        <v>UNITED STATES</v>
        <stp/>
        <stp>##V3_BDPV12</stp>
        <stp>912833Y6 Govt</stp>
        <stp>COUNTRY_FULL_NAME</stp>
        <stp>[STRIPS.xlsx]Sheet1!R247C8</stp>
        <tr r="H247" s="1"/>
      </tp>
      <tp t="s">
        <v>UNITED STATES</v>
        <stp/>
        <stp>##V3_BDPV12</stp>
        <stp>912833C3 Govt</stp>
        <stp>COUNTRY_FULL_NAME</stp>
        <stp>[STRIPS.xlsx]Sheet1!R362C8</stp>
        <tr r="H362" s="1"/>
      </tp>
      <tp t="s">
        <v>UNITED STATES</v>
        <stp/>
        <stp>##V3_BDPV12</stp>
        <stp>912833Z7 Govt</stp>
        <stp>COUNTRY_FULL_NAME</stp>
        <stp>[STRIPS.xlsx]Sheet1!R696C8</stp>
        <tr r="H696" s="1"/>
      </tp>
      <tp t="s">
        <v>UNITED STATES</v>
        <stp/>
        <stp>##V3_BDPV12</stp>
        <stp>912833B3 Govt</stp>
        <stp>COUNTRY_FULL_NAME</stp>
        <stp>[STRIPS.xlsx]Sheet1!R732C8</stp>
        <tr r="H732" s="1"/>
      </tp>
      <tp t="s">
        <v>USD</v>
        <stp/>
        <stp>##V3_BDPV12</stp>
        <stp>912834PM Govt</stp>
        <stp>CRNCY</stp>
        <stp>[STRIPS.xlsx]Sheet1!R84C7</stp>
        <tr r="G84" s="1"/>
      </tp>
      <tp t="s">
        <v>USD</v>
        <stp/>
        <stp>##V3_BDPV12</stp>
        <stp>912833PC Govt</stp>
        <stp>CRNCY</stp>
        <stp>[STRIPS.xlsx]Sheet1!R14C7</stp>
        <tr r="G14" s="1"/>
      </tp>
      <tp t="s">
        <v>ACT/ACT</v>
        <stp/>
        <stp>##V3_BDPV12</stp>
        <stp>912834RW Govt</stp>
        <stp>DAY_CNT_DES</stp>
        <stp>[STRIPS.xlsx]Sheet1!R753C17</stp>
        <tr r="Q753" s="1"/>
      </tp>
      <tp t="s">
        <v>#N/A Field Not Applicable</v>
        <stp/>
        <stp>##V3_BDPV12</stp>
        <stp>912833CJ Govt</stp>
        <stp>COUPON_FREQUENCY_DESCRIPTION</stp>
        <stp>[STRIPS.xlsx]Sheet1!R297C10</stp>
        <tr r="J297" s="1"/>
      </tp>
      <tp t="s">
        <v>#N/A Field Not Applicable</v>
        <stp/>
        <stp>##V3_BDPV12</stp>
        <stp>9128336J Govt</stp>
        <stp>COUPON_FREQUENCY_DESCRIPTION</stp>
        <stp>[STRIPS.xlsx]Sheet1!R289C10</stp>
        <tr r="J289" s="1"/>
      </tp>
      <tp t="s">
        <v>#N/A Field Not Applicable</v>
        <stp/>
        <stp>##V3_BDPV12</stp>
        <stp>912834RJ Govt</stp>
        <stp>COUPON_FREQUENCY_DESCRIPTION</stp>
        <stp>[STRIPS.xlsx]Sheet1!R203C10</stp>
        <tr r="J203" s="1"/>
      </tp>
      <tp t="s">
        <v>#N/A Field Not Applicable</v>
        <stp/>
        <stp>##V3_BDPV12</stp>
        <stp>912834QJ Govt</stp>
        <stp>COUPON_FREQUENCY_DESCRIPTION</stp>
        <stp>[STRIPS.xlsx]Sheet1!R213C10</stp>
        <tr r="J213" s="1"/>
      </tp>
      <tp t="s">
        <v>#N/A Field Not Applicable</v>
        <stp/>
        <stp>##V3_BDPV12</stp>
        <stp>912834MJ Govt</stp>
        <stp>COUPON_FREQUENCY_DESCRIPTION</stp>
        <stp>[STRIPS.xlsx]Sheet1!R233C10</stp>
        <tr r="J233" s="1"/>
      </tp>
      <tp t="s">
        <v>#N/A Field Not Applicable</v>
        <stp/>
        <stp>##V3_BDPV12</stp>
        <stp>912833RJ Govt</stp>
        <stp>COUPON_FREQUENCY_DESCRIPTION</stp>
        <stp>[STRIPS.xlsx]Sheet1!R245C10</stp>
        <tr r="J245" s="1"/>
      </tp>
      <tp t="s">
        <v>#N/A Field Not Applicable</v>
        <stp/>
        <stp>##V3_BDPV12</stp>
        <stp>912834KJ Govt</stp>
        <stp>COUPON_FREQUENCY_DESCRIPTION</stp>
        <stp>[STRIPS.xlsx]Sheet1!R267C10</stp>
        <tr r="J267" s="1"/>
      </tp>
      <tp t="s">
        <v>ACT/ACT</v>
        <stp/>
        <stp>##V3_BDPV12</stp>
        <stp>912833RT Govt</stp>
        <stp>DAY_CNT_DES</stp>
        <stp>[STRIPS.xlsx]Sheet1!R580C17</stp>
        <tr r="Q580" s="1"/>
      </tp>
      <tp t="s">
        <v>#N/A Field Not Applicable</v>
        <stp/>
        <stp>##V3_BDPV12</stp>
        <stp>912833MJ Govt</stp>
        <stp>COUPON_FREQUENCY_DESCRIPTION</stp>
        <stp>[STRIPS.xlsx]Sheet1!R370C10</stp>
        <tr r="J370" s="1"/>
      </tp>
      <tp t="s">
        <v>#N/A Field Not Applicable</v>
        <stp/>
        <stp>##V3_BDPV12</stp>
        <stp>912833NJ Govt</stp>
        <stp>COUPON_FREQUENCY_DESCRIPTION</stp>
        <stp>[STRIPS.xlsx]Sheet1!R334C10</stp>
        <tr r="J334" s="1"/>
      </tp>
      <tp t="s">
        <v>#N/A Field Not Applicable</v>
        <stp/>
        <stp>##V3_BDPV12</stp>
        <stp>912834BJ Govt</stp>
        <stp>COUPON_FREQUENCY_DESCRIPTION</stp>
        <stp>[STRIPS.xlsx]Sheet1!R352C10</stp>
        <tr r="J352" s="1"/>
      </tp>
      <tp t="s">
        <v>ACT/ACT</v>
        <stp/>
        <stp>##V3_BDPV12</stp>
        <stp>912834RU Govt</stp>
        <stp>DAY_CNT_DES</stp>
        <stp>[STRIPS.xlsx]Sheet1!R759C17</stp>
        <tr r="Q759" s="1"/>
      </tp>
      <tp t="s">
        <v>ACT/ACT</v>
        <stp/>
        <stp>##V3_BDPV12</stp>
        <stp>912834RS Govt</stp>
        <stp>DAY_CNT_DES</stp>
        <stp>[STRIPS.xlsx]Sheet1!R169C17</stp>
        <tr r="Q169" s="1"/>
      </tp>
      <tp t="s">
        <v>ACT/ACT</v>
        <stp/>
        <stp>##V3_BDPV12</stp>
        <stp>912834RV Govt</stp>
        <stp>DAY_CNT_DES</stp>
        <stp>[STRIPS.xlsx]Sheet1!R482C17</stp>
        <tr r="Q482" s="1"/>
      </tp>
      <tp t="s">
        <v>ACT/ACT</v>
        <stp/>
        <stp>##V3_BDPV12</stp>
        <stp>912834RQ Govt</stp>
        <stp>DAY_CNT_DES</stp>
        <stp>[STRIPS.xlsx]Sheet1!R204C17</stp>
        <tr r="Q204" s="1"/>
      </tp>
      <tp t="s">
        <v>ACT/ACT</v>
        <stp/>
        <stp>##V3_BDPV12</stp>
        <stp>912833RU Govt</stp>
        <stp>DAY_CNT_DES</stp>
        <stp>[STRIPS.xlsx]Sheet1!R635C17</stp>
        <tr r="Q635" s="1"/>
      </tp>
      <tp t="s">
        <v>ACT/ACT</v>
        <stp/>
        <stp>##V3_BDPV12</stp>
        <stp>912833RV Govt</stp>
        <stp>DAY_CNT_DES</stp>
        <stp>[STRIPS.xlsx]Sheet1!R581C17</stp>
        <tr r="Q581" s="1"/>
      </tp>
      <tp t="s">
        <v>#N/A Field Not Applicable</v>
        <stp/>
        <stp>##V3_BDPV12</stp>
        <stp>912834PJ Govt</stp>
        <stp>COUPON_FREQUENCY_DESCRIPTION</stp>
        <stp>[STRIPS.xlsx]Sheet1!R144C10</stp>
        <tr r="J144" s="1"/>
      </tp>
      <tp t="s">
        <v>ACT/ACT</v>
        <stp/>
        <stp>##V3_BDPV12</stp>
        <stp>912834RP Govt</stp>
        <stp>DAY_CNT_DES</stp>
        <stp>[STRIPS.xlsx]Sheet1!R416C17</stp>
        <tr r="Q416" s="1"/>
      </tp>
      <tp t="s">
        <v>ACT/ACT</v>
        <stp/>
        <stp>##V3_BDPV12</stp>
        <stp>912833RR Govt</stp>
        <stp>DAY_CNT_DES</stp>
        <stp>[STRIPS.xlsx]Sheet1!R693C17</stp>
        <tr r="Q693" s="1"/>
      </tp>
      <tp t="s">
        <v>#N/A Field Not Applicable</v>
        <stp/>
        <stp>##V3_BDPV12</stp>
        <stp>912833QJ Govt</stp>
        <stp>COUPON_FREQUENCY_DESCRIPTION</stp>
        <stp>[STRIPS.xlsx]Sheet1!R686C10</stp>
        <tr r="J686" s="1"/>
      </tp>
      <tp t="s">
        <v>#N/A Field Not Applicable</v>
        <stp/>
        <stp>##V3_BDPV12</stp>
        <stp>912833PJ Govt</stp>
        <stp>COUPON_FREQUENCY_DESCRIPTION</stp>
        <stp>[STRIPS.xlsx]Sheet1!R680C10</stp>
        <tr r="J680" s="1"/>
      </tp>
      <tp t="s">
        <v>#N/A Field Not Applicable</v>
        <stp/>
        <stp>##V3_BDPV12</stp>
        <stp>9128334J Govt</stp>
        <stp>COUPON_FREQUENCY_DESCRIPTION</stp>
        <stp>[STRIPS.xlsx]Sheet1!R605C10</stp>
        <tr r="J605" s="1"/>
      </tp>
      <tp t="s">
        <v>ACT/ACT</v>
        <stp/>
        <stp>##V3_BDPV12</stp>
        <stp>912833RW Govt</stp>
        <stp>DAY_CNT_DES</stp>
        <stp>[STRIPS.xlsx]Sheet1!R246C17</stp>
        <tr r="Q246" s="1"/>
      </tp>
      <tp t="s">
        <v>ACT/ACT</v>
        <stp/>
        <stp>##V3_BDPV12</stp>
        <stp>912833RP Govt</stp>
        <stp>DAY_CNT_DES</stp>
        <stp>[STRIPS.xlsx]Sheet1!R524C17</stp>
        <tr r="Q524" s="1"/>
      </tp>
      <tp t="s">
        <v>#N/A Field Not Applicable</v>
        <stp/>
        <stp>##V3_BDPV12</stp>
        <stp>912833FJ Govt</stp>
        <stp>COUPON_FREQUENCY_DESCRIPTION</stp>
        <stp>[STRIPS.xlsx]Sheet1!R737C10</stp>
        <tr r="J737" s="1"/>
      </tp>
      <tp t="s">
        <v>#N/A Field Not Applicable</v>
        <stp/>
        <stp>##V3_BDPV12</stp>
        <stp>9128337J Govt</stp>
        <stp>COUPON_FREQUENCY_DESCRIPTION</stp>
        <stp>[STRIPS.xlsx]Sheet1!R730C10</stp>
        <tr r="J730" s="1"/>
      </tp>
      <tp t="s">
        <v>#N/A Field Not Applicable</v>
        <stp/>
        <stp>##V3_BDPV12</stp>
        <stp>912834TJ Govt</stp>
        <stp>COUPON_FREQUENCY_DESCRIPTION</stp>
        <stp>[STRIPS.xlsx]Sheet1!R757C10</stp>
        <tr r="J757" s="1"/>
      </tp>
      <tp t="s">
        <v>#N/A Field Not Applicable</v>
        <stp/>
        <stp>##V3_BDPV12</stp>
        <stp>912834VJ Govt</stp>
        <stp>COUPON_FREQUENCY_DESCRIPTION</stp>
        <stp>[STRIPS.xlsx]Sheet1!R774C10</stp>
        <tr r="J774" s="1"/>
      </tp>
      <tp t="s">
        <v>ACT/ACT</v>
        <stp/>
        <stp>##V3_BDPV12</stp>
        <stp>912833RS Govt</stp>
        <stp>DAY_CNT_DES</stp>
        <stp>[STRIPS.xlsx]Sheet1!R525C17</stp>
        <tr r="Q525" s="1"/>
      </tp>
      <tp t="s">
        <v>ACT/ACT</v>
        <stp/>
        <stp>##V3_BDPV12</stp>
        <stp>912834RT Govt</stp>
        <stp>DAY_CNT_DES</stp>
        <stp>[STRIPS.xlsx]Sheet1!R280C17</stp>
        <tr r="Q280" s="1"/>
      </tp>
      <tp t="s">
        <v>#N/A Field Not Applicable</v>
        <stp/>
        <stp>##V3_BDPV12</stp>
        <stp>9128335J Govt</stp>
        <stp>COUPON_FREQUENCY_DESCRIPTION</stp>
        <stp>[STRIPS.xlsx]Sheet1!R492C10</stp>
        <tr r="J492" s="1"/>
      </tp>
      <tp t="s">
        <v>#N/A Field Not Applicable</v>
        <stp/>
        <stp>##V3_BDPV12</stp>
        <stp>912834LJ Govt</stp>
        <stp>COUPON_FREQUENCY_DESCRIPTION</stp>
        <stp>[STRIPS.xlsx]Sheet1!R403C10</stp>
        <tr r="J403" s="1"/>
      </tp>
      <tp t="s">
        <v>#N/A Field Not Applicable</v>
        <stp/>
        <stp>##V3_BDPV12</stp>
        <stp>912834NJ Govt</stp>
        <stp>COUPON_FREQUENCY_DESCRIPTION</stp>
        <stp>[STRIPS.xlsx]Sheet1!R420C10</stp>
        <tr r="J420" s="1"/>
      </tp>
      <tp t="s">
        <v>#N/A Field Not Applicable</v>
        <stp/>
        <stp>##V3_BDPV12</stp>
        <stp>9128333J Govt</stp>
        <stp>COUPON_FREQUENCY_DESCRIPTION</stp>
        <stp>[STRIPS.xlsx]Sheet1!R427C10</stp>
        <tr r="J427" s="1"/>
      </tp>
      <tp t="s">
        <v>#N/A Field Not Applicable</v>
        <stp/>
        <stp>##V3_BDPV12</stp>
        <stp>912834JJ Govt</stp>
        <stp>COUPON_FREQUENCY_DESCRIPTION</stp>
        <stp>[STRIPS.xlsx]Sheet1!R465C10</stp>
        <tr r="J465" s="1"/>
      </tp>
      <tp t="s">
        <v>ACT/ACT</v>
        <stp/>
        <stp>##V3_BDPV12</stp>
        <stp>912833RQ Govt</stp>
        <stp>DAY_CNT_DES</stp>
        <stp>[STRIPS.xlsx]Sheet1!R692C17</stp>
        <tr r="Q692" s="1"/>
      </tp>
      <tp t="s">
        <v>#N/A Field Not Applicable</v>
        <stp/>
        <stp>##V3_BDPV12</stp>
        <stp>912834AJ Govt</stp>
        <stp>COUPON_FREQUENCY_DESCRIPTION</stp>
        <stp>[STRIPS.xlsx]Sheet1!R591C10</stp>
        <tr r="J591" s="1"/>
      </tp>
      <tp t="s">
        <v>#N/A Field Not Applicable</v>
        <stp/>
        <stp>##V3_BDPV12</stp>
        <stp>912834EJ Govt</stp>
        <stp>COUPON_FREQUENCY_DESCRIPTION</stp>
        <stp>[STRIPS.xlsx]Sheet1!R595C10</stp>
        <tr r="J595" s="1"/>
      </tp>
      <tp t="s">
        <v>#N/A Field Not Applicable</v>
        <stp/>
        <stp>##V3_BDPV12</stp>
        <stp>9128332J Govt</stp>
        <stp>COUPON_FREQUENCY_DESCRIPTION</stp>
        <stp>[STRIPS.xlsx]Sheet1!R598C10</stp>
        <tr r="J598" s="1"/>
      </tp>
      <tp t="s">
        <v>#N/A Field Not Applicable</v>
        <stp/>
        <stp>##V3_BDPV12</stp>
        <stp>912833ZJ Govt</stp>
        <stp>COUPON_FREQUENCY_DESCRIPTION</stp>
        <stp>[STRIPS.xlsx]Sheet1!R527C10</stp>
        <tr r="J527" s="1"/>
      </tp>
      <tp t="s">
        <v>#N/A Field Not Applicable</v>
        <stp/>
        <stp>##V3_BDPV12</stp>
        <stp>912833KJ Govt</stp>
        <stp>COUPON_FREQUENCY_DESCRIPTION</stp>
        <stp>[STRIPS.xlsx]Sheet1!R512C10</stp>
        <tr r="J512" s="1"/>
      </tp>
      <tp t="s">
        <v>2/15/2048</v>
        <stp/>
        <stp>##V3_BDPV12</stp>
        <stp>912834TF Govt</stp>
        <stp>MATURITY</stp>
        <stp>[STRIPS.xlsx]Sheet1!R98C5</stp>
        <tr r="E98" s="1"/>
      </tp>
      <tp t="s">
        <v>ACT/ACT</v>
        <stp/>
        <stp>##V3_BDPV12</stp>
        <stp>912833RX Govt</stp>
        <stp>DAY_CNT_DES</stp>
        <stp>[STRIPS.xlsx]Sheet1!R449C17</stp>
        <tr r="Q449" s="1"/>
      </tp>
      <tp t="s">
        <v>2/28/2026</v>
        <stp/>
        <stp>##V3_BDPV12</stp>
        <stp>912834UL Govt</stp>
        <stp>MATURITY</stp>
        <stp>[STRIPS.xlsx]Sheet1!R88C5</stp>
        <tr r="E88" s="1"/>
      </tp>
      <tp t="s">
        <v>8/15/2050</v>
        <stp/>
        <stp>##V3_BDPV12</stp>
        <stp>912834WC Govt</stp>
        <stp>MATURITY</stp>
        <stp>[STRIPS.xlsx]Sheet1!R78C5</stp>
        <tr r="E78" s="1"/>
      </tp>
      <tp t="s">
        <v>11/15/2040</v>
        <stp/>
        <stp>##V3_BDPV12</stp>
        <stp>912834JH Govt</stp>
        <stp>MATURITY</stp>
        <stp>[STRIPS.xlsx]Sheet1!R68C5</stp>
        <tr r="E68" s="1"/>
      </tp>
      <tp t="s">
        <v>ACT/ACT</v>
        <stp/>
        <stp>##V3_BDPV12</stp>
        <stp>912833RA Govt</stp>
        <stp>DAY_CNT_DES</stp>
        <stp>[STRIPS.xlsx]Sheet1!R342C17</stp>
        <tr r="Q342" s="1"/>
      </tp>
      <tp t="s">
        <v>ACT/ACT</v>
        <stp/>
        <stp>##V3_BDPV12</stp>
        <stp>912834RF Govt</stp>
        <stp>DAY_CNT_DES</stp>
        <stp>[STRIPS.xlsx]Sheet1!R551C17</stp>
        <tr r="Q551" s="1"/>
      </tp>
      <tp t="s">
        <v>ACT/ACT</v>
        <stp/>
        <stp>##V3_BDPV12</stp>
        <stp>912834RA Govt</stp>
        <stp>DAY_CNT_DES</stp>
        <stp>[STRIPS.xlsx]Sheet1!R216C17</stp>
        <tr r="Q216" s="1"/>
      </tp>
      <tp t="s">
        <v>ACT/ACT</v>
        <stp/>
        <stp>##V3_BDPV12</stp>
        <stp>912834RB Govt</stp>
        <stp>DAY_CNT_DES</stp>
        <stp>[STRIPS.xlsx]Sheet1!R112C17</stp>
        <tr r="Q112" s="1"/>
      </tp>
      <tp t="s">
        <v>ACT/ACT</v>
        <stp/>
        <stp>##V3_BDPV12</stp>
        <stp>912833RF Govt</stp>
        <stp>DAY_CNT_DES</stp>
        <stp>[STRIPS.xlsx]Sheet1!R522C17</stp>
        <tr r="Q522" s="1"/>
      </tp>
      <tp t="s">
        <v>ACT/ACT</v>
        <stp/>
        <stp>##V3_BDPV12</stp>
        <stp>912833RE Govt</stp>
        <stp>DAY_CNT_DES</stp>
        <stp>[STRIPS.xlsx]Sheet1!R691C17</stp>
        <tr r="Q691" s="1"/>
      </tp>
      <tp t="s">
        <v>ACT/ACT</v>
        <stp/>
        <stp>##V3_BDPV12</stp>
        <stp>912834RE Govt</stp>
        <stp>DAY_CNT_DES</stp>
        <stp>[STRIPS.xlsx]Sheet1!R168C17</stp>
        <tr r="Q168" s="1"/>
      </tp>
      <tp t="s">
        <v>ACT/ACT</v>
        <stp/>
        <stp>##V3_BDPV12</stp>
        <stp>912833RB Govt</stp>
        <stp>DAY_CNT_DES</stp>
        <stp>[STRIPS.xlsx]Sheet1!R689C17</stp>
        <tr r="Q689" s="1"/>
      </tp>
      <tp t="s">
        <v>ACT/ACT</v>
        <stp/>
        <stp>##V3_BDPV12</stp>
        <stp>912833RG Govt</stp>
        <stp>DAY_CNT_DES</stp>
        <stp>[STRIPS.xlsx]Sheet1!R244C17</stp>
        <tr r="Q244" s="1"/>
      </tp>
      <tp t="s">
        <v>ACT/ACT</v>
        <stp/>
        <stp>##V3_BDPV12</stp>
        <stp>912834RG Govt</stp>
        <stp>DAY_CNT_DES</stp>
        <stp>[STRIPS.xlsx]Sheet1!R217C17</stp>
        <tr r="Q217" s="1"/>
      </tp>
      <tp t="s">
        <v>ACT/ACT</v>
        <stp/>
        <stp>##V3_BDPV12</stp>
        <stp>912833RC Govt</stp>
        <stp>DAY_CNT_DES</stp>
        <stp>[STRIPS.xlsx]Sheet1!R690C17</stp>
        <tr r="Q690" s="1"/>
      </tp>
      <tp t="s">
        <v>2/15/2044</v>
        <stp/>
        <stp>##V3_BDPV12</stp>
        <stp>912834NF Govt</stp>
        <stp>MATURITY</stp>
        <stp>[STRIPS.xlsx]Sheet1!R58C5</stp>
        <tr r="E58" s="1"/>
      </tp>
      <tp t="s">
        <v>ACT/ACT</v>
        <stp/>
        <stp>##V3_BDPV12</stp>
        <stp>912833RD Govt</stp>
        <stp>DAY_CNT_DES</stp>
        <stp>[STRIPS.xlsx]Sheet1!R380C17</stp>
        <tr r="Q380" s="1"/>
      </tp>
      <tp t="s">
        <v>ACT/ACT</v>
        <stp/>
        <stp>##V3_BDPV12</stp>
        <stp>912833RJ Govt</stp>
        <stp>DAY_CNT_DES</stp>
        <stp>[STRIPS.xlsx]Sheet1!R245C17</stp>
        <tr r="Q245" s="1"/>
      </tp>
      <tp t="s">
        <v>ACT/ACT</v>
        <stp/>
        <stp>##V3_BDPV12</stp>
        <stp>912834RJ Govt</stp>
        <stp>DAY_CNT_DES</stp>
        <stp>[STRIPS.xlsx]Sheet1!R203C17</stp>
        <tr r="Q203" s="1"/>
      </tp>
      <tp t="s">
        <v>ACT/ACT</v>
        <stp/>
        <stp>##V3_BDPV12</stp>
        <stp>912833RM Govt</stp>
        <stp>DAY_CNT_DES</stp>
        <stp>[STRIPS.xlsx]Sheet1!R448C17</stp>
        <tr r="Q448" s="1"/>
      </tp>
      <tp t="s">
        <v>ACT/ACT</v>
        <stp/>
        <stp>##V3_BDPV12</stp>
        <stp>912834RM Govt</stp>
        <stp>DAY_CNT_DES</stp>
        <stp>[STRIPS.xlsx]Sheet1!R415C17</stp>
        <tr r="Q415" s="1"/>
      </tp>
      <tp t="s">
        <v>ACT/ACT</v>
        <stp/>
        <stp>##V3_BDPV12</stp>
        <stp>912833RL Govt</stp>
        <stp>DAY_CNT_DES</stp>
        <stp>[STRIPS.xlsx]Sheet1!R523C17</stp>
        <tr r="Q523" s="1"/>
      </tp>
      <tp t="s">
        <v>ACT/ACT</v>
        <stp/>
        <stp>##V3_BDPV12</stp>
        <stp>912834RK Govt</stp>
        <stp>DAY_CNT_DES</stp>
        <stp>[STRIPS.xlsx]Sheet1!R124C17</stp>
        <tr r="Q124" s="1"/>
      </tp>
      <tp t="s">
        <v>ACT/ACT</v>
        <stp/>
        <stp>##V3_BDPV12</stp>
        <stp>912833RN Govt</stp>
        <stp>DAY_CNT_DES</stp>
        <stp>[STRIPS.xlsx]Sheet1!R579C17</stp>
        <tr r="Q579" s="1"/>
      </tp>
      <tp t="s">
        <v>ACT/ACT</v>
        <stp/>
        <stp>##V3_BDPV12</stp>
        <stp>912834RH Govt</stp>
        <stp>DAY_CNT_DES</stp>
        <stp>[STRIPS.xlsx]Sheet1!R481C17</stp>
        <tr r="Q481" s="1"/>
      </tp>
      <tp t="s">
        <v>ACT/ACT</v>
        <stp/>
        <stp>##V3_BDPV12</stp>
        <stp>912834RL Govt</stp>
        <stp>DAY_CNT_DES</stp>
        <stp>[STRIPS.xlsx]Sheet1!R198C17</stp>
        <tr r="Q198" s="1"/>
      </tp>
      <tp t="s">
        <v>ACT/ACT</v>
        <stp/>
        <stp>##V3_BDPV12</stp>
        <stp>912833RK Govt</stp>
        <stp>DAY_CNT_DES</stp>
        <stp>[STRIPS.xlsx]Sheet1!R578C17</stp>
        <tr r="Q578" s="1"/>
      </tp>
      <tp t="s">
        <v>ACT/ACT</v>
        <stp/>
        <stp>##V3_BDPV12</stp>
        <stp>912833RH Govt</stp>
        <stp>DAY_CNT_DES</stp>
        <stp>[STRIPS.xlsx]Sheet1!R634C17</stp>
        <tr r="Q634" s="1"/>
      </tp>
      <tp t="s">
        <v>ACT/ACT</v>
        <stp/>
        <stp>##V3_BDPV12</stp>
        <stp>912834RN Govt</stp>
        <stp>DAY_CNT_DES</stp>
        <stp>[STRIPS.xlsx]Sheet1!R194C17</stp>
        <tr r="Q194" s="1"/>
      </tp>
      <tp t="s">
        <v>912833WQ9</v>
        <stp/>
        <stp>##V3_BDPV12</stp>
        <stp>912833WQ Govt</stp>
        <stp>ID_CUSIP</stp>
        <stp>[STRIPS.xlsx]Sheet1!R24C19</stp>
        <tr r="S24" s="1"/>
      </tp>
      <tp t="s">
        <v>912834WR5</v>
        <stp/>
        <stp>##V3_BDPV12</stp>
        <stp>912834WR Govt</stp>
        <stp>ID_CUSIP</stp>
        <stp>[STRIPS.xlsx]Sheet1!R54C19</stp>
        <tr r="S54" s="1"/>
      </tp>
      <tp t="s">
        <v>912833WR7</v>
        <stp/>
        <stp>##V3_BDPV12</stp>
        <stp>912833WR Govt</stp>
        <stp>ID_CUSIP</stp>
        <stp>[STRIPS.xlsx]Sheet1!R52C19</stp>
        <tr r="S52" s="1"/>
      </tp>
      <tp t="s">
        <v>912834WC8</v>
        <stp/>
        <stp>##V3_BDPV12</stp>
        <stp>912834WC Govt</stp>
        <stp>ID_CUSIP</stp>
        <stp>[STRIPS.xlsx]Sheet1!R78C19</stp>
        <tr r="S78" s="1"/>
      </tp>
      <tp t="s">
        <v>912834WJ3</v>
        <stp/>
        <stp>##V3_BDPV12</stp>
        <stp>912834WJ Govt</stp>
        <stp>ID_CUSIP</stp>
        <stp>[STRIPS.xlsx]Sheet1!R89C19</stp>
        <tr r="S89" s="1"/>
      </tp>
      <tp t="s">
        <v>S</v>
        <stp/>
        <stp>##V3_BDPV12</stp>
        <stp>912833XX Govt</stp>
        <stp>TICKER</stp>
        <stp>[STRIPS.xlsx]Sheet1!R62C2</stp>
        <tr r="B62" s="1"/>
      </tp>
      <tp t="s">
        <v>USD</v>
        <stp/>
        <stp>##V3_BDPV12</stp>
        <stp>912833WR Govt</stp>
        <stp>CRNCY</stp>
        <stp>[STRIPS.xlsx]Sheet1!R52C7</stp>
        <tr r="G52" s="1"/>
      </tp>
      <tp t="s">
        <v>UNITED STATES</v>
        <stp/>
        <stp>##V3_BDPV12</stp>
        <stp>912833Y3 Govt</stp>
        <stp>COUNTRY_FULL_NAME</stp>
        <stp>[STRIPS.xlsx]Sheet1!R103C8</stp>
        <tr r="H103" s="1"/>
      </tp>
      <tp t="s">
        <v>UNITED STATES</v>
        <stp/>
        <stp>##V3_BDPV12</stp>
        <stp>912833Y8 Govt</stp>
        <stp>COUNTRY_FULL_NAME</stp>
        <stp>[STRIPS.xlsx]Sheet1!R248C8</stp>
        <tr r="H248" s="1"/>
      </tp>
      <tp t="s">
        <v>UNITED STATES</v>
        <stp/>
        <stp>##V3_BDPV12</stp>
        <stp>912833C5 Govt</stp>
        <stp>COUNTRY_FULL_NAME</stp>
        <stp>[STRIPS.xlsx]Sheet1!R435C8</stp>
        <tr r="H435" s="1"/>
      </tp>
      <tp t="s">
        <v>UNITED STATES</v>
        <stp/>
        <stp>##V3_BDPV12</stp>
        <stp>912834A2 Govt</stp>
        <stp>COUNTRY_FULL_NAME</stp>
        <stp>[STRIPS.xlsx]Sheet1!R122C8</stp>
        <tr r="H122" s="1"/>
      </tp>
      <tp t="s">
        <v>UNITED STATES</v>
        <stp/>
        <stp>##V3_BDPV12</stp>
        <stp>912833A9 Govt</stp>
        <stp>COUNTRY_FULL_NAME</stp>
        <stp>[STRIPS.xlsx]Sheet1!R609C8</stp>
        <tr r="H609" s="1"/>
      </tp>
      <tp t="s">
        <v>UNITED STATES</v>
        <stp/>
        <stp>##V3_BDPV12</stp>
        <stp>912833B4 Govt</stp>
        <stp>COUNTRY_FULL_NAME</stp>
        <stp>[STRIPS.xlsx]Sheet1!R654C8</stp>
        <tr r="H654" s="1"/>
      </tp>
      <tp t="s">
        <v>USD</v>
        <stp/>
        <stp>##V3_BDPV12</stp>
        <stp>912833PE Govt</stp>
        <stp>CRNCY</stp>
        <stp>[STRIPS.xlsx]Sheet1!R15C7</stp>
        <tr r="G15" s="1"/>
      </tp>
      <tp t="s">
        <v>ACT/ACT</v>
        <stp/>
        <stp>##V3_BDPV12</stp>
        <stp>912834MR Govt</stp>
        <stp>DAY_CNT_DES</stp>
        <stp>[STRIPS.xlsx]Sheet1!R272C17</stp>
        <tr r="Q272" s="1"/>
      </tp>
      <tp t="s">
        <v>ACT/ACT</v>
        <stp/>
        <stp>##V3_BDPV12</stp>
        <stp>912833MU Govt</stp>
        <stp>DAY_CNT_DES</stp>
        <stp>[STRIPS.xlsx]Sheet1!R515C17</stp>
        <tr r="Q515" s="1"/>
      </tp>
      <tp t="s">
        <v>ACT/ACT</v>
        <stp/>
        <stp>##V3_BDPV12</stp>
        <stp>912833MV Govt</stp>
        <stp>DAY_CNT_DES</stp>
        <stp>[STRIPS.xlsx]Sheet1!R626C17</stp>
        <tr r="Q626" s="1"/>
      </tp>
      <tp t="s">
        <v>#N/A Field Not Applicable</v>
        <stp/>
        <stp>##V3_BDPV12</stp>
        <stp>912833CU Govt</stp>
        <stp>COUPON_FREQUENCY_DESCRIPTION</stp>
        <stp>[STRIPS.xlsx]Sheet1!R299C10</stp>
        <tr r="J299" s="1"/>
      </tp>
      <tp t="s">
        <v>#N/A Field Not Applicable</v>
        <stp/>
        <stp>##V3_BDPV12</stp>
        <stp>912834QU Govt</stp>
        <stp>COUPON_FREQUENCY_DESCRIPTION</stp>
        <stp>[STRIPS.xlsx]Sheet1!R201C10</stp>
        <tr r="J201" s="1"/>
      </tp>
      <tp t="s">
        <v>#N/A Field Not Applicable</v>
        <stp/>
        <stp>##V3_BDPV12</stp>
        <stp>912834PU Govt</stp>
        <stp>COUPON_FREQUENCY_DESCRIPTION</stp>
        <stp>[STRIPS.xlsx]Sheet1!R212C10</stp>
        <tr r="J212" s="1"/>
      </tp>
      <tp t="s">
        <v>#N/A Field Not Applicable</v>
        <stp/>
        <stp>##V3_BDPV12</stp>
        <stp>912834HU Govt</stp>
        <stp>COUPON_FREQUENCY_DESCRIPTION</stp>
        <stp>[STRIPS.xlsx]Sheet1!R225C10</stp>
        <tr r="J225" s="1"/>
      </tp>
      <tp t="s">
        <v>#N/A Field Not Applicable</v>
        <stp/>
        <stp>##V3_BDPV12</stp>
        <stp>912834NU Govt</stp>
        <stp>COUPON_FREQUENCY_DESCRIPTION</stp>
        <stp>[STRIPS.xlsx]Sheet1!R274C10</stp>
        <tr r="J274" s="1"/>
      </tp>
      <tp t="s">
        <v>ACT/ACT</v>
        <stp/>
        <stp>##V3_BDPV12</stp>
        <stp>912833MW Govt</stp>
        <stp>DAY_CNT_DES</stp>
        <stp>[STRIPS.xlsx]Sheet1!R675C17</stp>
        <tr r="Q675" s="1"/>
      </tp>
      <tp t="s">
        <v>ACT/ACT</v>
        <stp/>
        <stp>##V3_BDPV12</stp>
        <stp>912834MU Govt</stp>
        <stp>DAY_CNT_DES</stp>
        <stp>[STRIPS.xlsx]Sheet1!R419C17</stp>
        <tr r="Q419" s="1"/>
      </tp>
      <tp t="s">
        <v>ACT/ACT</v>
        <stp/>
        <stp>##V3_BDPV12</stp>
        <stp>912833MR Govt</stp>
        <stp>DAY_CNT_DES</stp>
        <stp>[STRIPS.xlsx]Sheet1!R333C17</stp>
        <tr r="Q333" s="1"/>
      </tp>
      <tp t="s">
        <v>#N/A Field Not Applicable</v>
        <stp/>
        <stp>##V3_BDPV12</stp>
        <stp>912833JU Govt</stp>
        <stp>COUPON_FREQUENCY_DESCRIPTION</stp>
        <stp>[STRIPS.xlsx]Sheet1!R366C10</stp>
        <tr r="J366" s="1"/>
      </tp>
      <tp t="s">
        <v>#N/A Field Not Applicable</v>
        <stp/>
        <stp>##V3_BDPV12</stp>
        <stp>912833ZU Govt</stp>
        <stp>COUPON_FREQUENCY_DESCRIPTION</stp>
        <stp>[STRIPS.xlsx]Sheet1!R348C10</stp>
        <tr r="J348" s="1"/>
      </tp>
      <tp t="s">
        <v>#N/A Field Not Applicable</v>
        <stp/>
        <stp>##V3_BDPV12</stp>
        <stp>912834LU Govt</stp>
        <stp>COUPON_FREQUENCY_DESCRIPTION</stp>
        <stp>[STRIPS.xlsx]Sheet1!R359C10</stp>
        <tr r="J359" s="1"/>
      </tp>
      <tp t="s">
        <v>ACT/ACT</v>
        <stp/>
        <stp>##V3_BDPV12</stp>
        <stp>912833MT Govt</stp>
        <stp>DAY_CNT_DES</stp>
        <stp>[STRIPS.xlsx]Sheet1!R674C17</stp>
        <tr r="Q674" s="1"/>
      </tp>
      <tp t="s">
        <v>ACT/ACT</v>
        <stp/>
        <stp>##V3_BDPV12</stp>
        <stp>912833MP Govt</stp>
        <stp>DAY_CNT_DES</stp>
        <stp>[STRIPS.xlsx]Sheet1!R235C17</stp>
        <tr r="Q235" s="1"/>
      </tp>
      <tp t="s">
        <v>ACT/ACT</v>
        <stp/>
        <stp>##V3_BDPV12</stp>
        <stp>912834MV Govt</stp>
        <stp>DAY_CNT_DES</stp>
        <stp>[STRIPS.xlsx]Sheet1!R543C17</stp>
        <tr r="Q543" s="1"/>
      </tp>
      <tp t="s">
        <v>ACT/ACT</v>
        <stp/>
        <stp>##V3_BDPV12</stp>
        <stp>912833MQ Govt</stp>
        <stp>DAY_CNT_DES</stp>
        <stp>[STRIPS.xlsx]Sheet1!R236C17</stp>
        <tr r="Q236" s="1"/>
      </tp>
      <tp t="s">
        <v>#N/A Field Not Applicable</v>
        <stp/>
        <stp>##V3_BDPV12</stp>
        <stp>912834AU Govt</stp>
        <stp>COUPON_FREQUENCY_DESCRIPTION</stp>
        <stp>[STRIPS.xlsx]Sheet1!R125C10</stp>
        <tr r="J125" s="1"/>
      </tp>
      <tp t="s">
        <v>#N/A Field Not Applicable</v>
        <stp/>
        <stp>##V3_BDPV12</stp>
        <stp>912834WU Govt</stp>
        <stp>COUPON_FREQUENCY_DESCRIPTION</stp>
        <stp>[STRIPS.xlsx]Sheet1!R166C10</stp>
        <tr r="J166" s="1"/>
      </tp>
      <tp t="s">
        <v>#N/A Field Not Applicable</v>
        <stp/>
        <stp>##V3_BDPV12</stp>
        <stp>912834EU Govt</stp>
        <stp>COUPON_FREQUENCY_DESCRIPTION</stp>
        <stp>[STRIPS.xlsx]Sheet1!R175C10</stp>
        <tr r="J175" s="1"/>
      </tp>
      <tp t="s">
        <v>#N/A Field Not Applicable</v>
        <stp/>
        <stp>##V3_BDPV12</stp>
        <stp>9128334U Govt</stp>
        <stp>COUPON_FREQUENCY_DESCRIPTION</stp>
        <stp>[STRIPS.xlsx]Sheet1!R102C10</stp>
        <tr r="J102" s="1"/>
      </tp>
      <tp t="s">
        <v>#N/A Field Not Applicable</v>
        <stp/>
        <stp>##V3_BDPV12</stp>
        <stp>912833PU Govt</stp>
        <stp>COUPON_FREQUENCY_DESCRIPTION</stp>
        <stp>[STRIPS.xlsx]Sheet1!R683C10</stp>
        <tr r="J683" s="1"/>
      </tp>
      <tp t="s">
        <v>#N/A Field Not Applicable</v>
        <stp/>
        <stp>##V3_BDPV12</stp>
        <stp>912833QU Govt</stp>
        <stp>COUPON_FREQUENCY_DESCRIPTION</stp>
        <stp>[STRIPS.xlsx]Sheet1!R688C10</stp>
        <tr r="J688" s="1"/>
      </tp>
      <tp t="s">
        <v>#N/A Field Not Applicable</v>
        <stp/>
        <stp>##V3_BDPV12</stp>
        <stp>912833RU Govt</stp>
        <stp>COUPON_FREQUENCY_DESCRIPTION</stp>
        <stp>[STRIPS.xlsx]Sheet1!R635C10</stp>
        <tr r="J635" s="1"/>
      </tp>
      <tp t="s">
        <v>#N/A Field Not Applicable</v>
        <stp/>
        <stp>##V3_BDPV12</stp>
        <stp>9128336U Govt</stp>
        <stp>COUPON_FREQUENCY_DESCRIPTION</stp>
        <stp>[STRIPS.xlsx]Sheet1!R606C10</stp>
        <tr r="J606" s="1"/>
      </tp>
      <tp t="s">
        <v>ACT/ACT</v>
        <stp/>
        <stp>##V3_BDPV12</stp>
        <stp>912834MP Govt</stp>
        <stp>DAY_CNT_DES</stp>
        <stp>[STRIPS.xlsx]Sheet1!R542C17</stp>
        <tr r="Q542" s="1"/>
      </tp>
      <tp t="s">
        <v>ACT/ACT</v>
        <stp/>
        <stp>##V3_BDPV12</stp>
        <stp>912834MQ Govt</stp>
        <stp>DAY_CNT_DES</stp>
        <stp>[STRIPS.xlsx]Sheet1!R418C17</stp>
        <tr r="Q418" s="1"/>
      </tp>
      <tp t="s">
        <v>ACT/ACT</v>
        <stp/>
        <stp>##V3_BDPV12</stp>
        <stp>912833MS Govt</stp>
        <stp>DAY_CNT_DES</stp>
        <stp>[STRIPS.xlsx]Sheet1!R625C17</stp>
        <tr r="Q625" s="1"/>
      </tp>
      <tp t="s">
        <v>ACT/ACT</v>
        <stp/>
        <stp>##V3_BDPV12</stp>
        <stp>912834MW Govt</stp>
        <stp>DAY_CNT_DES</stp>
        <stp>[STRIPS.xlsx]Sheet1!R234C17</stp>
        <tr r="Q234" s="1"/>
      </tp>
      <tp t="s">
        <v>#N/A Field Not Applicable</v>
        <stp/>
        <stp>##V3_BDPV12</stp>
        <stp>912834TU Govt</stp>
        <stp>COUPON_FREQUENCY_DESCRIPTION</stp>
        <stp>[STRIPS.xlsx]Sheet1!R752C10</stp>
        <tr r="J752" s="1"/>
      </tp>
      <tp t="s">
        <v>#N/A Field Not Applicable</v>
        <stp/>
        <stp>##V3_BDPV12</stp>
        <stp>912834UU Govt</stp>
        <stp>COUPON_FREQUENCY_DESCRIPTION</stp>
        <stp>[STRIPS.xlsx]Sheet1!R755C10</stp>
        <tr r="J755" s="1"/>
      </tp>
      <tp t="s">
        <v>#N/A Field Not Applicable</v>
        <stp/>
        <stp>##V3_BDPV12</stp>
        <stp>912834RU Govt</stp>
        <stp>COUPON_FREQUENCY_DESCRIPTION</stp>
        <stp>[STRIPS.xlsx]Sheet1!R759C10</stp>
        <tr r="J759" s="1"/>
      </tp>
      <tp t="s">
        <v>#N/A Field Not Applicable</v>
        <stp/>
        <stp>##V3_BDPV12</stp>
        <stp>912834VU Govt</stp>
        <stp>COUPON_FREQUENCY_DESCRIPTION</stp>
        <stp>[STRIPS.xlsx]Sheet1!R769C10</stp>
        <tr r="J769" s="1"/>
      </tp>
      <tp t="s">
        <v>#N/A Field Not Applicable</v>
        <stp/>
        <stp>##V3_BDPV12</stp>
        <stp>9128335U Govt</stp>
        <stp>COUPON_FREQUENCY_DESCRIPTION</stp>
        <stp>[STRIPS.xlsx]Sheet1!R712C10</stp>
        <tr r="J712" s="1"/>
      </tp>
      <tp t="s">
        <v>#N/A Field Not Applicable</v>
        <stp/>
        <stp>##V3_BDPV12</stp>
        <stp>9128333U Govt</stp>
        <stp>COUPON_FREQUENCY_DESCRIPTION</stp>
        <stp>[STRIPS.xlsx]Sheet1!R706C10</stp>
        <tr r="J706" s="1"/>
      </tp>
      <tp t="s">
        <v>#N/A Field Not Applicable</v>
        <stp/>
        <stp>##V3_BDPV12</stp>
        <stp>912834KU Govt</stp>
        <stp>COUPON_FREQUENCY_DESCRIPTION</stp>
        <stp>[STRIPS.xlsx]Sheet1!R401C10</stp>
        <tr r="J401" s="1"/>
      </tp>
      <tp t="s">
        <v>#N/A Field Not Applicable</v>
        <stp/>
        <stp>##V3_BDPV12</stp>
        <stp>912834MU Govt</stp>
        <stp>COUPON_FREQUENCY_DESCRIPTION</stp>
        <stp>[STRIPS.xlsx]Sheet1!R419C10</stp>
        <tr r="J419" s="1"/>
      </tp>
      <tp t="s">
        <v>#N/A Field Not Applicable</v>
        <stp/>
        <stp>##V3_BDPV12</stp>
        <stp>912833KU Govt</stp>
        <stp>COUPON_FREQUENCY_DESCRIPTION</stp>
        <stp>[STRIPS.xlsx]Sheet1!R444C10</stp>
        <tr r="J444" s="1"/>
      </tp>
      <tp t="s">
        <v>ACT/ACT</v>
        <stp/>
        <stp>##V3_BDPV12</stp>
        <stp>912834MS Govt</stp>
        <stp>DAY_CNT_DES</stp>
        <stp>[STRIPS.xlsx]Sheet1!R406C17</stp>
        <tr r="Q406" s="1"/>
      </tp>
      <tp t="s">
        <v>#N/A Field Not Applicable</v>
        <stp/>
        <stp>##V3_BDPV12</stp>
        <stp>912833YU Govt</stp>
        <stp>COUPON_FREQUENCY_DESCRIPTION</stp>
        <stp>[STRIPS.xlsx]Sheet1!R586C10</stp>
        <tr r="J586" s="1"/>
      </tp>
      <tp t="s">
        <v>#N/A Field Not Applicable</v>
        <stp/>
        <stp>##V3_BDPV12</stp>
        <stp>912833MU Govt</stp>
        <stp>COUPON_FREQUENCY_DESCRIPTION</stp>
        <stp>[STRIPS.xlsx]Sheet1!R515C10</stp>
        <tr r="J515" s="1"/>
      </tp>
      <tp t="s">
        <v>#N/A Field Not Applicable</v>
        <stp/>
        <stp>##V3_BDPV12</stp>
        <stp>912833FU Govt</stp>
        <stp>COUPON_FREQUENCY_DESCRIPTION</stp>
        <stp>[STRIPS.xlsx]Sheet1!R509C10</stp>
        <tr r="J509" s="1"/>
      </tp>
      <tp t="s">
        <v>ACT/ACT</v>
        <stp/>
        <stp>##V3_BDPV12</stp>
        <stp>912834MY Govt</stp>
        <stp>DAY_CNT_DES</stp>
        <stp>[STRIPS.xlsx]Sheet1!R328C17</stp>
        <tr r="Q328" s="1"/>
      </tp>
      <tp t="s">
        <v>ACT/ACT</v>
        <stp/>
        <stp>##V3_BDPV12</stp>
        <stp>912834MX Govt</stp>
        <stp>DAY_CNT_DES</stp>
        <stp>[STRIPS.xlsx]Sheet1!R327C17</stp>
        <tr r="Q327" s="1"/>
      </tp>
      <tp t="s">
        <v>ACT/ACT</v>
        <stp/>
        <stp>##V3_BDPV12</stp>
        <stp>912833MY Govt</stp>
        <stp>DAY_CNT_DES</stp>
        <stp>[STRIPS.xlsx]Sheet1!R569C17</stp>
        <tr r="Q569" s="1"/>
      </tp>
      <tp t="s">
        <v>ACT/ACT</v>
        <stp/>
        <stp>##V3_BDPV12</stp>
        <stp>912833MZ Govt</stp>
        <stp>DAY_CNT_DES</stp>
        <stp>[STRIPS.xlsx]Sheet1!R628C17</stp>
        <tr r="Q628" s="1"/>
      </tp>
      <tp t="s">
        <v>ACT/ACT</v>
        <stp/>
        <stp>##V3_BDPV12</stp>
        <stp>912833MX Govt</stp>
        <stp>DAY_CNT_DES</stp>
        <stp>[STRIPS.xlsx]Sheet1!R627C17</stp>
        <tr r="Q627" s="1"/>
      </tp>
      <tp t="s">
        <v>ACT/ACT</v>
        <stp/>
        <stp>##V3_BDPV12</stp>
        <stp>912833ME Govt</stp>
        <stp>DAY_CNT_DES</stp>
        <stp>[STRIPS.xlsx]Sheet1!R567C17</stp>
        <tr r="Q567" s="1"/>
      </tp>
      <tp t="s">
        <v>ACT/ACT</v>
        <stp/>
        <stp>##V3_BDPV12</stp>
        <stp>912834MA Govt</stp>
        <stp>DAY_CNT_DES</stp>
        <stp>[STRIPS.xlsx]Sheet1!R172C17</stp>
        <tr r="Q172" s="1"/>
      </tp>
      <tp t="s">
        <v>ACT/ACT</v>
        <stp/>
        <stp>##V3_BDPV12</stp>
        <stp>912833MG Govt</stp>
        <stp>DAY_CNT_DES</stp>
        <stp>[STRIPS.xlsx]Sheet1!R514C17</stp>
        <tr r="Q514" s="1"/>
      </tp>
      <tp t="s">
        <v>ACT/ACT</v>
        <stp/>
        <stp>##V3_BDPV12</stp>
        <stp>912834MG Govt</stp>
        <stp>DAY_CNT_DES</stp>
        <stp>[STRIPS.xlsx]Sheet1!R271C17</stp>
        <tr r="Q271" s="1"/>
      </tp>
      <tp t="s">
        <v>ACT/ACT</v>
        <stp/>
        <stp>##V3_BDPV12</stp>
        <stp>912833MF Govt</stp>
        <stp>DAY_CNT_DES</stp>
        <stp>[STRIPS.xlsx]Sheet1!R305C17</stp>
        <tr r="Q305" s="1"/>
      </tp>
      <tp t="s">
        <v>ACT/ACT</v>
        <stp/>
        <stp>##V3_BDPV12</stp>
        <stp>912834MC Govt</stp>
        <stp>DAY_CNT_DES</stp>
        <stp>[STRIPS.xlsx]Sheet1!R541C17</stp>
        <tr r="Q541" s="1"/>
      </tp>
      <tp t="s">
        <v>ACT/ACT</v>
        <stp/>
        <stp>##V3_BDPV12</stp>
        <stp>912834MB Govt</stp>
        <stp>DAY_CNT_DES</stp>
        <stp>[STRIPS.xlsx]Sheet1!R540C17</stp>
        <tr r="Q540" s="1"/>
      </tp>
      <tp t="s">
        <v>ACT/ACT</v>
        <stp/>
        <stp>##V3_BDPV12</stp>
        <stp>912833MD Govt</stp>
        <stp>DAY_CNT_DES</stp>
        <stp>[STRIPS.xlsx]Sheet1!R304C17</stp>
        <tr r="Q304" s="1"/>
      </tp>
      <tp t="s">
        <v>ACT/ACT</v>
        <stp/>
        <stp>##V3_BDPV12</stp>
        <stp>912834ML Govt</stp>
        <stp>DAY_CNT_DES</stp>
        <stp>[STRIPS.xlsx]Sheet1!R475C17</stp>
        <tr r="Q475" s="1"/>
      </tp>
      <tp t="s">
        <v>ACT/ACT</v>
        <stp/>
        <stp>##V3_BDPV12</stp>
        <stp>912833MN Govt</stp>
        <stp>DAY_CNT_DES</stp>
        <stp>[STRIPS.xlsx]Sheet1!R624C17</stp>
        <tr r="Q624" s="1"/>
      </tp>
      <tp t="s">
        <v>ACT/ACT</v>
        <stp/>
        <stp>##V3_BDPV12</stp>
        <stp>912834MJ Govt</stp>
        <stp>DAY_CNT_DES</stp>
        <stp>[STRIPS.xlsx]Sheet1!R233C17</stp>
        <tr r="Q233" s="1"/>
      </tp>
      <tp t="s">
        <v>ACT/ACT</v>
        <stp/>
        <stp>##V3_BDPV12</stp>
        <stp>912833ML Govt</stp>
        <stp>DAY_CNT_DES</stp>
        <stp>[STRIPS.xlsx]Sheet1!R568C17</stp>
        <tr r="Q568" s="1"/>
      </tp>
      <tp t="s">
        <v>ACT/ACT</v>
        <stp/>
        <stp>##V3_BDPV12</stp>
        <stp>912833MJ Govt</stp>
        <stp>DAY_CNT_DES</stp>
        <stp>[STRIPS.xlsx]Sheet1!R370C17</stp>
        <tr r="Q370" s="1"/>
      </tp>
      <tp t="s">
        <v>ACT/ACT</v>
        <stp/>
        <stp>##V3_BDPV12</stp>
        <stp>912834MN Govt</stp>
        <stp>DAY_CNT_DES</stp>
        <stp>[STRIPS.xlsx]Sheet1!R417C17</stp>
        <tr r="Q417" s="1"/>
      </tp>
      <tp t="s">
        <v>ACT/ACT</v>
        <stp/>
        <stp>##V3_BDPV12</stp>
        <stp>912833MH Govt</stp>
        <stp>DAY_CNT_DES</stp>
        <stp>[STRIPS.xlsx]Sheet1!R306C17</stp>
        <tr r="Q306" s="1"/>
      </tp>
      <tp t="s">
        <v>ACT/ACT</v>
        <stp/>
        <stp>##V3_BDPV12</stp>
        <stp>912834MH Govt</stp>
        <stp>DAY_CNT_DES</stp>
        <stp>[STRIPS.xlsx]Sheet1!R326C17</stp>
        <tr r="Q326" s="1"/>
      </tp>
      <tp t="s">
        <v>ACT/ACT</v>
        <stp/>
        <stp>##V3_BDPV12</stp>
        <stp>912833MM Govt</stp>
        <stp>DAY_CNT_DES</stp>
        <stp>[STRIPS.xlsx]Sheet1!R371C17</stp>
        <tr r="Q371" s="1"/>
      </tp>
      <tp t="s">
        <v>ACT/ACT</v>
        <stp/>
        <stp>##V3_BDPV12</stp>
        <stp>912833MK Govt</stp>
        <stp>DAY_CNT_DES</stp>
        <stp>[STRIPS.xlsx]Sheet1!R445C17</stp>
        <tr r="Q445" s="1"/>
      </tp>
      <tp t="s">
        <v>ACT/ACT</v>
        <stp/>
        <stp>##V3_BDPV12</stp>
        <stp>912834MK Govt</stp>
        <stp>DAY_CNT_DES</stp>
        <stp>[STRIPS.xlsx]Sheet1!R405C17</stp>
        <tr r="Q405" s="1"/>
      </tp>
      <tp t="s">
        <v>2/16/1999</v>
        <stp/>
        <stp>##V3_BDPV12</stp>
        <stp>912833XN Govt</stp>
        <stp>ISSUE_DT</stp>
        <stp>[STRIPS.xlsx]Sheet1!R85C15</stp>
        <tr r="O85" s="1"/>
      </tp>
      <tp t="s">
        <v>912834HV3</v>
        <stp/>
        <stp>##V3_BDPV12</stp>
        <stp>912834HV Govt</stp>
        <stp>ID_CUSIP</stp>
        <stp>[STRIPS.xlsx]Sheet1!R70C19</stp>
        <tr r="S70" s="1"/>
      </tp>
      <tp t="s">
        <v>8/16/2021</v>
        <stp/>
        <stp>##V3_BDPV12</stp>
        <stp>912834XG Govt</stp>
        <stp>ISSUE_DT</stp>
        <stp>[STRIPS.xlsx]Sheet1!R32C15</stp>
        <tr r="O32" s="1"/>
      </tp>
      <tp t="s">
        <v>2/15/2001</v>
        <stp/>
        <stp>##V3_BDPV12</stp>
        <stp>912833XZ Govt</stp>
        <stp>ISSUE_DT</stp>
        <stp>[STRIPS.xlsx]Sheet1!R31C15</stp>
        <tr r="O31" s="1"/>
      </tp>
      <tp t="s">
        <v>2/15/2001</v>
        <stp/>
        <stp>##V3_BDPV12</stp>
        <stp>912833XX Govt</stp>
        <stp>ISSUE_DT</stp>
        <stp>[STRIPS.xlsx]Sheet1!R62C15</stp>
        <tr r="O62" s="1"/>
      </tp>
      <tp t="s">
        <v>2/15/2001</v>
        <stp/>
        <stp>##V3_BDPV12</stp>
        <stp>912833XY Govt</stp>
        <stp>ISSUE_DT</stp>
        <stp>[STRIPS.xlsx]Sheet1!R50C15</stp>
        <tr r="O50" s="1"/>
      </tp>
      <tp t="s">
        <v>2/15/2000</v>
        <stp/>
        <stp>##V3_BDPV12</stp>
        <stp>912833XT Govt</stp>
        <stp>ISSUE_DT</stp>
        <stp>[STRIPS.xlsx]Sheet1!R55C15</stp>
        <tr r="O55" s="1"/>
      </tp>
      <tp t="s">
        <v>2/15/2000</v>
        <stp/>
        <stp>##V3_BDPV12</stp>
        <stp>912833XU Govt</stp>
        <stp>ISSUE_DT</stp>
        <stp>[STRIPS.xlsx]Sheet1!R30C15</stp>
        <tr r="O30" s="1"/>
      </tp>
      <tp t="s">
        <v>2/15/2000</v>
        <stp/>
        <stp>##V3_BDPV12</stp>
        <stp>912833XS Govt</stp>
        <stp>ISSUE_DT</stp>
        <stp>[STRIPS.xlsx]Sheet1!R47C15</stp>
        <tr r="O47" s="1"/>
      </tp>
      <tp t="s">
        <v>8/16/1999</v>
        <stp/>
        <stp>##V3_BDPV12</stp>
        <stp>912833XP Govt</stp>
        <stp>ISSUE_DT</stp>
        <stp>[STRIPS.xlsx]Sheet1!R44C15</stp>
        <tr r="O44" s="1"/>
      </tp>
      <tp t="s">
        <v>USD</v>
        <stp/>
        <stp>##V3_BDPV12</stp>
        <stp>912833LY Govt</stp>
        <stp>CRNCY</stp>
        <stp>[STRIPS.xlsx]Sheet1!R16C7</stp>
        <tr r="G16" s="1"/>
      </tp>
      <tp t="s">
        <v>S</v>
        <stp/>
        <stp>##V3_BDPV12</stp>
        <stp>912834XG Govt</stp>
        <stp>TICKER</stp>
        <stp>[STRIPS.xlsx]Sheet1!R32C2</stp>
        <tr r="B32" s="1"/>
      </tp>
      <tp t="s">
        <v>8/15/2007</v>
        <stp/>
        <stp>##V3_BDPV12</stp>
        <stp>912833X8 Govt</stp>
        <stp>ISSUE_DT</stp>
        <stp>[STRIPS.xlsx]Sheet1!R66C15</stp>
        <tr r="O66" s="1"/>
      </tp>
      <tp t="s">
        <v>8/15/2007</v>
        <stp/>
        <stp>##V3_BDPV12</stp>
        <stp>912833X9 Govt</stp>
        <stp>ISSUE_DT</stp>
        <stp>[STRIPS.xlsx]Sheet1!R59C15</stp>
        <tr r="O59" s="1"/>
      </tp>
      <tp t="s">
        <v>USD</v>
        <stp/>
        <stp>##V3_BDPV12</stp>
        <stp>912833LL Govt</stp>
        <stp>CRNCY</stp>
        <stp>[STRIPS.xlsx]Sheet1!R36C7</stp>
        <tr r="G36" s="1"/>
      </tp>
      <tp t="s">
        <v>#N/A Field Not Applicable</v>
        <stp/>
        <stp>##V3_BDPV12</stp>
        <stp>912834TT Govt</stp>
        <stp>COUPON_FREQUENCY_DESCRIPTION</stp>
        <stp>[STRIPS.xlsx]Sheet1!R283C10</stp>
        <tr r="J283" s="1"/>
      </tp>
      <tp t="s">
        <v>#N/A Field Not Applicable</v>
        <stp/>
        <stp>##V3_BDPV12</stp>
        <stp>912834RT Govt</stp>
        <stp>COUPON_FREQUENCY_DESCRIPTION</stp>
        <stp>[STRIPS.xlsx]Sheet1!R280C10</stp>
        <tr r="J280" s="1"/>
      </tp>
      <tp t="s">
        <v>#N/A Field Not Applicable</v>
        <stp/>
        <stp>##V3_BDPV12</stp>
        <stp>912833YT Govt</stp>
        <stp>COUPON_FREQUENCY_DESCRIPTION</stp>
        <stp>[STRIPS.xlsx]Sheet1!R249C10</stp>
        <tr r="J249" s="1"/>
      </tp>
      <tp t="s">
        <v>ACT/ACT</v>
        <stp/>
        <stp>##V3_BDPV12</stp>
        <stp>912834LS Govt</stp>
        <stp>DAY_CNT_DES</stp>
        <stp>[STRIPS.xlsx]Sheet1!R270C17</stp>
        <tr r="Q270" s="1"/>
      </tp>
      <tp t="s">
        <v>#N/A Field Not Applicable</v>
        <stp/>
        <stp>##V3_BDPV12</stp>
        <stp>912834ET Govt</stp>
        <stp>COUPON_FREQUENCY_DESCRIPTION</stp>
        <stp>[STRIPS.xlsx]Sheet1!R393C10</stp>
        <tr r="J393" s="1"/>
      </tp>
      <tp t="s">
        <v>#N/A Field Not Applicable</v>
        <stp/>
        <stp>##V3_BDPV12</stp>
        <stp>912834KT Govt</stp>
        <stp>COUPON_FREQUENCY_DESCRIPTION</stp>
        <stp>[STRIPS.xlsx]Sheet1!R319C10</stp>
        <tr r="J319" s="1"/>
      </tp>
      <tp t="s">
        <v>#N/A Field Not Applicable</v>
        <stp/>
        <stp>##V3_BDPV12</stp>
        <stp>912833ZT Govt</stp>
        <stp>COUPON_FREQUENCY_DESCRIPTION</stp>
        <stp>[STRIPS.xlsx]Sheet1!R347C10</stp>
        <tr r="J347" s="1"/>
      </tp>
      <tp t="s">
        <v>#N/A Field Not Applicable</v>
        <stp/>
        <stp>##V3_BDPV12</stp>
        <stp>912834LT Govt</stp>
        <stp>COUPON_FREQUENCY_DESCRIPTION</stp>
        <stp>[STRIPS.xlsx]Sheet1!R358C10</stp>
        <tr r="J358" s="1"/>
      </tp>
      <tp t="s">
        <v>#N/A Field Not Applicable</v>
        <stp/>
        <stp>##V3_BDPV12</stp>
        <stp>912834HT Govt</stp>
        <stp>COUPON_FREQUENCY_DESCRIPTION</stp>
        <stp>[STRIPS.xlsx]Sheet1!R355C10</stp>
        <tr r="J355" s="1"/>
      </tp>
      <tp t="s">
        <v>#N/A Field Not Applicable</v>
        <stp/>
        <stp>##V3_BDPV12</stp>
        <stp>912833QT Govt</stp>
        <stp>COUPON_FREQUENCY_DESCRIPTION</stp>
        <stp>[STRIPS.xlsx]Sheet1!R307C10</stp>
        <tr r="J307" s="1"/>
      </tp>
      <tp t="s">
        <v>#N/A Field Not Applicable</v>
        <stp/>
        <stp>##V3_BDPV12</stp>
        <stp>912834UT Govt</stp>
        <stp>COUPON_FREQUENCY_DESCRIPTION</stp>
        <stp>[STRIPS.xlsx]Sheet1!R184C10</stp>
        <tr r="J184" s="1"/>
      </tp>
      <tp t="s">
        <v>#N/A Field Not Applicable</v>
        <stp/>
        <stp>##V3_BDPV12</stp>
        <stp>912834PT Govt</stp>
        <stp>COUPON_FREQUENCY_DESCRIPTION</stp>
        <stp>[STRIPS.xlsx]Sheet1!R106C10</stp>
        <tr r="J106" s="1"/>
      </tp>
      <tp t="s">
        <v>#N/A Field Not Applicable</v>
        <stp/>
        <stp>##V3_BDPV12</stp>
        <stp>912833KT Govt</stp>
        <stp>COUPON_FREQUENCY_DESCRIPTION</stp>
        <stp>[STRIPS.xlsx]Sheet1!R161C10</stp>
        <tr r="J161" s="1"/>
      </tp>
      <tp t="s">
        <v>#N/A Field Not Applicable</v>
        <stp/>
        <stp>##V3_BDPV12</stp>
        <stp>912833JT Govt</stp>
        <stp>COUPON_FREQUENCY_DESCRIPTION</stp>
        <stp>[STRIPS.xlsx]Sheet1!R156C10</stp>
        <tr r="J156" s="1"/>
      </tp>
      <tp t="s">
        <v>#N/A Field Not Applicable</v>
        <stp/>
        <stp>##V3_BDPV12</stp>
        <stp>9128337T Govt</stp>
        <stp>COUPON_FREQUENCY_DESCRIPTION</stp>
        <stp>[STRIPS.xlsx]Sheet1!R121C10</stp>
        <tr r="J121" s="1"/>
      </tp>
      <tp t="s">
        <v>#N/A Field Not Applicable</v>
        <stp/>
        <stp>##V3_BDPV12</stp>
        <stp>912834NT Govt</stp>
        <stp>COUPON_FREQUENCY_DESCRIPTION</stp>
        <stp>[STRIPS.xlsx]Sheet1!R174C10</stp>
        <tr r="J174" s="1"/>
      </tp>
      <tp t="s">
        <v>ACT/ACT</v>
        <stp/>
        <stp>##V3_BDPV12</stp>
        <stp>912834LW Govt</stp>
        <stp>DAY_CNT_DES</stp>
        <stp>[STRIPS.xlsx]Sheet1!R360C17</stp>
        <tr r="Q360" s="1"/>
      </tp>
      <tp t="s">
        <v>ACT/ACT</v>
        <stp/>
        <stp>##V3_BDPV12</stp>
        <stp>912834LP Govt</stp>
        <stp>DAY_CNT_DES</stp>
        <stp>[STRIPS.xlsx]Sheet1!R474C17</stp>
        <tr r="Q474" s="1"/>
      </tp>
      <tp t="s">
        <v>ACT/ACT</v>
        <stp/>
        <stp>##V3_BDPV12</stp>
        <stp>912834LV Govt</stp>
        <stp>DAY_CNT_DES</stp>
        <stp>[STRIPS.xlsx]Sheet1!R232C17</stp>
        <tr r="Q232" s="1"/>
      </tp>
      <tp t="s">
        <v>#N/A Field Not Applicable</v>
        <stp/>
        <stp>##V3_BDPV12</stp>
        <stp>912833MT Govt</stp>
        <stp>COUPON_FREQUENCY_DESCRIPTION</stp>
        <stp>[STRIPS.xlsx]Sheet1!R674C10</stp>
        <tr r="J674" s="1"/>
      </tp>
      <tp t="s">
        <v>#N/A Field Not Applicable</v>
        <stp/>
        <stp>##V3_BDPV12</stp>
        <stp>912833CT Govt</stp>
        <stp>COUPON_FREQUENCY_DESCRIPTION</stp>
        <stp>[STRIPS.xlsx]Sheet1!R657C10</stp>
        <tr r="J657" s="1"/>
      </tp>
      <tp t="s">
        <v>#N/A Field Not Applicable</v>
        <stp/>
        <stp>##V3_BDPV12</stp>
        <stp>912833FT Govt</stp>
        <stp>COUPON_FREQUENCY_DESCRIPTION</stp>
        <stp>[STRIPS.xlsx]Sheet1!R621C10</stp>
        <tr r="J621" s="1"/>
      </tp>
      <tp t="s">
        <v>ACT/ACT</v>
        <stp/>
        <stp>##V3_BDPV12</stp>
        <stp>912834LQ Govt</stp>
        <stp>DAY_CNT_DES</stp>
        <stp>[STRIPS.xlsx]Sheet1!R404C17</stp>
        <tr r="Q404" s="1"/>
      </tp>
      <tp t="s">
        <v>#N/A Field Not Applicable</v>
        <stp/>
        <stp>##V3_BDPV12</stp>
        <stp>9128336T Govt</stp>
        <stp>COUPON_FREQUENCY_DESCRIPTION</stp>
        <stp>[STRIPS.xlsx]Sheet1!R714C10</stp>
        <tr r="J714" s="1"/>
      </tp>
      <tp t="s">
        <v>#N/A Field Not Applicable</v>
        <stp/>
        <stp>##V3_BDPV12</stp>
        <stp>912834VT Govt</stp>
        <stp>COUPON_FREQUENCY_DESCRIPTION</stp>
        <stp>[STRIPS.xlsx]Sheet1!R773C10</stp>
        <tr r="J773" s="1"/>
      </tp>
      <tp t="s">
        <v>ACT/ACT</v>
        <stp/>
        <stp>##V3_BDPV12</stp>
        <stp>912834LU Govt</stp>
        <stp>DAY_CNT_DES</stp>
        <stp>[STRIPS.xlsx]Sheet1!R359C17</stp>
        <tr r="Q359" s="1"/>
      </tp>
      <tp t="s">
        <v>#N/A Field Not Applicable</v>
        <stp/>
        <stp>##V3_BDPV12</stp>
        <stp>9128333T Govt</stp>
        <stp>COUPON_FREQUENCY_DESCRIPTION</stp>
        <stp>[STRIPS.xlsx]Sheet1!R483C10</stp>
        <tr r="J483" s="1"/>
      </tp>
      <tp t="s">
        <v>#N/A Field Not Applicable</v>
        <stp/>
        <stp>##V3_BDPV12</stp>
        <stp>912834QT Govt</stp>
        <stp>COUPON_FREQUENCY_DESCRIPTION</stp>
        <stp>[STRIPS.xlsx]Sheet1!R414C10</stp>
        <tr r="J414" s="1"/>
      </tp>
      <tp t="s">
        <v>#N/A Field Not Applicable</v>
        <stp/>
        <stp>##V3_BDPV12</stp>
        <stp>912834JT Govt</stp>
        <stp>COUPON_FREQUENCY_DESCRIPTION</stp>
        <stp>[STRIPS.xlsx]Sheet1!R467C10</stp>
        <tr r="J467" s="1"/>
      </tp>
      <tp t="s">
        <v>ACT/ACT</v>
        <stp/>
        <stp>##V3_BDPV12</stp>
        <stp>912834LT Govt</stp>
        <stp>DAY_CNT_DES</stp>
        <stp>[STRIPS.xlsx]Sheet1!R358C17</stp>
        <tr r="Q358" s="1"/>
      </tp>
      <tp t="s">
        <v>#N/A Field Not Applicable</v>
        <stp/>
        <stp>##V3_BDPV12</stp>
        <stp>912833RT Govt</stp>
        <stp>COUPON_FREQUENCY_DESCRIPTION</stp>
        <stp>[STRIPS.xlsx]Sheet1!R580C10</stp>
        <tr r="J580" s="1"/>
      </tp>
      <tp t="s">
        <v>#N/A Field Not Applicable</v>
        <stp/>
        <stp>##V3_BDPV12</stp>
        <stp>912833PT Govt</stp>
        <stp>COUPON_FREQUENCY_DESCRIPTION</stp>
        <stp>[STRIPS.xlsx]Sheet1!R575C10</stp>
        <tr r="J575" s="1"/>
      </tp>
      <tp t="s">
        <v>#N/A Field Not Applicable</v>
        <stp/>
        <stp>##V3_BDPV12</stp>
        <stp>9128335T Govt</stp>
        <stp>COUPON_FREQUENCY_DESCRIPTION</stp>
        <stp>[STRIPS.xlsx]Sheet1!R556C10</stp>
        <tr r="J556" s="1"/>
      </tp>
      <tp t="s">
        <v>ACT/ACT</v>
        <stp/>
        <stp>##V3_BDPV12</stp>
        <stp>912834LZ Govt</stp>
        <stp>DAY_CNT_DES</stp>
        <stp>[STRIPS.xlsx]Sheet1!R325C17</stp>
        <tr r="Q325" s="1"/>
      </tp>
      <tp t="s">
        <v>ACT/ACT</v>
        <stp/>
        <stp>##V3_BDPV12</stp>
        <stp>912834LY Govt</stp>
        <stp>DAY_CNT_DES</stp>
        <stp>[STRIPS.xlsx]Sheet1!R539C17</stp>
        <tr r="Q539" s="1"/>
      </tp>
      <tp t="s">
        <v>ACT/ACT</v>
        <stp/>
        <stp>##V3_BDPV12</stp>
        <stp>912834LE Govt</stp>
        <stp>DAY_CNT_DES</stp>
        <stp>[STRIPS.xlsx]Sheet1!R473C17</stp>
        <tr r="Q473" s="1"/>
      </tp>
      <tp t="s">
        <v>ACT/ACT</v>
        <stp/>
        <stp>##V3_BDPV12</stp>
        <stp>912833LB Govt</stp>
        <stp>DAY_CNT_DES</stp>
        <stp>[STRIPS.xlsx]Sheet1!R332C17</stp>
        <tr r="Q332" s="1"/>
      </tp>
      <tp t="s">
        <v>ACT/ACT</v>
        <stp/>
        <stp>##V3_BDPV12</stp>
        <stp>912833LA Govt</stp>
        <stp>DAY_CNT_DES</stp>
        <stp>[STRIPS.xlsx]Sheet1!R369C17</stp>
        <tr r="Q369" s="1"/>
      </tp>
      <tp t="s">
        <v>ACT/ACT</v>
        <stp/>
        <stp>##V3_BDPV12</stp>
        <stp>912833LE Govt</stp>
        <stp>DAY_CNT_DES</stp>
        <stp>[STRIPS.xlsx]Sheet1!R153C17</stp>
        <tr r="Q153" s="1"/>
      </tp>
      <tp t="s">
        <v>ACT/ACT</v>
        <stp/>
        <stp>##V3_BDPV12</stp>
        <stp>912834LG Govt</stp>
        <stp>DAY_CNT_DES</stp>
        <stp>[STRIPS.xlsx]Sheet1!R321C17</stp>
        <tr r="Q321" s="1"/>
      </tp>
      <tp t="s">
        <v>ACT/ACT</v>
        <stp/>
        <stp>##V3_BDPV12</stp>
        <stp>912833LD Govt</stp>
        <stp>DAY_CNT_DES</stp>
        <stp>[STRIPS.xlsx]Sheet1!R151C17</stp>
        <tr r="Q151" s="1"/>
      </tp>
      <tp t="s">
        <v>ACT/ACT</v>
        <stp/>
        <stp>##V3_BDPV12</stp>
        <stp>912833LC Govt</stp>
        <stp>DAY_CNT_DES</stp>
        <stp>[STRIPS.xlsx]Sheet1!R673C17</stp>
        <tr r="Q673" s="1"/>
      </tp>
      <tp t="s">
        <v>ACT/ACT</v>
        <stp/>
        <stp>##V3_BDPV12</stp>
        <stp>912834LA Govt</stp>
        <stp>DAY_CNT_DES</stp>
        <stp>[STRIPS.xlsx]Sheet1!R402C17</stp>
        <tr r="Q402" s="1"/>
      </tp>
      <tp t="s">
        <v>ACT/ACT</v>
        <stp/>
        <stp>##V3_BDPV12</stp>
        <stp>912834LF Govt</stp>
        <stp>DAY_CNT_DES</stp>
        <stp>[STRIPS.xlsx]Sheet1!R320C17</stp>
        <tr r="Q320" s="1"/>
      </tp>
      <tp t="s">
        <v>ACT/ACT</v>
        <stp/>
        <stp>##V3_BDPV12</stp>
        <stp>912834LH Govt</stp>
        <stp>DAY_CNT_DES</stp>
        <stp>[STRIPS.xlsx]Sheet1!R322C17</stp>
        <tr r="Q322" s="1"/>
      </tp>
      <tp t="s">
        <v>ACT/ACT</v>
        <stp/>
        <stp>##V3_BDPV12</stp>
        <stp>912834LN Govt</stp>
        <stp>DAY_CNT_DES</stp>
        <stp>[STRIPS.xlsx]Sheet1!R231C17</stp>
        <tr r="Q231" s="1"/>
      </tp>
      <tp t="s">
        <v>ACT/ACT</v>
        <stp/>
        <stp>##V3_BDPV12</stp>
        <stp>912834LJ Govt</stp>
        <stp>DAY_CNT_DES</stp>
        <stp>[STRIPS.xlsx]Sheet1!R403C17</stp>
        <tr r="Q403" s="1"/>
      </tp>
      <tp t="s">
        <v>ACT/ACT</v>
        <stp/>
        <stp>##V3_BDPV12</stp>
        <stp>912834LM Govt</stp>
        <stp>DAY_CNT_DES</stp>
        <stp>[STRIPS.xlsx]Sheet1!R324C17</stp>
        <tr r="Q324" s="1"/>
      </tp>
      <tp t="s">
        <v>ACT/ACT</v>
        <stp/>
        <stp>##V3_BDPV12</stp>
        <stp>912834LL Govt</stp>
        <stp>DAY_CNT_DES</stp>
        <stp>[STRIPS.xlsx]Sheet1!R323C17</stp>
        <tr r="Q323" s="1"/>
      </tp>
      <tp t="s">
        <v>USD</v>
        <stp/>
        <stp>##V3_BDPV12</stp>
        <stp>912833LS Govt</stp>
        <stp>CRNCY</stp>
        <stp>[STRIPS.xlsx]Sheet1!R37C7</stp>
        <tr r="G37" s="1"/>
      </tp>
      <tp t="s">
        <v>S</v>
        <stp/>
        <stp>##V3_BDPV12</stp>
        <stp>912834UL Govt</stp>
        <stp>TICKER</stp>
        <stp>[STRIPS.xlsx]Sheet1!R88C2</stp>
        <tr r="B88" s="1"/>
      </tp>
      <tp t="s">
        <v>S</v>
        <stp/>
        <stp>##V3_BDPV12</stp>
        <stp>912834PG Govt</stp>
        <stp>TICKER</stp>
        <stp>[STRIPS.xlsx]Sheet1!R83C2</stp>
        <tr r="B83" s="1"/>
      </tp>
      <tp t="s">
        <v>S</v>
        <stp/>
        <stp>##V3_BDPV12</stp>
        <stp>912833LG Govt</stp>
        <stp>TICKER</stp>
        <stp>[STRIPS.xlsx]Sheet1!R33C2</stp>
        <tr r="B33" s="1"/>
      </tp>
      <tp t="s">
        <v>USD</v>
        <stp/>
        <stp>##V3_BDPV12</stp>
        <stp>912833LM Govt</stp>
        <stp>CRNCY</stp>
        <stp>[STRIPS.xlsx]Sheet1!R17C7</stp>
        <tr r="G17" s="1"/>
      </tp>
      <tp t="s">
        <v>8/15/2007</v>
        <stp/>
        <stp>##V3_BDPV12</stp>
        <stp>912833Y4 Govt</stp>
        <stp>ISSUE_DT</stp>
        <stp>[STRIPS.xlsx]Sheet1!R60C15</stp>
        <tr r="O60" s="1"/>
      </tp>
      <tp t="s">
        <v>8/15/2007</v>
        <stp/>
        <stp>##V3_BDPV12</stp>
        <stp>912833Y2 Govt</stp>
        <stp>ISSUE_DT</stp>
        <stp>[STRIPS.xlsx]Sheet1!R27C15</stp>
        <tr r="O27" s="1"/>
      </tp>
      <tp t="s">
        <v>#N/A Field Not Applicable</v>
        <stp/>
        <stp>##V3_BDPV12</stp>
        <stp>912834JW Govt</stp>
        <stp>COUPON_FREQUENCY_DESCRIPTION</stp>
        <stp>[STRIPS.xlsx]Sheet1!R210C10</stp>
        <tr r="J210" s="1"/>
      </tp>
      <tp t="s">
        <v>#N/A Field Not Applicable</v>
        <stp/>
        <stp>##V3_BDPV12</stp>
        <stp>912834MW Govt</stp>
        <stp>COUPON_FREQUENCY_DESCRIPTION</stp>
        <stp>[STRIPS.xlsx]Sheet1!R234C10</stp>
        <tr r="J234" s="1"/>
      </tp>
      <tp t="s">
        <v>#N/A Field Not Applicable</v>
        <stp/>
        <stp>##V3_BDPV12</stp>
        <stp>912833RW Govt</stp>
        <stp>COUPON_FREQUENCY_DESCRIPTION</stp>
        <stp>[STRIPS.xlsx]Sheet1!R246C10</stp>
        <tr r="J246" s="1"/>
      </tp>
      <tp t="s">
        <v>#N/A Field Not Applicable</v>
        <stp/>
        <stp>##V3_BDPV12</stp>
        <stp>912833PW Govt</stp>
        <stp>COUPON_FREQUENCY_DESCRIPTION</stp>
        <stp>[STRIPS.xlsx]Sheet1!R239C10</stp>
        <tr r="J239" s="1"/>
      </tp>
      <tp t="s">
        <v>#N/A Field Not Applicable</v>
        <stp/>
        <stp>##V3_BDPV12</stp>
        <stp>912834DW Govt</stp>
        <stp>COUPON_FREQUENCY_DESCRIPTION</stp>
        <stp>[STRIPS.xlsx]Sheet1!R390C10</stp>
        <tr r="J390" s="1"/>
      </tp>
      <tp t="s">
        <v>#N/A Field Not Applicable</v>
        <stp/>
        <stp>##V3_BDPV12</stp>
        <stp>912833QW Govt</stp>
        <stp>COUPON_FREQUENCY_DESCRIPTION</stp>
        <stp>[STRIPS.xlsx]Sheet1!R378C10</stp>
        <tr r="J378" s="1"/>
      </tp>
      <tp t="s">
        <v>#N/A Field Not Applicable</v>
        <stp/>
        <stp>##V3_BDPV12</stp>
        <stp>912834EW Govt</stp>
        <stp>COUPON_FREQUENCY_DESCRIPTION</stp>
        <stp>[STRIPS.xlsx]Sheet1!R312C10</stp>
        <tr r="J312" s="1"/>
      </tp>
      <tp t="s">
        <v>#N/A Field Not Applicable</v>
        <stp/>
        <stp>##V3_BDPV12</stp>
        <stp>912834LW Govt</stp>
        <stp>COUPON_FREQUENCY_DESCRIPTION</stp>
        <stp>[STRIPS.xlsx]Sheet1!R360C10</stp>
        <tr r="J360" s="1"/>
      </tp>
      <tp t="s">
        <v>#N/A Field Not Applicable</v>
        <stp/>
        <stp>##V3_BDPV12</stp>
        <stp>912834WW Govt</stp>
        <stp>COUPON_FREQUENCY_DESCRIPTION</stp>
        <stp>[STRIPS.xlsx]Sheet1!R185C10</stp>
        <tr r="J185" s="1"/>
      </tp>
      <tp t="s">
        <v>#N/A Field Not Applicable</v>
        <stp/>
        <stp>##V3_BDPV12</stp>
        <stp>912833KW Govt</stp>
        <stp>COUPON_FREQUENCY_DESCRIPTION</stp>
        <stp>[STRIPS.xlsx]Sheet1!R177C10</stp>
        <tr r="J177" s="1"/>
      </tp>
      <tp t="s">
        <v>#N/A Field Not Applicable</v>
        <stp/>
        <stp>##V3_BDPV12</stp>
        <stp>912834VW Govt</stp>
        <stp>COUPON_FREQUENCY_DESCRIPTION</stp>
        <stp>[STRIPS.xlsx]Sheet1!R131C10</stp>
        <tr r="J131" s="1"/>
      </tp>
      <tp t="s">
        <v>#N/A Field Not Applicable</v>
        <stp/>
        <stp>##V3_BDPV12</stp>
        <stp>912834PW Govt</stp>
        <stp>COUPON_FREQUENCY_DESCRIPTION</stp>
        <stp>[STRIPS.xlsx]Sheet1!R154C10</stp>
        <tr r="J154" s="1"/>
      </tp>
      <tp t="s">
        <v>#N/A Field Not Applicable</v>
        <stp/>
        <stp>##V3_BDPV12</stp>
        <stp>912834QW Govt</stp>
        <stp>COUPON_FREQUENCY_DESCRIPTION</stp>
        <stp>[STRIPS.xlsx]Sheet1!R171C10</stp>
        <tr r="J171" s="1"/>
      </tp>
      <tp t="s">
        <v>#N/A Field Not Applicable</v>
        <stp/>
        <stp>##V3_BDPV12</stp>
        <stp>912833MW Govt</stp>
        <stp>COUPON_FREQUENCY_DESCRIPTION</stp>
        <stp>[STRIPS.xlsx]Sheet1!R675C10</stp>
        <tr r="J675" s="1"/>
      </tp>
      <tp t="s">
        <v>#N/A Field Not Applicable</v>
        <stp/>
        <stp>##V3_BDPV12</stp>
        <stp>912833ZW Govt</stp>
        <stp>COUPON_FREQUENCY_DESCRIPTION</stp>
        <stp>[STRIPS.xlsx]Sheet1!R640C10</stp>
        <tr r="J640" s="1"/>
      </tp>
      <tp t="s">
        <v>#N/A Field Not Applicable</v>
        <stp/>
        <stp>##V3_BDPV12</stp>
        <stp>912834AW Govt</stp>
        <stp>COUPON_FREQUENCY_DESCRIPTION</stp>
        <stp>[STRIPS.xlsx]Sheet1!R641C10</stp>
        <tr r="J641" s="1"/>
      </tp>
      <tp t="s">
        <v>#N/A Field Not Applicable</v>
        <stp/>
        <stp>##V3_BDPV12</stp>
        <stp>912833BW Govt</stp>
        <stp>COUPON_FREQUENCY_DESCRIPTION</stp>
        <stp>[STRIPS.xlsx]Sheet1!R610C10</stp>
        <tr r="J610" s="1"/>
      </tp>
      <tp t="s">
        <v>#N/A Field Not Applicable</v>
        <stp/>
        <stp>##V3_BDPV12</stp>
        <stp>9128336W Govt</stp>
        <stp>COUPON_FREQUENCY_DESCRIPTION</stp>
        <stp>[STRIPS.xlsx]Sheet1!R607C10</stp>
        <tr r="J607" s="1"/>
      </tp>
      <tp t="s">
        <v>#N/A Field Not Applicable</v>
        <stp/>
        <stp>##V3_BDPV12</stp>
        <stp>912833JW Govt</stp>
        <stp>COUPON_FREQUENCY_DESCRIPTION</stp>
        <stp>[STRIPS.xlsx]Sheet1!R740C10</stp>
        <tr r="J740" s="1"/>
      </tp>
      <tp t="s">
        <v>#N/A Field Not Applicable</v>
        <stp/>
        <stp>##V3_BDPV12</stp>
        <stp>912833CW Govt</stp>
        <stp>COUPON_FREQUENCY_DESCRIPTION</stp>
        <stp>[STRIPS.xlsx]Sheet1!R735C10</stp>
        <tr r="J735" s="1"/>
      </tp>
      <tp t="s">
        <v>#N/A Field Not Applicable</v>
        <stp/>
        <stp>##V3_BDPV12</stp>
        <stp>912833FW Govt</stp>
        <stp>COUPON_FREQUENCY_DESCRIPTION</stp>
        <stp>[STRIPS.xlsx]Sheet1!R739C10</stp>
        <tr r="J739" s="1"/>
      </tp>
      <tp t="s">
        <v>#N/A Field Not Applicable</v>
        <stp/>
        <stp>##V3_BDPV12</stp>
        <stp>912834RW Govt</stp>
        <stp>COUPON_FREQUENCY_DESCRIPTION</stp>
        <stp>[STRIPS.xlsx]Sheet1!R753C10</stp>
        <tr r="J753" s="1"/>
      </tp>
      <tp t="s">
        <v>#N/A Field Not Applicable</v>
        <stp/>
        <stp>##V3_BDPV12</stp>
        <stp>9128335W Govt</stp>
        <stp>COUPON_FREQUENCY_DESCRIPTION</stp>
        <stp>[STRIPS.xlsx]Sheet1!R725C10</stp>
        <tr r="J725" s="1"/>
      </tp>
      <tp t="s">
        <v>#N/A Field Not Applicable</v>
        <stp/>
        <stp>##V3_BDPV12</stp>
        <stp>912834TW Govt</stp>
        <stp>COUPON_FREQUENCY_DESCRIPTION</stp>
        <stp>[STRIPS.xlsx]Sheet1!R760C10</stp>
        <tr r="J760" s="1"/>
      </tp>
      <tp t="s">
        <v>#N/A Field Not Applicable</v>
        <stp/>
        <stp>##V3_BDPV12</stp>
        <stp>9128333W Govt</stp>
        <stp>COUPON_FREQUENCY_DESCRIPTION</stp>
        <stp>[STRIPS.xlsx]Sheet1!R485C10</stp>
        <tr r="J485" s="1"/>
      </tp>
      <tp t="s">
        <v>#N/A Field Not Applicable</v>
        <stp/>
        <stp>##V3_BDPV12</stp>
        <stp>912834KW Govt</stp>
        <stp>COUPON_FREQUENCY_DESCRIPTION</stp>
        <stp>[STRIPS.xlsx]Sheet1!R470C10</stp>
        <tr r="J470" s="1"/>
      </tp>
      <tp t="s">
        <v>#N/A Field Not Applicable</v>
        <stp/>
        <stp>##V3_BDPV12</stp>
        <stp>912834HW Govt</stp>
        <stp>COUPON_FREQUENCY_DESCRIPTION</stp>
        <stp>[STRIPS.xlsx]Sheet1!R536C10</stp>
        <tr r="J536" s="1"/>
      </tp>
      <tp t="s">
        <v>#N/A Field Not Applicable</v>
        <stp/>
        <stp>##V3_BDPV12</stp>
        <stp>912834NW Govt</stp>
        <stp>COUPON_FREQUENCY_DESCRIPTION</stp>
        <stp>[STRIPS.xlsx]Sheet1!R548C10</stp>
        <tr r="J548" s="1"/>
      </tp>
      <tp t="s">
        <v>912834JP4</v>
        <stp/>
        <stp>##V3_BDPV12</stp>
        <stp>912834JP Govt</stp>
        <stp>ID_CUSIP</stp>
        <stp>[STRIPS.xlsx]Sheet1!R34C19</stp>
        <tr r="S34" s="1"/>
      </tp>
      <tp t="s">
        <v>912834JY5</v>
        <stp/>
        <stp>##V3_BDPV12</stp>
        <stp>912834JY Govt</stp>
        <stp>ID_CUSIP</stp>
        <stp>[STRIPS.xlsx]Sheet1!R64C19</stp>
        <tr r="S64" s="1"/>
      </tp>
      <tp t="s">
        <v>912834JB5</v>
        <stp/>
        <stp>##V3_BDPV12</stp>
        <stp>912834JB Govt</stp>
        <stp>ID_CUSIP</stp>
        <stp>[STRIPS.xlsx]Sheet1!R82C19</stp>
        <tr r="S82" s="1"/>
      </tp>
      <tp t="s">
        <v>912834JH2</v>
        <stp/>
        <stp>##V3_BDPV12</stp>
        <stp>912834JH Govt</stp>
        <stp>ID_CUSIP</stp>
        <stp>[STRIPS.xlsx]Sheet1!R68C19</stp>
        <tr r="S68" s="1"/>
      </tp>
      <tp t="s">
        <v>12/15/2009</v>
        <stp/>
        <stp>##V3_BDPV12</stp>
        <stp>9128333Q Govt</stp>
        <stp>MATURITY</stp>
        <stp>[STRIPS.xlsx]Sheet1!R719C5</stp>
        <tr r="E719" s="1"/>
      </tp>
      <tp t="s">
        <v>S</v>
        <stp/>
        <stp>##V3_BDPV12</stp>
        <stp>9128337N Govt</stp>
        <stp>TICKER</stp>
        <stp>[STRIPS.xlsx]Sheet1!R49C2</stp>
        <tr r="B49" s="1"/>
      </tp>
      <tp t="s">
        <v>S</v>
        <stp/>
        <stp>##V3_BDPV12</stp>
        <stp>912833PC Govt</stp>
        <stp>TICKER</stp>
        <stp>[STRIPS.xlsx]Sheet1!R14C2</stp>
        <tr r="B14" s="1"/>
      </tp>
      <tp t="s">
        <v>S</v>
        <stp/>
        <stp>##V3_BDPV12</stp>
        <stp>912833PD Govt</stp>
        <stp>TICKER</stp>
        <stp>[STRIPS.xlsx]Sheet1!R13C2</stp>
        <tr r="B13" s="1"/>
      </tp>
      <tp t="s">
        <v>USD</v>
        <stp/>
        <stp>##V3_BDPV12</stp>
        <stp>912834HV Govt</stp>
        <stp>CRNCY</stp>
        <stp>[STRIPS.xlsx]Sheet1!R70C7</stp>
        <tr r="G70" s="1"/>
      </tp>
      <tp t="s">
        <v>6/30/2006</v>
        <stp/>
        <stp>##V3_BDPV12</stp>
        <stp>9128332H Govt</stp>
        <stp>MATURITY</stp>
        <stp>[STRIPS.xlsx]Sheet1!R718C5</stp>
        <tr r="E718" s="1"/>
      </tp>
      <tp t="s">
        <v>7/15/2009</v>
        <stp/>
        <stp>##V3_BDPV12</stp>
        <stp>9128332J Govt</stp>
        <stp>MATURITY</stp>
        <stp>[STRIPS.xlsx]Sheet1!R598C5</stp>
        <tr r="E598" s="1"/>
      </tp>
      <tp t="s">
        <v>10/15/2009</v>
        <stp/>
        <stp>##V3_BDPV12</stp>
        <stp>9128333M Govt</stp>
        <stp>MATURITY</stp>
        <stp>[STRIPS.xlsx]Sheet1!R599C5</stp>
        <tr r="E599" s="1"/>
      </tp>
      <tp t="s">
        <v>USD</v>
        <stp/>
        <stp>##V3_BDPV12</stp>
        <stp>912834JB Govt</stp>
        <stp>CRNCY</stp>
        <stp>[STRIPS.xlsx]Sheet1!R82C7</stp>
        <tr r="G82" s="1"/>
      </tp>
      <tp t="s">
        <v>2/15/2008</v>
        <stp/>
        <stp>##V3_BDPV12</stp>
        <stp>912833Z5 Govt</stp>
        <stp>ISSUE_DT</stp>
        <stp>[STRIPS.xlsx]Sheet1!R74C15</stp>
        <tr r="O74" s="1"/>
      </tp>
      <tp t="s">
        <v>4/15/2009</v>
        <stp/>
        <stp>##V3_BDPV12</stp>
        <stp>9128332D Govt</stp>
        <stp>MATURITY</stp>
        <stp>[STRIPS.xlsx]Sheet1!R648C5</stp>
        <tr r="E648" s="1"/>
      </tp>
      <tp t="s">
        <v>#N/A Field Not Applicable</v>
        <stp/>
        <stp>##V3_BDPV12</stp>
        <stp>912834UV Govt</stp>
        <stp>COUPON_FREQUENCY_DESCRIPTION</stp>
        <stp>[STRIPS.xlsx]Sheet1!R208C10</stp>
        <tr r="J208" s="1"/>
      </tp>
      <tp t="s">
        <v>#N/A Field Not Applicable</v>
        <stp/>
        <stp>##V3_BDPV12</stp>
        <stp>912833ZV Govt</stp>
        <stp>COUPON_FREQUENCY_DESCRIPTION</stp>
        <stp>[STRIPS.xlsx]Sheet1!R254C10</stp>
        <tr r="J254" s="1"/>
      </tp>
      <tp t="s">
        <v>#N/A Field Not Applicable</v>
        <stp/>
        <stp>##V3_BDPV12</stp>
        <stp>912833YV Govt</stp>
        <stp>COUPON_FREQUENCY_DESCRIPTION</stp>
        <stp>[STRIPS.xlsx]Sheet1!R250C10</stp>
        <tr r="J250" s="1"/>
      </tp>
      <tp t="s">
        <v>#N/A Field Not Applicable</v>
        <stp/>
        <stp>##V3_BDPV12</stp>
        <stp>912834LV Govt</stp>
        <stp>COUPON_FREQUENCY_DESCRIPTION</stp>
        <stp>[STRIPS.xlsx]Sheet1!R232C10</stp>
        <tr r="J232" s="1"/>
      </tp>
      <tp t="s">
        <v>#N/A Field Not Applicable</v>
        <stp/>
        <stp>##V3_BDPV12</stp>
        <stp>912833QV Govt</stp>
        <stp>COUPON_FREQUENCY_DESCRIPTION</stp>
        <stp>[STRIPS.xlsx]Sheet1!R242C10</stp>
        <tr r="J242" s="1"/>
      </tp>
      <tp t="s">
        <v>ACT/ACT</v>
        <stp/>
        <stp>##V3_BDPV12</stp>
        <stp>912834NP Govt</stp>
        <stp>DAY_CNT_DES</stp>
        <stp>[STRIPS.xlsx]Sheet1!R130C17</stp>
        <tr r="Q130" s="1"/>
      </tp>
      <tp t="s">
        <v>#N/A Field Not Applicable</v>
        <stp/>
        <stp>##V3_BDPV12</stp>
        <stp>912834AV Govt</stp>
        <stp>COUPON_FREQUENCY_DESCRIPTION</stp>
        <stp>[STRIPS.xlsx]Sheet1!R387C10</stp>
        <tr r="J387" s="1"/>
      </tp>
      <tp t="s">
        <v>#N/A Field Not Applicable</v>
        <stp/>
        <stp>##V3_BDPV12</stp>
        <stp>912833PV Govt</stp>
        <stp>COUPON_FREQUENCY_DESCRIPTION</stp>
        <stp>[STRIPS.xlsx]Sheet1!R338C10</stp>
        <tr r="J338" s="1"/>
      </tp>
      <tp t="s">
        <v>ACT/ACT</v>
        <stp/>
        <stp>##V3_BDPV12</stp>
        <stp>912834NW Govt</stp>
        <stp>DAY_CNT_DES</stp>
        <stp>[STRIPS.xlsx]Sheet1!R548C17</stp>
        <tr r="Q548" s="1"/>
      </tp>
      <tp t="s">
        <v>ACT/ACT</v>
        <stp/>
        <stp>##V3_BDPV12</stp>
        <stp>912833NP Govt</stp>
        <stp>DAY_CNT_DES</stp>
        <stp>[STRIPS.xlsx]Sheet1!R373C17</stp>
        <tr r="Q373" s="1"/>
      </tp>
      <tp t="s">
        <v>ACT/ACT</v>
        <stp/>
        <stp>##V3_BDPV12</stp>
        <stp>912834NQ Govt</stp>
        <stp>DAY_CNT_DES</stp>
        <stp>[STRIPS.xlsx]Sheet1!R273C17</stp>
        <tr r="Q273" s="1"/>
      </tp>
      <tp t="s">
        <v>#N/A Field Not Applicable</v>
        <stp/>
        <stp>##V3_BDPV12</stp>
        <stp>912834EV Govt</stp>
        <stp>COUPON_FREQUENCY_DESCRIPTION</stp>
        <stp>[STRIPS.xlsx]Sheet1!R101C10</stp>
        <tr r="J101" s="1"/>
      </tp>
      <tp t="s">
        <v>#N/A Field Not Applicable</v>
        <stp/>
        <stp>##V3_BDPV12</stp>
        <stp>912834QV Govt</stp>
        <stp>COUPON_FREQUENCY_DESCRIPTION</stp>
        <stp>[STRIPS.xlsx]Sheet1!R104C10</stp>
        <tr r="J104" s="1"/>
      </tp>
      <tp t="s">
        <v>#N/A Field Not Applicable</v>
        <stp/>
        <stp>##V3_BDPV12</stp>
        <stp>912834NV Govt</stp>
        <stp>COUPON_FREQUENCY_DESCRIPTION</stp>
        <stp>[STRIPS.xlsx]Sheet1!R115C10</stp>
        <tr r="J115" s="1"/>
      </tp>
      <tp t="s">
        <v>#N/A Field Not Applicable</v>
        <stp/>
        <stp>##V3_BDPV12</stp>
        <stp>912834DV Govt</stp>
        <stp>COUPON_FREQUENCY_DESCRIPTION</stp>
        <stp>[STRIPS.xlsx]Sheet1!R127C10</stp>
        <tr r="J127" s="1"/>
      </tp>
      <tp t="s">
        <v>#N/A Field Not Applicable</v>
        <stp/>
        <stp>##V3_BDPV12</stp>
        <stp>912834WV Govt</stp>
        <stp>COUPON_FREQUENCY_DESCRIPTION</stp>
        <stp>[STRIPS.xlsx]Sheet1!R129C10</stp>
        <tr r="J129" s="1"/>
      </tp>
      <tp t="s">
        <v>#N/A Field Not Applicable</v>
        <stp/>
        <stp>##V3_BDPV12</stp>
        <stp>9128337V Govt</stp>
        <stp>COUPON_FREQUENCY_DESCRIPTION</stp>
        <stp>[STRIPS.xlsx]Sheet1!R100C10</stp>
        <tr r="J100" s="1"/>
      </tp>
      <tp t="s">
        <v>#N/A Field Not Applicable</v>
        <stp/>
        <stp>##V3_BDPV12</stp>
        <stp>912833JV Govt</stp>
        <stp>COUPON_FREQUENCY_DESCRIPTION</stp>
        <stp>[STRIPS.xlsx]Sheet1!R668C10</stp>
        <tr r="J668" s="1"/>
      </tp>
      <tp t="s">
        <v>#N/A Field Not Applicable</v>
        <stp/>
        <stp>##V3_BDPV12</stp>
        <stp>912833CV Govt</stp>
        <stp>COUPON_FREQUENCY_DESCRIPTION</stp>
        <stp>[STRIPS.xlsx]Sheet1!R658C10</stp>
        <tr r="J658" s="1"/>
      </tp>
      <tp t="s">
        <v>#N/A Field Not Applicable</v>
        <stp/>
        <stp>##V3_BDPV12</stp>
        <stp>912833MV Govt</stp>
        <stp>COUPON_FREQUENCY_DESCRIPTION</stp>
        <stp>[STRIPS.xlsx]Sheet1!R626C10</stp>
        <tr r="J626" s="1"/>
      </tp>
      <tp t="s">
        <v>ACT/ACT</v>
        <stp/>
        <stp>##V3_BDPV12</stp>
        <stp>912834NT Govt</stp>
        <stp>DAY_CNT_DES</stp>
        <stp>[STRIPS.xlsx]Sheet1!R174C17</stp>
        <tr r="Q174" s="1"/>
      </tp>
      <tp t="s">
        <v>#N/A Field Not Applicable</v>
        <stp/>
        <stp>##V3_BDPV12</stp>
        <stp>912833KV Govt</stp>
        <stp>COUPON_FREQUENCY_DESCRIPTION</stp>
        <stp>[STRIPS.xlsx]Sheet1!R742C10</stp>
        <tr r="J742" s="1"/>
      </tp>
      <tp t="s">
        <v>#N/A Field Not Applicable</v>
        <stp/>
        <stp>##V3_BDPV12</stp>
        <stp>9128335V Govt</stp>
        <stp>COUPON_FREQUENCY_DESCRIPTION</stp>
        <stp>[STRIPS.xlsx]Sheet1!R724C10</stp>
        <tr r="J724" s="1"/>
      </tp>
      <tp t="s">
        <v>#N/A Field Not Applicable</v>
        <stp/>
        <stp>##V3_BDPV12</stp>
        <stp>9128336V Govt</stp>
        <stp>COUPON_FREQUENCY_DESCRIPTION</stp>
        <stp>[STRIPS.xlsx]Sheet1!R715C10</stp>
        <tr r="J715" s="1"/>
      </tp>
      <tp t="s">
        <v>ACT/ACT</v>
        <stp/>
        <stp>##V3_BDPV12</stp>
        <stp>912834NS Govt</stp>
        <stp>DAY_CNT_DES</stp>
        <stp>[STRIPS.xlsx]Sheet1!R547C17</stp>
        <tr r="Q547" s="1"/>
      </tp>
      <tp t="s">
        <v>ACT/ACT</v>
        <stp/>
        <stp>##V3_BDPV12</stp>
        <stp>912834NR Govt</stp>
        <stp>DAY_CNT_DES</stp>
        <stp>[STRIPS.xlsx]Sheet1!R422C17</stp>
        <tr r="Q422" s="1"/>
      </tp>
      <tp t="s">
        <v>#N/A Field Not Applicable</v>
        <stp/>
        <stp>##V3_BDPV12</stp>
        <stp>912834RV Govt</stp>
        <stp>COUPON_FREQUENCY_DESCRIPTION</stp>
        <stp>[STRIPS.xlsx]Sheet1!R482C10</stp>
        <tr r="J482" s="1"/>
      </tp>
      <tp t="s">
        <v>#N/A Field Not Applicable</v>
        <stp/>
        <stp>##V3_BDPV12</stp>
        <stp>9128333V Govt</stp>
        <stp>COUPON_FREQUENCY_DESCRIPTION</stp>
        <stp>[STRIPS.xlsx]Sheet1!R484C10</stp>
        <tr r="J484" s="1"/>
      </tp>
      <tp t="s">
        <v>#N/A Field Not Applicable</v>
        <stp/>
        <stp>##V3_BDPV12</stp>
        <stp>912834PV Govt</stp>
        <stp>COUPON_FREQUENCY_DESCRIPTION</stp>
        <stp>[STRIPS.xlsx]Sheet1!R479C10</stp>
        <tr r="J479" s="1"/>
      </tp>
      <tp t="s">
        <v>ACT/ACT</v>
        <stp/>
        <stp>##V3_BDPV12</stp>
        <stp>912834NU Govt</stp>
        <stp>DAY_CNT_DES</stp>
        <stp>[STRIPS.xlsx]Sheet1!R274C17</stp>
        <tr r="Q274" s="1"/>
      </tp>
      <tp t="s">
        <v>ACT/ACT</v>
        <stp/>
        <stp>##V3_BDPV12</stp>
        <stp>912833NR Govt</stp>
        <stp>DAY_CNT_DES</stp>
        <stp>[STRIPS.xlsx]Sheet1!R572C17</stp>
        <tr r="Q572" s="1"/>
      </tp>
      <tp t="s">
        <v>ACT/ACT</v>
        <stp/>
        <stp>##V3_BDPV12</stp>
        <stp>912833NQ Govt</stp>
        <stp>DAY_CNT_DES</stp>
        <stp>[STRIPS.xlsx]Sheet1!R677C17</stp>
        <tr r="Q677" s="1"/>
      </tp>
      <tp t="s">
        <v>ACT/ACT</v>
        <stp/>
        <stp>##V3_BDPV12</stp>
        <stp>912834NV Govt</stp>
        <stp>DAY_CNT_DES</stp>
        <stp>[STRIPS.xlsx]Sheet1!R115C17</stp>
        <tr r="Q115" s="1"/>
      </tp>
      <tp t="s">
        <v>#N/A Field Not Applicable</v>
        <stp/>
        <stp>##V3_BDPV12</stp>
        <stp>912833RV Govt</stp>
        <stp>COUPON_FREQUENCY_DESCRIPTION</stp>
        <stp>[STRIPS.xlsx]Sheet1!R581C10</stp>
        <tr r="J581" s="1"/>
      </tp>
      <tp t="s">
        <v>#N/A Field Not Applicable</v>
        <stp/>
        <stp>##V3_BDPV12</stp>
        <stp>912834MV Govt</stp>
        <stp>COUPON_FREQUENCY_DESCRIPTION</stp>
        <stp>[STRIPS.xlsx]Sheet1!R543C10</stp>
        <tr r="J543" s="1"/>
      </tp>
      <tp t="s">
        <v>#N/A Field Not Applicable</v>
        <stp/>
        <stp>##V3_BDPV12</stp>
        <stp>912833FV Govt</stp>
        <stp>COUPON_FREQUENCY_DESCRIPTION</stp>
        <stp>[STRIPS.xlsx]Sheet1!R510C10</stp>
        <tr r="J510" s="1"/>
      </tp>
      <tp t="s">
        <v>ACT/ACT</v>
        <stp/>
        <stp>##V3_BDPV12</stp>
        <stp>912834NY Govt</stp>
        <stp>DAY_CNT_DES</stp>
        <stp>[STRIPS.xlsx]Sheet1!R143C17</stp>
        <tr r="Q143" s="1"/>
      </tp>
      <tp t="s">
        <v>ACT/ACT</v>
        <stp/>
        <stp>##V3_BDPV12</stp>
        <stp>912834NZ Govt</stp>
        <stp>DAY_CNT_DES</stp>
        <stp>[STRIPS.xlsx]Sheet1!R275C17</stp>
        <tr r="Q275" s="1"/>
      </tp>
      <tp t="s">
        <v>ACT/ACT</v>
        <stp/>
        <stp>##V3_BDPV12</stp>
        <stp>912834NX Govt</stp>
        <stp>DAY_CNT_DES</stp>
        <stp>[STRIPS.xlsx]Sheet1!R410C17</stp>
        <tr r="Q410" s="1"/>
      </tp>
      <tp t="s">
        <v>ACT/ACT</v>
        <stp/>
        <stp>##V3_BDPV12</stp>
        <stp>912834NE Govt</stp>
        <stp>DAY_CNT_DES</stp>
        <stp>[STRIPS.xlsx]Sheet1!R546C17</stp>
        <tr r="Q546" s="1"/>
      </tp>
      <tp t="s">
        <v>ACT/ACT</v>
        <stp/>
        <stp>##V3_BDPV12</stp>
        <stp>912833NE Govt</stp>
        <stp>DAY_CNT_DES</stp>
        <stp>[STRIPS.xlsx]Sheet1!R571C17</stp>
        <tr r="Q571" s="1"/>
      </tp>
      <tp t="s">
        <v>ACT/ACT</v>
        <stp/>
        <stp>##V3_BDPV12</stp>
        <stp>912834ND Govt</stp>
        <stp>DAY_CNT_DES</stp>
        <stp>[STRIPS.xlsx]Sheet1!R545C17</stp>
        <tr r="Q545" s="1"/>
      </tp>
      <tp t="s">
        <v>ACT/ACT</v>
        <stp/>
        <stp>##V3_BDPV12</stp>
        <stp>912833NF Govt</stp>
        <stp>DAY_CNT_DES</stp>
        <stp>[STRIPS.xlsx]Sheet1!R447C17</stp>
        <tr r="Q447" s="1"/>
      </tp>
      <tp t="s">
        <v>ACT/ACT</v>
        <stp/>
        <stp>##V3_BDPV12</stp>
        <stp>912833ND Govt</stp>
        <stp>DAY_CNT_DES</stp>
        <stp>[STRIPS.xlsx]Sheet1!R676C17</stp>
        <tr r="Q676" s="1"/>
      </tp>
      <tp t="s">
        <v>ACT/ACT</v>
        <stp/>
        <stp>##V3_BDPV12</stp>
        <stp>912833NG Govt</stp>
        <stp>DAY_CNT_DES</stp>
        <stp>[STRIPS.xlsx]Sheet1!R516C17</stp>
        <tr r="Q516" s="1"/>
      </tp>
      <tp t="s">
        <v>ACT/ACT</v>
        <stp/>
        <stp>##V3_BDPV12</stp>
        <stp>912833NB Govt</stp>
        <stp>DAY_CNT_DES</stp>
        <stp>[STRIPS.xlsx]Sheet1!R629C17</stp>
        <tr r="Q629" s="1"/>
      </tp>
      <tp t="s">
        <v>ACT/ACT</v>
        <stp/>
        <stp>##V3_BDPV12</stp>
        <stp>912833NA Govt</stp>
        <stp>DAY_CNT_DES</stp>
        <stp>[STRIPS.xlsx]Sheet1!R446C17</stp>
        <tr r="Q446" s="1"/>
      </tp>
      <tp t="s">
        <v>ACT/ACT</v>
        <stp/>
        <stp>##V3_BDPV12</stp>
        <stp>912834NA Govt</stp>
        <stp>DAY_CNT_DES</stp>
        <stp>[STRIPS.xlsx]Sheet1!R476C17</stp>
        <tr r="Q476" s="1"/>
      </tp>
      <tp t="s">
        <v>ACT/ACT</v>
        <stp/>
        <stp>##V3_BDPV12</stp>
        <stp>912833NC Govt</stp>
        <stp>DAY_CNT_DES</stp>
        <stp>[STRIPS.xlsx]Sheet1!R570C17</stp>
        <tr r="Q570" s="1"/>
      </tp>
      <tp t="s">
        <v>ACT/ACT</v>
        <stp/>
        <stp>##V3_BDPV12</stp>
        <stp>912834NB Govt</stp>
        <stp>DAY_CNT_DES</stp>
        <stp>[STRIPS.xlsx]Sheet1!R544C17</stp>
        <tr r="Q544" s="1"/>
      </tp>
      <tp t="s">
        <v>ACT/ACT</v>
        <stp/>
        <stp>##V3_BDPV12</stp>
        <stp>912834NC Govt</stp>
        <stp>DAY_CNT_DES</stp>
        <stp>[STRIPS.xlsx]Sheet1!R407C17</stp>
        <tr r="Q407" s="1"/>
      </tp>
      <tp t="s">
        <v>ACT/ACT</v>
        <stp/>
        <stp>##V3_BDPV12</stp>
        <stp>912833NK Govt</stp>
        <stp>DAY_CNT_DES</stp>
        <stp>[STRIPS.xlsx]Sheet1!R372C17</stp>
        <tr r="Q372" s="1"/>
      </tp>
      <tp t="s">
        <v>ACT/ACT</v>
        <stp/>
        <stp>##V3_BDPV12</stp>
        <stp>912834NL Govt</stp>
        <stp>DAY_CNT_DES</stp>
        <stp>[STRIPS.xlsx]Sheet1!R408C17</stp>
        <tr r="Q408" s="1"/>
      </tp>
      <tp t="s">
        <v>ACT/ACT</v>
        <stp/>
        <stp>##V3_BDPV12</stp>
        <stp>912833NM Govt</stp>
        <stp>DAY_CNT_DES</stp>
        <stp>[STRIPS.xlsx]Sheet1!R517C17</stp>
        <tr r="Q517" s="1"/>
      </tp>
      <tp t="s">
        <v>ACT/ACT</v>
        <stp/>
        <stp>##V3_BDPV12</stp>
        <stp>912834NM Govt</stp>
        <stp>DAY_CNT_DES</stp>
        <stp>[STRIPS.xlsx]Sheet1!R409C17</stp>
        <tr r="Q409" s="1"/>
      </tp>
      <tp t="s">
        <v>ACT/ACT</v>
        <stp/>
        <stp>##V3_BDPV12</stp>
        <stp>912833NJ Govt</stp>
        <stp>DAY_CNT_DES</stp>
        <stp>[STRIPS.xlsx]Sheet1!R334C17</stp>
        <tr r="Q334" s="1"/>
      </tp>
      <tp t="s">
        <v>ACT/ACT</v>
        <stp/>
        <stp>##V3_BDPV12</stp>
        <stp>912834NN Govt</stp>
        <stp>DAY_CNT_DES</stp>
        <stp>[STRIPS.xlsx]Sheet1!R421C17</stp>
        <tr r="Q421" s="1"/>
      </tp>
      <tp t="s">
        <v>ACT/ACT</v>
        <stp/>
        <stp>##V3_BDPV12</stp>
        <stp>912833NH Govt</stp>
        <stp>DAY_CNT_DES</stp>
        <stp>[STRIPS.xlsx]Sheet1!R237C17</stp>
        <tr r="Q237" s="1"/>
      </tp>
      <tp t="s">
        <v>ACT/ACT</v>
        <stp/>
        <stp>##V3_BDPV12</stp>
        <stp>912833NN Govt</stp>
        <stp>DAY_CNT_DES</stp>
        <stp>[STRIPS.xlsx]Sheet1!R518C17</stp>
        <tr r="Q518" s="1"/>
      </tp>
      <tp t="s">
        <v>ACT/ACT</v>
        <stp/>
        <stp>##V3_BDPV12</stp>
        <stp>912834NJ Govt</stp>
        <stp>DAY_CNT_DES</stp>
        <stp>[STRIPS.xlsx]Sheet1!R420C17</stp>
        <tr r="Q420" s="1"/>
      </tp>
      <tp t="s">
        <v>ACT/ACT</v>
        <stp/>
        <stp>##V3_BDPV12</stp>
        <stp>912834NK Govt</stp>
        <stp>DAY_CNT_DES</stp>
        <stp>[STRIPS.xlsx]Sheet1!R477C17</stp>
        <tr r="Q477" s="1"/>
      </tp>
      <tp t="s">
        <v>ACT/ACT</v>
        <stp/>
        <stp>##V3_BDPV12</stp>
        <stp>912833NL Govt</stp>
        <stp>DAY_CNT_DES</stp>
        <stp>[STRIPS.xlsx]Sheet1!R335C17</stp>
        <tr r="Q335" s="1"/>
      </tp>
      <tp t="s">
        <v>912834KV9</v>
        <stp/>
        <stp>##V3_BDPV12</stp>
        <stp>912834KV Govt</stp>
        <stp>ID_CUSIP</stp>
        <stp>[STRIPS.xlsx]Sheet1!R57C19</stp>
        <tr r="S57" s="1"/>
      </tp>
      <tp t="s">
        <v>912834KH0</v>
        <stp/>
        <stp>##V3_BDPV12</stp>
        <stp>912834KH Govt</stp>
        <stp>ID_CUSIP</stp>
        <stp>[STRIPS.xlsx]Sheet1!R56C19</stp>
        <tr r="S56" s="1"/>
      </tp>
      <tp t="s">
        <v>S</v>
        <stp/>
        <stp>##V3_BDPV12</stp>
        <stp>912834AD Govt</stp>
        <stp>TICKER</stp>
        <stp>[STRIPS.xlsx]Sheet1!R92C2</stp>
        <tr r="B92" s="1"/>
      </tp>
      <tp t="s">
        <v>S</v>
        <stp/>
        <stp>##V3_BDPV12</stp>
        <stp>912834MD Govt</stp>
        <stp>TICKER</stp>
        <stp>[STRIPS.xlsx]Sheet1!R72C2</stp>
        <tr r="B72" s="1"/>
      </tp>
      <tp t="s">
        <v>S</v>
        <stp/>
        <stp>##V3_BDPV12</stp>
        <stp>9128337E Govt</stp>
        <stp>TICKER</stp>
        <stp>[STRIPS.xlsx]Sheet1!R23C2</stp>
        <tr r="B23" s="1"/>
      </tp>
      <tp t="s">
        <v>USD</v>
        <stp/>
        <stp>##V3_BDPV12</stp>
        <stp>912834LR Govt</stp>
        <stp>CRNCY</stp>
        <stp>[STRIPS.xlsx]Sheet1!R95C7</stp>
        <tr r="G95" s="1"/>
      </tp>
      <tp t="s">
        <v>10/31/2006</v>
        <stp/>
        <stp>##V3_BDPV12</stp>
        <stp>9128333N Govt</stp>
        <stp>MATURITY</stp>
        <stp>[STRIPS.xlsx]Sheet1!R428C5</stp>
        <tr r="E428" s="1"/>
      </tp>
      <tp t="s">
        <v>#N/A Field Not Applicable</v>
        <stp/>
        <stp>##V3_BDPV12</stp>
        <stp>912834QQ Govt</stp>
        <stp>COUPON_FREQUENCY_DESCRIPTION</stp>
        <stp>[STRIPS.xlsx]Sheet1!R205C10</stp>
        <tr r="J205" s="1"/>
      </tp>
      <tp t="s">
        <v>#N/A Field Not Applicable</v>
        <stp/>
        <stp>##V3_BDPV12</stp>
        <stp>912834RQ Govt</stp>
        <stp>COUPON_FREQUENCY_DESCRIPTION</stp>
        <stp>[STRIPS.xlsx]Sheet1!R204C10</stp>
        <tr r="J204" s="1"/>
      </tp>
      <tp t="s">
        <v>#N/A Field Not Applicable</v>
        <stp/>
        <stp>##V3_BDPV12</stp>
        <stp>912834VQ Govt</stp>
        <stp>COUPON_FREQUENCY_DESCRIPTION</stp>
        <stp>[STRIPS.xlsx]Sheet1!R222C10</stp>
        <tr r="J222" s="1"/>
      </tp>
      <tp t="s">
        <v>#N/A Field Not Applicable</v>
        <stp/>
        <stp>##V3_BDPV12</stp>
        <stp>912833MQ Govt</stp>
        <stp>COUPON_FREQUENCY_DESCRIPTION</stp>
        <stp>[STRIPS.xlsx]Sheet1!R236C10</stp>
        <tr r="J236" s="1"/>
      </tp>
      <tp t="s">
        <v>#N/A Field Not Applicable</v>
        <stp/>
        <stp>##V3_BDPV12</stp>
        <stp>912834AQ Govt</stp>
        <stp>COUPON_FREQUENCY_DESCRIPTION</stp>
        <stp>[STRIPS.xlsx]Sheet1!R260C10</stp>
        <tr r="J260" s="1"/>
      </tp>
      <tp t="s">
        <v>#N/A Field Not Applicable</v>
        <stp/>
        <stp>##V3_BDPV12</stp>
        <stp>912834NQ Govt</stp>
        <stp>COUPON_FREQUENCY_DESCRIPTION</stp>
        <stp>[STRIPS.xlsx]Sheet1!R273C10</stp>
        <tr r="J273" s="1"/>
      </tp>
      <tp t="s">
        <v>#N/A Field Not Applicable</v>
        <stp/>
        <stp>##V3_BDPV12</stp>
        <stp>912833QQ Govt</stp>
        <stp>COUPON_FREQUENCY_DESCRIPTION</stp>
        <stp>[STRIPS.xlsx]Sheet1!R377C10</stp>
        <tr r="J377" s="1"/>
      </tp>
      <tp t="s">
        <v>#N/A Field Not Applicable</v>
        <stp/>
        <stp>##V3_BDPV12</stp>
        <stp>912834EQ Govt</stp>
        <stp>COUPON_FREQUENCY_DESCRIPTION</stp>
        <stp>[STRIPS.xlsx]Sheet1!R311C10</stp>
        <tr r="J311" s="1"/>
      </tp>
      <tp t="s">
        <v>#N/A Field Not Applicable</v>
        <stp/>
        <stp>##V3_BDPV12</stp>
        <stp>912834KQ Govt</stp>
        <stp>COUPON_FREQUENCY_DESCRIPTION</stp>
        <stp>[STRIPS.xlsx]Sheet1!R318C10</stp>
        <tr r="J318" s="1"/>
      </tp>
      <tp t="s">
        <v>#N/A Field Not Applicable</v>
        <stp/>
        <stp>##V3_BDPV12</stp>
        <stp>912833YQ Govt</stp>
        <stp>COUPON_FREQUENCY_DESCRIPTION</stp>
        <stp>[STRIPS.xlsx]Sheet1!R344C10</stp>
        <tr r="J344" s="1"/>
      </tp>
      <tp t="s">
        <v>#N/A Field Not Applicable</v>
        <stp/>
        <stp>##V3_BDPV12</stp>
        <stp>912834WQ Govt</stp>
        <stp>COUPON_FREQUENCY_DESCRIPTION</stp>
        <stp>[STRIPS.xlsx]Sheet1!R136C10</stp>
        <tr r="J136" s="1"/>
      </tp>
      <tp t="s">
        <v>#N/A Field Not Applicable</v>
        <stp/>
        <stp>##V3_BDPV12</stp>
        <stp>912834PQ Govt</stp>
        <stp>COUPON_FREQUENCY_DESCRIPTION</stp>
        <stp>[STRIPS.xlsx]Sheet1!R140C10</stp>
        <tr r="J140" s="1"/>
      </tp>
      <tp t="s">
        <v>#N/A Field Not Applicable</v>
        <stp/>
        <stp>##V3_BDPV12</stp>
        <stp>912833RQ Govt</stp>
        <stp>COUPON_FREQUENCY_DESCRIPTION</stp>
        <stp>[STRIPS.xlsx]Sheet1!R692C10</stp>
        <tr r="J692" s="1"/>
      </tp>
      <tp t="s">
        <v>#N/A Field Not Applicable</v>
        <stp/>
        <stp>##V3_BDPV12</stp>
        <stp>912833PQ Govt</stp>
        <stp>COUPON_FREQUENCY_DESCRIPTION</stp>
        <stp>[STRIPS.xlsx]Sheet1!R682C10</stp>
        <tr r="J682" s="1"/>
      </tp>
      <tp t="s">
        <v>#N/A Field Not Applicable</v>
        <stp/>
        <stp>##V3_BDPV12</stp>
        <stp>912833NQ Govt</stp>
        <stp>COUPON_FREQUENCY_DESCRIPTION</stp>
        <stp>[STRIPS.xlsx]Sheet1!R677C10</stp>
        <tr r="J677" s="1"/>
      </tp>
      <tp t="s">
        <v>#N/A Field Not Applicable</v>
        <stp/>
        <stp>##V3_BDPV12</stp>
        <stp>912833ZQ Govt</stp>
        <stp>COUPON_FREQUENCY_DESCRIPTION</stp>
        <stp>[STRIPS.xlsx]Sheet1!R639C10</stp>
        <tr r="J639" s="1"/>
      </tp>
      <tp t="s">
        <v>#N/A Field Not Applicable</v>
        <stp/>
        <stp>##V3_BDPV12</stp>
        <stp>912833FQ Govt</stp>
        <stp>COUPON_FREQUENCY_DESCRIPTION</stp>
        <stp>[STRIPS.xlsx]Sheet1!R620C10</stp>
        <tr r="J620" s="1"/>
      </tp>
      <tp t="s">
        <v>#N/A Field Not Applicable</v>
        <stp/>
        <stp>##V3_BDPV12</stp>
        <stp>9128336Q Govt</stp>
        <stp>COUPON_FREQUENCY_DESCRIPTION</stp>
        <stp>[STRIPS.xlsx]Sheet1!R750C10</stp>
        <tr r="J750" s="1"/>
      </tp>
      <tp t="s">
        <v>#N/A Field Not Applicable</v>
        <stp/>
        <stp>##V3_BDPV12</stp>
        <stp>912834TQ Govt</stp>
        <stp>COUPON_FREQUENCY_DESCRIPTION</stp>
        <stp>[STRIPS.xlsx]Sheet1!R758C10</stp>
        <tr r="J758" s="1"/>
      </tp>
      <tp t="s">
        <v>#N/A Field Not Applicable</v>
        <stp/>
        <stp>##V3_BDPV12</stp>
        <stp>9128335Q Govt</stp>
        <stp>COUPON_FREQUENCY_DESCRIPTION</stp>
        <stp>[STRIPS.xlsx]Sheet1!R711C10</stp>
        <tr r="J711" s="1"/>
      </tp>
      <tp t="s">
        <v>#N/A Field Not Applicable</v>
        <stp/>
        <stp>##V3_BDPV12</stp>
        <stp>9128333Q Govt</stp>
        <stp>COUPON_FREQUENCY_DESCRIPTION</stp>
        <stp>[STRIPS.xlsx]Sheet1!R719C10</stp>
        <tr r="J719" s="1"/>
      </tp>
      <tp t="s">
        <v>#N/A Field Not Applicable</v>
        <stp/>
        <stp>##V3_BDPV12</stp>
        <stp>912834LQ Govt</stp>
        <stp>COUPON_FREQUENCY_DESCRIPTION</stp>
        <stp>[STRIPS.xlsx]Sheet1!R404C10</stp>
        <tr r="J404" s="1"/>
      </tp>
      <tp t="s">
        <v>#N/A Field Not Applicable</v>
        <stp/>
        <stp>##V3_BDPV12</stp>
        <stp>912834MQ Govt</stp>
        <stp>COUPON_FREQUENCY_DESCRIPTION</stp>
        <stp>[STRIPS.xlsx]Sheet1!R418C10</stp>
        <tr r="J418" s="1"/>
      </tp>
      <tp t="s">
        <v>#N/A Field Not Applicable</v>
        <stp/>
        <stp>##V3_BDPV12</stp>
        <stp>912833CQ Govt</stp>
        <stp>COUPON_FREQUENCY_DESCRIPTION</stp>
        <stp>[STRIPS.xlsx]Sheet1!R438C10</stp>
        <tr r="J438" s="1"/>
      </tp>
      <tp t="s">
        <v>#N/A Field Not Applicable</v>
        <stp/>
        <stp>##V3_BDPV12</stp>
        <stp>912834BQ Govt</stp>
        <stp>COUPON_FREQUENCY_DESCRIPTION</stp>
        <stp>[STRIPS.xlsx]Sheet1!R459C10</stp>
        <tr r="J459" s="1"/>
      </tp>
      <tp t="s">
        <v>#N/A Field Not Applicable</v>
        <stp/>
        <stp>##V3_BDPV12</stp>
        <stp>912833KQ Govt</stp>
        <stp>COUPON_FREQUENCY_DESCRIPTION</stp>
        <stp>[STRIPS.xlsx]Sheet1!R566C10</stp>
        <tr r="J566" s="1"/>
      </tp>
      <tp t="s">
        <v>912833LU2</v>
        <stp/>
        <stp>##V3_BDPV12</stp>
        <stp>912833LU Govt</stp>
        <stp>ID_CUSIP</stp>
        <stp>[STRIPS.xlsx]Sheet1!R22C19</stp>
        <tr r="S22" s="1"/>
      </tp>
      <tp t="s">
        <v>912833LT5</v>
        <stp/>
        <stp>##V3_BDPV12</stp>
        <stp>912833LT Govt</stp>
        <stp>ID_CUSIP</stp>
        <stp>[STRIPS.xlsx]Sheet1!R11C19</stp>
        <tr r="S11" s="1"/>
      </tp>
      <tp t="s">
        <v>912833LV0</v>
        <stp/>
        <stp>##V3_BDPV12</stp>
        <stp>912833LV Govt</stp>
        <stp>ID_CUSIP</stp>
        <stp>[STRIPS.xlsx]Sheet1!R39C19</stp>
        <tr r="S39" s="1"/>
      </tp>
      <tp t="s">
        <v>912833LQ1</v>
        <stp/>
        <stp>##V3_BDPV12</stp>
        <stp>912833LQ Govt</stp>
        <stp>ID_CUSIP</stp>
        <stp>[STRIPS.xlsx]Sheet1!R38C19</stp>
        <tr r="S38" s="1"/>
      </tp>
      <tp t="s">
        <v>912833LP3</v>
        <stp/>
        <stp>##V3_BDPV12</stp>
        <stp>912833LP Govt</stp>
        <stp>ID_CUSIP</stp>
        <stp>[STRIPS.xlsx]Sheet1!R12C19</stp>
        <tr r="S12" s="1"/>
      </tp>
      <tp t="s">
        <v>912833LS7</v>
        <stp/>
        <stp>##V3_BDPV12</stp>
        <stp>912833LS Govt</stp>
        <stp>ID_CUSIP</stp>
        <stp>[STRIPS.xlsx]Sheet1!R37C19</stp>
        <tr r="S37" s="1"/>
      </tp>
      <tp t="s">
        <v>912833LR9</v>
        <stp/>
        <stp>##V3_BDPV12</stp>
        <stp>912833LR Govt</stp>
        <stp>ID_CUSIP</stp>
        <stp>[STRIPS.xlsx]Sheet1!R19C19</stp>
        <tr r="S19" s="1"/>
      </tp>
      <tp t="s">
        <v>912834LR7</v>
        <stp/>
        <stp>##V3_BDPV12</stp>
        <stp>912834LR Govt</stp>
        <stp>ID_CUSIP</stp>
        <stp>[STRIPS.xlsx]Sheet1!R95C19</stp>
        <tr r="S95" s="1"/>
      </tp>
      <tp t="s">
        <v>912833LY4</v>
        <stp/>
        <stp>##V3_BDPV12</stp>
        <stp>912833LY Govt</stp>
        <stp>ID_CUSIP</stp>
        <stp>[STRIPS.xlsx]Sheet1!R16C19</stp>
        <tr r="S16" s="1"/>
      </tp>
      <tp t="s">
        <v>912833LX6</v>
        <stp/>
        <stp>##V3_BDPV12</stp>
        <stp>912833LX Govt</stp>
        <stp>ID_CUSIP</stp>
        <stp>[STRIPS.xlsx]Sheet1!R10C19</stp>
        <tr r="S10" s="1"/>
      </tp>
      <tp t="s">
        <v>912834LX4</v>
        <stp/>
        <stp>##V3_BDPV12</stp>
        <stp>912834LX Govt</stp>
        <stp>ID_CUSIP</stp>
        <stp>[STRIPS.xlsx]Sheet1!R93C19</stp>
        <tr r="S93" s="1"/>
      </tp>
      <tp t="s">
        <v>912833LG3</v>
        <stp/>
        <stp>##V3_BDPV12</stp>
        <stp>912833LG Govt</stp>
        <stp>ID_CUSIP</stp>
        <stp>[STRIPS.xlsx]Sheet1!R33C19</stp>
        <tr r="S33" s="1"/>
      </tp>
      <tp t="s">
        <v>912834LB2</v>
        <stp/>
        <stp>##V3_BDPV12</stp>
        <stp>912834LB Govt</stp>
        <stp>ID_CUSIP</stp>
        <stp>[STRIPS.xlsx]Sheet1!R73C19</stp>
        <tr r="S73" s="1"/>
      </tp>
      <tp t="s">
        <v>912833LM0</v>
        <stp/>
        <stp>##V3_BDPV12</stp>
        <stp>912833LM Govt</stp>
        <stp>ID_CUSIP</stp>
        <stp>[STRIPS.xlsx]Sheet1!R17C19</stp>
        <tr r="S17" s="1"/>
      </tp>
      <tp t="s">
        <v>912833LL2</v>
        <stp/>
        <stp>##V3_BDPV12</stp>
        <stp>912833LL Govt</stp>
        <stp>ID_CUSIP</stp>
        <stp>[STRIPS.xlsx]Sheet1!R36C19</stp>
        <tr r="S36" s="1"/>
      </tp>
      <tp t="s">
        <v>912833LN8</v>
        <stp/>
        <stp>##V3_BDPV12</stp>
        <stp>912833LN Govt</stp>
        <stp>ID_CUSIP</stp>
        <stp>[STRIPS.xlsx]Sheet1!R63C19</stp>
        <tr r="S63" s="1"/>
      </tp>
      <tp t="s">
        <v>912833LH1</v>
        <stp/>
        <stp>##V3_BDPV12</stp>
        <stp>912833LH Govt</stp>
        <stp>ID_CUSIP</stp>
        <stp>[STRIPS.xlsx]Sheet1!R40C19</stp>
        <tr r="S40" s="1"/>
      </tp>
      <tp t="s">
        <v>912834LK2</v>
        <stp/>
        <stp>##V3_BDPV12</stp>
        <stp>912834LK Govt</stp>
        <stp>ID_CUSIP</stp>
        <stp>[STRIPS.xlsx]Sheet1!R53C19</stp>
        <tr r="S53" s="1"/>
      </tp>
      <tp t="s">
        <v>912833LK4</v>
        <stp/>
        <stp>##V3_BDPV12</stp>
        <stp>912833LK Govt</stp>
        <stp>ID_CUSIP</stp>
        <stp>[STRIPS.xlsx]Sheet1!R21C19</stp>
        <tr r="S21" s="1"/>
      </tp>
      <tp t="s">
        <v>912833LJ7</v>
        <stp/>
        <stp>##V3_BDPV12</stp>
        <stp>912833LJ Govt</stp>
        <stp>ID_CUSIP</stp>
        <stp>[STRIPS.xlsx]Sheet1!R18C19</stp>
        <tr r="S18" s="1"/>
      </tp>
      <tp t="s">
        <v>USD</v>
        <stp/>
        <stp>##V3_BDPV12</stp>
        <stp>912834JY Govt</stp>
        <stp>CRNCY</stp>
        <stp>[STRIPS.xlsx]Sheet1!R64C7</stp>
        <tr r="G64" s="1"/>
      </tp>
      <tp t="s">
        <v>S</v>
        <stp/>
        <stp>##V3_BDPV12</stp>
        <stp>912834LB Govt</stp>
        <stp>TICKER</stp>
        <stp>[STRIPS.xlsx]Sheet1!R73C2</stp>
        <tr r="B73" s="1"/>
      </tp>
      <tp t="s">
        <v>S</v>
        <stp/>
        <stp>##V3_BDPV12</stp>
        <stp>9128335B Govt</stp>
        <stp>TICKER</stp>
        <stp>[STRIPS.xlsx]Sheet1!R43C2</stp>
        <tr r="B43" s="1"/>
      </tp>
      <tp t="s">
        <v>4/30/2008</v>
        <stp/>
        <stp>##V3_BDPV12</stp>
        <stp>9128335S Govt</stp>
        <stp>MATURITY</stp>
        <stp>[STRIPS.xlsx]Sheet1!R649C5</stp>
        <tr r="E649" s="1"/>
      </tp>
      <tp t="s">
        <v>USD</v>
        <stp/>
        <stp>##V3_BDPV12</stp>
        <stp>912834JP Govt</stp>
        <stp>CRNCY</stp>
        <stp>[STRIPS.xlsx]Sheet1!R34C7</stp>
        <tr r="G34" s="1"/>
      </tp>
      <tp t="s">
        <v>USD</v>
        <stp/>
        <stp>##V3_BDPV12</stp>
        <stp>912833LP Govt</stp>
        <stp>CRNCY</stp>
        <stp>[STRIPS.xlsx]Sheet1!R12C7</stp>
        <tr r="G12" s="1"/>
      </tp>
      <tp t="s">
        <v>USD</v>
        <stp/>
        <stp>##V3_BDPV12</stp>
        <stp>912833LU Govt</stp>
        <stp>CRNCY</stp>
        <stp>[STRIPS.xlsx]Sheet1!R22C7</stp>
        <tr r="G22" s="1"/>
      </tp>
      <tp t="s">
        <v>7/31/2007</v>
        <stp/>
        <stp>##V3_BDPV12</stp>
        <stp>9128334D Govt</stp>
        <stp>MATURITY</stp>
        <stp>[STRIPS.xlsx]Sheet1!R488C5</stp>
        <tr r="E488" s="1"/>
      </tp>
      <tp t="s">
        <v>8/31/2007</v>
        <stp/>
        <stp>##V3_BDPV12</stp>
        <stp>9128334E Govt</stp>
        <stp>MATURITY</stp>
        <stp>[STRIPS.xlsx]Sheet1!R708C5</stp>
        <tr r="E708" s="1"/>
      </tp>
      <tp t="s">
        <v>ACT/ACT</v>
        <stp/>
        <stp>##V3_BDPV12</stp>
        <stp>912834HS Govt</stp>
        <stp>DAY_CNT_DES</stp>
        <stp>[STRIPS.xlsx]Sheet1!R396C17</stp>
        <tr r="Q396" s="1"/>
      </tp>
      <tp t="s">
        <v>#N/A Field Not Applicable</v>
        <stp/>
        <stp>##V3_BDPV12</stp>
        <stp>912833MP Govt</stp>
        <stp>COUPON_FREQUENCY_DESCRIPTION</stp>
        <stp>[STRIPS.xlsx]Sheet1!R235C10</stp>
        <tr r="J235" s="1"/>
      </tp>
      <tp t="s">
        <v>#N/A Field Not Applicable</v>
        <stp/>
        <stp>##V3_BDPV12</stp>
        <stp>912834PP Govt</stp>
        <stp>COUPON_FREQUENCY_DESCRIPTION</stp>
        <stp>[STRIPS.xlsx]Sheet1!R276C10</stp>
        <tr r="J276" s="1"/>
      </tp>
      <tp t="s">
        <v>#N/A Field Not Applicable</v>
        <stp/>
        <stp>##V3_BDPV12</stp>
        <stp>912834AP Govt</stp>
        <stp>COUPON_FREQUENCY_DESCRIPTION</stp>
        <stp>[STRIPS.xlsx]Sheet1!R386C10</stp>
        <tr r="J386" s="1"/>
      </tp>
      <tp t="s">
        <v>#N/A Field Not Applicable</v>
        <stp/>
        <stp>##V3_BDPV12</stp>
        <stp>912834BP Govt</stp>
        <stp>COUPON_FREQUENCY_DESCRIPTION</stp>
        <stp>[STRIPS.xlsx]Sheet1!R389C10</stp>
        <tr r="J389" s="1"/>
      </tp>
      <tp t="s">
        <v>#N/A Field Not Applicable</v>
        <stp/>
        <stp>##V3_BDPV12</stp>
        <stp>912833NP Govt</stp>
        <stp>COUPON_FREQUENCY_DESCRIPTION</stp>
        <stp>[STRIPS.xlsx]Sheet1!R373C10</stp>
        <tr r="J373" s="1"/>
      </tp>
      <tp t="s">
        <v>#N/A Field Not Applicable</v>
        <stp/>
        <stp>##V3_BDPV12</stp>
        <stp>912833PP Govt</stp>
        <stp>COUPON_FREQUENCY_DESCRIPTION</stp>
        <stp>[STRIPS.xlsx]Sheet1!R337C10</stp>
        <tr r="J337" s="1"/>
      </tp>
      <tp t="s">
        <v>ACT/ACT</v>
        <stp/>
        <stp>##V3_BDPV12</stp>
        <stp>912834HW Govt</stp>
        <stp>DAY_CNT_DES</stp>
        <stp>[STRIPS.xlsx]Sheet1!R536C17</stp>
        <tr r="Q536" s="1"/>
      </tp>
      <tp t="s">
        <v>#N/A Field Not Applicable</v>
        <stp/>
        <stp>##V3_BDPV12</stp>
        <stp>912833ZP Govt</stp>
        <stp>COUPON_FREQUENCY_DESCRIPTION</stp>
        <stp>[STRIPS.xlsx]Sheet1!R192C10</stp>
        <tr r="J192" s="1"/>
      </tp>
      <tp t="s">
        <v>#N/A Field Not Applicable</v>
        <stp/>
        <stp>##V3_BDPV12</stp>
        <stp>912834QP Govt</stp>
        <stp>COUPON_FREQUENCY_DESCRIPTION</stp>
        <stp>[STRIPS.xlsx]Sheet1!R108C10</stp>
        <tr r="J108" s="1"/>
      </tp>
      <tp t="s">
        <v>#N/A Field Not Applicable</v>
        <stp/>
        <stp>##V3_BDPV12</stp>
        <stp>912834TP Govt</stp>
        <stp>COUPON_FREQUENCY_DESCRIPTION</stp>
        <stp>[STRIPS.xlsx]Sheet1!R117C10</stp>
        <tr r="J117" s="1"/>
      </tp>
      <tp t="s">
        <v>#N/A Field Not Applicable</v>
        <stp/>
        <stp>##V3_BDPV12</stp>
        <stp>912834NP Govt</stp>
        <stp>COUPON_FREQUENCY_DESCRIPTION</stp>
        <stp>[STRIPS.xlsx]Sheet1!R130C10</stp>
        <tr r="J130" s="1"/>
      </tp>
      <tp t="s">
        <v>#N/A Field Not Applicable</v>
        <stp/>
        <stp>##V3_BDPV12</stp>
        <stp>912833QP Govt</stp>
        <stp>COUPON_FREQUENCY_DESCRIPTION</stp>
        <stp>[STRIPS.xlsx]Sheet1!R687C10</stp>
        <tr r="J687" s="1"/>
      </tp>
      <tp t="s">
        <v>#N/A Field Not Applicable</v>
        <stp/>
        <stp>##V3_BDPV12</stp>
        <stp>912833FP Govt</stp>
        <stp>COUPON_FREQUENCY_DESCRIPTION</stp>
        <stp>[STRIPS.xlsx]Sheet1!R664C10</stp>
        <tr r="J664" s="1"/>
      </tp>
      <tp t="s">
        <v>#N/A Field Not Applicable</v>
        <stp/>
        <stp>##V3_BDPV12</stp>
        <stp>912833KP Govt</stp>
        <stp>COUPON_FREQUENCY_DESCRIPTION</stp>
        <stp>[STRIPS.xlsx]Sheet1!R623C10</stp>
        <tr r="J623" s="1"/>
      </tp>
      <tp t="s">
        <v>#N/A Field Not Applicable</v>
        <stp/>
        <stp>##V3_BDPV12</stp>
        <stp>912834UP Govt</stp>
        <stp>COUPON_FREQUENCY_DESCRIPTION</stp>
        <stp>[STRIPS.xlsx]Sheet1!R754C10</stp>
        <tr r="J754" s="1"/>
      </tp>
      <tp t="s">
        <v>#N/A Field Not Applicable</v>
        <stp/>
        <stp>##V3_BDPV12</stp>
        <stp>9128335P Govt</stp>
        <stp>COUPON_FREQUENCY_DESCRIPTION</stp>
        <stp>[STRIPS.xlsx]Sheet1!R723C10</stp>
        <tr r="J723" s="1"/>
      </tp>
      <tp t="s">
        <v>#N/A Field Not Applicable</v>
        <stp/>
        <stp>##V3_BDPV12</stp>
        <stp>9128336P Govt</stp>
        <stp>COUPON_FREQUENCY_DESCRIPTION</stp>
        <stp>[STRIPS.xlsx]Sheet1!R729C10</stp>
        <tr r="J729" s="1"/>
      </tp>
      <tp t="s">
        <v>#N/A Field Not Applicable</v>
        <stp/>
        <stp>##V3_BDPV12</stp>
        <stp>9128333P Govt</stp>
        <stp>COUPON_FREQUENCY_DESCRIPTION</stp>
        <stp>[STRIPS.xlsx]Sheet1!R704C10</stp>
        <tr r="J704" s="1"/>
      </tp>
      <tp t="s">
        <v>#N/A Field Not Applicable</v>
        <stp/>
        <stp>##V3_BDPV12</stp>
        <stp>912834RP Govt</stp>
        <stp>COUPON_FREQUENCY_DESCRIPTION</stp>
        <stp>[STRIPS.xlsx]Sheet1!R416C10</stp>
        <tr r="J416" s="1"/>
      </tp>
      <tp t="s">
        <v>#N/A Field Not Applicable</v>
        <stp/>
        <stp>##V3_BDPV12</stp>
        <stp>912834LP Govt</stp>
        <stp>COUPON_FREQUENCY_DESCRIPTION</stp>
        <stp>[STRIPS.xlsx]Sheet1!R474C10</stp>
        <tr r="J474" s="1"/>
      </tp>
      <tp t="s">
        <v>ACT/ACT</v>
        <stp/>
        <stp>##V3_BDPV12</stp>
        <stp>912834HT Govt</stp>
        <stp>DAY_CNT_DES</stp>
        <stp>[STRIPS.xlsx]Sheet1!R355C17</stp>
        <tr r="Q355" s="1"/>
      </tp>
      <tp t="s">
        <v>ACT/ACT</v>
        <stp/>
        <stp>##V3_BDPV12</stp>
        <stp>912834HU Govt</stp>
        <stp>DAY_CNT_DES</stp>
        <stp>[STRIPS.xlsx]Sheet1!R225C17</stp>
        <tr r="Q225" s="1"/>
      </tp>
      <tp t="s">
        <v>ACT/ACT</v>
        <stp/>
        <stp>##V3_BDPV12</stp>
        <stp>912834HR Govt</stp>
        <stp>DAY_CNT_DES</stp>
        <stp>[STRIPS.xlsx]Sheet1!R535C17</stp>
        <tr r="Q535" s="1"/>
      </tp>
      <tp t="s">
        <v>#N/A Field Not Applicable</v>
        <stp/>
        <stp>##V3_BDPV12</stp>
        <stp>912833CP Govt</stp>
        <stp>COUPON_FREQUENCY_DESCRIPTION</stp>
        <stp>[STRIPS.xlsx]Sheet1!R564C10</stp>
        <tr r="J564" s="1"/>
      </tp>
      <tp t="s">
        <v>#N/A Field Not Applicable</v>
        <stp/>
        <stp>##V3_BDPV12</stp>
        <stp>912834MP Govt</stp>
        <stp>COUPON_FREQUENCY_DESCRIPTION</stp>
        <stp>[STRIPS.xlsx]Sheet1!R542C10</stp>
        <tr r="J542" s="1"/>
      </tp>
      <tp t="s">
        <v>#N/A Field Not Applicable</v>
        <stp/>
        <stp>##V3_BDPV12</stp>
        <stp>912833RP Govt</stp>
        <stp>COUPON_FREQUENCY_DESCRIPTION</stp>
        <stp>[STRIPS.xlsx]Sheet1!R524C10</stp>
        <tr r="J524" s="1"/>
      </tp>
      <tp t="s">
        <v>ACT/ACT</v>
        <stp/>
        <stp>##V3_BDPV12</stp>
        <stp>912834HZ Govt</stp>
        <stp>DAY_CNT_DES</stp>
        <stp>[STRIPS.xlsx]Sheet1!R265C17</stp>
        <tr r="Q265" s="1"/>
      </tp>
      <tp t="s">
        <v>ACT/ACT</v>
        <stp/>
        <stp>##V3_BDPV12</stp>
        <stp>912834HX Govt</stp>
        <stp>DAY_CNT_DES</stp>
        <stp>[STRIPS.xlsx]Sheet1!R356C17</stp>
        <tr r="Q356" s="1"/>
      </tp>
      <tp t="s">
        <v>ACT/ACT</v>
        <stp/>
        <stp>##V3_BDPV12</stp>
        <stp>912834HY Govt</stp>
        <stp>DAY_CNT_DES</stp>
        <stp>[STRIPS.xlsx]Sheet1!R226C17</stp>
        <tr r="Q226" s="1"/>
      </tp>
      <tp t="s">
        <v>912834MT2</v>
        <stp/>
        <stp>##V3_BDPV12</stp>
        <stp>912834MT Govt</stp>
        <stp>ID_CUSIP</stp>
        <stp>[STRIPS.xlsx]Sheet1!R41C19</stp>
        <tr r="S41" s="1"/>
      </tp>
      <tp t="s">
        <v>#N/A Field Not Applicable</v>
        <stp/>
        <stp>##V3_BDPV12</stp>
        <stp>912834SZ Govt</stp>
        <stp>IDX_RATIO</stp>
        <stp>[STRIPS.xlsx]Sheet1!R94C20</stp>
        <tr r="T94" s="1"/>
      </tp>
      <tp t="s">
        <v>#N/A Field Not Applicable</v>
        <stp/>
        <stp>##V3_BDPV12</stp>
        <stp>9128334Z Govt</stp>
        <stp>IDX_RATIO</stp>
        <stp>[STRIPS.xlsx]Sheet1!R45C20</stp>
        <tr r="T45" s="1"/>
      </tp>
      <tp t="s">
        <v>#N/A Field Not Applicable</v>
        <stp/>
        <stp>##V3_BDPV12</stp>
        <stp>912833RZ Govt</stp>
        <stp>IDX_RATIO</stp>
        <stp>[STRIPS.xlsx]Sheet1!R26C20</stp>
        <tr r="T26" s="1"/>
      </tp>
      <tp t="s">
        <v>#N/A Field Not Applicable</v>
        <stp/>
        <stp>##V3_BDPV12</stp>
        <stp>912833XZ Govt</stp>
        <stp>IDX_RATIO</stp>
        <stp>[STRIPS.xlsx]Sheet1!R31C20</stp>
        <tr r="T31" s="1"/>
      </tp>
      <tp t="s">
        <v>#N/A Field Not Applicable</v>
        <stp/>
        <stp>##V3_BDPV12</stp>
        <stp>912834MZ Govt</stp>
        <stp>IDX_RATIO</stp>
        <stp>[STRIPS.xlsx]Sheet1!R71C20</stp>
        <tr r="T71" s="1"/>
      </tp>
      <tp t="s">
        <v>912834MZ8</v>
        <stp/>
        <stp>##V3_BDPV12</stp>
        <stp>912834MZ Govt</stp>
        <stp>ID_CUSIP</stp>
        <stp>[STRIPS.xlsx]Sheet1!R71C19</stp>
        <tr r="S71" s="1"/>
      </tp>
      <tp t="s">
        <v>912834MD7</v>
        <stp/>
        <stp>##V3_BDPV12</stp>
        <stp>912834MD Govt</stp>
        <stp>ID_CUSIP</stp>
        <stp>[STRIPS.xlsx]Sheet1!R72C19</stp>
        <tr r="S72" s="1"/>
      </tp>
      <tp t="s">
        <v>912834MM7</v>
        <stp/>
        <stp>##V3_BDPV12</stp>
        <stp>912834MM Govt</stp>
        <stp>ID_CUSIP</stp>
        <stp>[STRIPS.xlsx]Sheet1!R80C19</stp>
        <tr r="S80" s="1"/>
      </tp>
      <tp t="s">
        <v>USD</v>
        <stp/>
        <stp>##V3_BDPV12</stp>
        <stp>912834LX Govt</stp>
        <stp>CRNCY</stp>
        <stp>[STRIPS.xlsx]Sheet1!R93C7</stp>
        <tr r="G93" s="1"/>
      </tp>
      <tp t="s">
        <v>S</v>
        <stp/>
        <stp>##V3_BDPV12</stp>
        <stp>912834JB Govt</stp>
        <stp>TICKER</stp>
        <stp>[STRIPS.xlsx]Sheet1!R82C2</stp>
        <tr r="B82" s="1"/>
      </tp>
      <tp t="s">
        <v>S</v>
        <stp/>
        <stp>##V3_BDPV12</stp>
        <stp>912834JH Govt</stp>
        <stp>TICKER</stp>
        <stp>[STRIPS.xlsx]Sheet1!R68C2</stp>
        <tr r="B68" s="1"/>
      </tp>
      <tp t="s">
        <v>S</v>
        <stp/>
        <stp>##V3_BDPV12</stp>
        <stp>912833PE Govt</stp>
        <stp>TICKER</stp>
        <stp>[STRIPS.xlsx]Sheet1!R15C2</stp>
        <tr r="B15" s="1"/>
      </tp>
      <tp t="s">
        <v>10/15/2010</v>
        <stp/>
        <stp>##V3_BDPV12</stp>
        <stp>9128334H Govt</stp>
        <stp>MATURITY</stp>
        <stp>[STRIPS.xlsx]Sheet1!R489C5</stp>
        <tr r="E489" s="1"/>
      </tp>
      <tp t="s">
        <v>USD</v>
        <stp/>
        <stp>##V3_BDPV12</stp>
        <stp>912834LK Govt</stp>
        <stp>CRNCY</stp>
        <stp>[STRIPS.xlsx]Sheet1!R53C7</stp>
        <tr r="G53" s="1"/>
      </tp>
      <tp t="s">
        <v>USD</v>
        <stp/>
        <stp>##V3_BDPV12</stp>
        <stp>912833LN Govt</stp>
        <stp>CRNCY</stp>
        <stp>[STRIPS.xlsx]Sheet1!R63C7</stp>
        <tr r="G63" s="1"/>
      </tp>
      <tp t="s">
        <v>USD</v>
        <stp/>
        <stp>##V3_BDPV12</stp>
        <stp>912834LB Govt</stp>
        <stp>CRNCY</stp>
        <stp>[STRIPS.xlsx]Sheet1!R73C7</stp>
        <tr r="G73" s="1"/>
      </tp>
      <tp t="s">
        <v>USD</v>
        <stp/>
        <stp>##V3_BDPV12</stp>
        <stp>912833LG Govt</stp>
        <stp>CRNCY</stp>
        <stp>[STRIPS.xlsx]Sheet1!R33C7</stp>
        <tr r="G33" s="1"/>
      </tp>
      <tp t="s">
        <v>9/30/2007</v>
        <stp/>
        <stp>##V3_BDPV12</stp>
        <stp>9128334G Govt</stp>
        <stp>MATURITY</stp>
        <stp>[STRIPS.xlsx]Sheet1!R709C5</stp>
        <tr r="E709" s="1"/>
      </tp>
      <tp t="s">
        <v>USD</v>
        <stp/>
        <stp>##V3_BDPV12</stp>
        <stp>912834MD Govt</stp>
        <stp>CRNCY</stp>
        <stp>[STRIPS.xlsx]Sheet1!R72C7</stp>
        <tr r="G72" s="1"/>
      </tp>
      <tp t="s">
        <v>#N/A Field Not Applicable</v>
        <stp/>
        <stp>##V3_BDPV12</stp>
        <stp>912833CS Govt</stp>
        <stp>COUPON_FREQUENCY_DESCRIPTION</stp>
        <stp>[STRIPS.xlsx]Sheet1!R298C10</stp>
        <tr r="J298" s="1"/>
      </tp>
      <tp t="s">
        <v>#N/A Field Not Applicable</v>
        <stp/>
        <stp>##V3_BDPV12</stp>
        <stp>912834PS Govt</stp>
        <stp>COUPON_FREQUENCY_DESCRIPTION</stp>
        <stp>[STRIPS.xlsx]Sheet1!R209C10</stp>
        <tr r="J209" s="1"/>
      </tp>
      <tp t="s">
        <v>#N/A Field Not Applicable</v>
        <stp/>
        <stp>##V3_BDPV12</stp>
        <stp>912834KS Govt</stp>
        <stp>COUPON_FREQUENCY_DESCRIPTION</stp>
        <stp>[STRIPS.xlsx]Sheet1!R268C10</stp>
        <tr r="J268" s="1"/>
      </tp>
      <tp t="s">
        <v>#N/A Field Not Applicable</v>
        <stp/>
        <stp>##V3_BDPV12</stp>
        <stp>912834LS Govt</stp>
        <stp>COUPON_FREQUENCY_DESCRIPTION</stp>
        <stp>[STRIPS.xlsx]Sheet1!R270C10</stp>
        <tr r="J270" s="1"/>
      </tp>
      <tp t="s">
        <v>ACT/ACT</v>
        <stp/>
        <stp>##V3_BDPV12</stp>
        <stp>912833KV Govt</stp>
        <stp>DAY_CNT_DES</stp>
        <stp>[STRIPS.xlsx]Sheet1!R742C17</stp>
        <tr r="Q742" s="1"/>
      </tp>
      <tp t="s">
        <v>ACT/ACT</v>
        <stp/>
        <stp>##V3_BDPV12</stp>
        <stp>912833KU Govt</stp>
        <stp>DAY_CNT_DES</stp>
        <stp>[STRIPS.xlsx]Sheet1!R444C17</stp>
        <tr r="Q444" s="1"/>
      </tp>
      <tp t="s">
        <v>ACT/ACT</v>
        <stp/>
        <stp>##V3_BDPV12</stp>
        <stp>912834KS Govt</stp>
        <stp>DAY_CNT_DES</stp>
        <stp>[STRIPS.xlsx]Sheet1!R268C17</stp>
        <tr r="Q268" s="1"/>
      </tp>
      <tp t="s">
        <v>ACT/ACT</v>
        <stp/>
        <stp>##V3_BDPV12</stp>
        <stp>912834KU Govt</stp>
        <stp>DAY_CNT_DES</stp>
        <stp>[STRIPS.xlsx]Sheet1!R401C17</stp>
        <tr r="Q401" s="1"/>
      </tp>
      <tp t="s">
        <v>#N/A Field Not Applicable</v>
        <stp/>
        <stp>##V3_BDPV12</stp>
        <stp>912834HS Govt</stp>
        <stp>COUPON_FREQUENCY_DESCRIPTION</stp>
        <stp>[STRIPS.xlsx]Sheet1!R396C10</stp>
        <tr r="J396" s="1"/>
      </tp>
      <tp t="s">
        <v>#N/A Field Not Applicable</v>
        <stp/>
        <stp>##V3_BDPV12</stp>
        <stp>912834JS Govt</stp>
        <stp>COUPON_FREQUENCY_DESCRIPTION</stp>
        <stp>[STRIPS.xlsx]Sheet1!R315C10</stp>
        <tr r="J315" s="1"/>
      </tp>
      <tp t="s">
        <v>ACT/ACT</v>
        <stp/>
        <stp>##V3_BDPV12</stp>
        <stp>912833KS Govt</stp>
        <stp>DAY_CNT_DES</stp>
        <stp>[STRIPS.xlsx]Sheet1!R176C17</stp>
        <tr r="Q176" s="1"/>
      </tp>
      <tp t="s">
        <v>ACT/ACT</v>
        <stp/>
        <stp>##V3_BDPV12</stp>
        <stp>912834KQ Govt</stp>
        <stp>DAY_CNT_DES</stp>
        <stp>[STRIPS.xlsx]Sheet1!R318C17</stp>
        <tr r="Q318" s="1"/>
      </tp>
      <tp t="s">
        <v>ACT/ACT</v>
        <stp/>
        <stp>##V3_BDPV12</stp>
        <stp>912834KW Govt</stp>
        <stp>DAY_CNT_DES</stp>
        <stp>[STRIPS.xlsx]Sheet1!R470C17</stp>
        <tr r="Q470" s="1"/>
      </tp>
      <tp t="s">
        <v>#N/A Field Not Applicable</v>
        <stp/>
        <stp>##V3_BDPV12</stp>
        <stp>912834TS Govt</stp>
        <stp>COUPON_FREQUENCY_DESCRIPTION</stp>
        <stp>[STRIPS.xlsx]Sheet1!R196C10</stp>
        <tr r="J196" s="1"/>
      </tp>
      <tp t="s">
        <v>#N/A Field Not Applicable</v>
        <stp/>
        <stp>##V3_BDPV12</stp>
        <stp>912833KS Govt</stp>
        <stp>COUPON_FREQUENCY_DESCRIPTION</stp>
        <stp>[STRIPS.xlsx]Sheet1!R176C10</stp>
        <tr r="J176" s="1"/>
      </tp>
      <tp t="s">
        <v>#N/A Field Not Applicable</v>
        <stp/>
        <stp>##V3_BDPV12</stp>
        <stp>912834QS Govt</stp>
        <stp>COUPON_FREQUENCY_DESCRIPTION</stp>
        <stp>[STRIPS.xlsx]Sheet1!R135C10</stp>
        <tr r="J135" s="1"/>
      </tp>
      <tp t="s">
        <v>#N/A Field Not Applicable</v>
        <stp/>
        <stp>##V3_BDPV12</stp>
        <stp>912834RS Govt</stp>
        <stp>COUPON_FREQUENCY_DESCRIPTION</stp>
        <stp>[STRIPS.xlsx]Sheet1!R169C10</stp>
        <tr r="J169" s="1"/>
      </tp>
      <tp t="s">
        <v>#N/A Field Not Applicable</v>
        <stp/>
        <stp>##V3_BDPV12</stp>
        <stp>912834VS Govt</stp>
        <stp>COUPON_FREQUENCY_DESCRIPTION</stp>
        <stp>[STRIPS.xlsx]Sheet1!R170C10</stp>
        <tr r="J170" s="1"/>
      </tp>
      <tp t="s">
        <v>ACT/ACT</v>
        <stp/>
        <stp>##V3_BDPV12</stp>
        <stp>912833KQ Govt</stp>
        <stp>DAY_CNT_DES</stp>
        <stp>[STRIPS.xlsx]Sheet1!R566C17</stp>
        <tr r="Q566" s="1"/>
      </tp>
      <tp t="s">
        <v>#N/A Field Not Applicable</v>
        <stp/>
        <stp>##V3_BDPV12</stp>
        <stp>9128335S Govt</stp>
        <stp>COUPON_FREQUENCY_DESCRIPTION</stp>
        <stp>[STRIPS.xlsx]Sheet1!R649C10</stp>
        <tr r="J649" s="1"/>
      </tp>
      <tp t="s">
        <v>#N/A Field Not Applicable</v>
        <stp/>
        <stp>##V3_BDPV12</stp>
        <stp>912833QS Govt</stp>
        <stp>COUPON_FREQUENCY_DESCRIPTION</stp>
        <stp>[STRIPS.xlsx]Sheet1!R632C10</stp>
        <tr r="J632" s="1"/>
      </tp>
      <tp t="s">
        <v>#N/A Field Not Applicable</v>
        <stp/>
        <stp>##V3_BDPV12</stp>
        <stp>912833MS Govt</stp>
        <stp>COUPON_FREQUENCY_DESCRIPTION</stp>
        <stp>[STRIPS.xlsx]Sheet1!R625C10</stp>
        <tr r="J625" s="1"/>
      </tp>
      <tp t="s">
        <v>ACT/ACT</v>
        <stp/>
        <stp>##V3_BDPV12</stp>
        <stp>912833KT Govt</stp>
        <stp>DAY_CNT_DES</stp>
        <stp>[STRIPS.xlsx]Sheet1!R161C17</stp>
        <tr r="Q161" s="1"/>
      </tp>
      <tp t="s">
        <v>#N/A Field Not Applicable</v>
        <stp/>
        <stp>##V3_BDPV12</stp>
        <stp>9128336S Govt</stp>
        <stp>COUPON_FREQUENCY_DESCRIPTION</stp>
        <stp>[STRIPS.xlsx]Sheet1!R751C10</stp>
        <tr r="J751" s="1"/>
      </tp>
      <tp t="s">
        <v>#N/A Field Not Applicable</v>
        <stp/>
        <stp>##V3_BDPV12</stp>
        <stp>912834US Govt</stp>
        <stp>COUPON_FREQUENCY_DESCRIPTION</stp>
        <stp>[STRIPS.xlsx]Sheet1!R762C10</stp>
        <tr r="J762" s="1"/>
      </tp>
      <tp t="s">
        <v>ACT/ACT</v>
        <stp/>
        <stp>##V3_BDPV12</stp>
        <stp>912833KR Govt</stp>
        <stp>DAY_CNT_DES</stp>
        <stp>[STRIPS.xlsx]Sheet1!R443C17</stp>
        <tr r="Q443" s="1"/>
      </tp>
      <tp t="s">
        <v>ACT/ACT</v>
        <stp/>
        <stp>##V3_BDPV12</stp>
        <stp>912833KW Govt</stp>
        <stp>DAY_CNT_DES</stp>
        <stp>[STRIPS.xlsx]Sheet1!R177C17</stp>
        <tr r="Q177" s="1"/>
      </tp>
      <tp t="s">
        <v>ACT/ACT</v>
        <stp/>
        <stp>##V3_BDPV12</stp>
        <stp>912834KR Govt</stp>
        <stp>DAY_CNT_DES</stp>
        <stp>[STRIPS.xlsx]Sheet1!R400C17</stp>
        <tr r="Q400" s="1"/>
      </tp>
      <tp t="s">
        <v>ACT/ACT</v>
        <stp/>
        <stp>##V3_BDPV12</stp>
        <stp>912833KP Govt</stp>
        <stp>DAY_CNT_DES</stp>
        <stp>[STRIPS.xlsx]Sheet1!R623C17</stp>
        <tr r="Q623" s="1"/>
      </tp>
      <tp t="s">
        <v>#N/A Field Not Applicable</v>
        <stp/>
        <stp>##V3_BDPV12</stp>
        <stp>912834MS Govt</stp>
        <stp>COUPON_FREQUENCY_DESCRIPTION</stp>
        <stp>[STRIPS.xlsx]Sheet1!R406C10</stp>
        <tr r="J406" s="1"/>
      </tp>
      <tp t="s">
        <v>#N/A Field Not Applicable</v>
        <stp/>
        <stp>##V3_BDPV12</stp>
        <stp>912833ZS Govt</stp>
        <stp>COUPON_FREQUENCY_DESCRIPTION</stp>
        <stp>[STRIPS.xlsx]Sheet1!R455C10</stp>
        <tr r="J455" s="1"/>
      </tp>
      <tp t="s">
        <v>#N/A Field Not Applicable</v>
        <stp/>
        <stp>##V3_BDPV12</stp>
        <stp>912834ES Govt</stp>
        <stp>COUPON_FREQUENCY_DESCRIPTION</stp>
        <stp>[STRIPS.xlsx]Sheet1!R464C10</stp>
        <tr r="J464" s="1"/>
      </tp>
      <tp t="s">
        <v>ACT/ACT</v>
        <stp/>
        <stp>##V3_BDPV12</stp>
        <stp>912834KT Govt</stp>
        <stp>DAY_CNT_DES</stp>
        <stp>[STRIPS.xlsx]Sheet1!R319C17</stp>
        <tr r="Q319" s="1"/>
      </tp>
      <tp t="s">
        <v>#N/A Field Not Applicable</v>
        <stp/>
        <stp>##V3_BDPV12</stp>
        <stp>912833YS Govt</stp>
        <stp>COUPON_FREQUENCY_DESCRIPTION</stp>
        <stp>[STRIPS.xlsx]Sheet1!R585C10</stp>
        <tr r="J585" s="1"/>
      </tp>
      <tp t="s">
        <v>#N/A Field Not Applicable</v>
        <stp/>
        <stp>##V3_BDPV12</stp>
        <stp>912833PS Govt</stp>
        <stp>COUPON_FREQUENCY_DESCRIPTION</stp>
        <stp>[STRIPS.xlsx]Sheet1!R574C10</stp>
        <tr r="J574" s="1"/>
      </tp>
      <tp t="s">
        <v>#N/A Field Not Applicable</v>
        <stp/>
        <stp>##V3_BDPV12</stp>
        <stp>9128333S Govt</stp>
        <stp>COUPON_FREQUENCY_DESCRIPTION</stp>
        <stp>[STRIPS.xlsx]Sheet1!R553C10</stp>
        <tr r="J553" s="1"/>
      </tp>
      <tp t="s">
        <v>#N/A Field Not Applicable</v>
        <stp/>
        <stp>##V3_BDPV12</stp>
        <stp>912834NS Govt</stp>
        <stp>COUPON_FREQUENCY_DESCRIPTION</stp>
        <stp>[STRIPS.xlsx]Sheet1!R547C10</stp>
        <tr r="J547" s="1"/>
      </tp>
      <tp t="s">
        <v>#N/A Field Not Applicable</v>
        <stp/>
        <stp>##V3_BDPV12</stp>
        <stp>912833RS Govt</stp>
        <stp>COUPON_FREQUENCY_DESCRIPTION</stp>
        <stp>[STRIPS.xlsx]Sheet1!R525C10</stp>
        <tr r="J525" s="1"/>
      </tp>
      <tp t="s">
        <v>#N/A Field Not Applicable</v>
        <stp/>
        <stp>##V3_BDPV12</stp>
        <stp>912833FS Govt</stp>
        <stp>COUPON_FREQUENCY_DESCRIPTION</stp>
        <stp>[STRIPS.xlsx]Sheet1!R508C10</stp>
        <tr r="J508" s="1"/>
      </tp>
      <tp t="s">
        <v>ACT/ACT</v>
        <stp/>
        <stp>##V3_BDPV12</stp>
        <stp>912834KZ Govt</stp>
        <stp>DAY_CNT_DES</stp>
        <stp>[STRIPS.xlsx]Sheet1!R269C17</stp>
        <tr r="Q269" s="1"/>
      </tp>
      <tp t="s">
        <v>ACT/ACT</v>
        <stp/>
        <stp>##V3_BDPV12</stp>
        <stp>912833KX Govt</stp>
        <stp>DAY_CNT_DES</stp>
        <stp>[STRIPS.xlsx]Sheet1!R157C17</stp>
        <tr r="Q157" s="1"/>
      </tp>
      <tp t="s">
        <v>ACT/ACT</v>
        <stp/>
        <stp>##V3_BDPV12</stp>
        <stp>912833KZ Govt</stp>
        <stp>DAY_CNT_DES</stp>
        <stp>[STRIPS.xlsx]Sheet1!R152C17</stp>
        <tr r="Q152" s="1"/>
      </tp>
      <tp t="s">
        <v>ACT/ACT</v>
        <stp/>
        <stp>##V3_BDPV12</stp>
        <stp>912834KX Govt</stp>
        <stp>DAY_CNT_DES</stp>
        <stp>[STRIPS.xlsx]Sheet1!R471C17</stp>
        <tr r="Q471" s="1"/>
      </tp>
      <tp t="s">
        <v>ACT/ACT</v>
        <stp/>
        <stp>##V3_BDPV12</stp>
        <stp>912833KY Govt</stp>
        <stp>DAY_CNT_DES</stp>
        <stp>[STRIPS.xlsx]Sheet1!R513C17</stp>
        <tr r="Q513" s="1"/>
      </tp>
      <tp t="s">
        <v>ACT/ACT</v>
        <stp/>
        <stp>##V3_BDPV12</stp>
        <stp>912834KY Govt</stp>
        <stp>DAY_CNT_DES</stp>
        <stp>[STRIPS.xlsx]Sheet1!R472C17</stp>
        <tr r="Q472" s="1"/>
      </tp>
      <tp t="s">
        <v>ACT/ACT</v>
        <stp/>
        <stp>##V3_BDPV12</stp>
        <stp>912834KA Govt</stp>
        <stp>DAY_CNT_DES</stp>
        <stp>[STRIPS.xlsx]Sheet1!R165C17</stp>
        <tr r="Q165" s="1"/>
      </tp>
      <tp t="s">
        <v>ACT/ACT</v>
        <stp/>
        <stp>##V3_BDPV12</stp>
        <stp>912833KA Govt</stp>
        <stp>DAY_CNT_DES</stp>
        <stp>[STRIPS.xlsx]Sheet1!R193C17</stp>
        <tr r="Q193" s="1"/>
      </tp>
      <tp t="s">
        <v>ACT/ACT</v>
        <stp/>
        <stp>##V3_BDPV12</stp>
        <stp>912833KB Govt</stp>
        <stp>DAY_CNT_DES</stp>
        <stp>[STRIPS.xlsx]Sheet1!R367C17</stp>
        <tr r="Q367" s="1"/>
      </tp>
      <tp t="s">
        <v>ACT/ACT</v>
        <stp/>
        <stp>##V3_BDPV12</stp>
        <stp>912833KG Govt</stp>
        <stp>DAY_CNT_DES</stp>
        <stp>[STRIPS.xlsx]Sheet1!R671C17</stp>
        <tr r="Q671" s="1"/>
      </tp>
      <tp t="s">
        <v>ACT/ACT</v>
        <stp/>
        <stp>##V3_BDPV12</stp>
        <stp>912834KC Govt</stp>
        <stp>DAY_CNT_DES</stp>
        <stp>[STRIPS.xlsx]Sheet1!R133C17</stp>
        <tr r="Q133" s="1"/>
      </tp>
      <tp t="s">
        <v>ACT/ACT</v>
        <stp/>
        <stp>##V3_BDPV12</stp>
        <stp>912833KE Govt</stp>
        <stp>DAY_CNT_DES</stp>
        <stp>[STRIPS.xlsx]Sheet1!R670C17</stp>
        <tr r="Q670" s="1"/>
      </tp>
      <tp t="s">
        <v>ACT/ACT</v>
        <stp/>
        <stp>##V3_BDPV12</stp>
        <stp>912834KB Govt</stp>
        <stp>DAY_CNT_DES</stp>
        <stp>[STRIPS.xlsx]Sheet1!R110C17</stp>
        <tr r="Q110" s="1"/>
      </tp>
      <tp t="s">
        <v>ACT/ACT</v>
        <stp/>
        <stp>##V3_BDPV12</stp>
        <stp>912834KF Govt</stp>
        <stp>DAY_CNT_DES</stp>
        <stp>[STRIPS.xlsx]Sheet1!R229C17</stp>
        <tr r="Q229" s="1"/>
      </tp>
      <tp t="s">
        <v>ACT/ACT</v>
        <stp/>
        <stp>##V3_BDPV12</stp>
        <stp>912833KF Govt</stp>
        <stp>DAY_CNT_DES</stp>
        <stp>[STRIPS.xlsx]Sheet1!R368C17</stp>
        <tr r="Q368" s="1"/>
      </tp>
      <tp t="s">
        <v>ACT/ACT</v>
        <stp/>
        <stp>##V3_BDPV12</stp>
        <stp>912834KG Govt</stp>
        <stp>DAY_CNT_DES</stp>
        <stp>[STRIPS.xlsx]Sheet1!R230C17</stp>
        <tr r="Q230" s="1"/>
      </tp>
      <tp t="s">
        <v>ACT/ACT</v>
        <stp/>
        <stp>##V3_BDPV12</stp>
        <stp>912834KE Govt</stp>
        <stp>DAY_CNT_DES</stp>
        <stp>[STRIPS.xlsx]Sheet1!R316C17</stp>
        <tr r="Q316" s="1"/>
      </tp>
      <tp t="s">
        <v>ACT/ACT</v>
        <stp/>
        <stp>##V3_BDPV12</stp>
        <stp>912833KC Govt</stp>
        <stp>DAY_CNT_DES</stp>
        <stp>[STRIPS.xlsx]Sheet1!R442C17</stp>
        <tr r="Q442" s="1"/>
      </tp>
      <tp t="s">
        <v>ACT/ACT</v>
        <stp/>
        <stp>##V3_BDPV12</stp>
        <stp>912833KD Govt</stp>
        <stp>DAY_CNT_DES</stp>
        <stp>[STRIPS.xlsx]Sheet1!R300C17</stp>
        <tr r="Q300" s="1"/>
      </tp>
      <tp t="s">
        <v>ACT/ACT</v>
        <stp/>
        <stp>##V3_BDPV12</stp>
        <stp>912834KD Govt</stp>
        <stp>DAY_CNT_DES</stp>
        <stp>[STRIPS.xlsx]Sheet1!R398C17</stp>
        <tr r="Q398" s="1"/>
      </tp>
      <tp t="s">
        <v>ACT/ACT</v>
        <stp/>
        <stp>##V3_BDPV12</stp>
        <stp>912834KL Govt</stp>
        <stp>DAY_CNT_DES</stp>
        <stp>[STRIPS.xlsx]Sheet1!R468C17</stp>
        <tr r="Q468" s="1"/>
      </tp>
      <tp t="s">
        <v>ACT/ACT</v>
        <stp/>
        <stp>##V3_BDPV12</stp>
        <stp>912834KJ Govt</stp>
        <stp>DAY_CNT_DES</stp>
        <stp>[STRIPS.xlsx]Sheet1!R267C17</stp>
        <tr r="Q267" s="1"/>
      </tp>
      <tp t="s">
        <v>ACT/ACT</v>
        <stp/>
        <stp>##V3_BDPV12</stp>
        <stp>912833KN Govt</stp>
        <stp>DAY_CNT_DES</stp>
        <stp>[STRIPS.xlsx]Sheet1!R672C17</stp>
        <tr r="Q672" s="1"/>
      </tp>
      <tp t="s">
        <v>ACT/ACT</v>
        <stp/>
        <stp>##V3_BDPV12</stp>
        <stp>912833KK Govt</stp>
        <stp>DAY_CNT_DES</stp>
        <stp>[STRIPS.xlsx]Sheet1!R301C17</stp>
        <tr r="Q301" s="1"/>
      </tp>
      <tp t="s">
        <v>ACT/ACT</v>
        <stp/>
        <stp>##V3_BDPV12</stp>
        <stp>912834KK Govt</stp>
        <stp>DAY_CNT_DES</stp>
        <stp>[STRIPS.xlsx]Sheet1!R317C17</stp>
        <tr r="Q317" s="1"/>
      </tp>
      <tp t="s">
        <v>ACT/ACT</v>
        <stp/>
        <stp>##V3_BDPV12</stp>
        <stp>912834KN Govt</stp>
        <stp>DAY_CNT_DES</stp>
        <stp>[STRIPS.xlsx]Sheet1!R469C17</stp>
        <tr r="Q469" s="1"/>
      </tp>
      <tp t="s">
        <v>ACT/ACT</v>
        <stp/>
        <stp>##V3_BDPV12</stp>
        <stp>912833KH Govt</stp>
        <stp>DAY_CNT_DES</stp>
        <stp>[STRIPS.xlsx]Sheet1!R565C17</stp>
        <tr r="Q565" s="1"/>
      </tp>
      <tp t="s">
        <v>ACT/ACT</v>
        <stp/>
        <stp>##V3_BDPV12</stp>
        <stp>912833KM Govt</stp>
        <stp>DAY_CNT_DES</stp>
        <stp>[STRIPS.xlsx]Sheet1!R303C17</stp>
        <tr r="Q303" s="1"/>
      </tp>
      <tp t="s">
        <v>ACT/ACT</v>
        <stp/>
        <stp>##V3_BDPV12</stp>
        <stp>912834KM Govt</stp>
        <stp>DAY_CNT_DES</stp>
        <stp>[STRIPS.xlsx]Sheet1!R399C17</stp>
        <tr r="Q399" s="1"/>
      </tp>
      <tp t="s">
        <v>ACT/ACT</v>
        <stp/>
        <stp>##V3_BDPV12</stp>
        <stp>912833KL Govt</stp>
        <stp>DAY_CNT_DES</stp>
        <stp>[STRIPS.xlsx]Sheet1!R302C17</stp>
        <tr r="Q302" s="1"/>
      </tp>
      <tp t="s">
        <v>ACT/ACT</v>
        <stp/>
        <stp>##V3_BDPV12</stp>
        <stp>912833KJ Govt</stp>
        <stp>DAY_CNT_DES</stp>
        <stp>[STRIPS.xlsx]Sheet1!R512C17</stp>
        <tr r="Q512" s="1"/>
      </tp>
      <tp t="s">
        <v>#N/A Field Not Applicable</v>
        <stp/>
        <stp>##V3_BDPV12</stp>
        <stp>9128334Y Govt</stp>
        <stp>IDX_RATIO</stp>
        <stp>[STRIPS.xlsx]Sheet1!R67C20</stp>
        <tr r="T67" s="1"/>
      </tp>
      <tp t="s">
        <v>#N/A Field Not Applicable</v>
        <stp/>
        <stp>##V3_BDPV12</stp>
        <stp>912833XY Govt</stp>
        <stp>IDX_RATIO</stp>
        <stp>[STRIPS.xlsx]Sheet1!R50C20</stp>
        <tr r="T50" s="1"/>
      </tp>
      <tp t="s">
        <v>#N/A Field Not Applicable</v>
        <stp/>
        <stp>##V3_BDPV12</stp>
        <stp>912833RY Govt</stp>
        <stp>IDX_RATIO</stp>
        <stp>[STRIPS.xlsx]Sheet1!R28C20</stp>
        <tr r="T28" s="1"/>
      </tp>
      <tp t="s">
        <v>#N/A Field Not Applicable</v>
        <stp/>
        <stp>##V3_BDPV12</stp>
        <stp>912834UY Govt</stp>
        <stp>IDX_RATIO</stp>
        <stp>[STRIPS.xlsx]Sheet1!R75C20</stp>
        <tr r="T75" s="1"/>
      </tp>
      <tp t="s">
        <v>#N/A Field Not Applicable</v>
        <stp/>
        <stp>##V3_BDPV12</stp>
        <stp>912834JY Govt</stp>
        <stp>IDX_RATIO</stp>
        <stp>[STRIPS.xlsx]Sheet1!R64C20</stp>
        <tr r="T64" s="1"/>
      </tp>
      <tp t="s">
        <v>#N/A Field Not Applicable</v>
        <stp/>
        <stp>##V3_BDPV12</stp>
        <stp>912833LY Govt</stp>
        <stp>IDX_RATIO</stp>
        <stp>[STRIPS.xlsx]Sheet1!R16C20</stp>
        <tr r="T16" s="1"/>
      </tp>
      <tp t="s">
        <v>912834NF1</v>
        <stp/>
        <stp>##V3_BDPV12</stp>
        <stp>912834NF Govt</stp>
        <stp>ID_CUSIP</stp>
        <stp>[STRIPS.xlsx]Sheet1!R58C19</stp>
        <tr r="S58" s="1"/>
      </tp>
      <tp t="s">
        <v>USD</v>
        <stp/>
        <stp>##V3_BDPV12</stp>
        <stp>912834MZ Govt</stp>
        <stp>CRNCY</stp>
        <stp>[STRIPS.xlsx]Sheet1!R71C7</stp>
        <tr r="G71" s="1"/>
      </tp>
      <tp t="s">
        <v>USD</v>
        <stp/>
        <stp>##V3_BDPV12</stp>
        <stp>912833LX Govt</stp>
        <stp>CRNCY</stp>
        <stp>[STRIPS.xlsx]Sheet1!R10C7</stp>
        <tr r="G10" s="1"/>
      </tp>
      <tp t="s">
        <v>S</v>
        <stp/>
        <stp>##V3_BDPV12</stp>
        <stp>912834WJ Govt</stp>
        <stp>TICKER</stp>
        <stp>[STRIPS.xlsx]Sheet1!R89C2</stp>
        <tr r="B89" s="1"/>
      </tp>
      <tp t="s">
        <v>S</v>
        <stp/>
        <stp>##V3_BDPV12</stp>
        <stp>9128335A Govt</stp>
        <stp>TICKER</stp>
        <stp>[STRIPS.xlsx]Sheet1!R42C2</stp>
        <tr r="B42" s="1"/>
      </tp>
      <tp t="s">
        <v>7/31/2009</v>
        <stp/>
        <stp>##V3_BDPV12</stp>
        <stp>9128336R Govt</stp>
        <stp>MATURITY</stp>
        <stp>[STRIPS.xlsx]Sheet1!R498C5</stp>
        <tr r="E498" s="1"/>
      </tp>
      <tp t="s">
        <v>USD</v>
        <stp/>
        <stp>##V3_BDPV12</stp>
        <stp>912834KV Govt</stp>
        <stp>CRNCY</stp>
        <stp>[STRIPS.xlsx]Sheet1!R57C7</stp>
        <tr r="G57" s="1"/>
      </tp>
      <tp t="s">
        <v>USD</v>
        <stp/>
        <stp>##V3_BDPV12</stp>
        <stp>912834MT Govt</stp>
        <stp>CRNCY</stp>
        <stp>[STRIPS.xlsx]Sheet1!R41C7</stp>
        <tr r="G41" s="1"/>
      </tp>
      <tp t="s">
        <v>USD</v>
        <stp/>
        <stp>##V3_BDPV12</stp>
        <stp>912833LH Govt</stp>
        <stp>CRNCY</stp>
        <stp>[STRIPS.xlsx]Sheet1!R40C7</stp>
        <tr r="G40" s="1"/>
      </tp>
      <tp t="s">
        <v>12/31/2010</v>
        <stp/>
        <stp>##V3_BDPV12</stp>
        <stp>9128336M Govt</stp>
        <stp>MATURITY</stp>
        <stp>[STRIPS.xlsx]Sheet1!R558C5</stp>
        <tr r="E558" s="1"/>
      </tp>
      <tp t="s">
        <v>7/31/2012</v>
        <stp/>
        <stp>##V3_BDPV12</stp>
        <stp>9128337M Govt</stp>
        <stp>MATURITY</stp>
        <stp>[STRIPS.xlsx]Sheet1!R559C5</stp>
        <tr r="E559" s="1"/>
      </tp>
      <tp t="s">
        <v>12/31/2011</v>
        <stp/>
        <stp>##V3_BDPV12</stp>
        <stp>9128337A Govt</stp>
        <stp>MATURITY</stp>
        <stp>[STRIPS.xlsx]Sheet1!R499C5</stp>
        <tr r="E499" s="1"/>
      </tp>
      <tp t="s">
        <v>11/30/2008</v>
        <stp/>
        <stp>##V3_BDPV12</stp>
        <stp>9128336A Govt</stp>
        <stp>MATURITY</stp>
        <stp>[STRIPS.xlsx]Sheet1!R748C5</stp>
        <tr r="E748" s="1"/>
      </tp>
      <tp t="s">
        <v>11/30/2010</v>
        <stp/>
        <stp>##V3_BDPV12</stp>
        <stp>9128336E Govt</stp>
        <stp>MATURITY</stp>
        <stp>[STRIPS.xlsx]Sheet1!R728C5</stp>
        <tr r="E728" s="1"/>
      </tp>
      <tp t="s">
        <v>5/31/2011</v>
        <stp/>
        <stp>##V3_BDPV12</stp>
        <stp>9128336F Govt</stp>
        <stp>MATURITY</stp>
        <stp>[STRIPS.xlsx]Sheet1!R288C5</stp>
        <tr r="E288" s="1"/>
      </tp>
      <tp t="s">
        <v>ACT/ACT</v>
        <stp/>
        <stp>##V3_BDPV12</stp>
        <stp>912833JW Govt</stp>
        <stp>DAY_CNT_DES</stp>
        <stp>[STRIPS.xlsx]Sheet1!R740C17</stp>
        <tr r="Q740" s="1"/>
      </tp>
      <tp t="s">
        <v>ACT/ACT</v>
        <stp/>
        <stp>##V3_BDPV12</stp>
        <stp>912833JV Govt</stp>
        <stp>DAY_CNT_DES</stp>
        <stp>[STRIPS.xlsx]Sheet1!R668C17</stp>
        <tr r="Q668" s="1"/>
      </tp>
      <tp t="s">
        <v>ACT/ACT</v>
        <stp/>
        <stp>##V3_BDPV12</stp>
        <stp>912834JT Govt</stp>
        <stp>DAY_CNT_DES</stp>
        <stp>[STRIPS.xlsx]Sheet1!R467C17</stp>
        <tr r="Q467" s="1"/>
      </tp>
      <tp t="s">
        <v>ACT/ACT</v>
        <stp/>
        <stp>##V3_BDPV12</stp>
        <stp>912834JS Govt</stp>
        <stp>DAY_CNT_DES</stp>
        <stp>[STRIPS.xlsx]Sheet1!R315C17</stp>
        <tr r="Q315" s="1"/>
      </tp>
      <tp t="s">
        <v>#N/A Field Not Applicable</v>
        <stp/>
        <stp>##V3_BDPV12</stp>
        <stp>912834VR Govt</stp>
        <stp>COUPON_FREQUENCY_DESCRIPTION</stp>
        <stp>[STRIPS.xlsx]Sheet1!R224C10</stp>
        <tr r="J224" s="1"/>
      </tp>
      <tp t="s">
        <v>#N/A Field Not Applicable</v>
        <stp/>
        <stp>##V3_BDPV12</stp>
        <stp>912834MR Govt</stp>
        <stp>COUPON_FREQUENCY_DESCRIPTION</stp>
        <stp>[STRIPS.xlsx]Sheet1!R272C10</stp>
        <tr r="J272" s="1"/>
      </tp>
      <tp t="s">
        <v>#N/A Field Not Applicable</v>
        <stp/>
        <stp>##V3_BDPV12</stp>
        <stp>912833ZR Govt</stp>
        <stp>COUPON_FREQUENCY_DESCRIPTION</stp>
        <stp>[STRIPS.xlsx]Sheet1!R383C10</stp>
        <tr r="J383" s="1"/>
      </tp>
      <tp t="s">
        <v>#N/A Field Not Applicable</v>
        <stp/>
        <stp>##V3_BDPV12</stp>
        <stp>912833PR Govt</stp>
        <stp>COUPON_FREQUENCY_DESCRIPTION</stp>
        <stp>[STRIPS.xlsx]Sheet1!R375C10</stp>
        <tr r="J375" s="1"/>
      </tp>
      <tp t="s">
        <v>#N/A Field Not Applicable</v>
        <stp/>
        <stp>##V3_BDPV12</stp>
        <stp>912833FR Govt</stp>
        <stp>COUPON_FREQUENCY_DESCRIPTION</stp>
        <stp>[STRIPS.xlsx]Sheet1!R364C10</stp>
        <tr r="J364" s="1"/>
      </tp>
      <tp t="s">
        <v>#N/A Field Not Applicable</v>
        <stp/>
        <stp>##V3_BDPV12</stp>
        <stp>912833YR Govt</stp>
        <stp>COUPON_FREQUENCY_DESCRIPTION</stp>
        <stp>[STRIPS.xlsx]Sheet1!R345C10</stp>
        <tr r="J345" s="1"/>
      </tp>
      <tp t="s">
        <v>#N/A Field Not Applicable</v>
        <stp/>
        <stp>##V3_BDPV12</stp>
        <stp>912833MR Govt</stp>
        <stp>COUPON_FREQUENCY_DESCRIPTION</stp>
        <stp>[STRIPS.xlsx]Sheet1!R333C10</stp>
        <tr r="J333" s="1"/>
      </tp>
      <tp t="s">
        <v>#N/A Field Not Applicable</v>
        <stp/>
        <stp>##V3_BDPV12</stp>
        <stp>9128337R Govt</stp>
        <stp>COUPON_FREQUENCY_DESCRIPTION</stp>
        <stp>[STRIPS.xlsx]Sheet1!R114C10</stp>
        <tr r="J114" s="1"/>
      </tp>
      <tp t="s">
        <v>#N/A Field Not Applicable</v>
        <stp/>
        <stp>##V3_BDPV12</stp>
        <stp>912833RR Govt</stp>
        <stp>COUPON_FREQUENCY_DESCRIPTION</stp>
        <stp>[STRIPS.xlsx]Sheet1!R693C10</stp>
        <tr r="J693" s="1"/>
      </tp>
      <tp t="s">
        <v>#N/A Field Not Applicable</v>
        <stp/>
        <stp>##V3_BDPV12</stp>
        <stp>912833CR Govt</stp>
        <stp>COUPON_FREQUENCY_DESCRIPTION</stp>
        <stp>[STRIPS.xlsx]Sheet1!R617C10</stp>
        <tr r="J617" s="1"/>
      </tp>
      <tp t="s">
        <v>ACT/ACT</v>
        <stp/>
        <stp>##V3_BDPV12</stp>
        <stp>912833JT Govt</stp>
        <stp>DAY_CNT_DES</stp>
        <stp>[STRIPS.xlsx]Sheet1!R156C17</stp>
        <tr r="Q156" s="1"/>
      </tp>
      <tp t="s">
        <v>ACT/ACT</v>
        <stp/>
        <stp>##V3_BDPV12</stp>
        <stp>912834JW Govt</stp>
        <stp>DAY_CNT_DES</stp>
        <stp>[STRIPS.xlsx]Sheet1!R210C17</stp>
        <tr r="Q210" s="1"/>
      </tp>
      <tp t="s">
        <v>#N/A Field Not Applicable</v>
        <stp/>
        <stp>##V3_BDPV12</stp>
        <stp>9128333R Govt</stp>
        <stp>COUPON_FREQUENCY_DESCRIPTION</stp>
        <stp>[STRIPS.xlsx]Sheet1!R705C10</stp>
        <tr r="J705" s="1"/>
      </tp>
      <tp t="s">
        <v>ACT/ACT</v>
        <stp/>
        <stp>##V3_BDPV12</stp>
        <stp>912833JU Govt</stp>
        <stp>DAY_CNT_DES</stp>
        <stp>[STRIPS.xlsx]Sheet1!R366C17</stp>
        <tr r="Q366" s="1"/>
      </tp>
      <tp t="s">
        <v>#N/A Field Not Applicable</v>
        <stp/>
        <stp>##V3_BDPV12</stp>
        <stp>912834QR Govt</stp>
        <stp>COUPON_FREQUENCY_DESCRIPTION</stp>
        <stp>[STRIPS.xlsx]Sheet1!R480C10</stp>
        <tr r="J480" s="1"/>
      </tp>
      <tp t="s">
        <v>#N/A Field Not Applicable</v>
        <stp/>
        <stp>##V3_BDPV12</stp>
        <stp>9128336R Govt</stp>
        <stp>COUPON_FREQUENCY_DESCRIPTION</stp>
        <stp>[STRIPS.xlsx]Sheet1!R498C10</stp>
        <tr r="J498" s="1"/>
      </tp>
      <tp t="s">
        <v>#N/A Field Not Applicable</v>
        <stp/>
        <stp>##V3_BDPV12</stp>
        <stp>912834KR Govt</stp>
        <stp>COUPON_FREQUENCY_DESCRIPTION</stp>
        <stp>[STRIPS.xlsx]Sheet1!R400C10</stp>
        <tr r="J400" s="1"/>
      </tp>
      <tp t="s">
        <v>#N/A Field Not Applicable</v>
        <stp/>
        <stp>##V3_BDPV12</stp>
        <stp>912834NR Govt</stp>
        <stp>COUPON_FREQUENCY_DESCRIPTION</stp>
        <stp>[STRIPS.xlsx]Sheet1!R422C10</stp>
        <tr r="J422" s="1"/>
      </tp>
      <tp t="s">
        <v>#N/A Field Not Applicable</v>
        <stp/>
        <stp>##V3_BDPV12</stp>
        <stp>912834TR Govt</stp>
        <stp>COUPON_FREQUENCY_DESCRIPTION</stp>
        <stp>[STRIPS.xlsx]Sheet1!R426C10</stp>
        <tr r="J426" s="1"/>
      </tp>
      <tp t="s">
        <v>#N/A Field Not Applicable</v>
        <stp/>
        <stp>##V3_BDPV12</stp>
        <stp>912833KR Govt</stp>
        <stp>COUPON_FREQUENCY_DESCRIPTION</stp>
        <stp>[STRIPS.xlsx]Sheet1!R443C10</stp>
        <tr r="J443" s="1"/>
      </tp>
      <tp t="s">
        <v>#N/A Field Not Applicable</v>
        <stp/>
        <stp>##V3_BDPV12</stp>
        <stp>912834ER Govt</stp>
        <stp>COUPON_FREQUENCY_DESCRIPTION</stp>
        <stp>[STRIPS.xlsx]Sheet1!R596C10</stp>
        <tr r="J596" s="1"/>
      </tp>
      <tp t="s">
        <v>#N/A Field Not Applicable</v>
        <stp/>
        <stp>##V3_BDPV12</stp>
        <stp>912833NR Govt</stp>
        <stp>COUPON_FREQUENCY_DESCRIPTION</stp>
        <stp>[STRIPS.xlsx]Sheet1!R572C10</stp>
        <tr r="J572" s="1"/>
      </tp>
      <tp t="s">
        <v>#N/A Field Not Applicable</v>
        <stp/>
        <stp>##V3_BDPV12</stp>
        <stp>9128334R Govt</stp>
        <stp>COUPON_FREQUENCY_DESCRIPTION</stp>
        <stp>[STRIPS.xlsx]Sheet1!R554C10</stp>
        <tr r="J554" s="1"/>
      </tp>
      <tp t="s">
        <v>#N/A Field Not Applicable</v>
        <stp/>
        <stp>##V3_BDPV12</stp>
        <stp>9128335R Govt</stp>
        <stp>COUPON_FREQUENCY_DESCRIPTION</stp>
        <stp>[STRIPS.xlsx]Sheet1!R555C10</stp>
        <tr r="J555" s="1"/>
      </tp>
      <tp t="s">
        <v>#N/A Field Not Applicable</v>
        <stp/>
        <stp>##V3_BDPV12</stp>
        <stp>912834BR Govt</stp>
        <stp>COUPON_FREQUENCY_DESCRIPTION</stp>
        <stp>[STRIPS.xlsx]Sheet1!R531C10</stp>
        <tr r="J531" s="1"/>
      </tp>
      <tp t="s">
        <v>#N/A Field Not Applicable</v>
        <stp/>
        <stp>##V3_BDPV12</stp>
        <stp>912834HR Govt</stp>
        <stp>COUPON_FREQUENCY_DESCRIPTION</stp>
        <stp>[STRIPS.xlsx]Sheet1!R535C10</stp>
        <tr r="J535" s="1"/>
      </tp>
      <tp t="s">
        <v>#N/A Field Not Applicable</v>
        <stp/>
        <stp>##V3_BDPV12</stp>
        <stp>912834PR Govt</stp>
        <stp>COUPON_FREQUENCY_DESCRIPTION</stp>
        <stp>[STRIPS.xlsx]Sheet1!R549C10</stp>
        <tr r="J549" s="1"/>
      </tp>
      <tp t="s">
        <v>#N/A Field Not Applicable</v>
        <stp/>
        <stp>##V3_BDPV12</stp>
        <stp>912833QR Govt</stp>
        <stp>COUPON_FREQUENCY_DESCRIPTION</stp>
        <stp>[STRIPS.xlsx]Sheet1!R521C10</stp>
        <tr r="J521" s="1"/>
      </tp>
      <tp t="s">
        <v>ACT/ACT</v>
        <stp/>
        <stp>##V3_BDPV12</stp>
        <stp>912834JZ Govt</stp>
        <stp>DAY_CNT_DES</stp>
        <stp>[STRIPS.xlsx]Sheet1!R266C17</stp>
        <tr r="Q266" s="1"/>
      </tp>
      <tp t="s">
        <v>ACT/ACT</v>
        <stp/>
        <stp>##V3_BDPV12</stp>
        <stp>912833JY Govt</stp>
        <stp>DAY_CNT_DES</stp>
        <stp>[STRIPS.xlsx]Sheet1!R173C17</stp>
        <tr r="Q173" s="1"/>
      </tp>
      <tp t="s">
        <v>ACT/ACT</v>
        <stp/>
        <stp>##V3_BDPV12</stp>
        <stp>912834JX Govt</stp>
        <stp>DAY_CNT_DES</stp>
        <stp>[STRIPS.xlsx]Sheet1!R221C17</stp>
        <tr r="Q221" s="1"/>
      </tp>
      <tp t="s">
        <v>ACT/ACT</v>
        <stp/>
        <stp>##V3_BDPV12</stp>
        <stp>912833JZ Govt</stp>
        <stp>DAY_CNT_DES</stp>
        <stp>[STRIPS.xlsx]Sheet1!R741C17</stp>
        <tr r="Q741" s="1"/>
      </tp>
      <tp t="s">
        <v>ACT/ACT</v>
        <stp/>
        <stp>##V3_BDPV12</stp>
        <stp>912833JX Govt</stp>
        <stp>DAY_CNT_DES</stp>
        <stp>[STRIPS.xlsx]Sheet1!R669C17</stp>
        <tr r="Q669" s="1"/>
      </tp>
      <tp t="s">
        <v>ACT/ACT</v>
        <stp/>
        <stp>##V3_BDPV12</stp>
        <stp>912834JF Govt</stp>
        <stp>DAY_CNT_DES</stp>
        <stp>[STRIPS.xlsx]Sheet1!R647C17</stp>
        <tr r="Q647" s="1"/>
      </tp>
      <tp t="s">
        <v>ACT/ACT</v>
        <stp/>
        <stp>##V3_BDPV12</stp>
        <stp>912834JC Govt</stp>
        <stp>DAY_CNT_DES</stp>
        <stp>[STRIPS.xlsx]Sheet1!R227C17</stp>
        <tr r="Q227" s="1"/>
      </tp>
      <tp t="s">
        <v>ACT/ACT</v>
        <stp/>
        <stp>##V3_BDPV12</stp>
        <stp>912834JE Govt</stp>
        <stp>DAY_CNT_DES</stp>
        <stp>[STRIPS.xlsx]Sheet1!R646C17</stp>
        <tr r="Q646" s="1"/>
      </tp>
      <tp t="s">
        <v>ACT/ACT</v>
        <stp/>
        <stp>##V3_BDPV12</stp>
        <stp>912834JA Govt</stp>
        <stp>DAY_CNT_DES</stp>
        <stp>[STRIPS.xlsx]Sheet1!R537C17</stp>
        <tr r="Q537" s="1"/>
      </tp>
      <tp t="s">
        <v>ACT/ACT</v>
        <stp/>
        <stp>##V3_BDPV12</stp>
        <stp>912834JG Govt</stp>
        <stp>DAY_CNT_DES</stp>
        <stp>[STRIPS.xlsx]Sheet1!R228C17</stp>
        <tr r="Q228" s="1"/>
      </tp>
      <tp t="s">
        <v>ACT/ACT</v>
        <stp/>
        <stp>##V3_BDPV12</stp>
        <stp>912834JD Govt</stp>
        <stp>DAY_CNT_DES</stp>
        <stp>[STRIPS.xlsx]Sheet1!R314C17</stp>
        <tr r="Q314" s="1"/>
      </tp>
      <tp t="s">
        <v>ACT/ACT</v>
        <stp/>
        <stp>##V3_BDPV12</stp>
        <stp>912834JL Govt</stp>
        <stp>DAY_CNT_DES</stp>
        <stp>[STRIPS.xlsx]Sheet1!R538C17</stp>
        <tr r="Q538" s="1"/>
      </tp>
      <tp t="s">
        <v>ACT/ACT</v>
        <stp/>
        <stp>##V3_BDPV12</stp>
        <stp>912834JN Govt</stp>
        <stp>DAY_CNT_DES</stp>
        <stp>[STRIPS.xlsx]Sheet1!R357C17</stp>
        <tr r="Q357" s="1"/>
      </tp>
      <tp t="s">
        <v>ACT/ACT</v>
        <stp/>
        <stp>##V3_BDPV12</stp>
        <stp>912834JJ Govt</stp>
        <stp>DAY_CNT_DES</stp>
        <stp>[STRIPS.xlsx]Sheet1!R465C17</stp>
        <tr r="Q465" s="1"/>
      </tp>
      <tp t="s">
        <v>ACT/ACT</v>
        <stp/>
        <stp>##V3_BDPV12</stp>
        <stp>912834JM Govt</stp>
        <stp>DAY_CNT_DES</stp>
        <stp>[STRIPS.xlsx]Sheet1!R397C17</stp>
        <tr r="Q397" s="1"/>
      </tp>
      <tp t="s">
        <v>ACT/ACT</v>
        <stp/>
        <stp>##V3_BDPV12</stp>
        <stp>912834JK Govt</stp>
        <stp>DAY_CNT_DES</stp>
        <stp>[STRIPS.xlsx]Sheet1!R466C17</stp>
        <tr r="Q466" s="1"/>
      </tp>
      <tp t="s">
        <v>#N/A Field Not Applicable</v>
        <stp/>
        <stp>##V3_BDPV12</stp>
        <stp>912834LX Govt</stp>
        <stp>IDX_RATIO</stp>
        <stp>[STRIPS.xlsx]Sheet1!R93C20</stp>
        <tr r="T93" s="1"/>
      </tp>
      <tp t="s">
        <v>#N/A Field Not Applicable</v>
        <stp/>
        <stp>##V3_BDPV12</stp>
        <stp>912833XX Govt</stp>
        <stp>IDX_RATIO</stp>
        <stp>[STRIPS.xlsx]Sheet1!R62C20</stp>
        <tr r="T62" s="1"/>
      </tp>
      <tp t="s">
        <v>#N/A Field Not Applicable</v>
        <stp/>
        <stp>##V3_BDPV12</stp>
        <stp>912833LX Govt</stp>
        <stp>IDX_RATIO</stp>
        <stp>[STRIPS.xlsx]Sheet1!R10C20</stp>
        <tr r="T10" s="1"/>
      </tp>
      <tp t="s">
        <v>10/31/2011</v>
        <stp/>
        <stp>##V3_BDPV12</stp>
        <stp>9128336Y Govt</stp>
        <stp>MATURITY</stp>
        <stp>[STRIPS.xlsx]Sheet1!R429C5</stp>
        <tr r="E429" s="1"/>
      </tp>
      <tp t="s">
        <v>7/31/2008</v>
        <stp/>
        <stp>##V3_BDPV12</stp>
        <stp>9128336P Govt</stp>
        <stp>MATURITY</stp>
        <stp>[STRIPS.xlsx]Sheet1!R729C5</stp>
        <tr r="E729" s="1"/>
      </tp>
      <tp t="s">
        <v>S</v>
        <stp/>
        <stp>##V3_BDPV12</stp>
        <stp>912833QB Govt</stp>
        <stp>TICKER</stp>
        <stp>[STRIPS.xlsx]Sheet1!R20C2</stp>
        <tr r="B20" s="1"/>
      </tp>
      <tp t="s">
        <v>S</v>
        <stp/>
        <stp>##V3_BDPV12</stp>
        <stp>912833LJ Govt</stp>
        <stp>TICKER</stp>
        <stp>[STRIPS.xlsx]Sheet1!R18C2</stp>
        <tr r="B18" s="1"/>
      </tp>
      <tp t="s">
        <v>USD</v>
        <stp/>
        <stp>##V3_BDPV12</stp>
        <stp>912833LT Govt</stp>
        <stp>CRNCY</stp>
        <stp>[STRIPS.xlsx]Sheet1!R11C7</stp>
        <tr r="G11" s="1"/>
      </tp>
      <tp t="s">
        <v>USD</v>
        <stp/>
        <stp>##V3_BDPV12</stp>
        <stp>912833LK Govt</stp>
        <stp>CRNCY</stp>
        <stp>[STRIPS.xlsx]Sheet1!R21C7</stp>
        <tr r="G21" s="1"/>
      </tp>
      <tp t="s">
        <v>6/30/2009</v>
        <stp/>
        <stp>##V3_BDPV12</stp>
        <stp>9128336J Govt</stp>
        <stp>MATURITY</stp>
        <stp>[STRIPS.xlsx]Sheet1!R289C5</stp>
        <tr r="E289" s="1"/>
      </tp>
      <tp t="s">
        <v>USD</v>
        <stp/>
        <stp>##V3_BDPV12</stp>
        <stp>912834KH Govt</stp>
        <stp>CRNCY</stp>
        <stp>[STRIPS.xlsx]Sheet1!R56C7</stp>
        <tr r="G56" s="1"/>
      </tp>
      <tp t="s">
        <v>USD</v>
        <stp/>
        <stp>##V3_BDPV12</stp>
        <stp>912834MM Govt</stp>
        <stp>CRNCY</stp>
        <stp>[STRIPS.xlsx]Sheet1!R80C7</stp>
        <tr r="G80" s="1"/>
      </tp>
      <tp t="s">
        <v>5/31/2010</v>
        <stp/>
        <stp>##V3_BDPV12</stp>
        <stp>9128336D Govt</stp>
        <stp>MATURITY</stp>
        <stp>[STRIPS.xlsx]Sheet1!R749C5</stp>
        <tr r="E749" s="1"/>
      </tp>
      <tp t="s">
        <v>ACT/ACT</v>
        <stp/>
        <stp>##V3_BDPV12</stp>
        <stp>912834EQ Govt</stp>
        <stp>DAY_CNT_DES</stp>
        <stp>[STRIPS.xlsx]Sheet1!R311C17</stp>
        <tr r="Q311" s="1"/>
      </tp>
      <tp t="s">
        <v>ACT/ACT</v>
        <stp/>
        <stp>##V3_BDPV12</stp>
        <stp>912834EU Govt</stp>
        <stp>DAY_CNT_DES</stp>
        <stp>[STRIPS.xlsx]Sheet1!R175C17</stp>
        <tr r="Q175" s="1"/>
      </tp>
      <tp t="s">
        <v>ACT/ACT</v>
        <stp/>
        <stp>##V3_BDPV12</stp>
        <stp>912834EW Govt</stp>
        <stp>DAY_CNT_DES</stp>
        <stp>[STRIPS.xlsx]Sheet1!R312C17</stp>
        <tr r="Q312" s="1"/>
      </tp>
      <tp t="s">
        <v>ACT/ACT</v>
        <stp/>
        <stp>##V3_BDPV12</stp>
        <stp>912834ES Govt</stp>
        <stp>DAY_CNT_DES</stp>
        <stp>[STRIPS.xlsx]Sheet1!R464C17</stp>
        <tr r="Q464" s="1"/>
      </tp>
      <tp t="s">
        <v>ACT/ACT</v>
        <stp/>
        <stp>##V3_BDPV12</stp>
        <stp>912834EV Govt</stp>
        <stp>DAY_CNT_DES</stp>
        <stp>[STRIPS.xlsx]Sheet1!R101C17</stp>
        <tr r="Q101" s="1"/>
      </tp>
      <tp t="s">
        <v>ACT/ACT</v>
        <stp/>
        <stp>##V3_BDPV12</stp>
        <stp>912834ER Govt</stp>
        <stp>DAY_CNT_DES</stp>
        <stp>[STRIPS.xlsx]Sheet1!R596C17</stp>
        <tr r="Q596" s="1"/>
      </tp>
      <tp t="s">
        <v>ACT/ACT</v>
        <stp/>
        <stp>##V3_BDPV12</stp>
        <stp>912834ET Govt</stp>
        <stp>DAY_CNT_DES</stp>
        <stp>[STRIPS.xlsx]Sheet1!R393C17</stp>
        <tr r="Q393" s="1"/>
      </tp>
      <tp t="s">
        <v>ACT/ACT</v>
        <stp/>
        <stp>##V3_BDPV12</stp>
        <stp>912834EZ Govt</stp>
        <stp>DAY_CNT_DES</stp>
        <stp>[STRIPS.xlsx]Sheet1!R394C17</stp>
        <tr r="Q394" s="1"/>
      </tp>
      <tp t="s">
        <v>ACT/ACT</v>
        <stp/>
        <stp>##V3_BDPV12</stp>
        <stp>912834EY Govt</stp>
        <stp>DAY_CNT_DES</stp>
        <stp>[STRIPS.xlsx]Sheet1!R313C17</stp>
        <tr r="Q313" s="1"/>
      </tp>
      <tp t="s">
        <v>ACT/ACT</v>
        <stp/>
        <stp>##V3_BDPV12</stp>
        <stp>912834EX Govt</stp>
        <stp>DAY_CNT_DES</stp>
        <stp>[STRIPS.xlsx]Sheet1!R354C17</stp>
        <tr r="Q354" s="1"/>
      </tp>
      <tp t="s">
        <v>ACT/ACT</v>
        <stp/>
        <stp>##V3_BDPV12</stp>
        <stp>912834EE Govt</stp>
        <stp>DAY_CNT_DES</stp>
        <stp>[STRIPS.xlsx]Sheet1!R532C17</stp>
        <tr r="Q532" s="1"/>
      </tp>
      <tp t="s">
        <v>ACT/ACT</v>
        <stp/>
        <stp>##V3_BDPV12</stp>
        <stp>912834ED Govt</stp>
        <stp>DAY_CNT_DES</stp>
        <stp>[STRIPS.xlsx]Sheet1!R645C17</stp>
        <tr r="Q645" s="1"/>
      </tp>
      <tp t="s">
        <v>ACT/ACT</v>
        <stp/>
        <stp>##V3_BDPV12</stp>
        <stp>912834EG Govt</stp>
        <stp>DAY_CNT_DES</stp>
        <stp>[STRIPS.xlsx]Sheet1!R533C17</stp>
        <tr r="Q533" s="1"/>
      </tp>
      <tp t="s">
        <v>ACT/ACT</v>
        <stp/>
        <stp>##V3_BDPV12</stp>
        <stp>912834EF Govt</stp>
        <stp>DAY_CNT_DES</stp>
        <stp>[STRIPS.xlsx]Sheet1!R594C17</stp>
        <tr r="Q594" s="1"/>
      </tp>
      <tp t="s">
        <v>ACT/ACT</v>
        <stp/>
        <stp>##V3_BDPV12</stp>
        <stp>912834EB Govt</stp>
        <stp>DAY_CNT_DES</stp>
        <stp>[STRIPS.xlsx]Sheet1!R644C17</stp>
        <tr r="Q644" s="1"/>
      </tp>
      <tp t="s">
        <v>ACT/ACT</v>
        <stp/>
        <stp>##V3_BDPV12</stp>
        <stp>912834EA Govt</stp>
        <stp>DAY_CNT_DES</stp>
        <stp>[STRIPS.xlsx]Sheet1!R593C17</stp>
        <tr r="Q593" s="1"/>
      </tp>
      <tp t="s">
        <v>ACT/ACT</v>
        <stp/>
        <stp>##V3_BDPV12</stp>
        <stp>912834EC Govt</stp>
        <stp>DAY_CNT_DES</stp>
        <stp>[STRIPS.xlsx]Sheet1!R461C17</stp>
        <tr r="Q461" s="1"/>
      </tp>
      <tp t="s">
        <v>ACT/ACT</v>
        <stp/>
        <stp>##V3_BDPV12</stp>
        <stp>912834EL Govt</stp>
        <stp>DAY_CNT_DES</stp>
        <stp>[STRIPS.xlsx]Sheet1!R462C17</stp>
        <tr r="Q462" s="1"/>
      </tp>
      <tp t="s">
        <v>ACT/ACT</v>
        <stp/>
        <stp>##V3_BDPV12</stp>
        <stp>912834EK Govt</stp>
        <stp>DAY_CNT_DES</stp>
        <stp>[STRIPS.xlsx]Sheet1!R392C17</stp>
        <tr r="Q392" s="1"/>
      </tp>
      <tp t="s">
        <v>ACT/ACT</v>
        <stp/>
        <stp>##V3_BDPV12</stp>
        <stp>912834EM Govt</stp>
        <stp>DAY_CNT_DES</stp>
        <stp>[STRIPS.xlsx]Sheet1!R463C17</stp>
        <tr r="Q463" s="1"/>
      </tp>
      <tp t="s">
        <v>ACT/ACT</v>
        <stp/>
        <stp>##V3_BDPV12</stp>
        <stp>912834EH Govt</stp>
        <stp>DAY_CNT_DES</stp>
        <stp>[STRIPS.xlsx]Sheet1!R309C17</stp>
        <tr r="Q309" s="1"/>
      </tp>
      <tp t="s">
        <v>ACT/ACT</v>
        <stp/>
        <stp>##V3_BDPV12</stp>
        <stp>912834EN Govt</stp>
        <stp>DAY_CNT_DES</stp>
        <stp>[STRIPS.xlsx]Sheet1!R310C17</stp>
        <tr r="Q310" s="1"/>
      </tp>
      <tp t="s">
        <v>ACT/ACT</v>
        <stp/>
        <stp>##V3_BDPV12</stp>
        <stp>912834EJ Govt</stp>
        <stp>DAY_CNT_DES</stp>
        <stp>[STRIPS.xlsx]Sheet1!R595C17</stp>
        <tr r="Q595" s="1"/>
      </tp>
      <tp t="s">
        <v>8/17/2015</v>
        <stp/>
        <stp>##V3_BDPV12</stp>
        <stp>912834PM Govt</stp>
        <stp>ISSUE_DT</stp>
        <stp>[STRIPS.xlsx]Sheet1!R84C15</stp>
        <tr r="O84" s="1"/>
      </tp>
      <tp t="s">
        <v>2/17/2015</v>
        <stp/>
        <stp>##V3_BDPV12</stp>
        <stp>912834PH Govt</stp>
        <stp>ISSUE_DT</stp>
        <stp>[STRIPS.xlsx]Sheet1!R91C15</stp>
        <tr r="O91" s="1"/>
      </tp>
      <tp t="s">
        <v>2/2/2015</v>
        <stp/>
        <stp>##V3_BDPV12</stp>
        <stp>912834PG Govt</stp>
        <stp>ISSUE_DT</stp>
        <stp>[STRIPS.xlsx]Sheet1!R83C15</stp>
        <tr r="O83" s="1"/>
      </tp>
      <tp t="s">
        <v>11/15/1997</v>
        <stp/>
        <stp>##V3_BDPV12</stp>
        <stp>912833PD Govt</stp>
        <stp>ISSUE_DT</stp>
        <stp>[STRIPS.xlsx]Sheet1!R13C15</stp>
        <tr r="O13" s="1"/>
      </tp>
      <tp t="s">
        <v>8/15/1997</v>
        <stp/>
        <stp>##V3_BDPV12</stp>
        <stp>912833PE Govt</stp>
        <stp>ISSUE_DT</stp>
        <stp>[STRIPS.xlsx]Sheet1!R15C15</stp>
        <tr r="O15" s="1"/>
      </tp>
      <tp t="s">
        <v>2/15/1997</v>
        <stp/>
        <stp>##V3_BDPV12</stp>
        <stp>912833PC Govt</stp>
        <stp>ISSUE_DT</stp>
        <stp>[STRIPS.xlsx]Sheet1!R14C15</stp>
        <tr r="O14" s="1"/>
      </tp>
      <tp t="s">
        <v>#N/A Field Not Applicable</v>
        <stp/>
        <stp>##V3_BDPV12</stp>
        <stp>9128334W Govt</stp>
        <stp>IDX_RATIO</stp>
        <stp>[STRIPS.xlsx]Sheet1!R61C20</stp>
        <tr r="T61" s="1"/>
      </tp>
      <tp t="s">
        <v>#N/A Field Not Applicable</v>
        <stp/>
        <stp>##V3_BDPV12</stp>
        <stp>9128337W Govt</stp>
        <stp>IDX_RATIO</stp>
        <stp>[STRIPS.xlsx]Sheet1!R79C20</stp>
        <tr r="T79" s="1"/>
      </tp>
      <tp t="s">
        <v>S</v>
        <stp/>
        <stp>##V3_BDPV12</stp>
        <stp>912834MM Govt</stp>
        <stp>TICKER</stp>
        <stp>[STRIPS.xlsx]Sheet1!R80C2</stp>
        <tr r="B80" s="1"/>
      </tp>
      <tp t="s">
        <v>S</v>
        <stp/>
        <stp>##V3_BDPV12</stp>
        <stp>912833LN Govt</stp>
        <stp>TICKER</stp>
        <stp>[STRIPS.xlsx]Sheet1!R63C2</stp>
        <tr r="B63" s="1"/>
      </tp>
      <tp t="s">
        <v>1/31/2008</v>
        <stp/>
        <stp>##V3_BDPV12</stp>
        <stp>9128334R Govt</stp>
        <stp>MATURITY</stp>
        <stp>[STRIPS.xlsx]Sheet1!R554C5</stp>
        <tr r="E554" s="1"/>
      </tp>
      <tp t="s">
        <v>3/31/2011</v>
        <stp/>
        <stp>##V3_BDPV12</stp>
        <stp>9128335R Govt</stp>
        <stp>MATURITY</stp>
        <stp>[STRIPS.xlsx]Sheet1!R555C5</stp>
        <tr r="E555" s="1"/>
      </tp>
      <tp t="s">
        <v>1/15/2010</v>
        <stp/>
        <stp>##V3_BDPV12</stp>
        <stp>9128333S Govt</stp>
        <stp>MATURITY</stp>
        <stp>[STRIPS.xlsx]Sheet1!R553C5</stp>
        <tr r="E553" s="1"/>
      </tp>
      <tp t="s">
        <v>USD</v>
        <stp/>
        <stp>##V3_BDPV12</stp>
        <stp>912834EP Govt</stp>
        <stp>CRNCY</stp>
        <stp>[STRIPS.xlsx]Sheet1!R77C7</stp>
        <tr r="G77" s="1"/>
      </tp>
      <tp t="s">
        <v>1/31/2007</v>
        <stp/>
        <stp>##V3_BDPV12</stp>
        <stp>9128333T Govt</stp>
        <stp>MATURITY</stp>
        <stp>[STRIPS.xlsx]Sheet1!R483C5</stp>
        <tr r="E483" s="1"/>
      </tp>
      <tp t="s">
        <v>1/31/2011</v>
        <stp/>
        <stp>##V3_BDPV12</stp>
        <stp>9128336U Govt</stp>
        <stp>MATURITY</stp>
        <stp>[STRIPS.xlsx]Sheet1!R606C5</stp>
        <tr r="E606" s="1"/>
      </tp>
      <tp t="s">
        <v>4/30/2010</v>
        <stp/>
        <stp>##V3_BDPV12</stp>
        <stp>9128335W Govt</stp>
        <stp>MATURITY</stp>
        <stp>[STRIPS.xlsx]Sheet1!R725C5</stp>
        <tr r="E725" s="1"/>
      </tp>
      <tp t="s">
        <v>12/31/2009</v>
        <stp/>
        <stp>##V3_BDPV12</stp>
        <stp>9128336K Govt</stp>
        <stp>MATURITY</stp>
        <stp>[STRIPS.xlsx]Sheet1!R496C5</stp>
        <tr r="E496" s="1"/>
      </tp>
      <tp t="s">
        <v>9/15/2009</v>
        <stp/>
        <stp>##V3_BDPV12</stp>
        <stp>9128333K Govt</stp>
        <stp>MATURITY</stp>
        <stp>[STRIPS.xlsx]Sheet1!R743C5</stp>
        <tr r="E743" s="1"/>
      </tp>
      <tp t="s">
        <v>USD</v>
        <stp/>
        <stp>##V3_BDPV12</stp>
        <stp>912834JH Govt</stp>
        <stp>CRNCY</stp>
        <stp>[STRIPS.xlsx]Sheet1!R68C7</stp>
        <tr r="G68" s="1"/>
      </tp>
      <tp t="s">
        <v>12/15/2010</v>
        <stp/>
        <stp>##V3_BDPV12</stp>
        <stp>9128334L Govt</stp>
        <stp>MATURITY</stp>
        <stp>[STRIPS.xlsx]Sheet1!R284C5</stp>
        <tr r="E284" s="1"/>
      </tp>
      <tp t="s">
        <v>1/15/2011</v>
        <stp/>
        <stp>##V3_BDPV12</stp>
        <stp>9128334N Govt</stp>
        <stp>MATURITY</stp>
        <stp>[STRIPS.xlsx]Sheet1!R744C5</stp>
        <tr r="E744" s="1"/>
      </tp>
      <tp t="s">
        <v>8/31/2008</v>
        <stp/>
        <stp>##V3_BDPV12</stp>
        <stp>9128335D Govt</stp>
        <stp>MATURITY</stp>
        <stp>[STRIPS.xlsx]Sheet1!R285C5</stp>
        <tr r="E285" s="1"/>
      </tp>
      <tp t="s">
        <v>2/28/2009</v>
        <stp/>
        <stp>##V3_BDPV12</stp>
        <stp>9128335E Govt</stp>
        <stp>MATURITY</stp>
        <stp>[STRIPS.xlsx]Sheet1!R745C5</stp>
        <tr r="E745" s="1"/>
      </tp>
      <tp t="s">
        <v>5/31/2006</v>
        <stp/>
        <stp>##V3_BDPV12</stp>
        <stp>9128332F Govt</stp>
        <stp>MATURITY</stp>
        <stp>[STRIPS.xlsx]Sheet1!R702C5</stp>
        <tr r="E702" s="1"/>
      </tp>
      <tp t="s">
        <v>9/15/2010</v>
        <stp/>
        <stp>##V3_BDPV12</stp>
        <stp>9128334F Govt</stp>
        <stp>MATURITY</stp>
        <stp>[STRIPS.xlsx]Sheet1!R604C5</stp>
        <tr r="E604" s="1"/>
      </tp>
      <tp t="s">
        <v>ACT/ACT</v>
        <stp/>
        <stp>##V3_BDPV12</stp>
        <stp>912834DW Govt</stp>
        <stp>DAY_CNT_DES</stp>
        <stp>[STRIPS.xlsx]Sheet1!R390C17</stp>
        <tr r="Q390" s="1"/>
      </tp>
      <tp t="s">
        <v>ACT/ACT</v>
        <stp/>
        <stp>##V3_BDPV12</stp>
        <stp>912834DV Govt</stp>
        <stp>DAY_CNT_DES</stp>
        <stp>[STRIPS.xlsx]Sheet1!R127C17</stp>
        <tr r="Q127" s="1"/>
      </tp>
      <tp t="s">
        <v>ACT/ACT</v>
        <stp/>
        <stp>##V3_BDPV12</stp>
        <stp>912834DY Govt</stp>
        <stp>DAY_CNT_DES</stp>
        <stp>[STRIPS.xlsx]Sheet1!R264C17</stp>
        <tr r="Q264" s="1"/>
      </tp>
      <tp t="s">
        <v>ACT/ACT</v>
        <stp/>
        <stp>##V3_BDPV12</stp>
        <stp>912834DX Govt</stp>
        <stp>DAY_CNT_DES</stp>
        <stp>[STRIPS.xlsx]Sheet1!R391C17</stp>
        <tr r="Q391" s="1"/>
      </tp>
      <tp t="s">
        <v>ACT/ACT</v>
        <stp/>
        <stp>##V3_BDPV12</stp>
        <stp>912834DZ Govt</stp>
        <stp>DAY_CNT_DES</stp>
        <stp>[STRIPS.xlsx]Sheet1!R460C17</stp>
        <tr r="Q460" s="1"/>
      </tp>
      <tp t="s">
        <v>ACT/ACT</v>
        <stp/>
        <stp>##V3_BDPV12</stp>
        <stp>912833DF Govt</stp>
        <stp>DAY_CNT_DES</stp>
        <stp>[STRIPS.xlsx]Sheet1!R660C17</stp>
        <tr r="Q660" s="1"/>
      </tp>
      <tp t="s">
        <v>ACT/ACT</v>
        <stp/>
        <stp>##V3_BDPV12</stp>
        <stp>912833DA Govt</stp>
        <stp>DAY_CNT_DES</stp>
        <stp>[STRIPS.xlsx]Sheet1!R167C17</stp>
        <tr r="Q167" s="1"/>
      </tp>
      <tp t="s">
        <v>ACT/ACT</v>
        <stp/>
        <stp>##V3_BDPV12</stp>
        <stp>912833DE Govt</stp>
        <stp>DAY_CNT_DES</stp>
        <stp>[STRIPS.xlsx]Sheet1!R505C17</stp>
        <tr r="Q505" s="1"/>
      </tp>
      <tp t="s">
        <v>ACT/ACT</v>
        <stp/>
        <stp>##V3_BDPV12</stp>
        <stp>912833DG Govt</stp>
        <stp>DAY_CNT_DES</stp>
        <stp>[STRIPS.xlsx]Sheet1!R736C17</stp>
        <tr r="Q736" s="1"/>
      </tp>
      <tp t="s">
        <v>ACT/ACT</v>
        <stp/>
        <stp>##V3_BDPV12</stp>
        <stp>912833DD Govt</stp>
        <stp>DAY_CNT_DES</stp>
        <stp>[STRIPS.xlsx]Sheet1!R659C17</stp>
        <tr r="Q659" s="1"/>
      </tp>
      <tp t="s">
        <v>ACT/ACT</v>
        <stp/>
        <stp>##V3_BDPV12</stp>
        <stp>912833DB Govt</stp>
        <stp>DAY_CNT_DES</stp>
        <stp>[STRIPS.xlsx]Sheet1!R162C17</stp>
        <tr r="Q162" s="1"/>
      </tp>
      <tp t="s">
        <v>ACT/ACT</v>
        <stp/>
        <stp>##V3_BDPV12</stp>
        <stp>912833DC Govt</stp>
        <stp>DAY_CNT_DES</stp>
        <stp>[STRIPS.xlsx]Sheet1!R504C17</stp>
        <tr r="Q504" s="1"/>
      </tp>
      <tp t="s">
        <v>ACT/ACT</v>
        <stp/>
        <stp>##V3_BDPV12</stp>
        <stp>912833DH Govt</stp>
        <stp>DAY_CNT_DES</stp>
        <stp>[STRIPS.xlsx]Sheet1!R506C17</stp>
        <tr r="Q506" s="1"/>
      </tp>
      <tp t="s">
        <v>912834AT5</v>
        <stp/>
        <stp>##V3_BDPV12</stp>
        <stp>912834AT Govt</stp>
        <stp>ID_CUSIP</stp>
        <stp>[STRIPS.xlsx]Sheet1!R76C19</stp>
        <tr r="S76" s="1"/>
      </tp>
      <tp t="s">
        <v>5/16/2016</v>
        <stp/>
        <stp>##V3_BDPV12</stp>
        <stp>912834QH Govt</stp>
        <stp>ISSUE_DT</stp>
        <stp>[STRIPS.xlsx]Sheet1!R96C15</stp>
        <tr r="O96" s="1"/>
      </tp>
      <tp t="s">
        <v>11/17/1997</v>
        <stp/>
        <stp>##V3_BDPV12</stp>
        <stp>912833QB Govt</stp>
        <stp>ISSUE_DT</stp>
        <stp>[STRIPS.xlsx]Sheet1!R20C15</stp>
        <tr r="O20" s="1"/>
      </tp>
      <tp t="s">
        <v>#N/A Field Not Applicable</v>
        <stp/>
        <stp>##V3_BDPV12</stp>
        <stp>912834TV Govt</stp>
        <stp>IDX_RATIO</stp>
        <stp>[STRIPS.xlsx]Sheet1!R90C20</stp>
        <tr r="T90" s="1"/>
      </tp>
      <tp t="s">
        <v>#N/A Field Not Applicable</v>
        <stp/>
        <stp>##V3_BDPV12</stp>
        <stp>9128334V Govt</stp>
        <stp>IDX_RATIO</stp>
        <stp>[STRIPS.xlsx]Sheet1!R69C20</stp>
        <tr r="T69" s="1"/>
      </tp>
      <tp t="s">
        <v>#N/A Field Not Applicable</v>
        <stp/>
        <stp>##V3_BDPV12</stp>
        <stp>912834VV Govt</stp>
        <stp>IDX_RATIO</stp>
        <stp>[STRIPS.xlsx]Sheet1!R51C20</stp>
        <tr r="T51" s="1"/>
      </tp>
      <tp t="s">
        <v>#N/A Field Not Applicable</v>
        <stp/>
        <stp>##V3_BDPV12</stp>
        <stp>912834KV Govt</stp>
        <stp>IDX_RATIO</stp>
        <stp>[STRIPS.xlsx]Sheet1!R57C20</stp>
        <tr r="T57" s="1"/>
      </tp>
      <tp t="s">
        <v>#N/A Field Not Applicable</v>
        <stp/>
        <stp>##V3_BDPV12</stp>
        <stp>912833LV Govt</stp>
        <stp>IDX_RATIO</stp>
        <stp>[STRIPS.xlsx]Sheet1!R39C20</stp>
        <tr r="T39" s="1"/>
      </tp>
      <tp t="s">
        <v>#N/A Field Not Applicable</v>
        <stp/>
        <stp>##V3_BDPV12</stp>
        <stp>912834HV Govt</stp>
        <stp>IDX_RATIO</stp>
        <stp>[STRIPS.xlsx]Sheet1!R70C20</stp>
        <tr r="T70" s="1"/>
      </tp>
      <tp t="s">
        <v>912834AD0</v>
        <stp/>
        <stp>##V3_BDPV12</stp>
        <stp>912834AD Govt</stp>
        <stp>ID_CUSIP</stp>
        <stp>[STRIPS.xlsx]Sheet1!R92C19</stp>
        <tr r="S92" s="1"/>
      </tp>
      <tp t="s">
        <v>5/31/2007</v>
        <stp/>
        <stp>##V3_BDPV12</stp>
        <stp>9128333Z Govt</stp>
        <stp>MATURITY</stp>
        <stp>[STRIPS.xlsx]Sheet1!R602C5</stp>
        <tr r="E602" s="1"/>
      </tp>
      <tp t="s">
        <v>S</v>
        <stp/>
        <stp>##V3_BDPV12</stp>
        <stp>912834VM Govt</stp>
        <stp>TICKER</stp>
        <stp>[STRIPS.xlsx]Sheet1!R81C2</stp>
        <tr r="B81" s="1"/>
      </tp>
      <tp t="s">
        <v>10/31/2009</v>
        <stp/>
        <stp>##V3_BDPV12</stp>
        <stp>9128335V Govt</stp>
        <stp>MATURITY</stp>
        <stp>[STRIPS.xlsx]Sheet1!R724C5</stp>
        <tr r="E724" s="1"/>
      </tp>
      <tp t="s">
        <v>USD</v>
        <stp/>
        <stp>##V3_BDPV12</stp>
        <stp>912834DU Govt</stp>
        <stp>CRNCY</stp>
        <stp>[STRIPS.xlsx]Sheet1!R87C7</stp>
        <tr r="G87" s="1"/>
      </tp>
      <tp t="s">
        <v>8/31/2011</v>
        <stp/>
        <stp>##V3_BDPV12</stp>
        <stp>9128336W Govt</stp>
        <stp>MATURITY</stp>
        <stp>[STRIPS.xlsx]Sheet1!R607C5</stp>
        <tr r="E607" s="1"/>
      </tp>
      <tp t="s">
        <v>10/31/2007</v>
        <stp/>
        <stp>##V3_BDPV12</stp>
        <stp>9128334J Govt</stp>
        <stp>MATURITY</stp>
        <stp>[STRIPS.xlsx]Sheet1!R605C5</stp>
        <tr r="E605" s="1"/>
      </tp>
      <tp t="s">
        <v>9/30/2006</v>
        <stp/>
        <stp>##V3_BDPV12</stp>
        <stp>9128333L Govt</stp>
        <stp>MATURITY</stp>
        <stp>[STRIPS.xlsx]Sheet1!R552C5</stp>
        <tr r="E552" s="1"/>
      </tp>
      <tp t="s">
        <v>6/30/2010</v>
        <stp/>
        <stp>##V3_BDPV12</stp>
        <stp>9128336L Govt</stp>
        <stp>MATURITY</stp>
        <stp>[STRIPS.xlsx]Sheet1!R557C5</stp>
        <tr r="E557" s="1"/>
      </tp>
      <tp t="s">
        <v>6/30/2011</v>
        <stp/>
        <stp>##V3_BDPV12</stp>
        <stp>9128336N Govt</stp>
        <stp>MATURITY</stp>
        <stp>[STRIPS.xlsx]Sheet1!R497C5</stp>
        <tr r="E497" s="1"/>
      </tp>
      <tp t="s">
        <v>5/31/2009</v>
        <stp/>
        <stp>##V3_BDPV12</stp>
        <stp>9128336B Govt</stp>
        <stp>MATURITY</stp>
        <stp>[STRIPS.xlsx]Sheet1!R727C5</stp>
        <tr r="E727" s="1"/>
      </tp>
      <tp t="s">
        <v>6/15/2009</v>
        <stp/>
        <stp>##V3_BDPV12</stp>
        <stp>9128332G Govt</stp>
        <stp>MATURITY</stp>
        <stp>[STRIPS.xlsx]Sheet1!R703C5</stp>
        <tr r="E703" s="1"/>
      </tp>
      <tp t="s">
        <v>2/29/2012</v>
        <stp/>
        <stp>##V3_BDPV12</stp>
        <stp>9128337G Govt</stp>
        <stp>MATURITY</stp>
        <stp>[STRIPS.xlsx]Sheet1!R716C5</stp>
        <tr r="E716" s="1"/>
      </tp>
      <tp t="s">
        <v>USD</v>
        <stp/>
        <stp>##V3_BDPV12</stp>
        <stp>912834AD Govt</stp>
        <stp>CRNCY</stp>
        <stp>[STRIPS.xlsx]Sheet1!R92C7</stp>
        <tr r="G92" s="1"/>
      </tp>
      <tp t="s">
        <v>ACT/ACT</v>
        <stp/>
        <stp>##V3_BDPV12</stp>
        <stp>912833GF Govt</stp>
        <stp>DAY_CNT_DES</stp>
        <stp>[STRIPS.xlsx]Sheet1!R667C17</stp>
        <tr r="Q667" s="1"/>
      </tp>
      <tp t="s">
        <v>ACT/ACT</v>
        <stp/>
        <stp>##V3_BDPV12</stp>
        <stp>912833GE Govt</stp>
        <stp>DAY_CNT_DES</stp>
        <stp>[STRIPS.xlsx]Sheet1!R441C17</stp>
        <tr r="Q441" s="1"/>
      </tp>
      <tp t="s">
        <v>ACT/ACT</v>
        <stp/>
        <stp>##V3_BDPV12</stp>
        <stp>912833GB Govt</stp>
        <stp>DAY_CNT_DES</stp>
        <stp>[STRIPS.xlsx]Sheet1!R666C17</stp>
        <tr r="Q666" s="1"/>
      </tp>
      <tp t="s">
        <v>ACT/ACT</v>
        <stp/>
        <stp>##V3_BDPV12</stp>
        <stp>912833GA Govt</stp>
        <stp>DAY_CNT_DES</stp>
        <stp>[STRIPS.xlsx]Sheet1!R439C17</stp>
        <tr r="Q439" s="1"/>
      </tp>
      <tp t="s">
        <v>ACT/ACT</v>
        <stp/>
        <stp>##V3_BDPV12</stp>
        <stp>912833GC Govt</stp>
        <stp>DAY_CNT_DES</stp>
        <stp>[STRIPS.xlsx]Sheet1!R440C17</stp>
        <tr r="Q440" s="1"/>
      </tp>
      <tp t="s">
        <v>ACT/ACT</v>
        <stp/>
        <stp>##V3_BDPV12</stp>
        <stp>912833GD Govt</stp>
        <stp>DAY_CNT_DES</stp>
        <stp>[STRIPS.xlsx]Sheet1!R365C17</stp>
        <tr r="Q365" s="1"/>
      </tp>
      <tp t="s">
        <v>#N/A Field Not Applicable</v>
        <stp/>
        <stp>##V3_BDPV12</stp>
        <stp>912834DU Govt</stp>
        <stp>IDX_RATIO</stp>
        <stp>[STRIPS.xlsx]Sheet1!R87C20</stp>
        <tr r="T87" s="1"/>
      </tp>
      <tp t="s">
        <v>#N/A Field Not Applicable</v>
        <stp/>
        <stp>##V3_BDPV12</stp>
        <stp>9128337U Govt</stp>
        <stp>IDX_RATIO</stp>
        <stp>[STRIPS.xlsx]Sheet1!R46C20</stp>
        <tr r="T46" s="1"/>
      </tp>
      <tp t="s">
        <v>#N/A Field Not Applicable</v>
        <stp/>
        <stp>##V3_BDPV12</stp>
        <stp>912833LU Govt</stp>
        <stp>IDX_RATIO</stp>
        <stp>[STRIPS.xlsx]Sheet1!R22C20</stp>
        <tr r="T22" s="1"/>
      </tp>
      <tp t="s">
        <v>#N/A Field Not Applicable</v>
        <stp/>
        <stp>##V3_BDPV12</stp>
        <stp>912833XU Govt</stp>
        <stp>IDX_RATIO</stp>
        <stp>[STRIPS.xlsx]Sheet1!R30C20</stp>
        <tr r="T30" s="1"/>
      </tp>
      <tp t="s">
        <v>8/17/1998</v>
        <stp/>
        <stp>##V3_BDPV12</stp>
        <stp>912833RZ Govt</stp>
        <stp>ISSUE_DT</stp>
        <stp>[STRIPS.xlsx]Sheet1!R26C15</stp>
        <tr r="O26" s="1"/>
      </tp>
      <tp t="s">
        <v>8/17/1998</v>
        <stp/>
        <stp>##V3_BDPV12</stp>
        <stp>912833RY Govt</stp>
        <stp>ISSUE_DT</stp>
        <stp>[STRIPS.xlsx]Sheet1!R28C15</stp>
        <tr r="O28" s="1"/>
      </tp>
      <tp t="s">
        <v>8/15/2017</v>
        <stp/>
        <stp>##V3_BDPV12</stp>
        <stp>912834RR Govt</stp>
        <stp>ISSUE_DT</stp>
        <stp>[STRIPS.xlsx]Sheet1!R86C15</stp>
        <tr r="O86" s="1"/>
      </tp>
      <tp t="s">
        <v>10/31/2010</v>
        <stp/>
        <stp>##V3_BDPV12</stp>
        <stp>9128335X Govt</stp>
        <stp>MATURITY</stp>
        <stp>[STRIPS.xlsx]Sheet1!R747C5</stp>
        <tr r="E747" s="1"/>
      </tp>
      <tp t="s">
        <v>4/15/2010</v>
        <stp/>
        <stp>##V3_BDPV12</stp>
        <stp>9128333X Govt</stp>
        <stp>MATURITY</stp>
        <stp>[STRIPS.xlsx]Sheet1!R601C5</stp>
        <tr r="E601" s="1"/>
      </tp>
      <tp t="s">
        <v>S</v>
        <stp/>
        <stp>##V3_BDPV12</stp>
        <stp>9128337F Govt</stp>
        <stp>TICKER</stp>
        <stp>[STRIPS.xlsx]Sheet1!R99C2</stp>
        <tr r="B99" s="1"/>
      </tp>
      <tp t="s">
        <v>7/31/2010</v>
        <stp/>
        <stp>##V3_BDPV12</stp>
        <stp>9128336T Govt</stp>
        <stp>MATURITY</stp>
        <stp>[STRIPS.xlsx]Sheet1!R714C5</stp>
        <tr r="E714" s="1"/>
      </tp>
      <tp t="s">
        <v>9/30/2008</v>
        <stp/>
        <stp>##V3_BDPV12</stp>
        <stp>9128335L Govt</stp>
        <stp>MATURITY</stp>
        <stp>[STRIPS.xlsx]Sheet1!R287C5</stp>
        <tr r="E287" s="1"/>
      </tp>
      <tp t="s">
        <v>2/28/2006</v>
        <stp/>
        <stp>##V3_BDPV12</stp>
        <stp>9128332A Govt</stp>
        <stp>MATURITY</stp>
        <stp>[STRIPS.xlsx]Sheet1!R700C5</stp>
        <tr r="E700" s="1"/>
      </tp>
      <tp t="s">
        <v>6/30/2008</v>
        <stp/>
        <stp>##V3_BDPV12</stp>
        <stp>9128336G Govt</stp>
        <stp>MATURITY</stp>
        <stp>[STRIPS.xlsx]Sheet1!R494C5</stp>
        <tr r="E494" s="1"/>
      </tp>
      <tp t="s">
        <v>ACT/ACT</v>
        <stp/>
        <stp>##V3_BDPV12</stp>
        <stp>912833FU Govt</stp>
        <stp>DAY_CNT_DES</stp>
        <stp>[STRIPS.xlsx]Sheet1!R509C17</stp>
        <tr r="Q509" s="1"/>
      </tp>
      <tp t="s">
        <v>ACT/ACT</v>
        <stp/>
        <stp>##V3_BDPV12</stp>
        <stp>912833FW Govt</stp>
        <stp>DAY_CNT_DES</stp>
        <stp>[STRIPS.xlsx]Sheet1!R739C17</stp>
        <tr r="Q739" s="1"/>
      </tp>
      <tp t="s">
        <v>ACT/ACT</v>
        <stp/>
        <stp>##V3_BDPV12</stp>
        <stp>912833FR Govt</stp>
        <stp>DAY_CNT_DES</stp>
        <stp>[STRIPS.xlsx]Sheet1!R364C17</stp>
        <tr r="Q364" s="1"/>
      </tp>
      <tp t="s">
        <v>ACT/ACT</v>
        <stp/>
        <stp>##V3_BDPV12</stp>
        <stp>912833FT Govt</stp>
        <stp>DAY_CNT_DES</stp>
        <stp>[STRIPS.xlsx]Sheet1!R621C17</stp>
        <tr r="Q621" s="1"/>
      </tp>
      <tp t="s">
        <v>ACT/ACT</v>
        <stp/>
        <stp>##V3_BDPV12</stp>
        <stp>912833FV Govt</stp>
        <stp>DAY_CNT_DES</stp>
        <stp>[STRIPS.xlsx]Sheet1!R510C17</stp>
        <tr r="Q510" s="1"/>
      </tp>
      <tp t="s">
        <v>ACT/ACT</v>
        <stp/>
        <stp>##V3_BDPV12</stp>
        <stp>912833FP Govt</stp>
        <stp>DAY_CNT_DES</stp>
        <stp>[STRIPS.xlsx]Sheet1!R664C17</stp>
        <tr r="Q664" s="1"/>
      </tp>
      <tp t="s">
        <v>ACT/ACT</v>
        <stp/>
        <stp>##V3_BDPV12</stp>
        <stp>912833FS Govt</stp>
        <stp>DAY_CNT_DES</stp>
        <stp>[STRIPS.xlsx]Sheet1!R508C17</stp>
        <tr r="Q508" s="1"/>
      </tp>
      <tp t="s">
        <v>ACT/ACT</v>
        <stp/>
        <stp>##V3_BDPV12</stp>
        <stp>912833FQ Govt</stp>
        <stp>DAY_CNT_DES</stp>
        <stp>[STRIPS.xlsx]Sheet1!R620C17</stp>
        <tr r="Q620" s="1"/>
      </tp>
      <tp t="s">
        <v>ACT/ACT</v>
        <stp/>
        <stp>##V3_BDPV12</stp>
        <stp>912833FX Govt</stp>
        <stp>DAY_CNT_DES</stp>
        <stp>[STRIPS.xlsx]Sheet1!R622C17</stp>
        <tr r="Q622" s="1"/>
      </tp>
      <tp t="s">
        <v>ACT/ACT</v>
        <stp/>
        <stp>##V3_BDPV12</stp>
        <stp>912833FY Govt</stp>
        <stp>DAY_CNT_DES</stp>
        <stp>[STRIPS.xlsx]Sheet1!R665C17</stp>
        <tr r="Q665" s="1"/>
      </tp>
      <tp t="s">
        <v>ACT/ACT</v>
        <stp/>
        <stp>##V3_BDPV12</stp>
        <stp>912833FZ Govt</stp>
        <stp>DAY_CNT_DES</stp>
        <stp>[STRIPS.xlsx]Sheet1!R511C17</stp>
        <tr r="Q511" s="1"/>
      </tp>
      <tp t="s">
        <v>ACT/ACT</v>
        <stp/>
        <stp>##V3_BDPV12</stp>
        <stp>912833FF Govt</stp>
        <stp>DAY_CNT_DES</stp>
        <stp>[STRIPS.xlsx]Sheet1!R618C17</stp>
        <tr r="Q618" s="1"/>
      </tp>
      <tp t="s">
        <v>ACT/ACT</v>
        <stp/>
        <stp>##V3_BDPV12</stp>
        <stp>912833FG Govt</stp>
        <stp>DAY_CNT_DES</stp>
        <stp>[STRIPS.xlsx]Sheet1!R661C17</stp>
        <tr r="Q661" s="1"/>
      </tp>
      <tp t="s">
        <v>ACT/ACT</v>
        <stp/>
        <stp>##V3_BDPV12</stp>
        <stp>912834FA Govt</stp>
        <stp>DAY_CNT_DES</stp>
        <stp>[STRIPS.xlsx]Sheet1!R395C17</stp>
        <tr r="Q395" s="1"/>
      </tp>
      <tp t="s">
        <v>ACT/ACT</v>
        <stp/>
        <stp>##V3_BDPV12</stp>
        <stp>912834FB Govt</stp>
        <stp>DAY_CNT_DES</stp>
        <stp>[STRIPS.xlsx]Sheet1!R120C17</stp>
        <tr r="Q120" s="1"/>
      </tp>
      <tp t="s">
        <v>ACT/ACT</v>
        <stp/>
        <stp>##V3_BDPV12</stp>
        <stp>912834FC Govt</stp>
        <stp>DAY_CNT_DES</stp>
        <stp>[STRIPS.xlsx]Sheet1!R534C17</stp>
        <tr r="Q534" s="1"/>
      </tp>
      <tp t="s">
        <v>ACT/ACT</v>
        <stp/>
        <stp>##V3_BDPV12</stp>
        <stp>912833FN Govt</stp>
        <stp>DAY_CNT_DES</stp>
        <stp>[STRIPS.xlsx]Sheet1!R738C17</stp>
        <tr r="Q738" s="1"/>
      </tp>
      <tp t="s">
        <v>ACT/ACT</v>
        <stp/>
        <stp>##V3_BDPV12</stp>
        <stp>912833FL Govt</stp>
        <stp>DAY_CNT_DES</stp>
        <stp>[STRIPS.xlsx]Sheet1!R663C17</stp>
        <tr r="Q663" s="1"/>
      </tp>
      <tp t="s">
        <v>ACT/ACT</v>
        <stp/>
        <stp>##V3_BDPV12</stp>
        <stp>912833FM Govt</stp>
        <stp>DAY_CNT_DES</stp>
        <stp>[STRIPS.xlsx]Sheet1!R619C17</stp>
        <tr r="Q619" s="1"/>
      </tp>
      <tp t="s">
        <v>ACT/ACT</v>
        <stp/>
        <stp>##V3_BDPV12</stp>
        <stp>912833FK Govt</stp>
        <stp>DAY_CNT_DES</stp>
        <stp>[STRIPS.xlsx]Sheet1!R662C17</stp>
        <tr r="Q662" s="1"/>
      </tp>
      <tp t="s">
        <v>ACT/ACT</v>
        <stp/>
        <stp>##V3_BDPV12</stp>
        <stp>912833FH Govt</stp>
        <stp>DAY_CNT_DES</stp>
        <stp>[STRIPS.xlsx]Sheet1!R507C17</stp>
        <tr r="Q507" s="1"/>
      </tp>
      <tp t="s">
        <v>ACT/ACT</v>
        <stp/>
        <stp>##V3_BDPV12</stp>
        <stp>912833FJ Govt</stp>
        <stp>DAY_CNT_DES</stp>
        <stp>[STRIPS.xlsx]Sheet1!R737C17</stp>
        <tr r="Q737" s="1"/>
      </tp>
      <tp t="s">
        <v>#N/A Field Not Applicable</v>
        <stp/>
        <stp>##V3_BDPV12</stp>
        <stp>9128334T Govt</stp>
        <stp>IDX_RATIO</stp>
        <stp>[STRIPS.xlsx]Sheet1!R48C20</stp>
        <tr r="T48" s="1"/>
      </tp>
      <tp t="s">
        <v>#N/A Field Not Applicable</v>
        <stp/>
        <stp>##V3_BDPV12</stp>
        <stp>912833XT Govt</stp>
        <stp>IDX_RATIO</stp>
        <stp>[STRIPS.xlsx]Sheet1!R55C20</stp>
        <tr r="T55" s="1"/>
      </tp>
      <tp t="s">
        <v>#N/A Field Not Applicable</v>
        <stp/>
        <stp>##V3_BDPV12</stp>
        <stp>912834MT Govt</stp>
        <stp>IDX_RATIO</stp>
        <stp>[STRIPS.xlsx]Sheet1!R41C20</stp>
        <tr r="T41" s="1"/>
      </tp>
      <tp t="s">
        <v>#N/A Field Not Applicable</v>
        <stp/>
        <stp>##V3_BDPV12</stp>
        <stp>912834AT Govt</stp>
        <stp>IDX_RATIO</stp>
        <stp>[STRIPS.xlsx]Sheet1!R76C20</stp>
        <tr r="T76" s="1"/>
      </tp>
      <tp t="s">
        <v>#N/A Field Not Applicable</v>
        <stp/>
        <stp>##V3_BDPV12</stp>
        <stp>912833LT Govt</stp>
        <stp>IDX_RATIO</stp>
        <stp>[STRIPS.xlsx]Sheet1!R11C20</stp>
        <tr r="T11" s="1"/>
      </tp>
      <tp t="s">
        <v>11/15/2017</v>
        <stp/>
        <stp>##V3_BDPV12</stp>
        <stp>912834SZ Govt</stp>
        <stp>ISSUE_DT</stp>
        <stp>[STRIPS.xlsx]Sheet1!R94C15</stp>
        <tr r="O94" s="1"/>
      </tp>
      <tp t="s">
        <v>2/15/2034</v>
        <stp/>
        <stp>##V3_BDPV12</stp>
        <stp>9128334X Govt</stp>
        <stp>MATURITY</stp>
        <stp>[STRIPS.xlsx]Sheet1!R107C5</stp>
        <tr r="E107" s="1"/>
      </tp>
      <tp t="s">
        <v>4/30/2011</v>
        <stp/>
        <stp>##V3_BDPV12</stp>
        <stp>9128335Y Govt</stp>
        <stp>MATURITY</stp>
        <stp>[STRIPS.xlsx]Sheet1!R726C5</stp>
        <tr r="E726" s="1"/>
      </tp>
      <tp t="s">
        <v>S</v>
        <stp/>
        <stp>##V3_BDPV12</stp>
        <stp>912834TF Govt</stp>
        <stp>TICKER</stp>
        <stp>[STRIPS.xlsx]Sheet1!R98C2</stp>
        <tr r="B98" s="1"/>
      </tp>
      <tp t="s">
        <v>S</v>
        <stp/>
        <stp>##V3_BDPV12</stp>
        <stp>912834QH Govt</stp>
        <stp>TICKER</stp>
        <stp>[STRIPS.xlsx]Sheet1!R96C2</stp>
        <tr r="B96" s="1"/>
      </tp>
      <tp t="s">
        <v>S</v>
        <stp/>
        <stp>##V3_BDPV12</stp>
        <stp>912834KH Govt</stp>
        <stp>TICKER</stp>
        <stp>[STRIPS.xlsx]Sheet1!R56C2</stp>
        <tr r="B56" s="1"/>
      </tp>
      <tp t="s">
        <v>S</v>
        <stp/>
        <stp>##V3_BDPV12</stp>
        <stp>912834NF Govt</stp>
        <stp>TICKER</stp>
        <stp>[STRIPS.xlsx]Sheet1!R58C2</stp>
        <tr r="B58" s="1"/>
      </tp>
      <tp t="s">
        <v>5/15/2032</v>
        <stp/>
        <stp>##V3_BDPV12</stp>
        <stp>9128337R Govt</stp>
        <stp>MATURITY</stp>
        <stp>[STRIPS.xlsx]Sheet1!R114C5</stp>
        <tr r="E114" s="1"/>
      </tp>
      <tp t="s">
        <v>10/31/2008</v>
        <stp/>
        <stp>##V3_BDPV12</stp>
        <stp>9128335T Govt</stp>
        <stp>MATURITY</stp>
        <stp>[STRIPS.xlsx]Sheet1!R556C5</stp>
        <tr r="E556" s="1"/>
      </tp>
      <tp t="s">
        <v>7/31/2011</v>
        <stp/>
        <stp>##V3_BDPV12</stp>
        <stp>9128336V Govt</stp>
        <stp>MATURITY</stp>
        <stp>[STRIPS.xlsx]Sheet1!R715C5</stp>
        <tr r="E715" s="1"/>
      </tp>
      <tp t="s">
        <v>12/31/2008</v>
        <stp/>
        <stp>##V3_BDPV12</stp>
        <stp>9128336H Govt</stp>
        <stp>MATURITY</stp>
        <stp>[STRIPS.xlsx]Sheet1!R495C5</stp>
        <tr r="E495" s="1"/>
      </tp>
      <tp t="s">
        <v>7/31/2006</v>
        <stp/>
        <stp>##V3_BDPV12</stp>
        <stp>9128333H Govt</stp>
        <stp>MATURITY</stp>
        <stp>[STRIPS.xlsx]Sheet1!R600C5</stp>
        <tr r="E600" s="1"/>
      </tp>
      <tp t="s">
        <v>9/30/2009</v>
        <stp/>
        <stp>##V3_BDPV12</stp>
        <stp>9128335N Govt</stp>
        <stp>MATURITY</stp>
        <stp>[STRIPS.xlsx]Sheet1!R746C5</stp>
        <tr r="E746" s="1"/>
      </tp>
      <tp t="s">
        <v>6/15/2010</v>
        <stp/>
        <stp>##V3_BDPV12</stp>
        <stp>9128334A Govt</stp>
        <stp>MATURITY</stp>
        <stp>[STRIPS.xlsx]Sheet1!R487C5</stp>
        <tr r="E487" s="1"/>
      </tp>
      <tp t="s">
        <v>3/31/2006</v>
        <stp/>
        <stp>##V3_BDPV12</stp>
        <stp>9128332C Govt</stp>
        <stp>MATURITY</stp>
        <stp>[STRIPS.xlsx]Sheet1!R701C5</stp>
        <tr r="E701" s="1"/>
      </tp>
      <tp t="s">
        <v>7/15/2010</v>
        <stp/>
        <stp>##V3_BDPV12</stp>
        <stp>9128334C Govt</stp>
        <stp>MATURITY</stp>
        <stp>[STRIPS.xlsx]Sheet1!R707C5</stp>
        <tr r="E707" s="1"/>
      </tp>
      <tp t="s">
        <v>2/28/2010</v>
        <stp/>
        <stp>##V3_BDPV12</stp>
        <stp>9128335G Govt</stp>
        <stp>MATURITY</stp>
        <stp>[STRIPS.xlsx]Sheet1!R286C5</stp>
        <tr r="E286" s="1"/>
      </tp>
      <tp t="s">
        <v>#N/A Field Not Applicable</v>
        <stp/>
        <stp>##V3_BDPV12</stp>
        <stp>912834PY Govt</stp>
        <stp>COUPON_FREQUENCY_DESCRIPTION</stp>
        <stp>[STRIPS.xlsx]Sheet1!R202C10</stp>
        <tr r="J202" s="1"/>
      </tp>
      <tp t="s">
        <v>#N/A Field Not Applicable</v>
        <stp/>
        <stp>##V3_BDPV12</stp>
        <stp>912834VY Govt</stp>
        <stp>COUPON_FREQUENCY_DESCRIPTION</stp>
        <stp>[STRIPS.xlsx]Sheet1!R218C10</stp>
        <tr r="J218" s="1"/>
      </tp>
      <tp t="s">
        <v>#N/A Field Not Applicable</v>
        <stp/>
        <stp>##V3_BDPV12</stp>
        <stp>912834HY Govt</stp>
        <stp>COUPON_FREQUENCY_DESCRIPTION</stp>
        <stp>[STRIPS.xlsx]Sheet1!R226C10</stp>
        <tr r="J226" s="1"/>
      </tp>
      <tp t="s">
        <v>#N/A Field Not Applicable</v>
        <stp/>
        <stp>##V3_BDPV12</stp>
        <stp>912833ZY Govt</stp>
        <stp>COUPON_FREQUENCY_DESCRIPTION</stp>
        <stp>[STRIPS.xlsx]Sheet1!R255C10</stp>
        <tr r="J255" s="1"/>
      </tp>
      <tp t="s">
        <v>#N/A Field Not Applicable</v>
        <stp/>
        <stp>##V3_BDPV12</stp>
        <stp>912834DY Govt</stp>
        <stp>COUPON_FREQUENCY_DESCRIPTION</stp>
        <stp>[STRIPS.xlsx]Sheet1!R264C10</stp>
        <tr r="J264" s="1"/>
      </tp>
      <tp t="s">
        <v>ACT/ACT</v>
        <stp/>
        <stp>##V3_BDPV12</stp>
        <stp>912834AW Govt</stp>
        <stp>DAY_CNT_DES</stp>
        <stp>[STRIPS.xlsx]Sheet1!R641C17</stp>
        <tr r="Q641" s="1"/>
      </tp>
      <tp t="s">
        <v>#N/A Field Not Applicable</v>
        <stp/>
        <stp>##V3_BDPV12</stp>
        <stp>912834EY Govt</stp>
        <stp>COUPON_FREQUENCY_DESCRIPTION</stp>
        <stp>[STRIPS.xlsx]Sheet1!R313C10</stp>
        <tr r="J313" s="1"/>
      </tp>
      <tp t="s">
        <v>#N/A Field Not Applicable</v>
        <stp/>
        <stp>##V3_BDPV12</stp>
        <stp>912833CY Govt</stp>
        <stp>COUPON_FREQUENCY_DESCRIPTION</stp>
        <stp>[STRIPS.xlsx]Sheet1!R363C10</stp>
        <tr r="J363" s="1"/>
      </tp>
      <tp t="s">
        <v>#N/A Field Not Applicable</v>
        <stp/>
        <stp>##V3_BDPV12</stp>
        <stp>912834MY Govt</stp>
        <stp>COUPON_FREQUENCY_DESCRIPTION</stp>
        <stp>[STRIPS.xlsx]Sheet1!R328C10</stp>
        <tr r="J328" s="1"/>
      </tp>
      <tp t="s">
        <v>#N/A Field Not Applicable</v>
        <stp/>
        <stp>##V3_BDPV12</stp>
        <stp>912833PY Govt</stp>
        <stp>COUPON_FREQUENCY_DESCRIPTION</stp>
        <stp>[STRIPS.xlsx]Sheet1!R340C10</stp>
        <tr r="J340" s="1"/>
      </tp>
      <tp t="s">
        <v>ACT/ACT</v>
        <stp/>
        <stp>##V3_BDPV12</stp>
        <stp>912834AQ Govt</stp>
        <stp>DAY_CNT_DES</stp>
        <stp>[STRIPS.xlsx]Sheet1!R260C17</stp>
        <tr r="Q260" s="1"/>
      </tp>
      <tp t="s">
        <v>ACT/ACT</v>
        <stp/>
        <stp>##V3_BDPV12</stp>
        <stp>912834AP Govt</stp>
        <stp>DAY_CNT_DES</stp>
        <stp>[STRIPS.xlsx]Sheet1!R386C17</stp>
        <tr r="Q386" s="1"/>
      </tp>
      <tp t="s">
        <v>#N/A Field Not Applicable</v>
        <stp/>
        <stp>##V3_BDPV12</stp>
        <stp>912834WY Govt</stp>
        <stp>COUPON_FREQUENCY_DESCRIPTION</stp>
        <stp>[STRIPS.xlsx]Sheet1!R189C10</stp>
        <tr r="J189" s="1"/>
      </tp>
      <tp t="s">
        <v>#N/A Field Not Applicable</v>
        <stp/>
        <stp>##V3_BDPV12</stp>
        <stp>912834TY Govt</stp>
        <stp>COUPON_FREQUENCY_DESCRIPTION</stp>
        <stp>[STRIPS.xlsx]Sheet1!R199C10</stp>
        <tr r="J199" s="1"/>
      </tp>
      <tp t="s">
        <v>#N/A Field Not Applicable</v>
        <stp/>
        <stp>##V3_BDPV12</stp>
        <stp>912833JY Govt</stp>
        <stp>COUPON_FREQUENCY_DESCRIPTION</stp>
        <stp>[STRIPS.xlsx]Sheet1!R173C10</stp>
        <tr r="J173" s="1"/>
      </tp>
      <tp t="s">
        <v>#N/A Field Not Applicable</v>
        <stp/>
        <stp>##V3_BDPV12</stp>
        <stp>912834QY Govt</stp>
        <stp>COUPON_FREQUENCY_DESCRIPTION</stp>
        <stp>[STRIPS.xlsx]Sheet1!R134C10</stp>
        <tr r="J134" s="1"/>
      </tp>
      <tp t="s">
        <v>#N/A Field Not Applicable</v>
        <stp/>
        <stp>##V3_BDPV12</stp>
        <stp>912834NY Govt</stp>
        <stp>COUPON_FREQUENCY_DESCRIPTION</stp>
        <stp>[STRIPS.xlsx]Sheet1!R143C10</stp>
        <tr r="J143" s="1"/>
      </tp>
      <tp t="s">
        <v>ACT/ACT</v>
        <stp/>
        <stp>##V3_BDPV12</stp>
        <stp>912834AU Govt</stp>
        <stp>DAY_CNT_DES</stp>
        <stp>[STRIPS.xlsx]Sheet1!R125C17</stp>
        <tr r="Q125" s="1"/>
      </tp>
      <tp t="s">
        <v>#N/A Field Not Applicable</v>
        <stp/>
        <stp>##V3_BDPV12</stp>
        <stp>912833FY Govt</stp>
        <stp>COUPON_FREQUENCY_DESCRIPTION</stp>
        <stp>[STRIPS.xlsx]Sheet1!R665C10</stp>
        <tr r="J665" s="1"/>
      </tp>
      <tp t="s">
        <v>#N/A Field Not Applicable</v>
        <stp/>
        <stp>##V3_BDPV12</stp>
        <stp>912834AY Govt</stp>
        <stp>COUPON_FREQUENCY_DESCRIPTION</stp>
        <stp>[STRIPS.xlsx]Sheet1!R642C10</stp>
        <tr r="J642" s="1"/>
      </tp>
      <tp t="s">
        <v>#N/A Field Not Applicable</v>
        <stp/>
        <stp>##V3_BDPV12</stp>
        <stp>912833QY Govt</stp>
        <stp>COUPON_FREQUENCY_DESCRIPTION</stp>
        <stp>[STRIPS.xlsx]Sheet1!R633C10</stp>
        <tr r="J633" s="1"/>
      </tp>
      <tp t="s">
        <v>ACT/ACT</v>
        <stp/>
        <stp>##V3_BDPV12</stp>
        <stp>912834AV Govt</stp>
        <stp>DAY_CNT_DES</stp>
        <stp>[STRIPS.xlsx]Sheet1!R387C17</stp>
        <tr r="Q387" s="1"/>
      </tp>
      <tp t="s">
        <v>#N/A Field Not Applicable</v>
        <stp/>
        <stp>##V3_BDPV12</stp>
        <stp>9128335Y Govt</stp>
        <stp>COUPON_FREQUENCY_DESCRIPTION</stp>
        <stp>[STRIPS.xlsx]Sheet1!R726C10</stp>
        <tr r="J726" s="1"/>
      </tp>
      <tp t="s">
        <v>#N/A Field Not Applicable</v>
        <stp/>
        <stp>##V3_BDPV12</stp>
        <stp>9128333Y Govt</stp>
        <stp>COUPON_FREQUENCY_DESCRIPTION</stp>
        <stp>[STRIPS.xlsx]Sheet1!R486C10</stp>
        <tr r="J486" s="1"/>
      </tp>
      <tp t="s">
        <v>#N/A Field Not Applicable</v>
        <stp/>
        <stp>##V3_BDPV12</stp>
        <stp>912833YY Govt</stp>
        <stp>COUPON_FREQUENCY_DESCRIPTION</stp>
        <stp>[STRIPS.xlsx]Sheet1!R453C10</stp>
        <tr r="J453" s="1"/>
      </tp>
      <tp t="s">
        <v>#N/A Field Not Applicable</v>
        <stp/>
        <stp>##V3_BDPV12</stp>
        <stp>9128336Y Govt</stp>
        <stp>COUPON_FREQUENCY_DESCRIPTION</stp>
        <stp>[STRIPS.xlsx]Sheet1!R429C10</stp>
        <tr r="J429" s="1"/>
      </tp>
      <tp t="s">
        <v>#N/A Field Not Applicable</v>
        <stp/>
        <stp>##V3_BDPV12</stp>
        <stp>912834KY Govt</stp>
        <stp>COUPON_FREQUENCY_DESCRIPTION</stp>
        <stp>[STRIPS.xlsx]Sheet1!R472C10</stp>
        <tr r="J472" s="1"/>
      </tp>
      <tp t="s">
        <v>#N/A Field Not Applicable</v>
        <stp/>
        <stp>##V3_BDPV12</stp>
        <stp>912833MY Govt</stp>
        <stp>COUPON_FREQUENCY_DESCRIPTION</stp>
        <stp>[STRIPS.xlsx]Sheet1!R569C10</stp>
        <tr r="J569" s="1"/>
      </tp>
      <tp t="s">
        <v>#N/A Field Not Applicable</v>
        <stp/>
        <stp>##V3_BDPV12</stp>
        <stp>912834LY Govt</stp>
        <stp>COUPON_FREQUENCY_DESCRIPTION</stp>
        <stp>[STRIPS.xlsx]Sheet1!R539C10</stp>
        <tr r="J539" s="1"/>
      </tp>
      <tp t="s">
        <v>#N/A Field Not Applicable</v>
        <stp/>
        <stp>##V3_BDPV12</stp>
        <stp>912833KY Govt</stp>
        <stp>COUPON_FREQUENCY_DESCRIPTION</stp>
        <stp>[STRIPS.xlsx]Sheet1!R513C10</stp>
        <tr r="J513" s="1"/>
      </tp>
      <tp t="s">
        <v>#N/A Field Not Applicable</v>
        <stp/>
        <stp>##V3_BDPV12</stp>
        <stp>912833BY Govt</stp>
        <stp>COUPON_FREQUENCY_DESCRIPTION</stp>
        <stp>[STRIPS.xlsx]Sheet1!R501C10</stp>
        <tr r="J501" s="1"/>
      </tp>
      <tp t="s">
        <v>ACT/ACT</v>
        <stp/>
        <stp>##V3_BDPV12</stp>
        <stp>912834AZ Govt</stp>
        <stp>DAY_CNT_DES</stp>
        <stp>[STRIPS.xlsx]Sheet1!R261C17</stp>
        <tr r="Q261" s="1"/>
      </tp>
      <tp t="s">
        <v>ACT/ACT</v>
        <stp/>
        <stp>##V3_BDPV12</stp>
        <stp>912834AX Govt</stp>
        <stp>DAY_CNT_DES</stp>
        <stp>[STRIPS.xlsx]Sheet1!R388C17</stp>
        <tr r="Q388" s="1"/>
      </tp>
      <tp t="s">
        <v>ACT/ACT</v>
        <stp/>
        <stp>##V3_BDPV12</stp>
        <stp>912834AY Govt</stp>
        <stp>DAY_CNT_DES</stp>
        <stp>[STRIPS.xlsx]Sheet1!R642C17</stp>
        <tr r="Q642" s="1"/>
      </tp>
      <tp t="s">
        <v>ACT/ACT</v>
        <stp/>
        <stp>##V3_BDPV12</stp>
        <stp>912834AB Govt</stp>
        <stp>DAY_CNT_DES</stp>
        <stp>[STRIPS.xlsx]Sheet1!R256C17</stp>
        <tr r="Q256" s="1"/>
      </tp>
      <tp t="s">
        <v>ACT/ACT</v>
        <stp/>
        <stp>##V3_BDPV12</stp>
        <stp>912834AC Govt</stp>
        <stp>DAY_CNT_DES</stp>
        <stp>[STRIPS.xlsx]Sheet1!R384C17</stp>
        <tr r="Q384" s="1"/>
      </tp>
      <tp t="s">
        <v>ACT/ACT</v>
        <stp/>
        <stp>##V3_BDPV12</stp>
        <stp>912834AF Govt</stp>
        <stp>DAY_CNT_DES</stp>
        <stp>[STRIPS.xlsx]Sheet1!R456C17</stp>
        <tr r="Q456" s="1"/>
      </tp>
      <tp t="s">
        <v>ACT/ACT</v>
        <stp/>
        <stp>##V3_BDPV12</stp>
        <stp>912834AG Govt</stp>
        <stp>DAY_CNT_DES</stp>
        <stp>[STRIPS.xlsx]Sheet1!R590C17</stp>
        <tr r="Q590" s="1"/>
      </tp>
      <tp t="s">
        <v>ACT/ACT</v>
        <stp/>
        <stp>##V3_BDPV12</stp>
        <stp>912834AE Govt</stp>
        <stp>DAY_CNT_DES</stp>
        <stp>[STRIPS.xlsx]Sheet1!R118C17</stp>
        <tr r="Q118" s="1"/>
      </tp>
      <tp t="s">
        <v>ACT/ACT</v>
        <stp/>
        <stp>##V3_BDPV12</stp>
        <stp>912834AA Govt</stp>
        <stp>DAY_CNT_DES</stp>
        <stp>[STRIPS.xlsx]Sheet1!R589C17</stp>
        <tr r="Q589" s="1"/>
      </tp>
      <tp t="s">
        <v>ACT/ACT</v>
        <stp/>
        <stp>##V3_BDPV12</stp>
        <stp>912834AK Govt</stp>
        <stp>DAY_CNT_DES</stp>
        <stp>[STRIPS.xlsx]Sheet1!R257C17</stp>
        <tr r="Q257" s="1"/>
      </tp>
      <tp t="s">
        <v>ACT/ACT</v>
        <stp/>
        <stp>##V3_BDPV12</stp>
        <stp>912834AM Govt</stp>
        <stp>DAY_CNT_DES</stp>
        <stp>[STRIPS.xlsx]Sheet1!R457C17</stp>
        <tr r="Q457" s="1"/>
      </tp>
      <tp t="s">
        <v>ACT/ACT</v>
        <stp/>
        <stp>##V3_BDPV12</stp>
        <stp>912834AH Govt</stp>
        <stp>DAY_CNT_DES</stp>
        <stp>[STRIPS.xlsx]Sheet1!R385C17</stp>
        <tr r="Q385" s="1"/>
      </tp>
      <tp t="s">
        <v>ACT/ACT</v>
        <stp/>
        <stp>##V3_BDPV12</stp>
        <stp>912834AN Govt</stp>
        <stp>DAY_CNT_DES</stp>
        <stp>[STRIPS.xlsx]Sheet1!R259C17</stp>
        <tr r="Q259" s="1"/>
      </tp>
      <tp t="s">
        <v>ACT/ACT</v>
        <stp/>
        <stp>##V3_BDPV12</stp>
        <stp>912834AL Govt</stp>
        <stp>DAY_CNT_DES</stp>
        <stp>[STRIPS.xlsx]Sheet1!R258C17</stp>
        <tr r="Q258" s="1"/>
      </tp>
      <tp t="s">
        <v>ACT/ACT</v>
        <stp/>
        <stp>##V3_BDPV12</stp>
        <stp>912834AJ Govt</stp>
        <stp>DAY_CNT_DES</stp>
        <stp>[STRIPS.xlsx]Sheet1!R591C17</stp>
        <tr r="Q591" s="1"/>
      </tp>
      <tp t="s">
        <v>912834DU9</v>
        <stp/>
        <stp>##V3_BDPV12</stp>
        <stp>912834DU Govt</stp>
        <stp>ID_CUSIP</stp>
        <stp>[STRIPS.xlsx]Sheet1!R87C19</stp>
        <tr r="S87" s="1"/>
      </tp>
      <tp t="s">
        <v>2/15/2018</v>
        <stp/>
        <stp>##V3_BDPV12</stp>
        <stp>912834TF Govt</stp>
        <stp>ISSUE_DT</stp>
        <stp>[STRIPS.xlsx]Sheet1!R98C15</stp>
        <tr r="O98" s="1"/>
      </tp>
      <tp t="s">
        <v>S 0 08/15/31</v>
        <stp/>
        <stp>##V3_BDPV12</stp>
        <stp>9128334S Govt</stp>
        <stp>SECURITY_NAME</stp>
        <stp>[STRIPS.xlsx]Sheet1!R5C16</stp>
        <tr r="P5" s="1"/>
      </tp>
      <tp t="s">
        <v>#N/A Field Not Applicable</v>
        <stp/>
        <stp>##V3_BDPV12</stp>
        <stp>912833XS Govt</stp>
        <stp>IDX_RATIO</stp>
        <stp>[STRIPS.xlsx]Sheet1!R47C20</stp>
        <tr r="T47" s="1"/>
      </tp>
      <tp t="s">
        <v>#N/A Field Not Applicable</v>
        <stp/>
        <stp>##V3_BDPV12</stp>
        <stp>9128337S Govt</stp>
        <stp>IDX_RATIO</stp>
        <stp>[STRIPS.xlsx]Sheet1!R35C20</stp>
        <tr r="T35" s="1"/>
      </tp>
      <tp t="s">
        <v>#N/A Field Not Applicable</v>
        <stp/>
        <stp>##V3_BDPV12</stp>
        <stp>912833LS Govt</stp>
        <stp>IDX_RATIO</stp>
        <stp>[STRIPS.xlsx]Sheet1!R37C20</stp>
        <tr r="T37" s="1"/>
      </tp>
      <tp t="s">
        <v>8/15/2018</v>
        <stp/>
        <stp>##V3_BDPV12</stp>
        <stp>912834TV Govt</stp>
        <stp>ISSUE_DT</stp>
        <stp>[STRIPS.xlsx]Sheet1!R90C15</stp>
        <tr r="O90" s="1"/>
      </tp>
      <tp t="s">
        <v>9/30/2010</v>
        <stp/>
        <stp>##V3_BDPV12</stp>
        <stp>9128335Q Govt</stp>
        <stp>MATURITY</stp>
        <stp>[STRIPS.xlsx]Sheet1!R711C5</stp>
        <tr r="E711" s="1"/>
      </tp>
      <tp t="s">
        <v>S</v>
        <stp/>
        <stp>##V3_BDPV12</stp>
        <stp>912834PM Govt</stp>
        <stp>TICKER</stp>
        <stp>[STRIPS.xlsx]Sheet1!R84C2</stp>
        <tr r="B84" s="1"/>
      </tp>
      <tp t="s">
        <v>S</v>
        <stp/>
        <stp>##V3_BDPV12</stp>
        <stp>912834PH Govt</stp>
        <stp>TICKER</stp>
        <stp>[STRIPS.xlsx]Sheet1!R91C2</stp>
        <tr r="B91" s="1"/>
      </tp>
      <tp t="s">
        <v>8/31/2006</v>
        <stp/>
        <stp>##V3_BDPV12</stp>
        <stp>9128333J Govt</stp>
        <stp>MATURITY</stp>
        <stp>[STRIPS.xlsx]Sheet1!R427C5</stp>
        <tr r="E427" s="1"/>
      </tp>
      <tp t="s">
        <v>11/30/2007</v>
        <stp/>
        <stp>##V3_BDPV12</stp>
        <stp>9128334K Govt</stp>
        <stp>MATURITY</stp>
        <stp>[STRIPS.xlsx]Sheet1!R490C5</stp>
        <tr r="E490" s="1"/>
      </tp>
      <tp t="s">
        <v>USD</v>
        <stp/>
        <stp>##V3_BDPV12</stp>
        <stp>912834NF Govt</stp>
        <stp>CRNCY</stp>
        <stp>[STRIPS.xlsx]Sheet1!R58C7</stp>
        <tr r="G58" s="1"/>
      </tp>
      <tp t="s">
        <v>8/31/2009</v>
        <stp/>
        <stp>##V3_BDPV12</stp>
        <stp>9128335F Govt</stp>
        <stp>MATURITY</stp>
        <stp>[STRIPS.xlsx]Sheet1!R721C5</stp>
        <tr r="E721" s="1"/>
      </tp>
      <tp t="s">
        <v>ACT/ACT</v>
        <stp/>
        <stp>##V3_BDPV12</stp>
        <stp>912833A6 Govt</stp>
        <stp>DAY_CNT_DES</stp>
        <stp>[STRIPS.xlsx]Sheet1!R652C17</stp>
        <tr r="Q652" s="1"/>
      </tp>
      <tp t="s">
        <v>ACT/ACT</v>
        <stp/>
        <stp>##V3_BDPV12</stp>
        <stp>912833A7 Govt</stp>
        <stp>DAY_CNT_DES</stp>
        <stp>[STRIPS.xlsx]Sheet1!R653C17</stp>
        <tr r="Q653" s="1"/>
      </tp>
      <tp t="s">
        <v>ACT/ACT</v>
        <stp/>
        <stp>##V3_BDPV12</stp>
        <stp>912833A5 Govt</stp>
        <stp>DAY_CNT_DES</stp>
        <stp>[STRIPS.xlsx]Sheet1!R432C17</stp>
        <tr r="Q432" s="1"/>
      </tp>
      <tp t="s">
        <v>ACT/ACT</v>
        <stp/>
        <stp>##V3_BDPV12</stp>
        <stp>912834A3 Govt</stp>
        <stp>DAY_CNT_DES</stp>
        <stp>[STRIPS.xlsx]Sheet1!R119C17</stp>
        <tr r="Q119" s="1"/>
      </tp>
      <tp t="s">
        <v>ACT/ACT</v>
        <stp/>
        <stp>##V3_BDPV12</stp>
        <stp>912834A2 Govt</stp>
        <stp>DAY_CNT_DES</stp>
        <stp>[STRIPS.xlsx]Sheet1!R122C17</stp>
        <tr r="Q122" s="1"/>
      </tp>
      <tp t="s">
        <v>ACT/ACT</v>
        <stp/>
        <stp>##V3_BDPV12</stp>
        <stp>912833A2 Govt</stp>
        <stp>DAY_CNT_DES</stp>
        <stp>[STRIPS.xlsx]Sheet1!R608C17</stp>
        <tr r="Q608" s="1"/>
      </tp>
      <tp t="s">
        <v>ACT/ACT</v>
        <stp/>
        <stp>##V3_BDPV12</stp>
        <stp>912833A3 Govt</stp>
        <stp>DAY_CNT_DES</stp>
        <stp>[STRIPS.xlsx]Sheet1!R731C17</stp>
        <tr r="Q731" s="1"/>
      </tp>
      <tp t="s">
        <v>ACT/ACT</v>
        <stp/>
        <stp>##V3_BDPV12</stp>
        <stp>912833A4 Govt</stp>
        <stp>DAY_CNT_DES</stp>
        <stp>[STRIPS.xlsx]Sheet1!R330C17</stp>
        <tr r="Q330" s="1"/>
      </tp>
      <tp t="s">
        <v>ACT/ACT</v>
        <stp/>
        <stp>##V3_BDPV12</stp>
        <stp>912833A8 Govt</stp>
        <stp>DAY_CNT_DES</stp>
        <stp>[STRIPS.xlsx]Sheet1!R560C17</stp>
        <tr r="Q560" s="1"/>
      </tp>
      <tp t="s">
        <v>ACT/ACT</v>
        <stp/>
        <stp>##V3_BDPV12</stp>
        <stp>912833A9 Govt</stp>
        <stp>DAY_CNT_DES</stp>
        <stp>[STRIPS.xlsx]Sheet1!R609C17</stp>
        <tr r="Q609" s="1"/>
      </tp>
      <tp t="s">
        <v>#N/A Field Not Applicable</v>
        <stp/>
        <stp>##V3_BDPV12</stp>
        <stp>9128336X Govt</stp>
        <stp>COUPON_FREQUENCY_DESCRIPTION</stp>
        <stp>[STRIPS.xlsx]Sheet1!R290C10</stp>
        <tr r="J290" s="1"/>
      </tp>
      <tp t="s">
        <v>#N/A Field Not Applicable</v>
        <stp/>
        <stp>##V3_BDPV12</stp>
        <stp>912834JX Govt</stp>
        <stp>COUPON_FREQUENCY_DESCRIPTION</stp>
        <stp>[STRIPS.xlsx]Sheet1!R221C10</stp>
        <tr r="J221" s="1"/>
      </tp>
      <tp t="s">
        <v>#N/A Field Not Applicable</v>
        <stp/>
        <stp>##V3_BDPV12</stp>
        <stp>912833QX Govt</stp>
        <stp>COUPON_FREQUENCY_DESCRIPTION</stp>
        <stp>[STRIPS.xlsx]Sheet1!R243C10</stp>
        <tr r="J243" s="1"/>
      </tp>
      <tp t="s">
        <v>#N/A Field Not Applicable</v>
        <stp/>
        <stp>##V3_BDPV12</stp>
        <stp>912834AX Govt</stp>
        <stp>COUPON_FREQUENCY_DESCRIPTION</stp>
        <stp>[STRIPS.xlsx]Sheet1!R388C10</stp>
        <tr r="J388" s="1"/>
      </tp>
      <tp t="s">
        <v>#N/A Field Not Applicable</v>
        <stp/>
        <stp>##V3_BDPV12</stp>
        <stp>912834DX Govt</stp>
        <stp>COUPON_FREQUENCY_DESCRIPTION</stp>
        <stp>[STRIPS.xlsx]Sheet1!R391C10</stp>
        <tr r="J391" s="1"/>
      </tp>
      <tp t="s">
        <v>#N/A Field Not Applicable</v>
        <stp/>
        <stp>##V3_BDPV12</stp>
        <stp>912833YX Govt</stp>
        <stp>COUPON_FREQUENCY_DESCRIPTION</stp>
        <stp>[STRIPS.xlsx]Sheet1!R381C10</stp>
        <tr r="J381" s="1"/>
      </tp>
      <tp t="s">
        <v>#N/A Field Not Applicable</v>
        <stp/>
        <stp>##V3_BDPV12</stp>
        <stp>912833BX Govt</stp>
        <stp>COUPON_FREQUENCY_DESCRIPTION</stp>
        <stp>[STRIPS.xlsx]Sheet1!R361C10</stp>
        <tr r="J361" s="1"/>
      </tp>
      <tp t="s">
        <v>#N/A Field Not Applicable</v>
        <stp/>
        <stp>##V3_BDPV12</stp>
        <stp>912834MX Govt</stp>
        <stp>COUPON_FREQUENCY_DESCRIPTION</stp>
        <stp>[STRIPS.xlsx]Sheet1!R327C10</stp>
        <tr r="J327" s="1"/>
      </tp>
      <tp t="s">
        <v>#N/A Field Not Applicable</v>
        <stp/>
        <stp>##V3_BDPV12</stp>
        <stp>912833PX Govt</stp>
        <stp>COUPON_FREQUENCY_DESCRIPTION</stp>
        <stp>[STRIPS.xlsx]Sheet1!R339C10</stp>
        <tr r="J339" s="1"/>
      </tp>
      <tp t="s">
        <v>#N/A Field Not Applicable</v>
        <stp/>
        <stp>##V3_BDPV12</stp>
        <stp>912834EX Govt</stp>
        <stp>COUPON_FREQUENCY_DESCRIPTION</stp>
        <stp>[STRIPS.xlsx]Sheet1!R354C10</stp>
        <tr r="J354" s="1"/>
      </tp>
      <tp t="s">
        <v>#N/A Field Not Applicable</v>
        <stp/>
        <stp>##V3_BDPV12</stp>
        <stp>912834HX Govt</stp>
        <stp>COUPON_FREQUENCY_DESCRIPTION</stp>
        <stp>[STRIPS.xlsx]Sheet1!R356C10</stp>
        <tr r="J356" s="1"/>
      </tp>
      <tp t="s">
        <v>#N/A Field Not Applicable</v>
        <stp/>
        <stp>##V3_BDPV12</stp>
        <stp>912834UX Govt</stp>
        <stp>COUPON_FREQUENCY_DESCRIPTION</stp>
        <stp>[STRIPS.xlsx]Sheet1!R182C10</stp>
        <tr r="J182" s="1"/>
      </tp>
      <tp t="s">
        <v>#N/A Field Not Applicable</v>
        <stp/>
        <stp>##V3_BDPV12</stp>
        <stp>912833KX Govt</stp>
        <stp>COUPON_FREQUENCY_DESCRIPTION</stp>
        <stp>[STRIPS.xlsx]Sheet1!R157C10</stp>
        <tr r="J157" s="1"/>
      </tp>
      <tp t="s">
        <v>#N/A Field Not Applicable</v>
        <stp/>
        <stp>##V3_BDPV12</stp>
        <stp>912834TX Govt</stp>
        <stp>COUPON_FREQUENCY_DESCRIPTION</stp>
        <stp>[STRIPS.xlsx]Sheet1!R145C10</stp>
        <tr r="J145" s="1"/>
      </tp>
      <tp t="s">
        <v>#N/A Field Not Applicable</v>
        <stp/>
        <stp>##V3_BDPV12</stp>
        <stp>9128334X Govt</stp>
        <stp>COUPON_FREQUENCY_DESCRIPTION</stp>
        <stp>[STRIPS.xlsx]Sheet1!R107C10</stp>
        <tr r="J107" s="1"/>
      </tp>
      <tp t="s">
        <v>#N/A Field Not Applicable</v>
        <stp/>
        <stp>##V3_BDPV12</stp>
        <stp>912833JX Govt</stp>
        <stp>COUPON_FREQUENCY_DESCRIPTION</stp>
        <stp>[STRIPS.xlsx]Sheet1!R669C10</stp>
        <tr r="J669" s="1"/>
      </tp>
      <tp t="s">
        <v>#N/A Field Not Applicable</v>
        <stp/>
        <stp>##V3_BDPV12</stp>
        <stp>912833FX Govt</stp>
        <stp>COUPON_FREQUENCY_DESCRIPTION</stp>
        <stp>[STRIPS.xlsx]Sheet1!R622C10</stp>
        <tr r="J622" s="1"/>
      </tp>
      <tp t="s">
        <v>#N/A Field Not Applicable</v>
        <stp/>
        <stp>##V3_BDPV12</stp>
        <stp>912833MX Govt</stp>
        <stp>COUPON_FREQUENCY_DESCRIPTION</stp>
        <stp>[STRIPS.xlsx]Sheet1!R627C10</stp>
        <tr r="J627" s="1"/>
      </tp>
      <tp t="s">
        <v>#N/A Field Not Applicable</v>
        <stp/>
        <stp>##V3_BDPV12</stp>
        <stp>9128333X Govt</stp>
        <stp>COUPON_FREQUENCY_DESCRIPTION</stp>
        <stp>[STRIPS.xlsx]Sheet1!R601C10</stp>
        <tr r="J601" s="1"/>
      </tp>
      <tp t="s">
        <v>#N/A Field Not Applicable</v>
        <stp/>
        <stp>##V3_BDPV12</stp>
        <stp>9128335X Govt</stp>
        <stp>COUPON_FREQUENCY_DESCRIPTION</stp>
        <stp>[STRIPS.xlsx]Sheet1!R747C10</stp>
        <tr r="J747" s="1"/>
      </tp>
      <tp t="s">
        <v>#N/A Field Not Applicable</v>
        <stp/>
        <stp>##V3_BDPV12</stp>
        <stp>912834VX Govt</stp>
        <stp>COUPON_FREQUENCY_DESCRIPTION</stp>
        <stp>[STRIPS.xlsx]Sheet1!R767C10</stp>
        <tr r="J767" s="1"/>
      </tp>
      <tp t="s">
        <v>#N/A Field Not Applicable</v>
        <stp/>
        <stp>##V3_BDPV12</stp>
        <stp>912834WX Govt</stp>
        <stp>COUPON_FREQUENCY_DESCRIPTION</stp>
        <stp>[STRIPS.xlsx]Sheet1!R776C10</stp>
        <tr r="J776" s="1"/>
      </tp>
      <tp t="s">
        <v>#N/A Field Not Applicable</v>
        <stp/>
        <stp>##V3_BDPV12</stp>
        <stp>912834NX Govt</stp>
        <stp>COUPON_FREQUENCY_DESCRIPTION</stp>
        <stp>[STRIPS.xlsx]Sheet1!R410C10</stp>
        <tr r="J410" s="1"/>
      </tp>
      <tp t="s">
        <v>#N/A Field Not Applicable</v>
        <stp/>
        <stp>##V3_BDPV12</stp>
        <stp>912834PX Govt</stp>
        <stp>COUPON_FREQUENCY_DESCRIPTION</stp>
        <stp>[STRIPS.xlsx]Sheet1!R412C10</stp>
        <tr r="J412" s="1"/>
      </tp>
      <tp t="s">
        <v>#N/A Field Not Applicable</v>
        <stp/>
        <stp>##V3_BDPV12</stp>
        <stp>912834QX Govt</stp>
        <stp>COUPON_FREQUENCY_DESCRIPTION</stp>
        <stp>[STRIPS.xlsx]Sheet1!R423C10</stp>
        <tr r="J423" s="1"/>
      </tp>
      <tp t="s">
        <v>#N/A Field Not Applicable</v>
        <stp/>
        <stp>##V3_BDPV12</stp>
        <stp>912833RX Govt</stp>
        <stp>COUPON_FREQUENCY_DESCRIPTION</stp>
        <stp>[STRIPS.xlsx]Sheet1!R449C10</stp>
        <tr r="J449" s="1"/>
      </tp>
      <tp t="s">
        <v>#N/A Field Not Applicable</v>
        <stp/>
        <stp>##V3_BDPV12</stp>
        <stp>912834KX Govt</stp>
        <stp>COUPON_FREQUENCY_DESCRIPTION</stp>
        <stp>[STRIPS.xlsx]Sheet1!R471C10</stp>
        <tr r="J471" s="1"/>
      </tp>
      <tp t="s">
        <v>#N/A Field Not Applicable</v>
        <stp/>
        <stp>##V3_BDPV12</stp>
        <stp>912833ZX Govt</stp>
        <stp>COUPON_FREQUENCY_DESCRIPTION</stp>
        <stp>[STRIPS.xlsx]Sheet1!R588C10</stp>
        <tr r="J588" s="1"/>
      </tp>
      <tp t="s">
        <v>#N/A Field Not Applicable</v>
        <stp/>
        <stp>##V3_BDPV12</stp>
        <stp>912833CX Govt</stp>
        <stp>COUPON_FREQUENCY_DESCRIPTION</stp>
        <stp>[STRIPS.xlsx]Sheet1!R503C10</stp>
        <tr r="J503" s="1"/>
      </tp>
      <tp t="s">
        <v>2/28/2019</v>
        <stp/>
        <stp>##V3_BDPV12</stp>
        <stp>912834UL Govt</stp>
        <stp>ISSUE_DT</stp>
        <stp>[STRIPS.xlsx]Sheet1!R88C15</stp>
        <tr r="O88" s="1"/>
      </tp>
      <tp t="s">
        <v>912834EP9</v>
        <stp/>
        <stp>##V3_BDPV12</stp>
        <stp>912834EP Govt</stp>
        <stp>ID_CUSIP</stp>
        <stp>[STRIPS.xlsx]Sheet1!R77C19</stp>
        <tr r="S77" s="1"/>
      </tp>
      <tp t="s">
        <v>#N/A Field Not Applicable</v>
        <stp/>
        <stp>##V3_BDPV12</stp>
        <stp>912834LR Govt</stp>
        <stp>IDX_RATIO</stp>
        <stp>[STRIPS.xlsx]Sheet1!R95C20</stp>
        <tr r="T95" s="1"/>
      </tp>
      <tp t="s">
        <v>#N/A Field Not Applicable</v>
        <stp/>
        <stp>##V3_BDPV12</stp>
        <stp>912834RR Govt</stp>
        <stp>IDX_RATIO</stp>
        <stp>[STRIPS.xlsx]Sheet1!R86C20</stp>
        <tr r="T86" s="1"/>
      </tp>
      <tp t="s">
        <v>#N/A Field Not Applicable</v>
        <stp/>
        <stp>##V3_BDPV12</stp>
        <stp>912833WR Govt</stp>
        <stp>IDX_RATIO</stp>
        <stp>[STRIPS.xlsx]Sheet1!R52C20</stp>
        <tr r="T52" s="1"/>
      </tp>
      <tp t="s">
        <v>#N/A Field Not Applicable</v>
        <stp/>
        <stp>##V3_BDPV12</stp>
        <stp>912834WR Govt</stp>
        <stp>IDX_RATIO</stp>
        <stp>[STRIPS.xlsx]Sheet1!R54C20</stp>
        <tr r="T54" s="1"/>
      </tp>
      <tp t="s">
        <v>#N/A Field Not Applicable</v>
        <stp/>
        <stp>##V3_BDPV12</stp>
        <stp>912834UR Govt</stp>
        <stp>IDX_RATIO</stp>
        <stp>[STRIPS.xlsx]Sheet1!R65C20</stp>
        <tr r="T65" s="1"/>
      </tp>
      <tp t="s">
        <v>#N/A Field Not Applicable</v>
        <stp/>
        <stp>##V3_BDPV12</stp>
        <stp>912833LR Govt</stp>
        <stp>IDX_RATIO</stp>
        <stp>[STRIPS.xlsx]Sheet1!R19C20</stp>
        <tr r="T19" s="1"/>
      </tp>
      <tp t="s">
        <v>8/15/2019</v>
        <stp/>
        <stp>##V3_BDPV12</stp>
        <stp>912834UY Govt</stp>
        <stp>ISSUE_DT</stp>
        <stp>[STRIPS.xlsx]Sheet1!R75C15</stp>
        <tr r="O75" s="1"/>
      </tp>
      <tp t="s">
        <v>5/15/2019</v>
        <stp/>
        <stp>##V3_BDPV12</stp>
        <stp>912834UR Govt</stp>
        <stp>ISSUE_DT</stp>
        <stp>[STRIPS.xlsx]Sheet1!R65C15</stp>
        <tr r="O65" s="1"/>
      </tp>
      <tp t="s">
        <v>4/30/2019</v>
        <stp/>
        <stp>##V3_BDPV12</stp>
        <stp>912834UQ Govt</stp>
        <stp>ISSUE_DT</stp>
        <stp>[STRIPS.xlsx]Sheet1!R97C15</stp>
        <tr r="O97" s="1"/>
      </tp>
      <tp t="s">
        <v>4/30/2007</v>
        <stp/>
        <stp>##V3_BDPV12</stp>
        <stp>9128333Y Govt</stp>
        <stp>MATURITY</stp>
        <stp>[STRIPS.xlsx]Sheet1!R486C5</stp>
        <tr r="E486" s="1"/>
      </tp>
      <tp t="s">
        <v>5/31/2008</v>
        <stp/>
        <stp>##V3_BDPV12</stp>
        <stp>9128335Z Govt</stp>
        <stp>MATURITY</stp>
        <stp>[STRIPS.xlsx]Sheet1!R650C5</stp>
        <tr r="E650" s="1"/>
      </tp>
      <tp t="s">
        <v>S</v>
        <stp/>
        <stp>##V3_BDPV12</stp>
        <stp>912834LK Govt</stp>
        <stp>TICKER</stp>
        <stp>[STRIPS.xlsx]Sheet1!R53C2</stp>
        <tr r="B53" s="1"/>
      </tp>
      <tp t="s">
        <v>S</v>
        <stp/>
        <stp>##V3_BDPV12</stp>
        <stp>912833LH Govt</stp>
        <stp>TICKER</stp>
        <stp>[STRIPS.xlsx]Sheet1!R40C2</stp>
        <tr r="B40" s="1"/>
      </tp>
      <tp t="s">
        <v>2/28/2007</v>
        <stp/>
        <stp>##V3_BDPV12</stp>
        <stp>9128333U Govt</stp>
        <stp>MATURITY</stp>
        <stp>[STRIPS.xlsx]Sheet1!R706C5</stp>
        <tr r="E706" s="1"/>
      </tp>
      <tp t="s">
        <v>USD</v>
        <stp/>
        <stp>##V3_BDPV12</stp>
        <stp>912834AT Govt</stp>
        <stp>CRNCY</stp>
        <stp>[STRIPS.xlsx]Sheet1!R76C7</stp>
        <tr r="G76" s="1"/>
      </tp>
      <tp t="s">
        <v>5/31/2012</v>
        <stp/>
        <stp>##V3_BDPV12</stp>
        <stp>9128337K Govt</stp>
        <stp>MATURITY</stp>
        <stp>[STRIPS.xlsx]Sheet1!R292C5</stp>
        <tr r="E292" s="1"/>
      </tp>
      <tp t="s">
        <v>12/31/2007</v>
        <stp/>
        <stp>##V3_BDPV12</stp>
        <stp>9128334M Govt</stp>
        <stp>MATURITY</stp>
        <stp>[STRIPS.xlsx]Sheet1!R491C5</stp>
        <tr r="E491" s="1"/>
      </tp>
      <tp t="s">
        <v>3/31/2009</v>
        <stp/>
        <stp>##V3_BDPV12</stp>
        <stp>9128335M Govt</stp>
        <stp>MATURITY</stp>
        <stp>[STRIPS.xlsx]Sheet1!R710C5</stp>
        <tr r="E710" s="1"/>
      </tp>
      <tp t="s">
        <v>3/15/2009</v>
        <stp/>
        <stp>##V3_BDPV12</stp>
        <stp>9128332B Govt</stp>
        <stp>MATURITY</stp>
        <stp>[STRIPS.xlsx]Sheet1!R717C5</stp>
        <tr r="E717" s="1"/>
      </tp>
      <tp t="s">
        <v>11/30/2009</v>
        <stp/>
        <stp>##V3_BDPV12</stp>
        <stp>9128336C Govt</stp>
        <stp>MATURITY</stp>
        <stp>[STRIPS.xlsx]Sheet1!R713C5</stp>
        <tr r="E713" s="1"/>
      </tp>
      <tp t="s">
        <v>2/29/2008</v>
        <stp/>
        <stp>##V3_BDPV12</stp>
        <stp>9128335C Govt</stp>
        <stp>MATURITY</stp>
        <stp>[STRIPS.xlsx]Sheet1!R720C5</stp>
        <tr r="E720" s="1"/>
      </tp>
      <tp t="s">
        <v>4/30/2006</v>
        <stp/>
        <stp>##V3_BDPV12</stp>
        <stp>9128332E Govt</stp>
        <stp>MATURITY</stp>
        <stp>[STRIPS.xlsx]Sheet1!R597C5</stp>
        <tr r="E597" s="1"/>
      </tp>
      <tp t="s">
        <v>ACT/ACT</v>
        <stp/>
        <stp>##V3_BDPV12</stp>
        <stp>912833CV Govt</stp>
        <stp>DAY_CNT_DES</stp>
        <stp>[STRIPS.xlsx]Sheet1!R658C17</stp>
        <tr r="Q658" s="1"/>
      </tp>
      <tp t="s">
        <v>ACT/ACT</v>
        <stp/>
        <stp>##V3_BDPV12</stp>
        <stp>912833CW Govt</stp>
        <stp>DAY_CNT_DES</stp>
        <stp>[STRIPS.xlsx]Sheet1!R735C17</stp>
        <tr r="Q735" s="1"/>
      </tp>
      <tp t="s">
        <v>ACT/ACT</v>
        <stp/>
        <stp>##V3_BDPV12</stp>
        <stp>912833CS Govt</stp>
        <stp>DAY_CNT_DES</stp>
        <stp>[STRIPS.xlsx]Sheet1!R298C17</stp>
        <tr r="Q298" s="1"/>
      </tp>
      <tp t="s">
        <v>ACT/ACT</v>
        <stp/>
        <stp>##V3_BDPV12</stp>
        <stp>912833CT Govt</stp>
        <stp>DAY_CNT_DES</stp>
        <stp>[STRIPS.xlsx]Sheet1!R657C17</stp>
        <tr r="Q657" s="1"/>
      </tp>
      <tp t="s">
        <v>ACT/ACT</v>
        <stp/>
        <stp>##V3_BDPV12</stp>
        <stp>912833CR Govt</stp>
        <stp>DAY_CNT_DES</stp>
        <stp>[STRIPS.xlsx]Sheet1!R617C17</stp>
        <tr r="Q617" s="1"/>
      </tp>
      <tp t="s">
        <v>ACT/ACT</v>
        <stp/>
        <stp>##V3_BDPV12</stp>
        <stp>912833CP Govt</stp>
        <stp>DAY_CNT_DES</stp>
        <stp>[STRIPS.xlsx]Sheet1!R564C17</stp>
        <tr r="Q564" s="1"/>
      </tp>
      <tp t="s">
        <v>ACT/ACT</v>
        <stp/>
        <stp>##V3_BDPV12</stp>
        <stp>912833CQ Govt</stp>
        <stp>DAY_CNT_DES</stp>
        <stp>[STRIPS.xlsx]Sheet1!R438C17</stp>
        <tr r="Q438" s="1"/>
      </tp>
      <tp t="s">
        <v>ACT/ACT</v>
        <stp/>
        <stp>##V3_BDPV12</stp>
        <stp>912833CU Govt</stp>
        <stp>DAY_CNT_DES</stp>
        <stp>[STRIPS.xlsx]Sheet1!R299C17</stp>
        <tr r="Q299" s="1"/>
      </tp>
      <tp t="s">
        <v>ACT/ACT</v>
        <stp/>
        <stp>##V3_BDPV12</stp>
        <stp>912833CZ Govt</stp>
        <stp>DAY_CNT_DES</stp>
        <stp>[STRIPS.xlsx]Sheet1!R220C17</stp>
        <tr r="Q220" s="1"/>
      </tp>
      <tp t="s">
        <v>ACT/ACT</v>
        <stp/>
        <stp>##V3_BDPV12</stp>
        <stp>912833CY Govt</stp>
        <stp>DAY_CNT_DES</stp>
        <stp>[STRIPS.xlsx]Sheet1!R363C17</stp>
        <tr r="Q363" s="1"/>
      </tp>
      <tp t="s">
        <v>ACT/ACT</v>
        <stp/>
        <stp>##V3_BDPV12</stp>
        <stp>912833CX Govt</stp>
        <stp>DAY_CNT_DES</stp>
        <stp>[STRIPS.xlsx]Sheet1!R503C17</stp>
        <tr r="Q503" s="1"/>
      </tp>
      <tp t="s">
        <v>ACT/ACT</v>
        <stp/>
        <stp>##V3_BDPV12</stp>
        <stp>912833CF Govt</stp>
        <stp>DAY_CNT_DES</stp>
        <stp>[STRIPS.xlsx]Sheet1!R655C17</stp>
        <tr r="Q655" s="1"/>
      </tp>
      <tp t="s">
        <v>ACT/ACT</v>
        <stp/>
        <stp>##V3_BDPV12</stp>
        <stp>912833CE Govt</stp>
        <stp>DAY_CNT_DES</stp>
        <stp>[STRIPS.xlsx]Sheet1!R437C17</stp>
        <tr r="Q437" s="1"/>
      </tp>
      <tp t="s">
        <v>ACT/ACT</v>
        <stp/>
        <stp>##V3_BDPV12</stp>
        <stp>912833CA Govt</stp>
        <stp>DAY_CNT_DES</stp>
        <stp>[STRIPS.xlsx]Sheet1!R502C17</stp>
        <tr r="Q502" s="1"/>
      </tp>
      <tp t="s">
        <v>ACT/ACT</v>
        <stp/>
        <stp>##V3_BDPV12</stp>
        <stp>912833CB Govt</stp>
        <stp>DAY_CNT_DES</stp>
        <stp>[STRIPS.xlsx]Sheet1!R614C17</stp>
        <tr r="Q614" s="1"/>
      </tp>
      <tp t="s">
        <v>ACT/ACT</v>
        <stp/>
        <stp>##V3_BDPV12</stp>
        <stp>912833CG Govt</stp>
        <stp>DAY_CNT_DES</stp>
        <stp>[STRIPS.xlsx]Sheet1!R296C17</stp>
        <tr r="Q296" s="1"/>
      </tp>
      <tp t="s">
        <v>ACT/ACT</v>
        <stp/>
        <stp>##V3_BDPV12</stp>
        <stp>912833CD Govt</stp>
        <stp>DAY_CNT_DES</stp>
        <stp>[STRIPS.xlsx]Sheet1!R295C17</stp>
        <tr r="Q295" s="1"/>
      </tp>
      <tp t="s">
        <v>ACT/ACT</v>
        <stp/>
        <stp>##V3_BDPV12</stp>
        <stp>912833CC Govt</stp>
        <stp>DAY_CNT_DES</stp>
        <stp>[STRIPS.xlsx]Sheet1!R436C17</stp>
        <tr r="Q436" s="1"/>
      </tp>
      <tp t="s">
        <v>ACT/ACT</v>
        <stp/>
        <stp>##V3_BDPV12</stp>
        <stp>912833CJ Govt</stp>
        <stp>DAY_CNT_DES</stp>
        <stp>[STRIPS.xlsx]Sheet1!R297C17</stp>
        <tr r="Q297" s="1"/>
      </tp>
      <tp t="s">
        <v>ACT/ACT</v>
        <stp/>
        <stp>##V3_BDPV12</stp>
        <stp>912833CN Govt</stp>
        <stp>DAY_CNT_DES</stp>
        <stp>[STRIPS.xlsx]Sheet1!R734C17</stp>
        <tr r="Q734" s="1"/>
      </tp>
      <tp t="s">
        <v>ACT/ACT</v>
        <stp/>
        <stp>##V3_BDPV12</stp>
        <stp>912833CL Govt</stp>
        <stp>DAY_CNT_DES</stp>
        <stp>[STRIPS.xlsx]Sheet1!R616C17</stp>
        <tr r="Q616" s="1"/>
      </tp>
      <tp t="s">
        <v>ACT/ACT</v>
        <stp/>
        <stp>##V3_BDPV12</stp>
        <stp>912833CM Govt</stp>
        <stp>DAY_CNT_DES</stp>
        <stp>[STRIPS.xlsx]Sheet1!R656C17</stp>
        <tr r="Q656" s="1"/>
      </tp>
      <tp t="s">
        <v>ACT/ACT</v>
        <stp/>
        <stp>##V3_BDPV12</stp>
        <stp>912833CK Govt</stp>
        <stp>DAY_CNT_DES</stp>
        <stp>[STRIPS.xlsx]Sheet1!R733C17</stp>
        <tr r="Q733" s="1"/>
      </tp>
      <tp t="s">
        <v>ACT/ACT</v>
        <stp/>
        <stp>##V3_BDPV12</stp>
        <stp>912833CH Govt</stp>
        <stp>DAY_CNT_DES</stp>
        <stp>[STRIPS.xlsx]Sheet1!R615C17</stp>
        <tr r="Q615" s="1"/>
      </tp>
      <tp t="s">
        <v>2/18/2020</v>
        <stp/>
        <stp>##V3_BDPV12</stp>
        <stp>912834VM Govt</stp>
        <stp>ISSUE_DT</stp>
        <stp>[STRIPS.xlsx]Sheet1!R81C15</stp>
        <tr r="O81" s="1"/>
      </tp>
      <tp t="s">
        <v>#N/A Field Not Applicable</v>
        <stp/>
        <stp>##V3_BDPV12</stp>
        <stp>912834UQ Govt</stp>
        <stp>IDX_RATIO</stp>
        <stp>[STRIPS.xlsx]Sheet1!R97C20</stp>
        <tr r="T97" s="1"/>
      </tp>
      <tp t="s">
        <v>#N/A Field Not Applicable</v>
        <stp/>
        <stp>##V3_BDPV12</stp>
        <stp>9128337Q Govt</stp>
        <stp>IDX_RATIO</stp>
        <stp>[STRIPS.xlsx]Sheet1!R29C20</stp>
        <tr r="T29" s="1"/>
      </tp>
      <tp t="s">
        <v>#N/A Field Not Applicable</v>
        <stp/>
        <stp>##V3_BDPV12</stp>
        <stp>912833WQ Govt</stp>
        <stp>IDX_RATIO</stp>
        <stp>[STRIPS.xlsx]Sheet1!R24C20</stp>
        <tr r="T24" s="1"/>
      </tp>
      <tp t="s">
        <v>#N/A Field Not Applicable</v>
        <stp/>
        <stp>##V3_BDPV12</stp>
        <stp>912833LQ Govt</stp>
        <stp>IDX_RATIO</stp>
        <stp>[STRIPS.xlsx]Sheet1!R38C20</stp>
        <tr r="T38" s="1"/>
      </tp>
      <tp t="s">
        <v>5/15/2020</v>
        <stp/>
        <stp>##V3_BDPV12</stp>
        <stp>912834VV Govt</stp>
        <stp>ISSUE_DT</stp>
        <stp>[STRIPS.xlsx]Sheet1!R51C15</stp>
        <tr r="O51" s="1"/>
      </tp>
      <tp t="s">
        <v>9/30/2011</v>
        <stp/>
        <stp>##V3_BDPV12</stp>
        <stp>9128336X Govt</stp>
        <stp>MATURITY</stp>
        <stp>[STRIPS.xlsx]Sheet1!R290C5</stp>
        <tr r="E290" s="1"/>
      </tp>
      <tp t="s">
        <v>11/30/2011</v>
        <stp/>
        <stp>##V3_BDPV12</stp>
        <stp>9128336Z Govt</stp>
        <stp>MATURITY</stp>
        <stp>[STRIPS.xlsx]Sheet1!R430C5</stp>
        <tr r="E430" s="1"/>
      </tp>
      <tp t="s">
        <v>3/31/2010</v>
        <stp/>
        <stp>##V3_BDPV12</stp>
        <stp>9128335P Govt</stp>
        <stp>MATURITY</stp>
        <stp>[STRIPS.xlsx]Sheet1!R723C5</stp>
        <tr r="E723" s="1"/>
      </tp>
      <tp t="s">
        <v>1/31/2009</v>
        <stp/>
        <stp>##V3_BDPV12</stp>
        <stp>9128336Q Govt</stp>
        <stp>MATURITY</stp>
        <stp>[STRIPS.xlsx]Sheet1!R750C5</stp>
        <tr r="E750" s="1"/>
      </tp>
      <tp t="s">
        <v>S</v>
        <stp/>
        <stp>##V3_BDPV12</stp>
        <stp>912834WC Govt</stp>
        <stp>TICKER</stp>
        <stp>[STRIPS.xlsx]Sheet1!R78C2</stp>
        <tr r="B78" s="1"/>
      </tp>
      <tp t="s">
        <v>S</v>
        <stp/>
        <stp>##V3_BDPV12</stp>
        <stp>912833XN Govt</stp>
        <stp>TICKER</stp>
        <stp>[STRIPS.xlsx]Sheet1!R85C2</stp>
        <tr r="B85" s="1"/>
      </tp>
      <tp t="s">
        <v>12/31/2006</v>
        <stp/>
        <stp>##V3_BDPV12</stp>
        <stp>9128333R Govt</stp>
        <stp>MATURITY</stp>
        <stp>[STRIPS.xlsx]Sheet1!R705C5</stp>
        <tr r="E705" s="1"/>
      </tp>
      <tp t="s">
        <v>USD</v>
        <stp/>
        <stp>##V3_BDPV12</stp>
        <stp>912833LQ Govt</stp>
        <stp>CRNCY</stp>
        <stp>[STRIPS.xlsx]Sheet1!R38C7</stp>
        <tr r="G38" s="1"/>
      </tp>
      <tp t="s">
        <v>5/15/2033</v>
        <stp/>
        <stp>##V3_BDPV12</stp>
        <stp>9128337T Govt</stp>
        <stp>MATURITY</stp>
        <stp>[STRIPS.xlsx]Sheet1!R121C5</stp>
        <tr r="E121" s="1"/>
      </tp>
      <tp t="s">
        <v>8/15/2032</v>
        <stp/>
        <stp>##V3_BDPV12</stp>
        <stp>9128334U Govt</stp>
        <stp>MATURITY</stp>
        <stp>[STRIPS.xlsx]Sheet1!R102C5</stp>
        <tr r="E102" s="1"/>
      </tp>
      <tp t="s">
        <v>3/31/2007</v>
        <stp/>
        <stp>##V3_BDPV12</stp>
        <stp>9128333W Govt</stp>
        <stp>MATURITY</stp>
        <stp>[STRIPS.xlsx]Sheet1!R485C5</stp>
        <tr r="E485" s="1"/>
      </tp>
      <tp t="s">
        <v>3/31/2012</v>
        <stp/>
        <stp>##V3_BDPV12</stp>
        <stp>9128337H Govt</stp>
        <stp>MATURITY</stp>
        <stp>[STRIPS.xlsx]Sheet1!R431C5</stp>
        <tr r="E431" s="1"/>
      </tp>
      <tp t="s">
        <v>USD</v>
        <stp/>
        <stp>##V3_BDPV12</stp>
        <stp>912833LJ Govt</stp>
        <stp>CRNCY</stp>
        <stp>[STRIPS.xlsx]Sheet1!R18C7</stp>
        <tr r="G18" s="1"/>
      </tp>
      <tp t="s">
        <v>3/31/2008</v>
        <stp/>
        <stp>##V3_BDPV12</stp>
        <stp>9128335K Govt</stp>
        <stp>MATURITY</stp>
        <stp>[STRIPS.xlsx]Sheet1!R493C5</stp>
        <tr r="E493" s="1"/>
      </tp>
      <tp t="s">
        <v>6/30/2012</v>
        <stp/>
        <stp>##V3_BDPV12</stp>
        <stp>9128337L Govt</stp>
        <stp>MATURITY</stp>
        <stp>[STRIPS.xlsx]Sheet1!R651C5</stp>
        <tr r="E651" s="1"/>
      </tp>
      <tp t="s">
        <v>1/31/2012</v>
        <stp/>
        <stp>##V3_BDPV12</stp>
        <stp>9128337D Govt</stp>
        <stp>MATURITY</stp>
        <stp>[STRIPS.xlsx]Sheet1!R291C5</stp>
        <tr r="E291" s="1"/>
      </tp>
      <tp t="s">
        <v>ACT/ACT</v>
        <stp/>
        <stp>##V3_BDPV12</stp>
        <stp>912833C3 Govt</stp>
        <stp>DAY_CNT_DES</stp>
        <stp>[STRIPS.xlsx]Sheet1!R362C17</stp>
        <tr r="Q362" s="1"/>
      </tp>
      <tp t="s">
        <v>ACT/ACT</v>
        <stp/>
        <stp>##V3_BDPV12</stp>
        <stp>912833C5 Govt</stp>
        <stp>DAY_CNT_DES</stp>
        <stp>[STRIPS.xlsx]Sheet1!R435C17</stp>
        <tr r="Q435" s="1"/>
      </tp>
      <tp t="s">
        <v>ACT/ACT</v>
        <stp/>
        <stp>##V3_BDPV12</stp>
        <stp>912833C4 Govt</stp>
        <stp>DAY_CNT_DES</stp>
        <stp>[STRIPS.xlsx]Sheet1!R612C17</stp>
        <tr r="Q612" s="1"/>
      </tp>
      <tp t="s">
        <v>ACT/ACT</v>
        <stp/>
        <stp>##V3_BDPV12</stp>
        <stp>912833C6 Govt</stp>
        <stp>DAY_CNT_DES</stp>
        <stp>[STRIPS.xlsx]Sheet1!R563C17</stp>
        <tr r="Q563" s="1"/>
      </tp>
      <tp t="s">
        <v>ACT/ACT</v>
        <stp/>
        <stp>##V3_BDPV12</stp>
        <stp>912833C2 Govt</stp>
        <stp>DAY_CNT_DES</stp>
        <stp>[STRIPS.xlsx]Sheet1!R611C17</stp>
        <tr r="Q611" s="1"/>
      </tp>
      <tp t="s">
        <v>ACT/ACT</v>
        <stp/>
        <stp>##V3_BDPV12</stp>
        <stp>912833C7 Govt</stp>
        <stp>DAY_CNT_DES</stp>
        <stp>[STRIPS.xlsx]Sheet1!R294C17</stp>
        <tr r="Q294" s="1"/>
      </tp>
      <tp t="s">
        <v>ACT/ACT</v>
        <stp/>
        <stp>##V3_BDPV12</stp>
        <stp>912833C9 Govt</stp>
        <stp>DAY_CNT_DES</stp>
        <stp>[STRIPS.xlsx]Sheet1!R613C17</stp>
        <tr r="Q613" s="1"/>
      </tp>
      <tp t="s">
        <v>#N/A Field Not Applicable</v>
        <stp/>
        <stp>##V3_BDPV12</stp>
        <stp>912833PZ Govt</stp>
        <stp>COUPON_FREQUENCY_DESCRIPTION</stp>
        <stp>[STRIPS.xlsx]Sheet1!R240C10</stp>
        <tr r="J240" s="1"/>
      </tp>
      <tp t="s">
        <v>#N/A Field Not Applicable</v>
        <stp/>
        <stp>##V3_BDPV12</stp>
        <stp>912833CZ Govt</stp>
        <stp>COUPON_FREQUENCY_DESCRIPTION</stp>
        <stp>[STRIPS.xlsx]Sheet1!R220C10</stp>
        <tr r="J220" s="1"/>
      </tp>
      <tp t="s">
        <v>#N/A Field Not Applicable</v>
        <stp/>
        <stp>##V3_BDPV12</stp>
        <stp>912834AZ Govt</stp>
        <stp>COUPON_FREQUENCY_DESCRIPTION</stp>
        <stp>[STRIPS.xlsx]Sheet1!R261C10</stp>
        <tr r="J261" s="1"/>
      </tp>
      <tp t="s">
        <v>#N/A Field Not Applicable</v>
        <stp/>
        <stp>##V3_BDPV12</stp>
        <stp>912834KZ Govt</stp>
        <stp>COUPON_FREQUENCY_DESCRIPTION</stp>
        <stp>[STRIPS.xlsx]Sheet1!R269C10</stp>
        <tr r="J269" s="1"/>
      </tp>
      <tp t="s">
        <v>#N/A Field Not Applicable</v>
        <stp/>
        <stp>##V3_BDPV12</stp>
        <stp>912834HZ Govt</stp>
        <stp>COUPON_FREQUENCY_DESCRIPTION</stp>
        <stp>[STRIPS.xlsx]Sheet1!R265C10</stp>
        <tr r="J265" s="1"/>
      </tp>
      <tp t="s">
        <v>#N/A Field Not Applicable</v>
        <stp/>
        <stp>##V3_BDPV12</stp>
        <stp>912834JZ Govt</stp>
        <stp>COUPON_FREQUENCY_DESCRIPTION</stp>
        <stp>[STRIPS.xlsx]Sheet1!R266C10</stp>
        <tr r="J266" s="1"/>
      </tp>
      <tp t="s">
        <v>#N/A Field Not Applicable</v>
        <stp/>
        <stp>##V3_BDPV12</stp>
        <stp>912834NZ Govt</stp>
        <stp>COUPON_FREQUENCY_DESCRIPTION</stp>
        <stp>[STRIPS.xlsx]Sheet1!R275C10</stp>
        <tr r="J275" s="1"/>
      </tp>
      <tp t="s">
        <v>#N/A Field Not Applicable</v>
        <stp/>
        <stp>##V3_BDPV12</stp>
        <stp>912834QZ Govt</stp>
        <stp>COUPON_FREQUENCY_DESCRIPTION</stp>
        <stp>[STRIPS.xlsx]Sheet1!R279C10</stp>
        <tr r="J279" s="1"/>
      </tp>
      <tp t="s">
        <v>ACT/ACT</v>
        <stp/>
        <stp>##V3_BDPV12</stp>
        <stp>912833BW Govt</stp>
        <stp>DAY_CNT_DES</stp>
        <stp>[STRIPS.xlsx]Sheet1!R610C17</stp>
        <tr r="Q610" s="1"/>
      </tp>
      <tp t="s">
        <v>#N/A Field Not Applicable</v>
        <stp/>
        <stp>##V3_BDPV12</stp>
        <stp>912834EZ Govt</stp>
        <stp>COUPON_FREQUENCY_DESCRIPTION</stp>
        <stp>[STRIPS.xlsx]Sheet1!R394C10</stp>
        <tr r="J394" s="1"/>
      </tp>
      <tp t="s">
        <v>#N/A Field Not Applicable</v>
        <stp/>
        <stp>##V3_BDPV12</stp>
        <stp>912833QZ Govt</stp>
        <stp>COUPON_FREQUENCY_DESCRIPTION</stp>
        <stp>[STRIPS.xlsx]Sheet1!R379C10</stp>
        <tr r="J379" s="1"/>
      </tp>
      <tp t="s">
        <v>#N/A Field Not Applicable</v>
        <stp/>
        <stp>##V3_BDPV12</stp>
        <stp>912834LZ Govt</stp>
        <stp>COUPON_FREQUENCY_DESCRIPTION</stp>
        <stp>[STRIPS.xlsx]Sheet1!R325C10</stp>
        <tr r="J325" s="1"/>
      </tp>
      <tp t="s">
        <v>ACT/ACT</v>
        <stp/>
        <stp>##V3_BDPV12</stp>
        <stp>912834BP Govt</stp>
        <stp>DAY_CNT_DES</stp>
        <stp>[STRIPS.xlsx]Sheet1!R389C17</stp>
        <tr r="Q389" s="1"/>
      </tp>
      <tp t="s">
        <v>#N/A Field Not Applicable</v>
        <stp/>
        <stp>##V3_BDPV12</stp>
        <stp>912834UZ Govt</stp>
        <stp>COUPON_FREQUENCY_DESCRIPTION</stp>
        <stp>[STRIPS.xlsx]Sheet1!R181C10</stp>
        <tr r="J181" s="1"/>
      </tp>
      <tp t="s">
        <v>#N/A Field Not Applicable</v>
        <stp/>
        <stp>##V3_BDPV12</stp>
        <stp>912833KZ Govt</stp>
        <stp>COUPON_FREQUENCY_DESCRIPTION</stp>
        <stp>[STRIPS.xlsx]Sheet1!R152C10</stp>
        <tr r="J152" s="1"/>
      </tp>
      <tp t="s">
        <v>#N/A Field Not Applicable</v>
        <stp/>
        <stp>##V3_BDPV12</stp>
        <stp>912834PZ Govt</stp>
        <stp>COUPON_FREQUENCY_DESCRIPTION</stp>
        <stp>[STRIPS.xlsx]Sheet1!R126C10</stp>
        <tr r="J126" s="1"/>
      </tp>
      <tp t="s">
        <v>#N/A Field Not Applicable</v>
        <stp/>
        <stp>##V3_BDPV12</stp>
        <stp>912834TZ Govt</stp>
        <stp>COUPON_FREQUENCY_DESCRIPTION</stp>
        <stp>[STRIPS.xlsx]Sheet1!R139C10</stp>
        <tr r="J139" s="1"/>
      </tp>
      <tp t="s">
        <v>#N/A Field Not Applicable</v>
        <stp/>
        <stp>##V3_BDPV12</stp>
        <stp>912833YZ Govt</stp>
        <stp>COUPON_FREQUENCY_DESCRIPTION</stp>
        <stp>[STRIPS.xlsx]Sheet1!R695C10</stp>
        <tr r="J695" s="1"/>
      </tp>
      <tp t="s">
        <v>#N/A Field Not Applicable</v>
        <stp/>
        <stp>##V3_BDPV12</stp>
        <stp>9128335Z Govt</stp>
        <stp>COUPON_FREQUENCY_DESCRIPTION</stp>
        <stp>[STRIPS.xlsx]Sheet1!R650C10</stp>
        <tr r="J650" s="1"/>
      </tp>
      <tp t="s">
        <v>#N/A Field Not Applicable</v>
        <stp/>
        <stp>##V3_BDPV12</stp>
        <stp>912833MZ Govt</stp>
        <stp>COUPON_FREQUENCY_DESCRIPTION</stp>
        <stp>[STRIPS.xlsx]Sheet1!R628C10</stp>
        <tr r="J628" s="1"/>
      </tp>
      <tp t="s">
        <v>#N/A Field Not Applicable</v>
        <stp/>
        <stp>##V3_BDPV12</stp>
        <stp>9128333Z Govt</stp>
        <stp>COUPON_FREQUENCY_DESCRIPTION</stp>
        <stp>[STRIPS.xlsx]Sheet1!R602C10</stp>
        <tr r="J602" s="1"/>
      </tp>
      <tp t="s">
        <v>ACT/ACT</v>
        <stp/>
        <stp>##V3_BDPV12</stp>
        <stp>912834BQ Govt</stp>
        <stp>DAY_CNT_DES</stp>
        <stp>[STRIPS.xlsx]Sheet1!R459C17</stp>
        <tr r="Q459" s="1"/>
      </tp>
      <tp t="s">
        <v>#N/A Field Not Applicable</v>
        <stp/>
        <stp>##V3_BDPV12</stp>
        <stp>912833JZ Govt</stp>
        <stp>COUPON_FREQUENCY_DESCRIPTION</stp>
        <stp>[STRIPS.xlsx]Sheet1!R741C10</stp>
        <tr r="J741" s="1"/>
      </tp>
      <tp t="s">
        <v>#N/A Field Not Applicable</v>
        <stp/>
        <stp>##V3_BDPV12</stp>
        <stp>912834VZ Govt</stp>
        <stp>COUPON_FREQUENCY_DESCRIPTION</stp>
        <stp>[STRIPS.xlsx]Sheet1!R766C10</stp>
        <tr r="J766" s="1"/>
      </tp>
      <tp t="s">
        <v>#N/A Field Not Applicable</v>
        <stp/>
        <stp>##V3_BDPV12</stp>
        <stp>9128336Z Govt</stp>
        <stp>COUPON_FREQUENCY_DESCRIPTION</stp>
        <stp>[STRIPS.xlsx]Sheet1!R430C10</stp>
        <tr r="J430" s="1"/>
      </tp>
      <tp t="s">
        <v>#N/A Field Not Applicable</v>
        <stp/>
        <stp>##V3_BDPV12</stp>
        <stp>912834DZ Govt</stp>
        <stp>COUPON_FREQUENCY_DESCRIPTION</stp>
        <stp>[STRIPS.xlsx]Sheet1!R460C10</stp>
        <tr r="J460" s="1"/>
      </tp>
      <tp t="s">
        <v>ACT/ACT</v>
        <stp/>
        <stp>##V3_BDPV12</stp>
        <stp>912834BR Govt</stp>
        <stp>DAY_CNT_DES</stp>
        <stp>[STRIPS.xlsx]Sheet1!R531C17</stp>
        <tr r="Q531" s="1"/>
      </tp>
      <tp t="s">
        <v>#N/A Field Not Applicable</v>
        <stp/>
        <stp>##V3_BDPV12</stp>
        <stp>912833BZ Govt</stp>
        <stp>COUPON_FREQUENCY_DESCRIPTION</stp>
        <stp>[STRIPS.xlsx]Sheet1!R562C10</stp>
        <tr r="J562" s="1"/>
      </tp>
      <tp t="s">
        <v>#N/A Field Not Applicable</v>
        <stp/>
        <stp>##V3_BDPV12</stp>
        <stp>912833ZZ Govt</stp>
        <stp>COUPON_FREQUENCY_DESCRIPTION</stp>
        <stp>[STRIPS.xlsx]Sheet1!R528C10</stp>
        <tr r="J528" s="1"/>
      </tp>
      <tp t="s">
        <v>#N/A Field Not Applicable</v>
        <stp/>
        <stp>##V3_BDPV12</stp>
        <stp>912833FZ Govt</stp>
        <stp>COUPON_FREQUENCY_DESCRIPTION</stp>
        <stp>[STRIPS.xlsx]Sheet1!R511C10</stp>
        <tr r="J511" s="1"/>
      </tp>
      <tp t="s">
        <v>ACT/ACT</v>
        <stp/>
        <stp>##V3_BDPV12</stp>
        <stp>912833BX Govt</stp>
        <stp>DAY_CNT_DES</stp>
        <stp>[STRIPS.xlsx]Sheet1!R361C17</stp>
        <tr r="Q361" s="1"/>
      </tp>
      <tp t="s">
        <v>ACT/ACT</v>
        <stp/>
        <stp>##V3_BDPV12</stp>
        <stp>912833BY Govt</stp>
        <stp>DAY_CNT_DES</stp>
        <stp>[STRIPS.xlsx]Sheet1!R501C17</stp>
        <tr r="Q501" s="1"/>
      </tp>
      <tp t="s">
        <v>ACT/ACT</v>
        <stp/>
        <stp>##V3_BDPV12</stp>
        <stp>912833BZ Govt</stp>
        <stp>DAY_CNT_DES</stp>
        <stp>[STRIPS.xlsx]Sheet1!R562C17</stp>
        <tr r="Q562" s="1"/>
      </tp>
      <tp t="s">
        <v>ACT/ACT</v>
        <stp/>
        <stp>##V3_BDPV12</stp>
        <stp>912834BE Govt</stp>
        <stp>DAY_CNT_DES</stp>
        <stp>[STRIPS.xlsx]Sheet1!R530C17</stp>
        <tr r="Q530" s="1"/>
      </tp>
      <tp t="s">
        <v>ACT/ACT</v>
        <stp/>
        <stp>##V3_BDPV12</stp>
        <stp>912834BB Govt</stp>
        <stp>DAY_CNT_DES</stp>
        <stp>[STRIPS.xlsx]Sheet1!R349C17</stp>
        <tr r="Q349" s="1"/>
      </tp>
      <tp t="s">
        <v>ACT/ACT</v>
        <stp/>
        <stp>##V3_BDPV12</stp>
        <stp>912834BD Govt</stp>
        <stp>DAY_CNT_DES</stp>
        <stp>[STRIPS.xlsx]Sheet1!R643C17</stp>
        <tr r="Q643" s="1"/>
      </tp>
      <tp t="s">
        <v>ACT/ACT</v>
        <stp/>
        <stp>##V3_BDPV12</stp>
        <stp>912834BG Govt</stp>
        <stp>DAY_CNT_DES</stp>
        <stp>[STRIPS.xlsx]Sheet1!R592C17</stp>
        <tr r="Q592" s="1"/>
      </tp>
      <tp t="s">
        <v>ACT/ACT</v>
        <stp/>
        <stp>##V3_BDPV12</stp>
        <stp>912834BA Govt</stp>
        <stp>DAY_CNT_DES</stp>
        <stp>[STRIPS.xlsx]Sheet1!R529C17</stp>
        <tr r="Q529" s="1"/>
      </tp>
      <tp t="s">
        <v>ACT/ACT</v>
        <stp/>
        <stp>##V3_BDPV12</stp>
        <stp>912834BF Govt</stp>
        <stp>DAY_CNT_DES</stp>
        <stp>[STRIPS.xlsx]Sheet1!R350C17</stp>
        <tr r="Q350" s="1"/>
      </tp>
      <tp t="s">
        <v>ACT/ACT</v>
        <stp/>
        <stp>##V3_BDPV12</stp>
        <stp>912834BC Govt</stp>
        <stp>DAY_CNT_DES</stp>
        <stp>[STRIPS.xlsx]Sheet1!R458C17</stp>
        <tr r="Q458" s="1"/>
      </tp>
      <tp t="s">
        <v>ACT/ACT</v>
        <stp/>
        <stp>##V3_BDPV12</stp>
        <stp>912834BK Govt</stp>
        <stp>DAY_CNT_DES</stp>
        <stp>[STRIPS.xlsx]Sheet1!R308C17</stp>
        <tr r="Q308" s="1"/>
      </tp>
      <tp t="s">
        <v>ACT/ACT</v>
        <stp/>
        <stp>##V3_BDPV12</stp>
        <stp>912834BJ Govt</stp>
        <stp>DAY_CNT_DES</stp>
        <stp>[STRIPS.xlsx]Sheet1!R352C17</stp>
        <tr r="Q352" s="1"/>
      </tp>
      <tp t="s">
        <v>ACT/ACT</v>
        <stp/>
        <stp>##V3_BDPV12</stp>
        <stp>912834BH Govt</stp>
        <stp>DAY_CNT_DES</stp>
        <stp>[STRIPS.xlsx]Sheet1!R351C17</stp>
        <tr r="Q351" s="1"/>
      </tp>
      <tp t="s">
        <v>ACT/ACT</v>
        <stp/>
        <stp>##V3_BDPV12</stp>
        <stp>912834BN Govt</stp>
        <stp>DAY_CNT_DES</stp>
        <stp>[STRIPS.xlsx]Sheet1!R263C17</stp>
        <tr r="Q263" s="1"/>
      </tp>
      <tp t="s">
        <v>ACT/ACT</v>
        <stp/>
        <stp>##V3_BDPV12</stp>
        <stp>912834BM Govt</stp>
        <stp>DAY_CNT_DES</stp>
        <stp>[STRIPS.xlsx]Sheet1!R353C17</stp>
        <tr r="Q353" s="1"/>
      </tp>
      <tp t="s">
        <v>ACT/ACT</v>
        <stp/>
        <stp>##V3_BDPV12</stp>
        <stp>912834BL Govt</stp>
        <stp>DAY_CNT_DES</stp>
        <stp>[STRIPS.xlsx]Sheet1!R262C17</stp>
        <tr r="Q262" s="1"/>
      </tp>
      <tp t="s">
        <v>11/16/2020</v>
        <stp/>
        <stp>##V3_BDPV12</stp>
        <stp>912834WJ Govt</stp>
        <stp>ISSUE_DT</stp>
        <stp>[STRIPS.xlsx]Sheet1!R89C15</stp>
        <tr r="O89" s="1"/>
      </tp>
      <tp t="s">
        <v>8/17/2020</v>
        <stp/>
        <stp>##V3_BDPV12</stp>
        <stp>912834WC Govt</stp>
        <stp>ISSUE_DT</stp>
        <stp>[STRIPS.xlsx]Sheet1!R78C15</stp>
        <tr r="O78" s="1"/>
      </tp>
      <tp t="s">
        <v>#N/A Field Not Applicable</v>
        <stp/>
        <stp>##V3_BDPV12</stp>
        <stp>912833XP Govt</stp>
        <stp>IDX_RATIO</stp>
        <stp>[STRIPS.xlsx]Sheet1!R44C20</stp>
        <tr r="T44" s="1"/>
      </tp>
      <tp t="s">
        <v>#N/A Field Not Applicable</v>
        <stp/>
        <stp>##V3_BDPV12</stp>
        <stp>912834JP Govt</stp>
        <stp>IDX_RATIO</stp>
        <stp>[STRIPS.xlsx]Sheet1!R34C20</stp>
        <tr r="T34" s="1"/>
      </tp>
      <tp t="s">
        <v>#N/A Field Not Applicable</v>
        <stp/>
        <stp>##V3_BDPV12</stp>
        <stp>9128337P Govt</stp>
        <stp>IDX_RATIO</stp>
        <stp>[STRIPS.xlsx]Sheet1!R25C20</stp>
        <tr r="T25" s="1"/>
      </tp>
      <tp t="s">
        <v>#N/A Field Not Applicable</v>
        <stp/>
        <stp>##V3_BDPV12</stp>
        <stp>912834EP Govt</stp>
        <stp>IDX_RATIO</stp>
        <stp>[STRIPS.xlsx]Sheet1!R77C20</stp>
        <tr r="T77" s="1"/>
      </tp>
      <tp t="s">
        <v>#N/A Field Not Applicable</v>
        <stp/>
        <stp>##V3_BDPV12</stp>
        <stp>912833LP Govt</stp>
        <stp>IDX_RATIO</stp>
        <stp>[STRIPS.xlsx]Sheet1!R12C20</stp>
        <tr r="T12" s="1"/>
      </tp>
      <tp t="s">
        <v>2/16/2021</v>
        <stp/>
        <stp>##V3_BDPV12</stp>
        <stp>912834WR Govt</stp>
        <stp>ISSUE_DT</stp>
        <stp>[STRIPS.xlsx]Sheet1!R54C15</stp>
        <tr r="O54" s="1"/>
      </tp>
      <tp t="s">
        <v>11/16/1998</v>
        <stp/>
        <stp>##V3_BDPV12</stp>
        <stp>912833WR Govt</stp>
        <stp>ISSUE_DT</stp>
        <stp>[STRIPS.xlsx]Sheet1!R52C15</stp>
        <tr r="O52" s="1"/>
      </tp>
      <tp t="s">
        <v>11/16/1998</v>
        <stp/>
        <stp>##V3_BDPV12</stp>
        <stp>912833WQ Govt</stp>
        <stp>ISSUE_DT</stp>
        <stp>[STRIPS.xlsx]Sheet1!R24C15</stp>
        <tr r="O24" s="1"/>
      </tp>
      <tp t="s">
        <v>11/30/2006</v>
        <stp/>
        <stp>##V3_BDPV12</stp>
        <stp>9128333P Govt</stp>
        <stp>MATURITY</stp>
        <stp>[STRIPS.xlsx]Sheet1!R704C5</stp>
        <tr r="E704" s="1"/>
      </tp>
      <tp t="s">
        <v>S</v>
        <stp/>
        <stp>##V3_BDPV12</stp>
        <stp>912833LM Govt</stp>
        <stp>TICKER</stp>
        <stp>[STRIPS.xlsx]Sheet1!R17C2</stp>
        <tr r="B17" s="1"/>
      </tp>
      <tp t="s">
        <v>S</v>
        <stp/>
        <stp>##V3_BDPV12</stp>
        <stp>912833LK Govt</stp>
        <stp>TICKER</stp>
        <stp>[STRIPS.xlsx]Sheet1!R21C2</stp>
        <tr r="B21" s="1"/>
      </tp>
      <tp t="s">
        <v>S</v>
        <stp/>
        <stp>##V3_BDPV12</stp>
        <stp>912833LL Govt</stp>
        <stp>TICKER</stp>
        <stp>[STRIPS.xlsx]Sheet1!R36C2</stp>
        <tr r="B36" s="1"/>
      </tp>
      <tp t="s">
        <v>USD</v>
        <stp/>
        <stp>##V3_BDPV12</stp>
        <stp>912833LR Govt</stp>
        <stp>CRNCY</stp>
        <stp>[STRIPS.xlsx]Sheet1!R19C7</stp>
        <tr r="G19" s="1"/>
      </tp>
      <tp t="s">
        <v>1/31/2010</v>
        <stp/>
        <stp>##V3_BDPV12</stp>
        <stp>9128336S Govt</stp>
        <stp>MATURITY</stp>
        <stp>[STRIPS.xlsx]Sheet1!R751C5</stp>
        <tr r="E751" s="1"/>
      </tp>
      <tp t="s">
        <v>4/30/2009</v>
        <stp/>
        <stp>##V3_BDPV12</stp>
        <stp>9128335U Govt</stp>
        <stp>MATURITY</stp>
        <stp>[STRIPS.xlsx]Sheet1!R712C5</stp>
        <tr r="E712" s="1"/>
      </tp>
      <tp t="s">
        <v>USD</v>
        <stp/>
        <stp>##V3_BDPV12</stp>
        <stp>912833LV Govt</stp>
        <stp>CRNCY</stp>
        <stp>[STRIPS.xlsx]Sheet1!R39C7</stp>
        <tr r="G39" s="1"/>
      </tp>
      <tp t="s">
        <v>3/15/2010</v>
        <stp/>
        <stp>##V3_BDPV12</stp>
        <stp>9128333V Govt</stp>
        <stp>MATURITY</stp>
        <stp>[STRIPS.xlsx]Sheet1!R484C5</stp>
        <tr r="E484" s="1"/>
      </tp>
      <tp t="s">
        <v>5/15/2034</v>
        <stp/>
        <stp>##V3_BDPV12</stp>
        <stp>9128337V Govt</stp>
        <stp>MATURITY</stp>
        <stp>[STRIPS.xlsx]Sheet1!R100C5</stp>
        <tr r="E100" s="1"/>
      </tp>
      <tp t="s">
        <v>8/31/2010</v>
        <stp/>
        <stp>##V3_BDPV12</stp>
        <stp>9128335H Govt</stp>
        <stp>MATURITY</stp>
        <stp>[STRIPS.xlsx]Sheet1!R722C5</stp>
        <tr r="E722" s="1"/>
      </tp>
      <tp t="s">
        <v>2/28/2011</v>
        <stp/>
        <stp>##V3_BDPV12</stp>
        <stp>9128335J Govt</stp>
        <stp>MATURITY</stp>
        <stp>[STRIPS.xlsx]Sheet1!R492C5</stp>
        <tr r="E492" s="1"/>
      </tp>
      <tp t="s">
        <v>4/30/2012</v>
        <stp/>
        <stp>##V3_BDPV12</stp>
        <stp>9128337J Govt</stp>
        <stp>MATURITY</stp>
        <stp>[STRIPS.xlsx]Sheet1!R730C5</stp>
        <tr r="E730" s="1"/>
      </tp>
      <tp t="s">
        <v>6/30/2007</v>
        <stp/>
        <stp>##V3_BDPV12</stp>
        <stp>9128334B Govt</stp>
        <stp>MATURITY</stp>
        <stp>[STRIPS.xlsx]Sheet1!R603C5</stp>
        <tr r="E603" s="1"/>
      </tp>
      <tp t="s">
        <v>ACT/ACT</v>
        <stp/>
        <stp>##V3_BDPV12</stp>
        <stp>912833B4 Govt</stp>
        <stp>DAY_CNT_DES</stp>
        <stp>[STRIPS.xlsx]Sheet1!R654C17</stp>
        <tr r="Q654" s="1"/>
      </tp>
      <tp t="s">
        <v>ACT/ACT</v>
        <stp/>
        <stp>##V3_BDPV12</stp>
        <stp>912833B6 Govt</stp>
        <stp>DAY_CNT_DES</stp>
        <stp>[STRIPS.xlsx]Sheet1!R500C17</stp>
        <tr r="Q500" s="1"/>
      </tp>
      <tp t="s">
        <v>ACT/ACT</v>
        <stp/>
        <stp>##V3_BDPV12</stp>
        <stp>912833B7 Govt</stp>
        <stp>DAY_CNT_DES</stp>
        <stp>[STRIPS.xlsx]Sheet1!R433C17</stp>
        <tr r="Q433" s="1"/>
      </tp>
      <tp t="s">
        <v>ACT/ACT</v>
        <stp/>
        <stp>##V3_BDPV12</stp>
        <stp>912833B3 Govt</stp>
        <stp>DAY_CNT_DES</stp>
        <stp>[STRIPS.xlsx]Sheet1!R732C17</stp>
        <tr r="Q732" s="1"/>
      </tp>
      <tp t="s">
        <v>ACT/ACT</v>
        <stp/>
        <stp>##V3_BDPV12</stp>
        <stp>912833B5 Govt</stp>
        <stp>DAY_CNT_DES</stp>
        <stp>[STRIPS.xlsx]Sheet1!R331C17</stp>
        <tr r="Q331" s="1"/>
      </tp>
      <tp t="s">
        <v>ACT/ACT</v>
        <stp/>
        <stp>##V3_BDPV12</stp>
        <stp>912833B2 Govt</stp>
        <stp>DAY_CNT_DES</stp>
        <stp>[STRIPS.xlsx]Sheet1!R561C17</stp>
        <tr r="Q561" s="1"/>
      </tp>
      <tp t="s">
        <v>ACT/ACT</v>
        <stp/>
        <stp>##V3_BDPV12</stp>
        <stp>912833B8 Govt</stp>
        <stp>DAY_CNT_DES</stp>
        <stp>[STRIPS.xlsx]Sheet1!R293C17</stp>
        <tr r="Q293" s="1"/>
      </tp>
      <tp t="s">
        <v>ACT/ACT</v>
        <stp/>
        <stp>##V3_BDPV12</stp>
        <stp>912833B9 Govt</stp>
        <stp>DAY_CNT_DES</stp>
        <stp>[STRIPS.xlsx]Sheet1!R434C17</stp>
        <tr r="Q434" s="1"/>
      </tp>
      <tp t="s">
        <v>#N/A Field Not Applicable</v>
        <stp/>
        <stp>##V3_BDPV12</stp>
        <stp>912834JX Govt</stp>
        <stp>FIRST_CPN_DT</stp>
        <stp>[STRIPS.xlsx]Sheet1!R221C9</stp>
        <tr r="I221" s="1"/>
      </tp>
      <tp t="s">
        <v>#N/A Field Not Applicable</v>
        <stp/>
        <stp>##V3_BDPV12</stp>
        <stp>912833JZ Govt</stp>
        <stp>FIRST_CPN_DT</stp>
        <stp>[STRIPS.xlsx]Sheet1!R741C9</stp>
        <tr r="I741" s="1"/>
      </tp>
      <tp t="s">
        <v>#N/A Field Not Applicable</v>
        <stp/>
        <stp>##V3_BDPV12</stp>
        <stp>912834NZ Govt</stp>
        <stp>FIRST_CPN_DT</stp>
        <stp>[STRIPS.xlsx]Sheet1!R275C9</stp>
        <tr r="I275" s="1"/>
      </tp>
      <tp t="s">
        <v>#N/A Field Not Applicable</v>
        <stp/>
        <stp>##V3_BDPV12</stp>
        <stp>912833CQ Govt</stp>
        <stp>FIRST_CPN_DT</stp>
        <stp>[STRIPS.xlsx]Sheet1!R438C9</stp>
        <tr r="I438" s="1"/>
      </tp>
      <tp t="s">
        <v>#N/A Field Not Applicable</v>
        <stp/>
        <stp>##V3_BDPV12</stp>
        <stp>912834BQ Govt</stp>
        <stp>FIRST_CPN_DT</stp>
        <stp>[STRIPS.xlsx]Sheet1!R459C9</stp>
        <tr r="I459" s="1"/>
      </tp>
      <tp t="s">
        <v>#N/A Field Not Applicable</v>
        <stp/>
        <stp>##V3_BDPV12</stp>
        <stp>912833MQ Govt</stp>
        <stp>FIRST_CPN_DT</stp>
        <stp>[STRIPS.xlsx]Sheet1!R236C9</stp>
        <tr r="I236" s="1"/>
      </tp>
      <tp t="s">
        <v>#N/A Field Not Applicable</v>
        <stp/>
        <stp>##V3_BDPV12</stp>
        <stp>912834BP Govt</stp>
        <stp>FIRST_CPN_DT</stp>
        <stp>[STRIPS.xlsx]Sheet1!R389C9</stp>
        <tr r="I389" s="1"/>
      </tp>
      <tp t="s">
        <v>#N/A Field Not Applicable</v>
        <stp/>
        <stp>##V3_BDPV12</stp>
        <stp>912834MS Govt</stp>
        <stp>FIRST_CPN_DT</stp>
        <stp>[STRIPS.xlsx]Sheet1!R406C9</stp>
        <tr r="I406" s="1"/>
      </tp>
      <tp t="s">
        <v>#N/A Field Not Applicable</v>
        <stp/>
        <stp>##V3_BDPV12</stp>
        <stp>912833CS Govt</stp>
        <stp>FIRST_CPN_DT</stp>
        <stp>[STRIPS.xlsx]Sheet1!R298C9</stp>
        <tr r="I298" s="1"/>
      </tp>
      <tp t="s">
        <v>#N/A Field Not Applicable</v>
        <stp/>
        <stp>##V3_BDPV12</stp>
        <stp>912834KR Govt</stp>
        <stp>FIRST_CPN_DT</stp>
        <stp>[STRIPS.xlsx]Sheet1!R400C9</stp>
        <tr r="I400" s="1"/>
      </tp>
      <tp t="s">
        <v>#N/A Field Not Applicable</v>
        <stp/>
        <stp>##V3_BDPV12</stp>
        <stp>912834KW Govt</stp>
        <stp>FIRST_CPN_DT</stp>
        <stp>[STRIPS.xlsx]Sheet1!R470C9</stp>
        <tr r="I470" s="1"/>
      </tp>
      <tp t="s">
        <v>#N/A Field Not Applicable</v>
        <stp/>
        <stp>##V3_BDPV12</stp>
        <stp>912833CV Govt</stp>
        <stp>FIRST_CPN_DT</stp>
        <stp>[STRIPS.xlsx]Sheet1!R658C9</stp>
        <tr r="I658" s="1"/>
      </tp>
      <tp t="s">
        <v>#N/A Field Not Applicable</v>
        <stp/>
        <stp>##V3_BDPV12</stp>
        <stp>912833MV Govt</stp>
        <stp>FIRST_CPN_DT</stp>
        <stp>[STRIPS.xlsx]Sheet1!R626C9</stp>
        <tr r="I626" s="1"/>
      </tp>
      <tp t="s">
        <v>#N/A Field Not Applicable</v>
        <stp/>
        <stp>##V3_BDPV12</stp>
        <stp>912834NV Govt</stp>
        <stp>FIRST_CPN_DT</stp>
        <stp>[STRIPS.xlsx]Sheet1!R115C9</stp>
        <tr r="I115" s="1"/>
      </tp>
      <tp t="s">
        <v>#N/A Field Not Applicable</v>
        <stp/>
        <stp>##V3_BDPV12</stp>
        <stp>912834MH Govt</stp>
        <stp>FIRST_CPN_DT</stp>
        <stp>[STRIPS.xlsx]Sheet1!R326C9</stp>
        <tr r="I326" s="1"/>
      </tp>
      <tp t="s">
        <v>#N/A Field Not Applicable</v>
        <stp/>
        <stp>##V3_BDPV12</stp>
        <stp>912833MH Govt</stp>
        <stp>FIRST_CPN_DT</stp>
        <stp>[STRIPS.xlsx]Sheet1!R306C9</stp>
        <tr r="I306" s="1"/>
      </tp>
      <tp t="s">
        <v>#N/A Field Not Applicable</v>
        <stp/>
        <stp>##V3_BDPV12</stp>
        <stp>912833NL Govt</stp>
        <stp>FIRST_CPN_DT</stp>
        <stp>[STRIPS.xlsx]Sheet1!R335C9</stp>
        <tr r="I335" s="1"/>
      </tp>
    </main>
    <main first="bloomberg.rtd">
      <tp t="s">
        <v>#N/A Field Not Applicable</v>
        <stp/>
        <stp>##V3_BDPV12</stp>
        <stp>912834BA Govt</stp>
        <stp>FIRST_CPN_DT</stp>
        <stp>[STRIPS.xlsx]Sheet1!R529C9</stp>
        <tr r="I529" s="1"/>
      </tp>
      <tp t="s">
        <v>#N/A Field Not Applicable</v>
        <stp/>
        <stp>##V3_BDPV12</stp>
        <stp>912834KB Govt</stp>
        <stp>FIRST_CPN_DT</stp>
        <stp>[STRIPS.xlsx]Sheet1!R110C9</stp>
        <tr r="I110" s="1"/>
      </tp>
      <tp t="s">
        <v>#N/A Field Not Applicable</v>
        <stp/>
        <stp>##V3_BDPV12</stp>
        <stp>912834BB Govt</stp>
        <stp>FIRST_CPN_DT</stp>
        <stp>[STRIPS.xlsx]Sheet1!R349C9</stp>
        <tr r="I349" s="1"/>
      </tp>
      <tp t="s">
        <v>#N/A Field Not Applicable</v>
        <stp/>
        <stp>##V3_BDPV12</stp>
        <stp>912833KE Govt</stp>
        <stp>FIRST_CPN_DT</stp>
        <stp>[STRIPS.xlsx]Sheet1!R670C9</stp>
        <tr r="I670" s="1"/>
      </tp>
      <tp t="s">
        <v>#N/A Field Not Applicable</v>
        <stp/>
        <stp>##V3_BDPV12</stp>
        <stp>912834ND Govt</stp>
        <stp>FIRST_CPN_DT</stp>
        <stp>[STRIPS.xlsx]Sheet1!R545C9</stp>
        <tr r="I545" s="1"/>
      </tp>
      <tp t="s">
        <v>#N/A Field Not Applicable</v>
        <stp/>
        <stp>##V3_BDPV12</stp>
        <stp>912833KD Govt</stp>
        <stp>FIRST_CPN_DT</stp>
        <stp>[STRIPS.xlsx]Sheet1!R300C9</stp>
        <tr r="I300" s="1"/>
      </tp>
      <tp t="s">
        <v>USD</v>
        <stp/>
        <stp>##V3_BDPV12</stp>
        <stp>912834AJ Govt</stp>
        <stp>CRNCY</stp>
        <stp>[STRIPS.xlsx]Sheet1!R591C7</stp>
        <tr r="G591" s="1"/>
      </tp>
      <tp t="s">
        <v>USD</v>
        <stp/>
        <stp>##V3_BDPV12</stp>
        <stp>9128335L Govt</stp>
        <stp>CRNCY</stp>
        <stp>[STRIPS.xlsx]Sheet1!R287C7</stp>
        <tr r="G287" s="1"/>
      </tp>
      <tp t="s">
        <v>USD</v>
        <stp/>
        <stp>##V3_BDPV12</stp>
        <stp>912834BC Govt</stp>
        <stp>CRNCY</stp>
        <stp>[STRIPS.xlsx]Sheet1!R458C7</stp>
        <tr r="G458" s="1"/>
      </tp>
      <tp t="s">
        <v>USD</v>
        <stp/>
        <stp>##V3_BDPV12</stp>
        <stp>912834BB Govt</stp>
        <stp>CRNCY</stp>
        <stp>[STRIPS.xlsx]Sheet1!R349C7</stp>
        <tr r="G349" s="1"/>
      </tp>
      <tp t="s">
        <v>USD</v>
        <stp/>
        <stp>##V3_BDPV12</stp>
        <stp>9128334K Govt</stp>
        <stp>CRNCY</stp>
        <stp>[STRIPS.xlsx]Sheet1!R490C7</stp>
        <tr r="G490" s="1"/>
      </tp>
      <tp t="s">
        <v>USD</v>
        <stp/>
        <stp>##V3_BDPV12</stp>
        <stp>9128336L Govt</stp>
        <stp>CRNCY</stp>
        <stp>[STRIPS.xlsx]Sheet1!R557C7</stp>
        <tr r="G557" s="1"/>
      </tp>
      <tp t="s">
        <v>USD</v>
        <stp/>
        <stp>##V3_BDPV12</stp>
        <stp>912833RB Govt</stp>
        <stp>CRNCY</stp>
        <stp>[STRIPS.xlsx]Sheet1!R689C7</stp>
        <tr r="G689" s="1"/>
      </tp>
      <tp t="s">
        <v>USD</v>
        <stp/>
        <stp>##V3_BDPV12</stp>
        <stp>912834VB Govt</stp>
        <stp>CRNCY</stp>
        <stp>[STRIPS.xlsx]Sheet1!R159C7</stp>
        <tr r="G159" s="1"/>
      </tp>
      <tp t="s">
        <v>USD</v>
        <stp/>
        <stp>##V3_BDPV12</stp>
        <stp>912834PB Govt</stp>
        <stp>CRNCY</stp>
        <stp>[STRIPS.xlsx]Sheet1!R109C7</stp>
        <tr r="G109" s="1"/>
      </tp>
      <tp t="s">
        <v>USD</v>
        <stp/>
        <stp>##V3_BDPV12</stp>
        <stp>912834PC Govt</stp>
        <stp>CRNCY</stp>
        <stp>[STRIPS.xlsx]Sheet1!R148C7</stp>
        <tr r="G148" s="1"/>
      </tp>
      <tp t="s">
        <v>USD</v>
        <stp/>
        <stp>##V3_BDPV12</stp>
        <stp>912833NB Govt</stp>
        <stp>CRNCY</stp>
        <stp>[STRIPS.xlsx]Sheet1!R629C7</stp>
        <tr r="G629" s="1"/>
      </tp>
      <tp t="s">
        <v>USD</v>
        <stp/>
        <stp>##V3_BDPV12</stp>
        <stp>912833CM Govt</stp>
        <stp>CRNCY</stp>
        <stp>[STRIPS.xlsx]Sheet1!R656C7</stp>
        <tr r="G656" s="1"/>
      </tp>
      <tp t="s">
        <v>#N/A Field Not Applicable</v>
        <stp/>
        <stp>##V3_BDPV12</stp>
        <stp>912834KG Govt</stp>
        <stp>FIRST_CPN_DT</stp>
        <stp>[STRIPS.xlsx]Sheet1!R230C9</stp>
        <tr r="I230" s="1"/>
      </tp>
      <tp t="s">
        <v>#N/A Field Not Applicable</v>
        <stp/>
        <stp>##V3_BDPV12</stp>
        <stp>9128337W Govt</stp>
        <stp>COUPON_FREQUENCY_DESCRIPTION</stp>
        <stp>[STRIPS.xlsx]Sheet1!R79C10</stp>
        <tr r="J79" s="1"/>
      </tp>
      <tp t="s">
        <v>#N/A Field Not Applicable</v>
        <stp/>
        <stp>##V3_BDPV12</stp>
        <stp>9128337U Govt</stp>
        <stp>COUPON_FREQUENCY_DESCRIPTION</stp>
        <stp>[STRIPS.xlsx]Sheet1!R46C10</stp>
        <tr r="J46" s="1"/>
      </tp>
      <tp t="s">
        <v>#N/A Field Not Applicable</v>
        <stp/>
        <stp>##V3_BDPV12</stp>
        <stp>9128337S Govt</stp>
        <stp>COUPON_FREQUENCY_DESCRIPTION</stp>
        <stp>[STRIPS.xlsx]Sheet1!R35C10</stp>
        <tr r="J35" s="1"/>
      </tp>
      <tp t="s">
        <v>USD</v>
        <stp/>
        <stp>##V3_BDPV12</stp>
        <stp>912833LF Govt</stp>
        <stp>CRNCY</stp>
        <stp>[STRIPS.xlsx]Sheet1!R7C7</stp>
        <tr r="G7" s="1"/>
      </tp>
      <tp t="s">
        <v>#N/A Field Not Applicable</v>
        <stp/>
        <stp>##V3_BDPV12</stp>
        <stp>9128337Q Govt</stp>
        <stp>COUPON_FREQUENCY_DESCRIPTION</stp>
        <stp>[STRIPS.xlsx]Sheet1!R29C10</stp>
        <tr r="J29" s="1"/>
      </tp>
      <tp t="s">
        <v>#N/A Field Not Applicable</v>
        <stp/>
        <stp>##V3_BDPV12</stp>
        <stp>9128337P Govt</stp>
        <stp>COUPON_FREQUENCY_DESCRIPTION</stp>
        <stp>[STRIPS.xlsx]Sheet1!R25C10</stp>
        <tr r="J25" s="1"/>
      </tp>
      <tp t="s">
        <v>#N/A Field Not Applicable</v>
        <stp/>
        <stp>##V3_BDPV12</stp>
        <stp>9128337F Govt</stp>
        <stp>COUPON_FREQUENCY_DESCRIPTION</stp>
        <stp>[STRIPS.xlsx]Sheet1!R99C10</stp>
        <tr r="J99" s="1"/>
      </tp>
      <tp t="s">
        <v>#N/A Field Not Applicable</v>
        <stp/>
        <stp>##V3_BDPV12</stp>
        <stp>9128337E Govt</stp>
        <stp>COUPON_FREQUENCY_DESCRIPTION</stp>
        <stp>[STRIPS.xlsx]Sheet1!R23C10</stp>
        <tr r="J23" s="1"/>
      </tp>
      <tp t="s">
        <v>#N/A Field Not Applicable</v>
        <stp/>
        <stp>##V3_BDPV12</stp>
        <stp>9128337N Govt</stp>
        <stp>COUPON_FREQUENCY_DESCRIPTION</stp>
        <stp>[STRIPS.xlsx]Sheet1!R49C10</stp>
        <tr r="J49" s="1"/>
      </tp>
      <tp t="s">
        <v>ACT/ACT</v>
        <stp/>
        <stp>##V3_BDPV12</stp>
        <stp>9128334S Govt</stp>
        <stp>DAY_CNT_DES</stp>
        <stp>[STRIPS.xlsx]Sheet1!R5C17</stp>
        <tr r="Q5" s="1"/>
      </tp>
      <tp t="s">
        <v>ACT/ACT</v>
        <stp/>
        <stp>##V3_BDPV12</stp>
        <stp>912833LF Govt</stp>
        <stp>DAY_CNT_DES</stp>
        <stp>[STRIPS.xlsx]Sheet1!R7C17</stp>
        <tr r="Q7" s="1"/>
      </tp>
      <tp t="s">
        <v>ACT/ACT</v>
        <stp/>
        <stp>##V3_BDPV12</stp>
        <stp>912833LZ Govt</stp>
        <stp>DAY_CNT_DES</stp>
        <stp>[STRIPS.xlsx]Sheet1!R9C17</stp>
        <tr r="Q9" s="1"/>
      </tp>
      <tp t="s">
        <v>ACT/ACT</v>
        <stp/>
        <stp>##V3_BDPV12</stp>
        <stp>912833LW Govt</stp>
        <stp>DAY_CNT_DES</stp>
        <stp>[STRIPS.xlsx]Sheet1!R2C17</stp>
        <tr r="Q2" s="1"/>
      </tp>
      <tp t="s">
        <v>ACT/ACT</v>
        <stp/>
        <stp>##V3_BDPV12</stp>
        <stp>912833PB Govt</stp>
        <stp>DAY_CNT_DES</stp>
        <stp>[STRIPS.xlsx]Sheet1!R3C17</stp>
        <tr r="Q3" s="1"/>
      </tp>
      <tp t="s">
        <v>ACT/ACT</v>
        <stp/>
        <stp>##V3_BDPV12</stp>
        <stp>912833PA Govt</stp>
        <stp>DAY_CNT_DES</stp>
        <stp>[STRIPS.xlsx]Sheet1!R4C17</stp>
        <tr r="Q4" s="1"/>
      </tp>
      <tp t="s">
        <v>ACT/ACT</v>
        <stp/>
        <stp>##V3_BDPV12</stp>
        <stp>912834KP Govt</stp>
        <stp>DAY_CNT_DES</stp>
        <stp>[STRIPS.xlsx]Sheet1!R8C17</stp>
        <tr r="Q8" s="1"/>
      </tp>
      <tp t="s">
        <v>ACT/ACT</v>
        <stp/>
        <stp>##V3_BDPV12</stp>
        <stp>912834WZ Govt</stp>
        <stp>DAY_CNT_DES</stp>
        <stp>[STRIPS.xlsx]Sheet1!R6C17</stp>
        <tr r="Q6" s="1"/>
      </tp>
      <tp t="s">
        <v>#N/A Field Not Applicable</v>
        <stp/>
        <stp>##V3_BDPV12</stp>
        <stp>912834KX Govt</stp>
        <stp>FIRST_CPN_DT</stp>
        <stp>[STRIPS.xlsx]Sheet1!R471C9</stp>
        <tr r="I471" s="1"/>
      </tp>
      <tp t="s">
        <v>#N/A Field Not Applicable</v>
        <stp/>
        <stp>##V3_BDPV12</stp>
        <stp>912833MX Govt</stp>
        <stp>FIRST_CPN_DT</stp>
        <stp>[STRIPS.xlsx]Sheet1!R627C9</stp>
        <tr r="I627" s="1"/>
      </tp>
      <tp t="s">
        <v>#N/A Field Not Applicable</v>
        <stp/>
        <stp>##V3_BDPV12</stp>
        <stp>912834MX Govt</stp>
        <stp>FIRST_CPN_DT</stp>
        <stp>[STRIPS.xlsx]Sheet1!R327C9</stp>
        <tr r="I327" s="1"/>
      </tp>
      <tp t="s">
        <v>#N/A Field Not Applicable</v>
        <stp/>
        <stp>##V3_BDPV12</stp>
        <stp>912834KU Govt</stp>
        <stp>FIRST_CPN_DT</stp>
        <stp>[STRIPS.xlsx]Sheet1!R401C9</stp>
        <tr r="I401" s="1"/>
      </tp>
      <tp t="s">
        <v>#N/A Field Not Applicable</v>
        <stp/>
        <stp>##V3_BDPV12</stp>
        <stp>912833CU Govt</stp>
        <stp>FIRST_CPN_DT</stp>
        <stp>[STRIPS.xlsx]Sheet1!R299C9</stp>
        <tr r="I299" s="1"/>
      </tp>
      <tp t="s">
        <v>#N/A Field Not Applicable</v>
        <stp/>
        <stp>##V3_BDPV12</stp>
        <stp>912834NU Govt</stp>
        <stp>FIRST_CPN_DT</stp>
        <stp>[STRIPS.xlsx]Sheet1!R274C9</stp>
        <tr r="I274" s="1"/>
      </tp>
      <tp t="s">
        <v>#N/A Field Not Applicable</v>
        <stp/>
        <stp>##V3_BDPV12</stp>
        <stp>912833KT Govt</stp>
        <stp>FIRST_CPN_DT</stp>
        <stp>[STRIPS.xlsx]Sheet1!R161C9</stp>
        <tr r="I161" s="1"/>
      </tp>
      <tp t="s">
        <v>#N/A Field Not Applicable</v>
        <stp/>
        <stp>##V3_BDPV12</stp>
        <stp>912834NT Govt</stp>
        <stp>FIRST_CPN_DT</stp>
        <stp>[STRIPS.xlsx]Sheet1!R174C9</stp>
        <tr r="I174" s="1"/>
      </tp>
      <tp t="s">
        <v>#N/A Field Not Applicable</v>
        <stp/>
        <stp>##V3_BDPV12</stp>
        <stp>912833JW Govt</stp>
        <stp>FIRST_CPN_DT</stp>
        <stp>[STRIPS.xlsx]Sheet1!R740C9</stp>
        <tr r="I740" s="1"/>
      </tp>
      <tp t="s">
        <v>#N/A Field Not Applicable</v>
        <stp/>
        <stp>##V3_BDPV12</stp>
        <stp>912834JW Govt</stp>
        <stp>FIRST_CPN_DT</stp>
        <stp>[STRIPS.xlsx]Sheet1!R210C9</stp>
        <tr r="I210" s="1"/>
      </tp>
      <tp t="s">
        <v>#N/A Field Not Applicable</v>
        <stp/>
        <stp>##V3_BDPV12</stp>
        <stp>912834BK Govt</stp>
        <stp>FIRST_CPN_DT</stp>
        <stp>[STRIPS.xlsx]Sheet1!R308C9</stp>
        <tr r="I308" s="1"/>
      </tp>
      <tp t="s">
        <v>#N/A Field Not Applicable</v>
        <stp/>
        <stp>##V3_BDPV12</stp>
        <stp>912833KK Govt</stp>
        <stp>FIRST_CPN_DT</stp>
        <stp>[STRIPS.xlsx]Sheet1!R301C9</stp>
        <tr r="I301" s="1"/>
      </tp>
      <tp t="s">
        <v>#N/A Field Not Applicable</v>
        <stp/>
        <stp>##V3_BDPV12</stp>
        <stp>912833NJ Govt</stp>
        <stp>FIRST_CPN_DT</stp>
        <stp>[STRIPS.xlsx]Sheet1!R334C9</stp>
        <tr r="I334" s="1"/>
      </tp>
      <tp t="s">
        <v>#N/A Field Not Applicable</v>
        <stp/>
        <stp>##V3_BDPV12</stp>
        <stp>912834MN Govt</stp>
        <stp>FIRST_CPN_DT</stp>
        <stp>[STRIPS.xlsx]Sheet1!R417C9</stp>
        <tr r="I417" s="1"/>
      </tp>
      <tp t="s">
        <v>#N/A Field Not Applicable</v>
        <stp/>
        <stp>##V3_BDPV12</stp>
        <stp>912834BC Govt</stp>
        <stp>FIRST_CPN_DT</stp>
        <stp>[STRIPS.xlsx]Sheet1!R458C9</stp>
        <tr r="I458" s="1"/>
      </tp>
      <tp t="s">
        <v>#N/A Field Not Applicable</v>
        <stp/>
        <stp>##V3_BDPV12</stp>
        <stp>912834NB Govt</stp>
        <stp>FIRST_CPN_DT</stp>
        <stp>[STRIPS.xlsx]Sheet1!R544C9</stp>
        <tr r="I544" s="1"/>
      </tp>
      <tp t="s">
        <v>#N/A Field Not Applicable</v>
        <stp/>
        <stp>##V3_BDPV12</stp>
        <stp>912833ME Govt</stp>
        <stp>FIRST_CPN_DT</stp>
        <stp>[STRIPS.xlsx]Sheet1!R567C9</stp>
        <tr r="I567" s="1"/>
      </tp>
      <tp t="s">
        <v>USD</v>
        <stp/>
        <stp>##V3_BDPV12</stp>
        <stp>912833MJ Govt</stp>
        <stp>CRNCY</stp>
        <stp>[STRIPS.xlsx]Sheet1!R370C7</stp>
        <tr r="G370" s="1"/>
      </tp>
      <tp t="s">
        <v>USD</v>
        <stp/>
        <stp>##V3_BDPV12</stp>
        <stp>912833KK Govt</stp>
        <stp>CRNCY</stp>
        <stp>[STRIPS.xlsx]Sheet1!R301C7</stp>
        <tr r="G301" s="1"/>
      </tp>
      <tp t="s">
        <v>USD</v>
        <stp/>
        <stp>##V3_BDPV12</stp>
        <stp>912834NJ Govt</stp>
        <stp>CRNCY</stp>
        <stp>[STRIPS.xlsx]Sheet1!R420C7</stp>
        <tr r="G420" s="1"/>
      </tp>
      <tp t="s">
        <v>USD</v>
        <stp/>
        <stp>##V3_BDPV12</stp>
        <stp>912834AM Govt</stp>
        <stp>CRNCY</stp>
        <stp>[STRIPS.xlsx]Sheet1!R457C7</stp>
        <tr r="G457" s="1"/>
      </tp>
      <tp t="s">
        <v>USD</v>
        <stp/>
        <stp>##V3_BDPV12</stp>
        <stp>912834LH Govt</stp>
        <stp>CRNCY</stp>
        <stp>[STRIPS.xlsx]Sheet1!R322C7</stp>
        <tr r="G322" s="1"/>
      </tp>
      <tp t="s">
        <v>USD</v>
        <stp/>
        <stp>##V3_BDPV12</stp>
        <stp>912834JM Govt</stp>
        <stp>CRNCY</stp>
        <stp>[STRIPS.xlsx]Sheet1!R397C7</stp>
        <tr r="G397" s="1"/>
      </tp>
      <tp t="s">
        <v>USD</v>
        <stp/>
        <stp>##V3_BDPV12</stp>
        <stp>912833NM Govt</stp>
        <stp>CRNCY</stp>
        <stp>[STRIPS.xlsx]Sheet1!R517C7</stp>
        <tr r="G517" s="1"/>
      </tp>
      <tp t="s">
        <v>USD</v>
        <stp/>
        <stp>##V3_BDPV12</stp>
        <stp>912834RN Govt</stp>
        <stp>CRNCY</stp>
        <stp>[STRIPS.xlsx]Sheet1!R194C7</stp>
        <tr r="G194" s="1"/>
      </tp>
      <tp t="s">
        <v>USD</v>
        <stp/>
        <stp>##V3_BDPV12</stp>
        <stp>912833PJ Govt</stp>
        <stp>CRNCY</stp>
        <stp>[STRIPS.xlsx]Sheet1!R680C7</stp>
        <tr r="G680" s="1"/>
      </tp>
      <tp t="s">
        <v>USD</v>
        <stp/>
        <stp>##V3_BDPV12</stp>
        <stp>912834PN Govt</stp>
        <stp>CRNCY</stp>
        <stp>[STRIPS.xlsx]Sheet1!R164C7</stp>
        <tr r="G164" s="1"/>
      </tp>
      <tp t="s">
        <v>USD</v>
        <stp/>
        <stp>##V3_BDPV12</stp>
        <stp>912833MN Govt</stp>
        <stp>CRNCY</stp>
        <stp>[STRIPS.xlsx]Sheet1!R624C7</stp>
        <tr r="G624" s="1"/>
      </tp>
      <tp t="s">
        <v>USD</v>
        <stp/>
        <stp>##V3_BDPV12</stp>
        <stp>912833CL Govt</stp>
        <stp>CRNCY</stp>
        <stp>[STRIPS.xlsx]Sheet1!R616C7</stp>
        <tr r="G616" s="1"/>
      </tp>
      <tp t="s">
        <v>USD</v>
        <stp/>
        <stp>##V3_BDPV12</stp>
        <stp>912833CN Govt</stp>
        <stp>CRNCY</stp>
        <stp>[STRIPS.xlsx]Sheet1!R734C7</stp>
        <tr r="G734" s="1"/>
      </tp>
      <tp t="s">
        <v>USD</v>
        <stp/>
        <stp>##V3_BDPV12</stp>
        <stp>9128334N Govt</stp>
        <stp>CRNCY</stp>
        <stp>[STRIPS.xlsx]Sheet1!R744C7</stp>
        <tr r="G744" s="1"/>
      </tp>
      <tp t="s">
        <v>USD</v>
        <stp/>
        <stp>##V3_BDPV12</stp>
        <stp>9128335H Govt</stp>
        <stp>CRNCY</stp>
        <stp>[STRIPS.xlsx]Sheet1!R722C7</stp>
        <tr r="G722" s="1"/>
      </tp>
      <tp t="s">
        <v>USD</v>
        <stp/>
        <stp>##V3_BDPV12</stp>
        <stp>9128337J Govt</stp>
        <stp>CRNCY</stp>
        <stp>[STRIPS.xlsx]Sheet1!R730C7</stp>
        <tr r="G730" s="1"/>
      </tp>
      <tp t="s">
        <v>#N/A Field Not Applicable</v>
        <stp/>
        <stp>##V3_BDPV12</stp>
        <stp>912833KG Govt</stp>
        <stp>FIRST_CPN_DT</stp>
        <stp>[STRIPS.xlsx]Sheet1!R671C9</stp>
        <tr r="I671" s="1"/>
      </tp>
      <tp t="s">
        <v>#N/A Field Not Applicable</v>
        <stp/>
        <stp>##V3_BDPV12</stp>
        <stp>912834KY Govt</stp>
        <stp>FIRST_CPN_DT</stp>
        <stp>[STRIPS.xlsx]Sheet1!R472C9</stp>
        <tr r="I472" s="1"/>
      </tp>
      <tp t="s">
        <v>#N/A Field Not Applicable</v>
        <stp/>
        <stp>##V3_BDPV12</stp>
        <stp>912833JY Govt</stp>
        <stp>FIRST_CPN_DT</stp>
        <stp>[STRIPS.xlsx]Sheet1!R173C9</stp>
        <tr r="I173" s="1"/>
      </tp>
      <tp t="s">
        <v>#N/A Field Not Applicable</v>
        <stp/>
        <stp>##V3_BDPV12</stp>
        <stp>912834AX Govt</stp>
        <stp>FIRST_CPN_DT</stp>
        <stp>[STRIPS.xlsx]Sheet1!R388C9</stp>
        <tr r="I388" s="1"/>
      </tp>
      <tp t="s">
        <v>#N/A Field Not Applicable</v>
        <stp/>
        <stp>##V3_BDPV12</stp>
        <stp>912833KZ Govt</stp>
        <stp>FIRST_CPN_DT</stp>
        <stp>[STRIPS.xlsx]Sheet1!R152C9</stp>
        <tr r="I152" s="1"/>
      </tp>
      <tp t="s">
        <v>#N/A Field Not Applicable</v>
        <stp/>
        <stp>##V3_BDPV12</stp>
        <stp>912834LZ Govt</stp>
        <stp>FIRST_CPN_DT</stp>
        <stp>[STRIPS.xlsx]Sheet1!R325C9</stp>
        <tr r="I325" s="1"/>
      </tp>
      <tp t="s">
        <v>#N/A Field Not Applicable</v>
        <stp/>
        <stp>##V3_BDPV12</stp>
        <stp>912833NQ Govt</stp>
        <stp>FIRST_CPN_DT</stp>
        <stp>[STRIPS.xlsx]Sheet1!R677C9</stp>
        <tr r="I677" s="1"/>
      </tp>
      <tp t="s">
        <v>#N/A Field Not Applicable</v>
        <stp/>
        <stp>##V3_BDPV12</stp>
        <stp>912834NS Govt</stp>
        <stp>FIRST_CPN_DT</stp>
        <stp>[STRIPS.xlsx]Sheet1!R547C9</stp>
        <tr r="I547" s="1"/>
      </tp>
      <tp t="s">
        <v>#N/A Field Not Applicable</v>
        <stp/>
        <stp>##V3_BDPV12</stp>
        <stp>912833MT Govt</stp>
        <stp>FIRST_CPN_DT</stp>
        <stp>[STRIPS.xlsx]Sheet1!R674C9</stp>
        <tr r="I674" s="1"/>
      </tp>
      <tp t="s">
        <v>#N/A Field Not Applicable</v>
        <stp/>
        <stp>##V3_BDPV12</stp>
        <stp>912834MW Govt</stp>
        <stp>FIRST_CPN_DT</stp>
        <stp>[STRIPS.xlsx]Sheet1!R234C9</stp>
        <tr r="I234" s="1"/>
      </tp>
      <tp t="s">
        <v>#N/A Field Not Applicable</v>
        <stp/>
        <stp>##V3_BDPV12</stp>
        <stp>912833KV Govt</stp>
        <stp>FIRST_CPN_DT</stp>
        <stp>[STRIPS.xlsx]Sheet1!R742C9</stp>
        <tr r="I742" s="1"/>
      </tp>
      <tp t="s">
        <v>#N/A Field Not Applicable</v>
        <stp/>
        <stp>##V3_BDPV12</stp>
        <stp>912833NH Govt</stp>
        <stp>FIRST_CPN_DT</stp>
        <stp>[STRIPS.xlsx]Sheet1!R237C9</stp>
        <tr r="I237" s="1"/>
      </tp>
      <tp t="s">
        <v>#N/A Field Not Applicable</v>
        <stp/>
        <stp>##V3_BDPV12</stp>
        <stp>912834NK Govt</stp>
        <stp>FIRST_CPN_DT</stp>
        <stp>[STRIPS.xlsx]Sheet1!R477C9</stp>
        <tr r="I477" s="1"/>
      </tp>
      <tp t="s">
        <v>#N/A Field Not Applicable</v>
        <stp/>
        <stp>##V3_BDPV12</stp>
        <stp>912833KJ Govt</stp>
        <stp>FIRST_CPN_DT</stp>
        <stp>[STRIPS.xlsx]Sheet1!R512C9</stp>
        <tr r="I512" s="1"/>
      </tp>
      <tp t="s">
        <v>#N/A Field Not Applicable</v>
        <stp/>
        <stp>##V3_BDPV12</stp>
        <stp>912833NM Govt</stp>
        <stp>FIRST_CPN_DT</stp>
        <stp>[STRIPS.xlsx]Sheet1!R517C9</stp>
        <tr r="I517" s="1"/>
      </tp>
      <tp t="s">
        <v>#N/A Field Not Applicable</v>
        <stp/>
        <stp>##V3_BDPV12</stp>
        <stp>912834AL Govt</stp>
        <stp>FIRST_CPN_DT</stp>
        <stp>[STRIPS.xlsx]Sheet1!R258C9</stp>
        <tr r="I258" s="1"/>
      </tp>
      <tp t="s">
        <v>#N/A Field Not Applicable</v>
        <stp/>
        <stp>##V3_BDPV12</stp>
        <stp>912833KL Govt</stp>
        <stp>FIRST_CPN_DT</stp>
        <stp>[STRIPS.xlsx]Sheet1!R302C9</stp>
        <tr r="I302" s="1"/>
      </tp>
      <tp t="s">
        <v>#N/A Field Not Applicable</v>
        <stp/>
        <stp>##V3_BDPV12</stp>
        <stp>912833KN Govt</stp>
        <stp>FIRST_CPN_DT</stp>
        <stp>[STRIPS.xlsx]Sheet1!R672C9</stp>
        <tr r="I672" s="1"/>
      </tp>
      <tp t="s">
        <v>#N/A Field Not Applicable</v>
        <stp/>
        <stp>##V3_BDPV12</stp>
        <stp>912833MN Govt</stp>
        <stp>FIRST_CPN_DT</stp>
        <stp>[STRIPS.xlsx]Sheet1!R624C9</stp>
        <tr r="I624" s="1"/>
      </tp>
      <tp t="s">
        <v>#N/A Field Not Applicable</v>
        <stp/>
        <stp>##V3_BDPV12</stp>
        <stp>912834NC Govt</stp>
        <stp>FIRST_CPN_DT</stp>
        <stp>[STRIPS.xlsx]Sheet1!R407C9</stp>
        <tr r="I407" s="1"/>
      </tp>
      <tp t="s">
        <v>#N/A Field Not Applicable</v>
        <stp/>
        <stp>##V3_BDPV12</stp>
        <stp>912833KC Govt</stp>
        <stp>FIRST_CPN_DT</stp>
        <stp>[STRIPS.xlsx]Sheet1!R442C9</stp>
        <tr r="I442" s="1"/>
      </tp>
      <tp t="s">
        <v>#N/A Field Not Applicable</v>
        <stp/>
        <stp>##V3_BDPV12</stp>
        <stp>912834AE Govt</stp>
        <stp>FIRST_CPN_DT</stp>
        <stp>[STRIPS.xlsx]Sheet1!R118C9</stp>
        <tr r="I118" s="1"/>
      </tp>
      <tp t="s">
        <v>#N/A Field Not Applicable</v>
        <stp/>
        <stp>##V3_BDPV12</stp>
        <stp>912833MD Govt</stp>
        <stp>FIRST_CPN_DT</stp>
        <stp>[STRIPS.xlsx]Sheet1!R304C9</stp>
        <tr r="I304" s="1"/>
      </tp>
      <tp t="s">
        <v>USD</v>
        <stp/>
        <stp>##V3_BDPV12</stp>
        <stp>9128337K Govt</stp>
        <stp>CRNCY</stp>
        <stp>[STRIPS.xlsx]Sheet1!R292C7</stp>
        <tr r="G292" s="1"/>
      </tp>
      <tp t="s">
        <v>USD</v>
        <stp/>
        <stp>##V3_BDPV12</stp>
        <stp>912834RH Govt</stp>
        <stp>CRNCY</stp>
        <stp>[STRIPS.xlsx]Sheet1!R481C7</stp>
        <tr r="G481" s="1"/>
      </tp>
      <tp t="s">
        <v>USD</v>
        <stp/>
        <stp>##V3_BDPV12</stp>
        <stp>912834ML Govt</stp>
        <stp>CRNCY</stp>
        <stp>[STRIPS.xlsx]Sheet1!R475C7</stp>
        <tr r="G475" s="1"/>
      </tp>
      <tp t="s">
        <v>USD</v>
        <stp/>
        <stp>##V3_BDPV12</stp>
        <stp>912833NK Govt</stp>
        <stp>CRNCY</stp>
        <stp>[STRIPS.xlsx]Sheet1!R372C7</stp>
        <tr r="G372" s="1"/>
      </tp>
      <tp t="s">
        <v>USD</v>
        <stp/>
        <stp>##V3_BDPV12</stp>
        <stp>912834LJ Govt</stp>
        <stp>CRNCY</stp>
        <stp>[STRIPS.xlsx]Sheet1!R403C7</stp>
        <tr r="G403" s="1"/>
      </tp>
      <tp t="s">
        <v>USD</v>
        <stp/>
        <stp>##V3_BDPV12</stp>
        <stp>912834MN Govt</stp>
        <stp>CRNCY</stp>
        <stp>[STRIPS.xlsx]Sheet1!R417C7</stp>
        <tr r="G417" s="1"/>
      </tp>
      <tp t="s">
        <v>USD</v>
        <stp/>
        <stp>##V3_BDPV12</stp>
        <stp>912833NL Govt</stp>
        <stp>CRNCY</stp>
        <stp>[STRIPS.xlsx]Sheet1!R335C7</stp>
        <tr r="G335" s="1"/>
      </tp>
      <tp t="s">
        <v>USD</v>
        <stp/>
        <stp>##V3_BDPV12</stp>
        <stp>912834LM Govt</stp>
        <stp>CRNCY</stp>
        <stp>[STRIPS.xlsx]Sheet1!R324C7</stp>
        <tr r="G324" s="1"/>
      </tp>
      <tp t="s">
        <v>USD</v>
        <stp/>
        <stp>##V3_BDPV12</stp>
        <stp>912834JN Govt</stp>
        <stp>CRNCY</stp>
        <stp>[STRIPS.xlsx]Sheet1!R357C7</stp>
        <tr r="G357" s="1"/>
      </tp>
      <tp t="s">
        <v>USD</v>
        <stp/>
        <stp>##V3_BDPV12</stp>
        <stp>912834EK Govt</stp>
        <stp>CRNCY</stp>
        <stp>[STRIPS.xlsx]Sheet1!R392C7</stp>
        <tr r="G392" s="1"/>
      </tp>
      <tp t="s">
        <v>USD</v>
        <stp/>
        <stp>##V3_BDPV12</stp>
        <stp>912834BH Govt</stp>
        <stp>CRNCY</stp>
        <stp>[STRIPS.xlsx]Sheet1!R351C7</stp>
        <tr r="G351" s="1"/>
      </tp>
      <tp t="s">
        <v>USD</v>
        <stp/>
        <stp>##V3_BDPV12</stp>
        <stp>9128336N Govt</stp>
        <stp>CRNCY</stp>
        <stp>[STRIPS.xlsx]Sheet1!R497C7</stp>
        <tr r="G497" s="1"/>
      </tp>
      <tp t="s">
        <v>USD</v>
        <stp/>
        <stp>##V3_BDPV12</stp>
        <stp>9128337H Govt</stp>
        <stp>CRNCY</stp>
        <stp>[STRIPS.xlsx]Sheet1!R431C7</stp>
        <tr r="G431" s="1"/>
      </tp>
      <tp t="s">
        <v>USD</v>
        <stp/>
        <stp>##V3_BDPV12</stp>
        <stp>912834RJ Govt</stp>
        <stp>CRNCY</stp>
        <stp>[STRIPS.xlsx]Sheet1!R203C7</stp>
        <tr r="G203" s="1"/>
      </tp>
      <tp t="s">
        <v>USD</v>
        <stp/>
        <stp>##V3_BDPV12</stp>
        <stp>912834QJ Govt</stp>
        <stp>CRNCY</stp>
        <stp>[STRIPS.xlsx]Sheet1!R213C7</stp>
        <tr r="G213" s="1"/>
      </tp>
      <tp t="s">
        <v>USD</v>
        <stp/>
        <stp>##V3_BDPV12</stp>
        <stp>912833QN Govt</stp>
        <stp>CRNCY</stp>
        <stp>[STRIPS.xlsx]Sheet1!R577C7</stp>
        <tr r="G577" s="1"/>
      </tp>
      <tp t="s">
        <v>USD</v>
        <stp/>
        <stp>##V3_BDPV12</stp>
        <stp>912834MJ Govt</stp>
        <stp>CRNCY</stp>
        <stp>[STRIPS.xlsx]Sheet1!R233C7</stp>
        <tr r="G233" s="1"/>
      </tp>
      <tp t="s">
        <v>USD</v>
        <stp/>
        <stp>##V3_BDPV12</stp>
        <stp>912834TL Govt</stp>
        <stp>CRNCY</stp>
        <stp>[STRIPS.xlsx]Sheet1!R195C7</stp>
        <tr r="G195" s="1"/>
      </tp>
      <tp t="s">
        <v>USD</v>
        <stp/>
        <stp>##V3_BDPV12</stp>
        <stp>912834VA Govt</stp>
        <stp>CRNCY</stp>
        <stp>[STRIPS.xlsx]Sheet1!R178C7</stp>
        <tr r="G178" s="1"/>
      </tp>
      <tp t="s">
        <v>USD</v>
        <stp/>
        <stp>##V3_BDPV12</stp>
        <stp>912833FK Govt</stp>
        <stp>CRNCY</stp>
        <stp>[STRIPS.xlsx]Sheet1!R662C7</stp>
        <tr r="G662" s="1"/>
      </tp>
      <tp t="s">
        <v>USD</v>
        <stp/>
        <stp>##V3_BDPV12</stp>
        <stp>9128336A Govt</stp>
        <stp>CRNCY</stp>
        <stp>[STRIPS.xlsx]Sheet1!R748C7</stp>
        <tr r="G748" s="1"/>
      </tp>
      <tp t="s">
        <v>USD</v>
        <stp/>
        <stp>##V3_BDPV12</stp>
        <stp>9128334S Govt</stp>
        <stp>CRNCY</stp>
        <stp>[STRIPS.xlsx]Sheet1!R5C7</stp>
        <tr r="G5" s="1"/>
      </tp>
      <tp t="s">
        <v>#N/A Field Not Applicable</v>
        <stp/>
        <stp>##V3_BDPV12</stp>
        <stp>912833MG Govt</stp>
        <stp>FIRST_CPN_DT</stp>
        <stp>[STRIPS.xlsx]Sheet1!R514C9</stp>
        <tr r="I514" s="1"/>
      </tp>
      <tp t="s">
        <v>#N/A Field Not Applicable</v>
        <stp/>
        <stp>##V3_BDPV12</stp>
        <stp>912833NF Govt</stp>
        <stp>FIRST_CPN_DT</stp>
        <stp>[STRIPS.xlsx]Sheet1!R447C9</stp>
        <tr r="I447" s="1"/>
      </tp>
      <tp t="s">
        <v>NORMAL</v>
        <stp/>
        <stp>##V3_BDPV12</stp>
        <stp>9128337A Govt</stp>
        <stp>MTY_TYP</stp>
        <stp>[STRIPS.xlsx]Sheet1!R499C6</stp>
        <tr r="F499" s="1"/>
      </tp>
      <tp t="s">
        <v>NORMAL</v>
        <stp/>
        <stp>##V3_BDPV12</stp>
        <stp>9128337M Govt</stp>
        <stp>MTY_TYP</stp>
        <stp>[STRIPS.xlsx]Sheet1!R559C6</stp>
        <tr r="F559" s="1"/>
      </tp>
      <tp t="s">
        <v>NORMAL</v>
        <stp/>
        <stp>##V3_BDPV12</stp>
        <stp>9128336P Govt</stp>
        <stp>MTY_TYP</stp>
        <stp>[STRIPS.xlsx]Sheet1!R729C6</stp>
        <tr r="F729" s="1"/>
      </tp>
      <tp t="s">
        <v>NORMAL</v>
        <stp/>
        <stp>##V3_BDPV12</stp>
        <stp>9128336Y Govt</stp>
        <stp>MTY_TYP</stp>
        <stp>[STRIPS.xlsx]Sheet1!R429C6</stp>
        <tr r="F429" s="1"/>
      </tp>
      <tp t="s">
        <v>NORMAL</v>
        <stp/>
        <stp>##V3_BDPV12</stp>
        <stp>9128336D Govt</stp>
        <stp>MTY_TYP</stp>
        <stp>[STRIPS.xlsx]Sheet1!R749C6</stp>
        <tr r="F749" s="1"/>
      </tp>
      <tp t="s">
        <v>NORMAL</v>
        <stp/>
        <stp>##V3_BDPV12</stp>
        <stp>9128336J Govt</stp>
        <stp>MTY_TYP</stp>
        <stp>[STRIPS.xlsx]Sheet1!R289C6</stp>
        <tr r="F289" s="1"/>
      </tp>
      <tp t="s">
        <v>NORMAL</v>
        <stp/>
        <stp>##V3_BDPV12</stp>
        <stp>9128335S Govt</stp>
        <stp>MTY_TYP</stp>
        <stp>[STRIPS.xlsx]Sheet1!R649C6</stp>
        <tr r="F649" s="1"/>
      </tp>
      <tp t="s">
        <v>NORMAL</v>
        <stp/>
        <stp>##V3_BDPV12</stp>
        <stp>9128334G Govt</stp>
        <stp>MTY_TYP</stp>
        <stp>[STRIPS.xlsx]Sheet1!R709C6</stp>
        <tr r="F709" s="1"/>
      </tp>
      <tp t="s">
        <v>NORMAL</v>
        <stp/>
        <stp>##V3_BDPV12</stp>
        <stp>9128334H Govt</stp>
        <stp>MTY_TYP</stp>
        <stp>[STRIPS.xlsx]Sheet1!R489C6</stp>
        <tr r="F489" s="1"/>
      </tp>
      <tp>
        <v>2.2079999999999878</v>
        <stp/>
        <stp>##V3_BDPV12</stp>
        <stp>912834KP Govt</stp>
        <stp>YLD_YTM_BID</stp>
        <stp>[STRIPS.xlsx]Sheet1!R8C4</stp>
        <tr r="D8" s="1"/>
      </tp>
      <tp t="s">
        <v>NORMAL</v>
        <stp/>
        <stp>##V3_BDPV12</stp>
        <stp>9128333Q Govt</stp>
        <stp>MTY_TYP</stp>
        <stp>[STRIPS.xlsx]Sheet1!R719C6</stp>
        <tr r="F719" s="1"/>
      </tp>
      <tp t="s">
        <v>NORMAL</v>
        <stp/>
        <stp>##V3_BDPV12</stp>
        <stp>9128333M Govt</stp>
        <stp>MTY_TYP</stp>
        <stp>[STRIPS.xlsx]Sheet1!R599C6</stp>
        <tr r="F599" s="1"/>
      </tp>
      <tp t="s">
        <v>NORMAL</v>
        <stp/>
        <stp>##V3_BDPV12</stp>
        <stp>912833GA Govt</stp>
        <stp>MTY_TYP</stp>
        <stp>[STRIPS.xlsx]Sheet1!R439C6</stp>
        <tr r="F439" s="1"/>
      </tp>
      <tp t="s">
        <v>NORMAL</v>
        <stp/>
        <stp>##V3_BDPV12</stp>
        <stp>912833FU Govt</stp>
        <stp>MTY_TYP</stp>
        <stp>[STRIPS.xlsx]Sheet1!R509C6</stp>
        <tr r="F509" s="1"/>
      </tp>
      <tp t="s">
        <v>NORMAL</v>
        <stp/>
        <stp>##V3_BDPV12</stp>
        <stp>912833FW Govt</stp>
        <stp>MTY_TYP</stp>
        <stp>[STRIPS.xlsx]Sheet1!R739C6</stp>
        <tr r="F739" s="1"/>
      </tp>
      <tp t="s">
        <v>NORMAL</v>
        <stp/>
        <stp>##V3_BDPV12</stp>
        <stp>912833FM Govt</stp>
        <stp>MTY_TYP</stp>
        <stp>[STRIPS.xlsx]Sheet1!R619C6</stp>
        <tr r="F619" s="1"/>
      </tp>
      <tp t="s">
        <v>NORMAL</v>
        <stp/>
        <stp>##V3_BDPV12</stp>
        <stp>912833DD Govt</stp>
        <stp>MTY_TYP</stp>
        <stp>[STRIPS.xlsx]Sheet1!R659C6</stp>
        <tr r="F659" s="1"/>
      </tp>
      <tp t="s">
        <v>NORMAL</v>
        <stp/>
        <stp>##V3_BDPV12</stp>
        <stp>912833CU Govt</stp>
        <stp>MTY_TYP</stp>
        <stp>[STRIPS.xlsx]Sheet1!R299C6</stp>
        <tr r="F299" s="1"/>
      </tp>
      <tp t="s">
        <v>NORMAL</v>
        <stp/>
        <stp>##V3_BDPV12</stp>
        <stp>912833A9 Govt</stp>
        <stp>MTY_TYP</stp>
        <stp>[STRIPS.xlsx]Sheet1!R609C6</stp>
        <tr r="F609" s="1"/>
      </tp>
      <tp t="s">
        <v>NORMAL</v>
        <stp/>
        <stp>##V3_BDPV12</stp>
        <stp>912833NB Govt</stp>
        <stp>MTY_TYP</stp>
        <stp>[STRIPS.xlsx]Sheet1!R629C6</stp>
        <tr r="F629" s="1"/>
      </tp>
      <tp t="s">
        <v>NORMAL</v>
        <stp/>
        <stp>##V3_BDPV12</stp>
        <stp>912833MY Govt</stp>
        <stp>MTY_TYP</stp>
        <stp>[STRIPS.xlsx]Sheet1!R569C6</stp>
        <tr r="F569" s="1"/>
      </tp>
      <tp t="s">
        <v>NORMAL</v>
        <stp/>
        <stp>##V3_BDPV12</stp>
        <stp>912833LA Govt</stp>
        <stp>MTY_TYP</stp>
        <stp>[STRIPS.xlsx]Sheet1!R369C6</stp>
        <tr r="F369" s="1"/>
      </tp>
      <tp t="s">
        <v>NORMAL</v>
        <stp/>
        <stp>##V3_BDPV12</stp>
        <stp>912833JX Govt</stp>
        <stp>MTY_TYP</stp>
        <stp>[STRIPS.xlsx]Sheet1!R669C6</stp>
        <tr r="F669" s="1"/>
      </tp>
      <tp t="s">
        <v>NORMAL</v>
        <stp/>
        <stp>##V3_BDPV12</stp>
        <stp>912833RX Govt</stp>
        <stp>MTY_TYP</stp>
        <stp>[STRIPS.xlsx]Sheet1!R449C6</stp>
        <tr r="F449" s="1"/>
      </tp>
      <tp t="s">
        <v>NORMAL</v>
        <stp/>
        <stp>##V3_BDPV12</stp>
        <stp>912833RB Govt</stp>
        <stp>MTY_TYP</stp>
        <stp>[STRIPS.xlsx]Sheet1!R689C6</stp>
        <tr r="F689" s="1"/>
      </tp>
      <tp t="s">
        <v>NORMAL</v>
        <stp/>
        <stp>##V3_BDPV12</stp>
        <stp>912833RN Govt</stp>
        <stp>MTY_TYP</stp>
        <stp>[STRIPS.xlsx]Sheet1!R579C6</stp>
        <tr r="F579" s="1"/>
      </tp>
      <tp t="s">
        <v>NORMAL</v>
        <stp/>
        <stp>##V3_BDPV12</stp>
        <stp>912833QZ Govt</stp>
        <stp>MTY_TYP</stp>
        <stp>[STRIPS.xlsx]Sheet1!R379C6</stp>
        <tr r="F379" s="1"/>
      </tp>
      <tp t="s">
        <v>NORMAL</v>
        <stp/>
        <stp>##V3_BDPV12</stp>
        <stp>912833QK Govt</stp>
        <stp>MTY_TYP</stp>
        <stp>[STRIPS.xlsx]Sheet1!R519C6</stp>
        <tr r="F519" s="1"/>
      </tp>
      <tp t="s">
        <v>NORMAL</v>
        <stp/>
        <stp>##V3_BDPV12</stp>
        <stp>912833PW Govt</stp>
        <stp>MTY_TYP</stp>
        <stp>[STRIPS.xlsx]Sheet1!R239C6</stp>
        <tr r="F239" s="1"/>
      </tp>
      <tp t="s">
        <v>NORMAL</v>
        <stp/>
        <stp>##V3_BDPV12</stp>
        <stp>912833PX Govt</stp>
        <stp>MTY_TYP</stp>
        <stp>[STRIPS.xlsx]Sheet1!R339C6</stp>
        <tr r="F339" s="1"/>
      </tp>
      <tp t="s">
        <v>NORMAL</v>
        <stp/>
        <stp>##V3_BDPV12</stp>
        <stp>912833PG Govt</stp>
        <stp>MTY_TYP</stp>
        <stp>[STRIPS.xlsx]Sheet1!R679C6</stp>
        <tr r="F679" s="1"/>
      </tp>
      <tp t="s">
        <v>NORMAL</v>
        <stp/>
        <stp>##V3_BDPV12</stp>
        <stp>912833ZQ Govt</stp>
        <stp>MTY_TYP</stp>
        <stp>[STRIPS.xlsx]Sheet1!R639C6</stp>
        <tr r="F639" s="1"/>
      </tp>
      <tp t="s">
        <v>NORMAL</v>
        <stp/>
        <stp>##V3_BDPV12</stp>
        <stp>912833ZM Govt</stp>
        <stp>MTY_TYP</stp>
        <stp>[STRIPS.xlsx]Sheet1!R699C6</stp>
        <tr r="F699" s="1"/>
      </tp>
      <tp t="s">
        <v>NORMAL</v>
        <stp/>
        <stp>##V3_BDPV12</stp>
        <stp>912833YT Govt</stp>
        <stp>MTY_TYP</stp>
        <stp>[STRIPS.xlsx]Sheet1!R249C6</stp>
        <tr r="F249" s="1"/>
      </tp>
      <tp t="s">
        <v>#N/A Field Not Applicable</v>
        <stp/>
        <stp>##V3_BDPV12</stp>
        <stp>912833A2 Govt</stp>
        <stp>FIRST_CPN_DT</stp>
        <stp>[STRIPS.xlsx]Sheet1!R608C9</stp>
        <tr r="I608" s="1"/>
      </tp>
      <tp t="s">
        <v>#N/A Field Not Applicable</v>
        <stp/>
        <stp>##V3_BDPV12</stp>
        <stp>9128335B Govt</stp>
        <stp>COUPON_FREQUENCY_DESCRIPTION</stp>
        <stp>[STRIPS.xlsx]Sheet1!R43C10</stp>
        <tr r="J43" s="1"/>
      </tp>
      <tp t="s">
        <v>#N/A Field Not Applicable</v>
        <stp/>
        <stp>##V3_BDPV12</stp>
        <stp>9128335A Govt</stp>
        <stp>COUPON_FREQUENCY_DESCRIPTION</stp>
        <stp>[STRIPS.xlsx]Sheet1!R42C10</stp>
        <tr r="J42" s="1"/>
      </tp>
      <tp t="s">
        <v>#N/A Field Not Applicable</v>
        <stp/>
        <stp>##V3_BDPV12</stp>
        <stp>912833KY Govt</stp>
        <stp>FIRST_CPN_DT</stp>
        <stp>[STRIPS.xlsx]Sheet1!R513C9</stp>
        <tr r="I513" s="1"/>
      </tp>
      <tp t="s">
        <v>#N/A Field Not Applicable</v>
        <stp/>
        <stp>##V3_BDPV12</stp>
        <stp>912834LQ Govt</stp>
        <stp>FIRST_CPN_DT</stp>
        <stp>[STRIPS.xlsx]Sheet1!R404C9</stp>
        <tr r="I404" s="1"/>
      </tp>
      <tp t="s">
        <v>#N/A Field Not Applicable</v>
        <stp/>
        <stp>##V3_BDPV12</stp>
        <stp>912834LP Govt</stp>
        <stp>FIRST_CPN_DT</stp>
        <stp>[STRIPS.xlsx]Sheet1!R474C9</stp>
        <tr r="I474" s="1"/>
      </tp>
      <tp t="s">
        <v>#N/A Field Not Applicable</v>
        <stp/>
        <stp>##V3_BDPV12</stp>
        <stp>912833KP Govt</stp>
        <stp>FIRST_CPN_DT</stp>
        <stp>[STRIPS.xlsx]Sheet1!R623C9</stp>
        <tr r="I623" s="1"/>
      </tp>
      <tp t="s">
        <v>#N/A Field Not Applicable</v>
        <stp/>
        <stp>##V3_BDPV12</stp>
        <stp>912833MP Govt</stp>
        <stp>FIRST_CPN_DT</stp>
        <stp>[STRIPS.xlsx]Sheet1!R235C9</stp>
        <tr r="I235" s="1"/>
      </tp>
      <tp t="s">
        <v>#N/A Field Not Applicable</v>
        <stp/>
        <stp>##V3_BDPV12</stp>
        <stp>912833MS Govt</stp>
        <stp>FIRST_CPN_DT</stp>
        <stp>[STRIPS.xlsx]Sheet1!R625C9</stp>
        <tr r="I625" s="1"/>
      </tp>
      <tp t="s">
        <v>#N/A Field Not Applicable</v>
        <stp/>
        <stp>##V3_BDPV12</stp>
        <stp>912833KR Govt</stp>
        <stp>FIRST_CPN_DT</stp>
        <stp>[STRIPS.xlsx]Sheet1!R443C9</stp>
        <tr r="I443" s="1"/>
      </tp>
      <tp t="s">
        <v>#N/A Field Not Applicable</v>
        <stp/>
        <stp>##V3_BDPV12</stp>
        <stp>912833MU Govt</stp>
        <stp>FIRST_CPN_DT</stp>
        <stp>[STRIPS.xlsx]Sheet1!R515C9</stp>
        <tr r="I515" s="1"/>
      </tp>
      <tp t="s">
        <v>#N/A Field Not Applicable</v>
        <stp/>
        <stp>##V3_BDPV12</stp>
        <stp>912833MW Govt</stp>
        <stp>FIRST_CPN_DT</stp>
        <stp>[STRIPS.xlsx]Sheet1!R675C9</stp>
        <tr r="I675" s="1"/>
      </tp>
      <tp t="s">
        <v>#N/A Field Not Applicable</v>
        <stp/>
        <stp>##V3_BDPV12</stp>
        <stp>912834MK Govt</stp>
        <stp>FIRST_CPN_DT</stp>
        <stp>[STRIPS.xlsx]Sheet1!R405C9</stp>
        <tr r="I405" s="1"/>
      </tp>
      <tp t="s">
        <v>#N/A Field Not Applicable</v>
        <stp/>
        <stp>##V3_BDPV12</stp>
        <stp>912833MK Govt</stp>
        <stp>FIRST_CPN_DT</stp>
        <stp>[STRIPS.xlsx]Sheet1!R445C9</stp>
        <tr r="I445" s="1"/>
      </tp>
      <tp t="s">
        <v>#N/A Field Not Applicable</v>
        <stp/>
        <stp>##V3_BDPV12</stp>
        <stp>912834LM Govt</stp>
        <stp>FIRST_CPN_DT</stp>
        <stp>[STRIPS.xlsx]Sheet1!R324C9</stp>
        <tr r="I324" s="1"/>
      </tp>
      <tp t="s">
        <v>#N/A Field Not Applicable</v>
        <stp/>
        <stp>##V3_BDPV12</stp>
        <stp>912833KM Govt</stp>
        <stp>FIRST_CPN_DT</stp>
        <stp>[STRIPS.xlsx]Sheet1!R303C9</stp>
        <tr r="I303" s="1"/>
      </tp>
      <tp t="s">
        <v>#N/A Field Not Applicable</v>
        <stp/>
        <stp>##V3_BDPV12</stp>
        <stp>912834ML Govt</stp>
        <stp>FIRST_CPN_DT</stp>
        <stp>[STRIPS.xlsx]Sheet1!R475C9</stp>
        <tr r="I475" s="1"/>
      </tp>
      <tp t="s">
        <v>#N/A Field Not Applicable</v>
        <stp/>
        <stp>##V3_BDPV12</stp>
        <stp>912834AN Govt</stp>
        <stp>FIRST_CPN_DT</stp>
        <stp>[STRIPS.xlsx]Sheet1!R259C9</stp>
        <tr r="I259" s="1"/>
      </tp>
      <tp t="s">
        <v>#N/A Field Not Applicable</v>
        <stp/>
        <stp>##V3_BDPV12</stp>
        <stp>912833NA Govt</stp>
        <stp>FIRST_CPN_DT</stp>
        <stp>[STRIPS.xlsx]Sheet1!R446C9</stp>
        <tr r="I446" s="1"/>
      </tp>
      <tp t="s">
        <v>#N/A Field Not Applicable</v>
        <stp/>
        <stp>##V3_BDPV12</stp>
        <stp>912834NA Govt</stp>
        <stp>FIRST_CPN_DT</stp>
        <stp>[STRIPS.xlsx]Sheet1!R476C9</stp>
        <tr r="I476" s="1"/>
      </tp>
      <tp t="s">
        <v>#N/A Field Not Applicable</v>
        <stp/>
        <stp>##V3_BDPV12</stp>
        <stp>912834AA Govt</stp>
        <stp>FIRST_CPN_DT</stp>
        <stp>[STRIPS.xlsx]Sheet1!R589C9</stp>
        <tr r="I589" s="1"/>
      </tp>
      <tp t="s">
        <v>#N/A Field Not Applicable</v>
        <stp/>
        <stp>##V3_BDPV12</stp>
        <stp>912833KA Govt</stp>
        <stp>FIRST_CPN_DT</stp>
        <stp>[STRIPS.xlsx]Sheet1!R193C9</stp>
        <tr r="I193" s="1"/>
      </tp>
      <tp t="s">
        <v>#N/A Field Not Applicable</v>
        <stp/>
        <stp>##V3_BDPV12</stp>
        <stp>912834KC Govt</stp>
        <stp>FIRST_CPN_DT</stp>
        <stp>[STRIPS.xlsx]Sheet1!R133C9</stp>
        <tr r="I133" s="1"/>
      </tp>
      <tp t="s">
        <v>#N/A Field Not Applicable</v>
        <stp/>
        <stp>##V3_BDPV12</stp>
        <stp>912834NE Govt</stp>
        <stp>FIRST_CPN_DT</stp>
        <stp>[STRIPS.xlsx]Sheet1!R546C9</stp>
        <tr r="I546" s="1"/>
      </tp>
      <tp t="s">
        <v>#N/A Field Not Applicable</v>
        <stp/>
        <stp>##V3_BDPV12</stp>
        <stp>912833ND Govt</stp>
        <stp>FIRST_CPN_DT</stp>
        <stp>[STRIPS.xlsx]Sheet1!R676C9</stp>
        <tr r="I676" s="1"/>
      </tp>
      <tp t="s">
        <v>USD</v>
        <stp/>
        <stp>##V3_BDPV12</stp>
        <stp>912834AA Govt</stp>
        <stp>CRNCY</stp>
        <stp>[STRIPS.xlsx]Sheet1!R589C7</stp>
        <tr r="G589" s="1"/>
      </tp>
      <tp t="s">
        <v>USD</v>
        <stp/>
        <stp>##V3_BDPV12</stp>
        <stp>912834BA Govt</stp>
        <stp>CRNCY</stp>
        <stp>[STRIPS.xlsx]Sheet1!R529C7</stp>
        <tr r="G529" s="1"/>
      </tp>
      <tp t="s">
        <v>USD</v>
        <stp/>
        <stp>##V3_BDPV12</stp>
        <stp>9128334L Govt</stp>
        <stp>CRNCY</stp>
        <stp>[STRIPS.xlsx]Sheet1!R284C7</stp>
        <tr r="G284" s="1"/>
      </tp>
      <tp t="s">
        <v>USD</v>
        <stp/>
        <stp>##V3_BDPV12</stp>
        <stp>912834RM Govt</stp>
        <stp>CRNCY</stp>
        <stp>[STRIPS.xlsx]Sheet1!R415C7</stp>
        <tr r="G415" s="1"/>
      </tp>
      <tp t="s">
        <v>USD</v>
        <stp/>
        <stp>##V3_BDPV12</stp>
        <stp>912833PL Govt</stp>
        <stp>CRNCY</stp>
        <stp>[STRIPS.xlsx]Sheet1!R374C7</stp>
        <tr r="G374" s="1"/>
      </tp>
      <tp t="s">
        <v>USD</v>
        <stp/>
        <stp>##V3_BDPV12</stp>
        <stp>912833LA Govt</stp>
        <stp>CRNCY</stp>
        <stp>[STRIPS.xlsx]Sheet1!R369C7</stp>
        <tr r="G369" s="1"/>
      </tp>
      <tp t="s">
        <v>USD</v>
        <stp/>
        <stp>##V3_BDPV12</stp>
        <stp>912834BJ Govt</stp>
        <stp>CRNCY</stp>
        <stp>[STRIPS.xlsx]Sheet1!R352C7</stp>
        <tr r="G352" s="1"/>
      </tp>
      <tp t="s">
        <v>USD</v>
        <stp/>
        <stp>##V3_BDPV12</stp>
        <stp>912833GA Govt</stp>
        <stp>CRNCY</stp>
        <stp>[STRIPS.xlsx]Sheet1!R439C7</stp>
        <tr r="G439" s="1"/>
      </tp>
      <tp t="s">
        <v>USD</v>
        <stp/>
        <stp>##V3_BDPV12</stp>
        <stp>9128337A Govt</stp>
        <stp>CRNCY</stp>
        <stp>[STRIPS.xlsx]Sheet1!R499C7</stp>
        <tr r="G499" s="1"/>
      </tp>
      <tp t="s">
        <v>USD</v>
        <stp/>
        <stp>##V3_BDPV12</stp>
        <stp>9128335J Govt</stp>
        <stp>CRNCY</stp>
        <stp>[STRIPS.xlsx]Sheet1!R492C7</stp>
        <tr r="G492" s="1"/>
      </tp>
      <tp t="s">
        <v>USD</v>
        <stp/>
        <stp>##V3_BDPV12</stp>
        <stp>9128335K Govt</stp>
        <stp>CRNCY</stp>
        <stp>[STRIPS.xlsx]Sheet1!R493C7</stp>
        <tr r="G493" s="1"/>
      </tp>
      <tp t="s">
        <v>USD</v>
        <stp/>
        <stp>##V3_BDPV12</stp>
        <stp>912833PK Govt</stp>
        <stp>CRNCY</stp>
        <stp>[STRIPS.xlsx]Sheet1!R573C7</stp>
        <tr r="G573" s="1"/>
      </tp>
      <tp t="s">
        <v>USD</v>
        <stp/>
        <stp>##V3_BDPV12</stp>
        <stp>912834UN Govt</stp>
        <stp>CRNCY</stp>
        <stp>[STRIPS.xlsx]Sheet1!R206C7</stp>
        <tr r="G206" s="1"/>
      </tp>
      <tp t="s">
        <v>USD</v>
        <stp/>
        <stp>##V3_BDPV12</stp>
        <stp>912833KJ Govt</stp>
        <stp>CRNCY</stp>
        <stp>[STRIPS.xlsx]Sheet1!R512C7</stp>
        <tr r="G512" s="1"/>
      </tp>
      <tp t="s">
        <v>USD</v>
        <stp/>
        <stp>##V3_BDPV12</stp>
        <stp>912834XH Govt</stp>
        <stp>CRNCY</stp>
        <stp>[STRIPS.xlsx]Sheet1!R150C7</stp>
        <tr r="G150" s="1"/>
      </tp>
      <tp t="s">
        <v>USD</v>
        <stp/>
        <stp>##V3_BDPV12</stp>
        <stp>912833QH Govt</stp>
        <stp>CRNCY</stp>
        <stp>[STRIPS.xlsx]Sheet1!R630C7</stp>
        <tr r="G630" s="1"/>
      </tp>
      <tp t="s">
        <v>USD</v>
        <stp/>
        <stp>##V3_BDPV12</stp>
        <stp>9128333H Govt</stp>
        <stp>CRNCY</stp>
        <stp>[STRIPS.xlsx]Sheet1!R600C7</stp>
        <tr r="G600" s="1"/>
      </tp>
      <tp t="s">
        <v>USD</v>
        <stp/>
        <stp>##V3_BDPV12</stp>
        <stp>912833CK Govt</stp>
        <stp>CRNCY</stp>
        <stp>[STRIPS.xlsx]Sheet1!R733C7</stp>
        <tr r="G733" s="1"/>
      </tp>
      <tp t="s">
        <v>USD</v>
        <stp/>
        <stp>##V3_BDPV12</stp>
        <stp>9128335N Govt</stp>
        <stp>CRNCY</stp>
        <stp>[STRIPS.xlsx]Sheet1!R746C7</stp>
        <tr r="G746" s="1"/>
      </tp>
      <tp t="s">
        <v>USD</v>
        <stp/>
        <stp>##V3_BDPV12</stp>
        <stp>9128333K Govt</stp>
        <stp>CRNCY</stp>
        <stp>[STRIPS.xlsx]Sheet1!R743C7</stp>
        <tr r="G743" s="1"/>
      </tp>
      <tp t="s">
        <v>#N/A Field Not Applicable</v>
        <stp/>
        <stp>##V3_BDPV12</stp>
        <stp>912833NG Govt</stp>
        <stp>FIRST_CPN_DT</stp>
        <stp>[STRIPS.xlsx]Sheet1!R516C9</stp>
        <tr r="I516" s="1"/>
      </tp>
      <tp t="s">
        <v>#N/A Field Not Applicable</v>
        <stp/>
        <stp>##V3_BDPV12</stp>
        <stp>912833MF Govt</stp>
        <stp>FIRST_CPN_DT</stp>
        <stp>[STRIPS.xlsx]Sheet1!R305C9</stp>
        <tr r="I305" s="1"/>
      </tp>
      <tp>
        <v>0</v>
        <stp/>
        <stp>##V3_BDPV12</stp>
        <stp>912834KP Govt</stp>
        <stp>CPN</stp>
        <stp>[STRIPS.xlsx]Sheet1!R8C3</stp>
        <tr r="C8" s="1"/>
      </tp>
      <tp t="s">
        <v>NORMAL</v>
        <stp/>
        <stp>##V3_BDPV12</stp>
        <stp>9128336R Govt</stp>
        <stp>MTY_TYP</stp>
        <stp>[STRIPS.xlsx]Sheet1!R498C6</stp>
        <tr r="F498" s="1"/>
      </tp>
      <tp t="s">
        <v>NORMAL</v>
        <stp/>
        <stp>##V3_BDPV12</stp>
        <stp>9128336E Govt</stp>
        <stp>MTY_TYP</stp>
        <stp>[STRIPS.xlsx]Sheet1!R728C6</stp>
        <tr r="F728" s="1"/>
      </tp>
      <tp t="s">
        <v>NORMAL</v>
        <stp/>
        <stp>##V3_BDPV12</stp>
        <stp>9128336F Govt</stp>
        <stp>MTY_TYP</stp>
        <stp>[STRIPS.xlsx]Sheet1!R288C6</stp>
        <tr r="F288" s="1"/>
      </tp>
      <tp t="s">
        <v>NORMAL</v>
        <stp/>
        <stp>##V3_BDPV12</stp>
        <stp>9128336A Govt</stp>
        <stp>MTY_TYP</stp>
        <stp>[STRIPS.xlsx]Sheet1!R748C6</stp>
        <tr r="F748" s="1"/>
      </tp>
      <tp t="s">
        <v>NORMAL</v>
        <stp/>
        <stp>##V3_BDPV12</stp>
        <stp>9128336M Govt</stp>
        <stp>MTY_TYP</stp>
        <stp>[STRIPS.xlsx]Sheet1!R558C6</stp>
        <tr r="F558" s="1"/>
      </tp>
      <tp t="s">
        <v>NORMAL</v>
        <stp/>
        <stp>##V3_BDPV12</stp>
        <stp>9128334D Govt</stp>
        <stp>MTY_TYP</stp>
        <stp>[STRIPS.xlsx]Sheet1!R488C6</stp>
        <tr r="F488" s="1"/>
      </tp>
      <tp t="s">
        <v>NORMAL</v>
        <stp/>
        <stp>##V3_BDPV12</stp>
        <stp>9128334E Govt</stp>
        <stp>MTY_TYP</stp>
        <stp>[STRIPS.xlsx]Sheet1!R708C6</stp>
        <tr r="F708" s="1"/>
      </tp>
      <tp t="s">
        <v>NORMAL</v>
        <stp/>
        <stp>##V3_BDPV12</stp>
        <stp>9128333N Govt</stp>
        <stp>MTY_TYP</stp>
        <stp>[STRIPS.xlsx]Sheet1!R428C6</stp>
        <tr r="F428" s="1"/>
      </tp>
      <tp t="s">
        <v>NORMAL</v>
        <stp/>
        <stp>##V3_BDPV12</stp>
        <stp>9128332D Govt</stp>
        <stp>MTY_TYP</stp>
        <stp>[STRIPS.xlsx]Sheet1!R648C6</stp>
        <tr r="F648" s="1"/>
      </tp>
      <tp t="s">
        <v>NORMAL</v>
        <stp/>
        <stp>##V3_BDPV12</stp>
        <stp>9128332H Govt</stp>
        <stp>MTY_TYP</stp>
        <stp>[STRIPS.xlsx]Sheet1!R718C6</stp>
        <tr r="F718" s="1"/>
      </tp>
      <tp t="s">
        <v>NORMAL</v>
        <stp/>
        <stp>##V3_BDPV12</stp>
        <stp>9128332J Govt</stp>
        <stp>MTY_TYP</stp>
        <stp>[STRIPS.xlsx]Sheet1!R598C6</stp>
        <tr r="F598" s="1"/>
      </tp>
      <tp t="s">
        <v>NORMAL</v>
        <stp/>
        <stp>##V3_BDPV12</stp>
        <stp>912833FS Govt</stp>
        <stp>MTY_TYP</stp>
        <stp>[STRIPS.xlsx]Sheet1!R508C6</stp>
        <tr r="F508" s="1"/>
      </tp>
      <tp t="s">
        <v>NORMAL</v>
        <stp/>
        <stp>##V3_BDPV12</stp>
        <stp>912833FF Govt</stp>
        <stp>MTY_TYP</stp>
        <stp>[STRIPS.xlsx]Sheet1!R618C6</stp>
        <tr r="F618" s="1"/>
      </tp>
      <tp t="s">
        <v>NORMAL</v>
        <stp/>
        <stp>##V3_BDPV12</stp>
        <stp>912833FN Govt</stp>
        <stp>MTY_TYP</stp>
        <stp>[STRIPS.xlsx]Sheet1!R738C6</stp>
        <tr r="F738" s="1"/>
      </tp>
      <tp t="s">
        <v>NORMAL</v>
        <stp/>
        <stp>##V3_BDPV12</stp>
        <stp>912833CV Govt</stp>
        <stp>MTY_TYP</stp>
        <stp>[STRIPS.xlsx]Sheet1!R658C6</stp>
        <tr r="F658" s="1"/>
      </tp>
      <tp t="s">
        <v>NORMAL</v>
        <stp/>
        <stp>##V3_BDPV12</stp>
        <stp>912833CS Govt</stp>
        <stp>MTY_TYP</stp>
        <stp>[STRIPS.xlsx]Sheet1!R298C6</stp>
        <tr r="F298" s="1"/>
      </tp>
      <tp t="s">
        <v>NORMAL</v>
        <stp/>
        <stp>##V3_BDPV12</stp>
        <stp>912833CQ Govt</stp>
        <stp>MTY_TYP</stp>
        <stp>[STRIPS.xlsx]Sheet1!R438C6</stp>
        <tr r="F438" s="1"/>
      </tp>
      <tp t="s">
        <v>NORMAL</v>
        <stp/>
        <stp>##V3_BDPV12</stp>
        <stp>912833A2 Govt</stp>
        <stp>MTY_TYP</stp>
        <stp>[STRIPS.xlsx]Sheet1!R608C6</stp>
        <tr r="F608" s="1"/>
      </tp>
      <tp t="s">
        <v>NORMAL</v>
        <stp/>
        <stp>##V3_BDPV12</stp>
        <stp>912833NN Govt</stp>
        <stp>MTY_TYP</stp>
        <stp>[STRIPS.xlsx]Sheet1!R518C6</stp>
        <tr r="F518" s="1"/>
      </tp>
      <tp t="s">
        <v>NORMAL</v>
        <stp/>
        <stp>##V3_BDPV12</stp>
        <stp>912833MZ Govt</stp>
        <stp>MTY_TYP</stp>
        <stp>[STRIPS.xlsx]Sheet1!R628C6</stp>
        <tr r="F628" s="1"/>
      </tp>
      <tp t="s">
        <v>NORMAL</v>
        <stp/>
        <stp>##V3_BDPV12</stp>
        <stp>912833ML Govt</stp>
        <stp>MTY_TYP</stp>
        <stp>[STRIPS.xlsx]Sheet1!R568C6</stp>
        <tr r="F568" s="1"/>
      </tp>
      <tp t="s">
        <v>NORMAL</v>
        <stp/>
        <stp>##V3_BDPV12</stp>
        <stp>912833KF Govt</stp>
        <stp>MTY_TYP</stp>
        <stp>[STRIPS.xlsx]Sheet1!R368C6</stp>
        <tr r="F368" s="1"/>
      </tp>
      <tp t="s">
        <v>NORMAL</v>
        <stp/>
        <stp>##V3_BDPV12</stp>
        <stp>912833JV Govt</stp>
        <stp>MTY_TYP</stp>
        <stp>[STRIPS.xlsx]Sheet1!R668C6</stp>
        <tr r="F668" s="1"/>
      </tp>
      <tp t="s">
        <v>NORMAL</v>
        <stp/>
        <stp>##V3_BDPV12</stp>
        <stp>912833RM Govt</stp>
        <stp>MTY_TYP</stp>
        <stp>[STRIPS.xlsx]Sheet1!R448C6</stp>
        <tr r="F448" s="1"/>
      </tp>
      <tp t="s">
        <v>NORMAL</v>
        <stp/>
        <stp>##V3_BDPV12</stp>
        <stp>912833RK Govt</stp>
        <stp>MTY_TYP</stp>
        <stp>[STRIPS.xlsx]Sheet1!R578C6</stp>
        <tr r="F578" s="1"/>
      </tp>
      <tp t="s">
        <v>NORMAL</v>
        <stp/>
        <stp>##V3_BDPV12</stp>
        <stp>912833QU Govt</stp>
        <stp>MTY_TYP</stp>
        <stp>[STRIPS.xlsx]Sheet1!R688C6</stp>
        <tr r="F688" s="1"/>
      </tp>
      <tp t="s">
        <v>NORMAL</v>
        <stp/>
        <stp>##V3_BDPV12</stp>
        <stp>912833QW Govt</stp>
        <stp>MTY_TYP</stp>
        <stp>[STRIPS.xlsx]Sheet1!R378C6</stp>
        <tr r="F378" s="1"/>
      </tp>
      <tp t="s">
        <v>NORMAL</v>
        <stp/>
        <stp>##V3_BDPV12</stp>
        <stp>912833PV Govt</stp>
        <stp>MTY_TYP</stp>
        <stp>[STRIPS.xlsx]Sheet1!R338C6</stp>
        <tr r="F338" s="1"/>
      </tp>
      <tp t="s">
        <v>NORMAL</v>
        <stp/>
        <stp>##V3_BDPV12</stp>
        <stp>912833PF Govt</stp>
        <stp>MTY_TYP</stp>
        <stp>[STRIPS.xlsx]Sheet1!R678C6</stp>
        <tr r="F678" s="1"/>
      </tp>
      <tp t="s">
        <v>NORMAL</v>
        <stp/>
        <stp>##V3_BDPV12</stp>
        <stp>912833PM Govt</stp>
        <stp>MTY_TYP</stp>
        <stp>[STRIPS.xlsx]Sheet1!R238C6</stp>
        <tr r="F238" s="1"/>
      </tp>
      <tp t="s">
        <v>NORMAL</v>
        <stp/>
        <stp>##V3_BDPV12</stp>
        <stp>912833ZU Govt</stp>
        <stp>MTY_TYP</stp>
        <stp>[STRIPS.xlsx]Sheet1!R348C6</stp>
        <tr r="F348" s="1"/>
      </tp>
      <tp t="s">
        <v>NORMAL</v>
        <stp/>
        <stp>##V3_BDPV12</stp>
        <stp>912833ZX Govt</stp>
        <stp>MTY_TYP</stp>
        <stp>[STRIPS.xlsx]Sheet1!R588C6</stp>
        <tr r="F588" s="1"/>
      </tp>
      <tp t="s">
        <v>NORMAL</v>
        <stp/>
        <stp>##V3_BDPV12</stp>
        <stp>912833ZZ Govt</stp>
        <stp>MTY_TYP</stp>
        <stp>[STRIPS.xlsx]Sheet1!R528C6</stp>
        <tr r="F528" s="1"/>
      </tp>
      <tp t="s">
        <v>NORMAL</v>
        <stp/>
        <stp>##V3_BDPV12</stp>
        <stp>912833ZN Govt</stp>
        <stp>MTY_TYP</stp>
        <stp>[STRIPS.xlsx]Sheet1!R638C6</stp>
        <tr r="F638" s="1"/>
      </tp>
      <tp t="s">
        <v>NORMAL</v>
        <stp/>
        <stp>##V3_BDPV12</stp>
        <stp>912833ZH Govt</stp>
        <stp>MTY_TYP</stp>
        <stp>[STRIPS.xlsx]Sheet1!R698C6</stp>
        <tr r="F698" s="1"/>
      </tp>
      <tp t="s">
        <v>NORMAL</v>
        <stp/>
        <stp>##V3_BDPV12</stp>
        <stp>912833Y8 Govt</stp>
        <stp>MTY_TYP</stp>
        <stp>[STRIPS.xlsx]Sheet1!R248C6</stp>
        <tr r="F248" s="1"/>
      </tp>
      <tp t="s">
        <v>#N/A Field Not Applicable</v>
        <stp/>
        <stp>##V3_BDPV12</stp>
        <stp>912833A9 Govt</stp>
        <stp>FIRST_CPN_DT</stp>
        <stp>[STRIPS.xlsx]Sheet1!R609C9</stp>
        <tr r="I609" s="1"/>
      </tp>
      <tp t="s">
        <v>#N/A Field Not Applicable</v>
        <stp/>
        <stp>##V3_BDPV12</stp>
        <stp>9128334W Govt</stp>
        <stp>COUPON_FREQUENCY_DESCRIPTION</stp>
        <stp>[STRIPS.xlsx]Sheet1!R61C10</stp>
        <tr r="J61" s="1"/>
      </tp>
      <tp t="s">
        <v>#N/A Field Not Applicable</v>
        <stp/>
        <stp>##V3_BDPV12</stp>
        <stp>9128334V Govt</stp>
        <stp>COUPON_FREQUENCY_DESCRIPTION</stp>
        <stp>[STRIPS.xlsx]Sheet1!R69C10</stp>
        <tr r="J69" s="1"/>
      </tp>
      <tp t="s">
        <v>#N/A Field Not Applicable</v>
        <stp/>
        <stp>##V3_BDPV12</stp>
        <stp>9128334T Govt</stp>
        <stp>COUPON_FREQUENCY_DESCRIPTION</stp>
        <stp>[STRIPS.xlsx]Sheet1!R48C10</stp>
        <tr r="J48" s="1"/>
      </tp>
      <tp t="s">
        <v>#N/A Field Not Applicable</v>
        <stp/>
        <stp>##V3_BDPV12</stp>
        <stp>912834A3 Govt</stp>
        <stp>FIRST_CPN_DT</stp>
        <stp>[STRIPS.xlsx]Sheet1!R119C9</stp>
        <tr r="I119" s="1"/>
      </tp>
      <tp t="s">
        <v>#N/A Field Not Applicable</v>
        <stp/>
        <stp>##V3_BDPV12</stp>
        <stp>9128334Z Govt</stp>
        <stp>COUPON_FREQUENCY_DESCRIPTION</stp>
        <stp>[STRIPS.xlsx]Sheet1!R45C10</stp>
        <tr r="J45" s="1"/>
      </tp>
      <tp t="s">
        <v>#N/A Field Not Applicable</v>
        <stp/>
        <stp>##V3_BDPV12</stp>
        <stp>9128334Y Govt</stp>
        <stp>COUPON_FREQUENCY_DESCRIPTION</stp>
        <stp>[STRIPS.xlsx]Sheet1!R67C10</stp>
        <tr r="J67" s="1"/>
      </tp>
      <tp t="s">
        <v>USD</v>
        <stp/>
        <stp>##V3_BDPV12</stp>
        <stp>912833PA Govt</stp>
        <stp>CRNCY</stp>
        <stp>[STRIPS.xlsx]Sheet1!R4C7</stp>
        <tr r="G4" s="1"/>
      </tp>
      <tp t="s">
        <v>#N/A Field Not Applicable</v>
        <stp/>
        <stp>##V3_BDPV12</stp>
        <stp>912834MP Govt</stp>
        <stp>FIRST_CPN_DT</stp>
        <stp>[STRIPS.xlsx]Sheet1!R542C9</stp>
        <tr r="I542" s="1"/>
      </tp>
      <tp t="s">
        <v>#N/A Field Not Applicable</v>
        <stp/>
        <stp>##V3_BDPV12</stp>
        <stp>912834JS Govt</stp>
        <stp>FIRST_CPN_DT</stp>
        <stp>[STRIPS.xlsx]Sheet1!R315C9</stp>
        <tr r="I315" s="1"/>
      </tp>
      <tp t="s">
        <v>#N/A Field Not Applicable</v>
        <stp/>
        <stp>##V3_BDPV12</stp>
        <stp>912834MR Govt</stp>
        <stp>FIRST_CPN_DT</stp>
        <stp>[STRIPS.xlsx]Sheet1!R272C9</stp>
        <tr r="I272" s="1"/>
      </tp>
      <tp t="s">
        <v>#N/A Field Not Applicable</v>
        <stp/>
        <stp>##V3_BDPV12</stp>
        <stp>912833KU Govt</stp>
        <stp>FIRST_CPN_DT</stp>
        <stp>[STRIPS.xlsx]Sheet1!R444C9</stp>
        <tr r="I444" s="1"/>
      </tp>
      <tp t="s">
        <v>#N/A Field Not Applicable</v>
        <stp/>
        <stp>##V3_BDPV12</stp>
        <stp>912833FU Govt</stp>
        <stp>FIRST_CPN_DT</stp>
        <stp>[STRIPS.xlsx]Sheet1!R509C9</stp>
        <tr r="I509" s="1"/>
      </tp>
      <tp t="s">
        <v>#N/A Field Not Applicable</v>
        <stp/>
        <stp>##V3_BDPV12</stp>
        <stp>912833FW Govt</stp>
        <stp>FIRST_CPN_DT</stp>
        <stp>[STRIPS.xlsx]Sheet1!R739C9</stp>
        <tr r="I739" s="1"/>
      </tp>
      <tp t="s">
        <v>#N/A Field Not Applicable</v>
        <stp/>
        <stp>##V3_BDPV12</stp>
        <stp>912834LJ Govt</stp>
        <stp>FIRST_CPN_DT</stp>
        <stp>[STRIPS.xlsx]Sheet1!R403C9</stp>
        <tr r="I403" s="1"/>
      </tp>
      <tp t="s">
        <v>#N/A Field Not Applicable</v>
        <stp/>
        <stp>##V3_BDPV12</stp>
        <stp>912834JJ Govt</stp>
        <stp>FIRST_CPN_DT</stp>
        <stp>[STRIPS.xlsx]Sheet1!R465C9</stp>
        <tr r="I465" s="1"/>
      </tp>
      <tp t="s">
        <v>#N/A Field Not Applicable</v>
        <stp/>
        <stp>##V3_BDPV12</stp>
        <stp>912833FM Govt</stp>
        <stp>FIRST_CPN_DT</stp>
        <stp>[STRIPS.xlsx]Sheet1!R619C9</stp>
        <tr r="I619" s="1"/>
      </tp>
      <tp t="s">
        <v>#N/A Field Not Applicable</v>
        <stp/>
        <stp>##V3_BDPV12</stp>
        <stp>912834LL Govt</stp>
        <stp>FIRST_CPN_DT</stp>
        <stp>[STRIPS.xlsx]Sheet1!R323C9</stp>
        <tr r="I323" s="1"/>
      </tp>
      <tp t="s">
        <v>#N/A Field Not Applicable</v>
        <stp/>
        <stp>##V3_BDPV12</stp>
        <stp>912834NN Govt</stp>
        <stp>FIRST_CPN_DT</stp>
        <stp>[STRIPS.xlsx]Sheet1!R421C9</stp>
        <tr r="I421" s="1"/>
      </tp>
      <tp t="s">
        <v>#N/A Field Not Applicable</v>
        <stp/>
        <stp>##V3_BDPV12</stp>
        <stp>912834MA Govt</stp>
        <stp>FIRST_CPN_DT</stp>
        <stp>[STRIPS.xlsx]Sheet1!R172C9</stp>
        <tr r="I172" s="1"/>
      </tp>
      <tp t="s">
        <v>#N/A Field Not Applicable</v>
        <stp/>
        <stp>##V3_BDPV12</stp>
        <stp>912833LC Govt</stp>
        <stp>FIRST_CPN_DT</stp>
        <stp>[STRIPS.xlsx]Sheet1!R673C9</stp>
        <tr r="I673" s="1"/>
      </tp>
      <tp t="s">
        <v>#N/A Field Not Applicable</v>
        <stp/>
        <stp>##V3_BDPV12</stp>
        <stp>912834LE Govt</stp>
        <stp>FIRST_CPN_DT</stp>
        <stp>[STRIPS.xlsx]Sheet1!R473C9</stp>
        <tr r="I473" s="1"/>
      </tp>
      <tp t="s">
        <v>#N/A Field Not Applicable</v>
        <stp/>
        <stp>##V3_BDPV12</stp>
        <stp>912833NE Govt</stp>
        <stp>FIRST_CPN_DT</stp>
        <stp>[STRIPS.xlsx]Sheet1!R571C9</stp>
        <tr r="I571" s="1"/>
      </tp>
      <tp t="s">
        <v>#N/A Field Not Applicable</v>
        <stp/>
        <stp>##V3_BDPV12</stp>
        <stp>912833LE Govt</stp>
        <stp>FIRST_CPN_DT</stp>
        <stp>[STRIPS.xlsx]Sheet1!R153C9</stp>
        <tr r="I153" s="1"/>
      </tp>
      <tp t="s">
        <v>USD</v>
        <stp/>
        <stp>##V3_BDPV12</stp>
        <stp>912833RJ Govt</stp>
        <stp>CRNCY</stp>
        <stp>[STRIPS.xlsx]Sheet1!R245C7</stp>
        <tr r="G245" s="1"/>
      </tp>
      <tp t="s">
        <v>USD</v>
        <stp/>
        <stp>##V3_BDPV12</stp>
        <stp>912834EJ Govt</stp>
        <stp>CRNCY</stp>
        <stp>[STRIPS.xlsx]Sheet1!R595C7</stp>
        <tr r="G595" s="1"/>
      </tp>
      <tp t="s">
        <v>USD</v>
        <stp/>
        <stp>##V3_BDPV12</stp>
        <stp>912833NH Govt</stp>
        <stp>CRNCY</stp>
        <stp>[STRIPS.xlsx]Sheet1!R237C7</stp>
        <tr r="G237" s="1"/>
      </tp>
      <tp t="s">
        <v>USD</v>
        <stp/>
        <stp>##V3_BDPV12</stp>
        <stp>912833YL Govt</stp>
        <stp>CRNCY</stp>
        <stp>[STRIPS.xlsx]Sheet1!R343C7</stp>
        <tr r="G343" s="1"/>
      </tp>
      <tp t="s">
        <v>USD</v>
        <stp/>
        <stp>##V3_BDPV12</stp>
        <stp>912834JJ Govt</stp>
        <stp>CRNCY</stp>
        <stp>[STRIPS.xlsx]Sheet1!R465C7</stp>
        <tr r="G465" s="1"/>
      </tp>
      <tp t="s">
        <v>USD</v>
        <stp/>
        <stp>##V3_BDPV12</stp>
        <stp>912834NN Govt</stp>
        <stp>CRNCY</stp>
        <stp>[STRIPS.xlsx]Sheet1!R421C7</stp>
        <tr r="G421" s="1"/>
      </tp>
      <tp t="s">
        <v>USD</v>
        <stp/>
        <stp>##V3_BDPV12</stp>
        <stp>912833YM Govt</stp>
        <stp>CRNCY</stp>
        <stp>[STRIPS.xlsx]Sheet1!R452C7</stp>
        <tr r="G452" s="1"/>
      </tp>
      <tp t="s">
        <v>USD</v>
        <stp/>
        <stp>##V3_BDPV12</stp>
        <stp>912834LL Govt</stp>
        <stp>CRNCY</stp>
        <stp>[STRIPS.xlsx]Sheet1!R323C7</stp>
        <tr r="G323" s="1"/>
      </tp>
      <tp t="s">
        <v>USD</v>
        <stp/>
        <stp>##V3_BDPV12</stp>
        <stp>912834TM Govt</stp>
        <stp>CRNCY</stp>
        <stp>[STRIPS.xlsx]Sheet1!R282C7</stp>
        <tr r="G282" s="1"/>
      </tp>
      <tp t="s">
        <v>USD</v>
        <stp/>
        <stp>##V3_BDPV12</stp>
        <stp>912833RL Govt</stp>
        <stp>CRNCY</stp>
        <stp>[STRIPS.xlsx]Sheet1!R523C7</stp>
        <tr r="G523" s="1"/>
      </tp>
      <tp t="s">
        <v>USD</v>
        <stp/>
        <stp>##V3_BDPV12</stp>
        <stp>912833YK Govt</stp>
        <stp>CRNCY</stp>
        <stp>[STRIPS.xlsx]Sheet1!R584C7</stp>
        <tr r="G584" s="1"/>
      </tp>
      <tp t="s">
        <v>USD</v>
        <stp/>
        <stp>##V3_BDPV12</stp>
        <stp>912834VF Govt</stp>
        <stp>CRNCY</stp>
        <stp>[STRIPS.xlsx]Sheet1!R219C7</stp>
        <tr r="G219" s="1"/>
      </tp>
      <tp t="s">
        <v>USD</v>
        <stp/>
        <stp>##V3_BDPV12</stp>
        <stp>912834JG Govt</stp>
        <stp>CRNCY</stp>
        <stp>[STRIPS.xlsx]Sheet1!R228C7</stp>
        <tr r="G228" s="1"/>
      </tp>
      <tp t="s">
        <v>USD</v>
        <stp/>
        <stp>##V3_BDPV12</stp>
        <stp>912834KF Govt</stp>
        <stp>CRNCY</stp>
        <stp>[STRIPS.xlsx]Sheet1!R229C7</stp>
        <tr r="G229" s="1"/>
      </tp>
      <tp t="s">
        <v>USD</v>
        <stp/>
        <stp>##V3_BDPV12</stp>
        <stp>912834LN Govt</stp>
        <stp>CRNCY</stp>
        <stp>[STRIPS.xlsx]Sheet1!R231C7</stp>
        <tr r="G231" s="1"/>
      </tp>
      <tp t="s">
        <v>USD</v>
        <stp/>
        <stp>##V3_BDPV12</stp>
        <stp>912833FH Govt</stp>
        <stp>CRNCY</stp>
        <stp>[STRIPS.xlsx]Sheet1!R507C7</stp>
        <tr r="G507" s="1"/>
      </tp>
      <tp t="s">
        <v>USD</v>
        <stp/>
        <stp>##V3_BDPV12</stp>
        <stp>912833PN Govt</stp>
        <stp>CRNCY</stp>
        <stp>[STRIPS.xlsx]Sheet1!R681C7</stp>
        <tr r="G681" s="1"/>
      </tp>
      <tp t="s">
        <v>USD</v>
        <stp/>
        <stp>##V3_BDPV12</stp>
        <stp>912834WN Govt</stp>
        <stp>CRNCY</stp>
        <stp>[STRIPS.xlsx]Sheet1!R191C7</stp>
        <tr r="G191" s="1"/>
      </tp>
      <tp t="s">
        <v>USD</v>
        <stp/>
        <stp>##V3_BDPV12</stp>
        <stp>912834RK Govt</stp>
        <stp>CRNCY</stp>
        <stp>[STRIPS.xlsx]Sheet1!R124C7</stp>
        <tr r="G124" s="1"/>
      </tp>
      <tp t="s">
        <v>USD</v>
        <stp/>
        <stp>##V3_BDPV12</stp>
        <stp>912833FL Govt</stp>
        <stp>CRNCY</stp>
        <stp>[STRIPS.xlsx]Sheet1!R663C7</stp>
        <tr r="G663" s="1"/>
      </tp>
      <tp t="s">
        <v>USD</v>
        <stp/>
        <stp>##V3_BDPV12</stp>
        <stp>9128334J Govt</stp>
        <stp>CRNCY</stp>
        <stp>[STRIPS.xlsx]Sheet1!R605C7</stp>
        <tr r="G605" s="1"/>
      </tp>
      <tp t="s">
        <v>NORMAL</v>
        <stp/>
        <stp>##V3_BDPV12</stp>
        <stp>912834BC Govt</stp>
        <stp>MTY_TYP</stp>
        <stp>[STRIPS.xlsx]Sheet1!R458C6</stp>
        <tr r="F458" s="1"/>
      </tp>
      <tp t="s">
        <v>NORMAL</v>
        <stp/>
        <stp>##V3_BDPV12</stp>
        <stp>912834BK Govt</stp>
        <stp>MTY_TYP</stp>
        <stp>[STRIPS.xlsx]Sheet1!R308C6</stp>
        <tr r="F308" s="1"/>
      </tp>
      <tp t="s">
        <v>NORMAL</v>
        <stp/>
        <stp>##V3_BDPV12</stp>
        <stp>912834AX Govt</stp>
        <stp>MTY_TYP</stp>
        <stp>[STRIPS.xlsx]Sheet1!R388C6</stp>
        <tr r="F388" s="1"/>
      </tp>
      <tp t="s">
        <v>NORMAL</v>
        <stp/>
        <stp>##V3_BDPV12</stp>
        <stp>912834AE Govt</stp>
        <stp>MTY_TYP</stp>
        <stp>[STRIPS.xlsx]Sheet1!R118C6</stp>
        <tr r="F118" s="1"/>
      </tp>
      <tp t="s">
        <v>NORMAL</v>
        <stp/>
        <stp>##V3_BDPV12</stp>
        <stp>912834AL Govt</stp>
        <stp>MTY_TYP</stp>
        <stp>[STRIPS.xlsx]Sheet1!R258C6</stp>
        <tr r="F258" s="1"/>
      </tp>
      <tp t="s">
        <v>3/31/2008</v>
        <stp/>
        <stp>##V3_BDPV12</stp>
        <stp>912833Z8 Govt</stp>
        <stp>ISSUE_DT</stp>
        <stp>[STRIPS.xlsx]Sheet1!R697C15</stp>
        <tr r="O697" s="1"/>
      </tp>
      <tp t="s">
        <v>NORMAL</v>
        <stp/>
        <stp>##V3_BDPV12</stp>
        <stp>912834NW Govt</stp>
        <stp>MTY_TYP</stp>
        <stp>[STRIPS.xlsx]Sheet1!R548C6</stp>
        <tr r="F548" s="1"/>
      </tp>
      <tp t="s">
        <v>NORMAL</v>
        <stp/>
        <stp>##V3_BDPV12</stp>
        <stp>912834NL Govt</stp>
        <stp>MTY_TYP</stp>
        <stp>[STRIPS.xlsx]Sheet1!R408C6</stp>
        <tr r="F408" s="1"/>
      </tp>
      <tp t="s">
        <v>NORMAL</v>
        <stp/>
        <stp>##V3_BDPV12</stp>
        <stp>912834MQ Govt</stp>
        <stp>MTY_TYP</stp>
        <stp>[STRIPS.xlsx]Sheet1!R418C6</stp>
        <tr r="F418" s="1"/>
      </tp>
      <tp t="s">
        <v>NORMAL</v>
        <stp/>
        <stp>##V3_BDPV12</stp>
        <stp>912834MY Govt</stp>
        <stp>MTY_TYP</stp>
        <stp>[STRIPS.xlsx]Sheet1!R328C6</stp>
        <tr r="F328" s="1"/>
      </tp>
      <tp t="s">
        <v>12/15/2003</v>
        <stp/>
        <stp>##V3_BDPV12</stp>
        <stp>912833A8 Govt</stp>
        <stp>ISSUE_DT</stp>
        <stp>[STRIPS.xlsx]Sheet1!R560C15</stp>
        <tr r="O560" s="1"/>
      </tp>
      <tp t="s">
        <v>NORMAL</v>
        <stp/>
        <stp>##V3_BDPV12</stp>
        <stp>912834LT Govt</stp>
        <stp>MTY_TYP</stp>
        <stp>[STRIPS.xlsx]Sheet1!R358C6</stp>
        <tr r="F358" s="1"/>
      </tp>
      <tp t="s">
        <v>12/15/2003</v>
        <stp/>
        <stp>##V3_BDPV12</stp>
        <stp>912833B8 Govt</stp>
        <stp>ISSUE_DT</stp>
        <stp>[STRIPS.xlsx]Sheet1!R293C15</stp>
        <tr r="O293" s="1"/>
      </tp>
      <tp t="s">
        <v>11/30/2007</v>
        <stp/>
        <stp>##V3_BDPV12</stp>
        <stp>912833Y8 Govt</stp>
        <stp>ISSUE_DT</stp>
        <stp>[STRIPS.xlsx]Sheet1!R248C15</stp>
        <tr r="O248" s="1"/>
      </tp>
      <tp t="s">
        <v>NORMAL</v>
        <stp/>
        <stp>##V3_BDPV12</stp>
        <stp>912834KS Govt</stp>
        <stp>MTY_TYP</stp>
        <stp>[STRIPS.xlsx]Sheet1!R268C6</stp>
        <tr r="F268" s="1"/>
      </tp>
      <tp t="s">
        <v>NORMAL</v>
        <stp/>
        <stp>##V3_BDPV12</stp>
        <stp>912834KQ Govt</stp>
        <stp>MTY_TYP</stp>
        <stp>[STRIPS.xlsx]Sheet1!R318C6</stp>
        <tr r="F318" s="1"/>
      </tp>
      <tp t="s">
        <v>NORMAL</v>
        <stp/>
        <stp>##V3_BDPV12</stp>
        <stp>912834KD Govt</stp>
        <stp>MTY_TYP</stp>
        <stp>[STRIPS.xlsx]Sheet1!R398C6</stp>
        <tr r="F398" s="1"/>
      </tp>
      <tp t="s">
        <v>NORMAL</v>
        <stp/>
        <stp>##V3_BDPV12</stp>
        <stp>912834KL Govt</stp>
        <stp>MTY_TYP</stp>
        <stp>[STRIPS.xlsx]Sheet1!R468C6</stp>
        <tr r="F468" s="1"/>
      </tp>
      <tp t="s">
        <v>NORMAL</v>
        <stp/>
        <stp>##V3_BDPV12</stp>
        <stp>912834JG Govt</stp>
        <stp>MTY_TYP</stp>
        <stp>[STRIPS.xlsx]Sheet1!R228C6</stp>
        <tr r="F228" s="1"/>
      </tp>
      <tp t="s">
        <v>NORMAL</v>
        <stp/>
        <stp>##V3_BDPV12</stp>
        <stp>912834JL Govt</stp>
        <stp>MTY_TYP</stp>
        <stp>[STRIPS.xlsx]Sheet1!R538C6</stp>
        <tr r="F538" s="1"/>
      </tp>
      <tp t="s">
        <v>NORMAL</v>
        <stp/>
        <stp>##V3_BDPV12</stp>
        <stp>912834WL Govt</stp>
        <stp>MTY_TYP</stp>
        <stp>[STRIPS.xlsx]Sheet1!R768C6</stp>
        <tr r="F768" s="1"/>
      </tp>
      <tp t="s">
        <v>NORMAL</v>
        <stp/>
        <stp>##V3_BDPV12</stp>
        <stp>912834WM Govt</stp>
        <stp>MTY_TYP</stp>
        <stp>[STRIPS.xlsx]Sheet1!R188C6</stp>
        <tr r="F188" s="1"/>
      </tp>
      <tp t="s">
        <v>NORMAL</v>
        <stp/>
        <stp>##V3_BDPV12</stp>
        <stp>912834VY Govt</stp>
        <stp>MTY_TYP</stp>
        <stp>[STRIPS.xlsx]Sheet1!R218C6</stp>
        <tr r="F218" s="1"/>
      </tp>
      <tp t="s">
        <v>NORMAL</v>
        <stp/>
        <stp>##V3_BDPV12</stp>
        <stp>912834VA Govt</stp>
        <stp>MTY_TYP</stp>
        <stp>[STRIPS.xlsx]Sheet1!R178C6</stp>
        <tr r="F178" s="1"/>
      </tp>
      <tp t="s">
        <v>NORMAL</v>
        <stp/>
        <stp>##V3_BDPV12</stp>
        <stp>912834VL Govt</stp>
        <stp>MTY_TYP</stp>
        <stp>[STRIPS.xlsx]Sheet1!R138C6</stp>
        <tr r="F138" s="1"/>
      </tp>
      <tp t="s">
        <v>NORMAL</v>
        <stp/>
        <stp>##V3_BDPV12</stp>
        <stp>912834UV Govt</stp>
        <stp>MTY_TYP</stp>
        <stp>[STRIPS.xlsx]Sheet1!R208C6</stp>
        <tr r="F208" s="1"/>
      </tp>
      <tp t="s">
        <v>NORMAL</v>
        <stp/>
        <stp>##V3_BDPV12</stp>
        <stp>912834TQ Govt</stp>
        <stp>MTY_TYP</stp>
        <stp>[STRIPS.xlsx]Sheet1!R758C6</stp>
        <tr r="F758" s="1"/>
      </tp>
      <tp t="s">
        <v>NORMAL</v>
        <stp/>
        <stp>##V3_BDPV12</stp>
        <stp>912834TN Govt</stp>
        <stp>MTY_TYP</stp>
        <stp>[STRIPS.xlsx]Sheet1!R158C6</stp>
        <tr r="F158" s="1"/>
      </tp>
      <tp t="s">
        <v>NORMAL</v>
        <stp/>
        <stp>##V3_BDPV12</stp>
        <stp>912834RE Govt</stp>
        <stp>MTY_TYP</stp>
        <stp>[STRIPS.xlsx]Sheet1!R168C6</stp>
        <tr r="F168" s="1"/>
      </tp>
      <tp t="s">
        <v>NORMAL</v>
        <stp/>
        <stp>##V3_BDPV12</stp>
        <stp>912834RL Govt</stp>
        <stp>MTY_TYP</stp>
        <stp>[STRIPS.xlsx]Sheet1!R198C6</stp>
        <tr r="F198" s="1"/>
      </tp>
      <tp t="s">
        <v>NORMAL</v>
        <stp/>
        <stp>##V3_BDPV12</stp>
        <stp>912834QP Govt</stp>
        <stp>MTY_TYP</stp>
        <stp>[STRIPS.xlsx]Sheet1!R108C6</stp>
        <tr r="F108" s="1"/>
      </tp>
      <tp t="s">
        <v>NORMAL</v>
        <stp/>
        <stp>##V3_BDPV12</stp>
        <stp>912834QK Govt</stp>
        <stp>MTY_TYP</stp>
        <stp>[STRIPS.xlsx]Sheet1!R278C6</stp>
        <tr r="F278" s="1"/>
      </tp>
      <tp t="s">
        <v>NORMAL</v>
        <stp/>
        <stp>##V3_BDPV12</stp>
        <stp>912834PD Govt</stp>
        <stp>MTY_TYP</stp>
        <stp>[STRIPS.xlsx]Sheet1!R478C6</stp>
        <tr r="F478" s="1"/>
      </tp>
      <tp t="s">
        <v>NORMAL</v>
        <stp/>
        <stp>##V3_BDPV12</stp>
        <stp>912834PC Govt</stp>
        <stp>MTY_TYP</stp>
        <stp>[STRIPS.xlsx]Sheet1!R148C6</stp>
        <tr r="F148" s="1"/>
      </tp>
      <tp t="s">
        <v>NORMAL</v>
        <stp/>
        <stp>##V3_BDPV12</stp>
        <stp>912834PL Govt</stp>
        <stp>MTY_TYP</stp>
        <stp>[STRIPS.xlsx]Sheet1!R128C6</stp>
        <tr r="F128" s="1"/>
      </tp>
      <tp t="s">
        <v>USD</v>
        <stp/>
        <stp>##V3_BDPV12</stp>
        <stp>912833PB Govt</stp>
        <stp>CRNCY</stp>
        <stp>[STRIPS.xlsx]Sheet1!R3C7</stp>
        <tr r="G3" s="1"/>
      </tp>
      <tp t="s">
        <v>#N/A Field Not Applicable</v>
        <stp/>
        <stp>##V3_BDPV12</stp>
        <stp>912834HY Govt</stp>
        <stp>FIRST_CPN_DT</stp>
        <stp>[STRIPS.xlsx]Sheet1!R226C9</stp>
        <tr r="I226" s="1"/>
      </tp>
      <tp t="s">
        <v>#N/A Field Not Applicable</v>
        <stp/>
        <stp>##V3_BDPV12</stp>
        <stp>912834NX Govt</stp>
        <stp>FIRST_CPN_DT</stp>
        <stp>[STRIPS.xlsx]Sheet1!R410C9</stp>
        <tr r="I410" s="1"/>
      </tp>
      <tp t="s">
        <v>#N/A Field Not Applicable</v>
        <stp/>
        <stp>##V3_BDPV12</stp>
        <stp>912834HX Govt</stp>
        <stp>FIRST_CPN_DT</stp>
        <stp>[STRIPS.xlsx]Sheet1!R356C9</stp>
        <tr r="I356" s="1"/>
      </tp>
      <tp t="s">
        <v>#N/A Field Not Applicable</v>
        <stp/>
        <stp>##V3_BDPV12</stp>
        <stp>912834NP Govt</stp>
        <stp>FIRST_CPN_DT</stp>
        <stp>[STRIPS.xlsx]Sheet1!R130C9</stp>
        <tr r="I130" s="1"/>
      </tp>
      <tp t="s">
        <v>#N/A Field Not Applicable</v>
        <stp/>
        <stp>##V3_BDPV12</stp>
        <stp>912833FS Govt</stp>
        <stp>FIRST_CPN_DT</stp>
        <stp>[STRIPS.xlsx]Sheet1!R508C9</stp>
        <tr r="I508" s="1"/>
      </tp>
      <tp t="s">
        <v>#N/A Field Not Applicable</v>
        <stp/>
        <stp>##V3_BDPV12</stp>
        <stp>912834HS Govt</stp>
        <stp>FIRST_CPN_DT</stp>
        <stp>[STRIPS.xlsx]Sheet1!R396C9</stp>
        <tr r="I396" s="1"/>
      </tp>
      <tp t="s">
        <v>#N/A Field Not Applicable</v>
        <stp/>
        <stp>##V3_BDPV12</stp>
        <stp>912833MR Govt</stp>
        <stp>FIRST_CPN_DT</stp>
        <stp>[STRIPS.xlsx]Sheet1!R333C9</stp>
        <tr r="I333" s="1"/>
      </tp>
      <tp t="s">
        <v>#N/A Field Not Applicable</v>
        <stp/>
        <stp>##V3_BDPV12</stp>
        <stp>912834HW Govt</stp>
        <stp>FIRST_CPN_DT</stp>
        <stp>[STRIPS.xlsx]Sheet1!R536C9</stp>
        <tr r="I536" s="1"/>
      </tp>
      <tp t="s">
        <v>#N/A Field Not Applicable</v>
        <stp/>
        <stp>##V3_BDPV12</stp>
        <stp>912834MV Govt</stp>
        <stp>FIRST_CPN_DT</stp>
        <stp>[STRIPS.xlsx]Sheet1!R543C9</stp>
        <tr r="I543" s="1"/>
      </tp>
      <tp t="s">
        <v>#N/A Field Not Applicable</v>
        <stp/>
        <stp>##V3_BDPV12</stp>
        <stp>912834LV Govt</stp>
        <stp>FIRST_CPN_DT</stp>
        <stp>[STRIPS.xlsx]Sheet1!R232C9</stp>
        <tr r="I232" s="1"/>
      </tp>
      <tp t="s">
        <v>#N/A Field Not Applicable</v>
        <stp/>
        <stp>##V3_BDPV12</stp>
        <stp>912833KH Govt</stp>
        <stp>FIRST_CPN_DT</stp>
        <stp>[STRIPS.xlsx]Sheet1!R565C9</stp>
        <tr r="I565" s="1"/>
      </tp>
      <tp t="s">
        <v>#N/A Field Not Applicable</v>
        <stp/>
        <stp>##V3_BDPV12</stp>
        <stp>912834LH Govt</stp>
        <stp>FIRST_CPN_DT</stp>
        <stp>[STRIPS.xlsx]Sheet1!R322C9</stp>
        <tr r="I322" s="1"/>
      </tp>
      <tp t="s">
        <v>#N/A Field Not Applicable</v>
        <stp/>
        <stp>##V3_BDPV12</stp>
        <stp>912834NJ Govt</stp>
        <stp>FIRST_CPN_DT</stp>
        <stp>[STRIPS.xlsx]Sheet1!R420C9</stp>
        <tr r="I420" s="1"/>
      </tp>
      <tp t="s">
        <v>#N/A Field Not Applicable</v>
        <stp/>
        <stp>##V3_BDPV12</stp>
        <stp>912834MJ Govt</stp>
        <stp>FIRST_CPN_DT</stp>
        <stp>[STRIPS.xlsx]Sheet1!R233C9</stp>
        <tr r="I233" s="1"/>
      </tp>
      <tp t="s">
        <v>#N/A Field Not Applicable</v>
        <stp/>
        <stp>##V3_BDPV12</stp>
        <stp>912833FN Govt</stp>
        <stp>FIRST_CPN_DT</stp>
        <stp>[STRIPS.xlsx]Sheet1!R738C9</stp>
        <tr r="I738" s="1"/>
      </tp>
      <tp t="s">
        <v>#N/A Field Not Applicable</v>
        <stp/>
        <stp>##V3_BDPV12</stp>
        <stp>912834LA Govt</stp>
        <stp>FIRST_CPN_DT</stp>
        <stp>[STRIPS.xlsx]Sheet1!R402C9</stp>
        <tr r="I402" s="1"/>
      </tp>
      <tp t="s">
        <v>#N/A Field Not Applicable</v>
        <stp/>
        <stp>##V3_BDPV12</stp>
        <stp>912833GA Govt</stp>
        <stp>FIRST_CPN_DT</stp>
        <stp>[STRIPS.xlsx]Sheet1!R439C9</stp>
        <tr r="I439" s="1"/>
      </tp>
      <tp t="s">
        <v>#N/A Field Not Applicable</v>
        <stp/>
        <stp>##V3_BDPV12</stp>
        <stp>912834KA Govt</stp>
        <stp>FIRST_CPN_DT</stp>
        <stp>[STRIPS.xlsx]Sheet1!R165C9</stp>
        <tr r="I165" s="1"/>
      </tp>
      <tp t="s">
        <v>#N/A Field Not Applicable</v>
        <stp/>
        <stp>##V3_BDPV12</stp>
        <stp>912833NC Govt</stp>
        <stp>FIRST_CPN_DT</stp>
        <stp>[STRIPS.xlsx]Sheet1!R570C9</stp>
        <tr r="I570" s="1"/>
      </tp>
      <tp t="s">
        <v>#N/A Field Not Applicable</v>
        <stp/>
        <stp>##V3_BDPV12</stp>
        <stp>912833LB Govt</stp>
        <stp>FIRST_CPN_DT</stp>
        <stp>[STRIPS.xlsx]Sheet1!R332C9</stp>
        <tr r="I332" s="1"/>
      </tp>
      <tp t="s">
        <v>#N/A Field Not Applicable</v>
        <stp/>
        <stp>##V3_BDPV12</stp>
        <stp>912834JD Govt</stp>
        <stp>FIRST_CPN_DT</stp>
        <stp>[STRIPS.xlsx]Sheet1!R314C9</stp>
        <tr r="I314" s="1"/>
      </tp>
      <tp t="s">
        <v>USD</v>
        <stp/>
        <stp>##V3_BDPV12</stp>
        <stp>912834WK Govt</stp>
        <stp>CRNCY</stp>
        <stp>[STRIPS.xlsx]Sheet1!R775C7</stp>
        <tr r="G775" s="1"/>
      </tp>
      <tp t="s">
        <v>USD</v>
        <stp/>
        <stp>##V3_BDPV12</stp>
        <stp>912834VJ Govt</stp>
        <stp>CRNCY</stp>
        <stp>[STRIPS.xlsx]Sheet1!R774C7</stp>
        <tr r="G774" s="1"/>
      </tp>
      <tp t="s">
        <v>USD</v>
        <stp/>
        <stp>##V3_BDPV12</stp>
        <stp>9128336F Govt</stp>
        <stp>CRNCY</stp>
        <stp>[STRIPS.xlsx]Sheet1!R288C7</stp>
        <tr r="G288" s="1"/>
      </tp>
      <tp t="s">
        <v>USD</v>
        <stp/>
        <stp>##V3_BDPV12</stp>
        <stp>912833PH Govt</stp>
        <stp>CRNCY</stp>
        <stp>[STRIPS.xlsx]Sheet1!R336C7</stp>
        <tr r="G336" s="1"/>
      </tp>
      <tp t="s">
        <v>USD</v>
        <stp/>
        <stp>##V3_BDPV12</stp>
        <stp>912834QM Govt</stp>
        <stp>CRNCY</stp>
        <stp>[STRIPS.xlsx]Sheet1!R413C7</stp>
        <tr r="G413" s="1"/>
      </tp>
      <tp t="s">
        <v>USD</v>
        <stp/>
        <stp>##V3_BDPV12</stp>
        <stp>912834TK Govt</stp>
        <stp>CRNCY</stp>
        <stp>[STRIPS.xlsx]Sheet1!R425C7</stp>
        <tr r="G425" s="1"/>
      </tp>
      <tp t="s">
        <v>USD</v>
        <stp/>
        <stp>##V3_BDPV12</stp>
        <stp>912833KL Govt</stp>
        <stp>CRNCY</stp>
        <stp>[STRIPS.xlsx]Sheet1!R302C7</stp>
        <tr r="G302" s="1"/>
      </tp>
      <tp t="s">
        <v>USD</v>
        <stp/>
        <stp>##V3_BDPV12</stp>
        <stp>912833KM Govt</stp>
        <stp>CRNCY</stp>
        <stp>[STRIPS.xlsx]Sheet1!R303C7</stp>
        <tr r="G303" s="1"/>
      </tp>
      <tp t="s">
        <v>USD</v>
        <stp/>
        <stp>##V3_BDPV12</stp>
        <stp>912833KF Govt</stp>
        <stp>CRNCY</stp>
        <stp>[STRIPS.xlsx]Sheet1!R368C7</stp>
        <tr r="G368" s="1"/>
      </tp>
      <tp t="s">
        <v>USD</v>
        <stp/>
        <stp>##V3_BDPV12</stp>
        <stp>912833MH Govt</stp>
        <stp>CRNCY</stp>
        <stp>[STRIPS.xlsx]Sheet1!R306C7</stp>
        <tr r="G306" s="1"/>
      </tp>
      <tp t="s">
        <v>USD</v>
        <stp/>
        <stp>##V3_BDPV12</stp>
        <stp>912833NJ Govt</stp>
        <stp>CRNCY</stp>
        <stp>[STRIPS.xlsx]Sheet1!R334C7</stp>
        <tr r="G334" s="1"/>
      </tp>
      <tp t="s">
        <v>USD</v>
        <stp/>
        <stp>##V3_BDPV12</stp>
        <stp>912834MK Govt</stp>
        <stp>CRNCY</stp>
        <stp>[STRIPS.xlsx]Sheet1!R405C7</stp>
        <tr r="G405" s="1"/>
      </tp>
      <tp t="s">
        <v>USD</v>
        <stp/>
        <stp>##V3_BDPV12</stp>
        <stp>912834EL Govt</stp>
        <stp>CRNCY</stp>
        <stp>[STRIPS.xlsx]Sheet1!R462C7</stp>
        <tr r="G462" s="1"/>
      </tp>
      <tp t="s">
        <v>USD</v>
        <stp/>
        <stp>##V3_BDPV12</stp>
        <stp>912834EM Govt</stp>
        <stp>CRNCY</stp>
        <stp>[STRIPS.xlsx]Sheet1!R463C7</stp>
        <tr r="G463" s="1"/>
      </tp>
      <tp t="s">
        <v>USD</v>
        <stp/>
        <stp>##V3_BDPV12</stp>
        <stp>912833MK Govt</stp>
        <stp>CRNCY</stp>
        <stp>[STRIPS.xlsx]Sheet1!R445C7</stp>
        <tr r="G445" s="1"/>
      </tp>
      <tp t="s">
        <v>USD</v>
        <stp/>
        <stp>##V3_BDPV12</stp>
        <stp>912834MH Govt</stp>
        <stp>CRNCY</stp>
        <stp>[STRIPS.xlsx]Sheet1!R326C7</stp>
        <tr r="G326" s="1"/>
      </tp>
      <tp t="s">
        <v>USD</v>
        <stp/>
        <stp>##V3_BDPV12</stp>
        <stp>912834BM Govt</stp>
        <stp>CRNCY</stp>
        <stp>[STRIPS.xlsx]Sheet1!R353C7</stp>
        <tr r="G353" s="1"/>
      </tp>
      <tp t="s">
        <v>USD</v>
        <stp/>
        <stp>##V3_BDPV12</stp>
        <stp>912834EN Govt</stp>
        <stp>CRNCY</stp>
        <stp>[STRIPS.xlsx]Sheet1!R310C7</stp>
        <tr r="G310" s="1"/>
      </tp>
      <tp t="s">
        <v>USD</v>
        <stp/>
        <stp>##V3_BDPV12</stp>
        <stp>912833DH Govt</stp>
        <stp>CRNCY</stp>
        <stp>[STRIPS.xlsx]Sheet1!R506C7</stp>
        <tr r="G506" s="1"/>
      </tp>
      <tp t="s">
        <v>USD</v>
        <stp/>
        <stp>##V3_BDPV12</stp>
        <stp>912834BL Govt</stp>
        <stp>CRNCY</stp>
        <stp>[STRIPS.xlsx]Sheet1!R262C7</stp>
        <tr r="G262" s="1"/>
      </tp>
      <tp t="s">
        <v>USD</v>
        <stp/>
        <stp>##V3_BDPV12</stp>
        <stp>9128333L Govt</stp>
        <stp>CRNCY</stp>
        <stp>[STRIPS.xlsx]Sheet1!R552C7</stp>
        <tr r="G552" s="1"/>
      </tp>
      <tp t="s">
        <v>USD</v>
        <stp/>
        <stp>##V3_BDPV12</stp>
        <stp>912834VH Govt</stp>
        <stp>CRNCY</stp>
        <stp>[STRIPS.xlsx]Sheet1!R146C7</stp>
        <tr r="G146" s="1"/>
      </tp>
      <tp t="s">
        <v>USD</v>
        <stp/>
        <stp>##V3_BDPV12</stp>
        <stp>912833PF Govt</stp>
        <stp>CRNCY</stp>
        <stp>[STRIPS.xlsx]Sheet1!R678C7</stp>
        <tr r="G678" s="1"/>
      </tp>
      <tp t="s">
        <v>USD</v>
        <stp/>
        <stp>##V3_BDPV12</stp>
        <stp>912833PG Govt</stp>
        <stp>CRNCY</stp>
        <stp>[STRIPS.xlsx]Sheet1!R679C7</stp>
        <tr r="G679" s="1"/>
      </tp>
      <tp t="s">
        <v>USD</v>
        <stp/>
        <stp>##V3_BDPV12</stp>
        <stp>912834PJ Govt</stp>
        <stp>CRNCY</stp>
        <stp>[STRIPS.xlsx]Sheet1!R144C7</stp>
        <tr r="G144" s="1"/>
      </tp>
      <tp t="s">
        <v>USD</v>
        <stp/>
        <stp>##V3_BDPV12</stp>
        <stp>912834QL Govt</stp>
        <stp>CRNCY</stp>
        <stp>[STRIPS.xlsx]Sheet1!R142C7</stp>
        <tr r="G142" s="1"/>
      </tp>
      <tp t="s">
        <v>USD</v>
        <stp/>
        <stp>##V3_BDPV12</stp>
        <stp>912833FF Govt</stp>
        <stp>CRNCY</stp>
        <stp>[STRIPS.xlsx]Sheet1!R618C7</stp>
        <tr r="G618" s="1"/>
      </tp>
      <tp t="s">
        <v>USD</v>
        <stp/>
        <stp>##V3_BDPV12</stp>
        <stp>9128334G Govt</stp>
        <stp>CRNCY</stp>
        <stp>[STRIPS.xlsx]Sheet1!R709C7</stp>
        <tr r="G709" s="1"/>
      </tp>
      <tp t="s">
        <v>#N/A Field Not Applicable</v>
        <stp/>
        <stp>##V3_BDPV12</stp>
        <stp>912833FF Govt</stp>
        <stp>FIRST_CPN_DT</stp>
        <stp>[STRIPS.xlsx]Sheet1!R618C9</stp>
        <tr r="I618" s="1"/>
      </tp>
      <tp t="s">
        <v>NORMAL</v>
        <stp/>
        <stp>##V3_BDPV12</stp>
        <stp>912834EH Govt</stp>
        <stp>MTY_TYP</stp>
        <stp>[STRIPS.xlsx]Sheet1!R309C6</stp>
        <tr r="F309" s="1"/>
      </tp>
      <tp t="s">
        <v>NORMAL</v>
        <stp/>
        <stp>##V3_BDPV12</stp>
        <stp>912834BP Govt</stp>
        <stp>MTY_TYP</stp>
        <stp>[STRIPS.xlsx]Sheet1!R389C6</stp>
        <tr r="F389" s="1"/>
      </tp>
      <tp t="s">
        <v>NORMAL</v>
        <stp/>
        <stp>##V3_BDPV12</stp>
        <stp>912834BQ Govt</stp>
        <stp>MTY_TYP</stp>
        <stp>[STRIPS.xlsx]Sheet1!R459C6</stp>
        <tr r="F459" s="1"/>
      </tp>
      <tp t="s">
        <v>NORMAL</v>
        <stp/>
        <stp>##V3_BDPV12</stp>
        <stp>912834BB Govt</stp>
        <stp>MTY_TYP</stp>
        <stp>[STRIPS.xlsx]Sheet1!R349C6</stp>
        <tr r="F349" s="1"/>
      </tp>
      <tp t="s">
        <v>NORMAL</v>
        <stp/>
        <stp>##V3_BDPV12</stp>
        <stp>912834BA Govt</stp>
        <stp>MTY_TYP</stp>
        <stp>[STRIPS.xlsx]Sheet1!R529C6</stp>
        <tr r="F529" s="1"/>
      </tp>
      <tp t="s">
        <v>NORMAL</v>
        <stp/>
        <stp>##V3_BDPV12</stp>
        <stp>912834A3 Govt</stp>
        <stp>MTY_TYP</stp>
        <stp>[STRIPS.xlsx]Sheet1!R119C6</stp>
        <tr r="F119" s="1"/>
      </tp>
      <tp t="s">
        <v>NORMAL</v>
        <stp/>
        <stp>##V3_BDPV12</stp>
        <stp>912834AA Govt</stp>
        <stp>MTY_TYP</stp>
        <stp>[STRIPS.xlsx]Sheet1!R589C6</stp>
        <tr r="F589" s="1"/>
      </tp>
      <tp t="s">
        <v>NORMAL</v>
        <stp/>
        <stp>##V3_BDPV12</stp>
        <stp>912834AN Govt</stp>
        <stp>MTY_TYP</stp>
        <stp>[STRIPS.xlsx]Sheet1!R259C6</stp>
        <tr r="F259" s="1"/>
      </tp>
      <tp t="s">
        <v>12/15/2003</v>
        <stp/>
        <stp>##V3_BDPV12</stp>
        <stp>912833A9 Govt</stp>
        <stp>ISSUE_DT</stp>
        <stp>[STRIPS.xlsx]Sheet1!R609C15</stp>
        <tr r="O609" s="1"/>
      </tp>
      <tp t="s">
        <v>2/2/2004</v>
        <stp/>
        <stp>##V3_BDPV12</stp>
        <stp>912833C9 Govt</stp>
        <stp>ISSUE_DT</stp>
        <stp>[STRIPS.xlsx]Sheet1!R613C15</stp>
        <tr r="O613" s="1"/>
      </tp>
      <tp t="s">
        <v>NORMAL</v>
        <stp/>
        <stp>##V3_BDPV12</stp>
        <stp>912834NM Govt</stp>
        <stp>MTY_TYP</stp>
        <stp>[STRIPS.xlsx]Sheet1!R409C6</stp>
        <tr r="F409" s="1"/>
      </tp>
      <tp t="s">
        <v>12/15/2003</v>
        <stp/>
        <stp>##V3_BDPV12</stp>
        <stp>912833B9 Govt</stp>
        <stp>ISSUE_DT</stp>
        <stp>[STRIPS.xlsx]Sheet1!R434C15</stp>
        <tr r="O434" s="1"/>
      </tp>
      <tp t="s">
        <v>12/31/2007</v>
        <stp/>
        <stp>##V3_BDPV12</stp>
        <stp>912833Y9 Govt</stp>
        <stp>ISSUE_DT</stp>
        <stp>[STRIPS.xlsx]Sheet1!R450C15</stp>
        <tr r="O450" s="1"/>
      </tp>
      <tp t="s">
        <v>NORMAL</v>
        <stp/>
        <stp>##V3_BDPV12</stp>
        <stp>912834MU Govt</stp>
        <stp>MTY_TYP</stp>
        <stp>[STRIPS.xlsx]Sheet1!R419C6</stp>
        <tr r="F419" s="1"/>
      </tp>
      <tp t="s">
        <v>4/30/2008</v>
        <stp/>
        <stp>##V3_BDPV12</stp>
        <stp>912833Z9 Govt</stp>
        <stp>ISSUE_DT</stp>
        <stp>[STRIPS.xlsx]Sheet1!R526C15</stp>
        <tr r="O526" s="1"/>
      </tp>
      <tp t="s">
        <v>NORMAL</v>
        <stp/>
        <stp>##V3_BDPV12</stp>
        <stp>912834LU Govt</stp>
        <stp>MTY_TYP</stp>
        <stp>[STRIPS.xlsx]Sheet1!R359C6</stp>
        <tr r="F359" s="1"/>
      </tp>
      <tp t="s">
        <v>NORMAL</v>
        <stp/>
        <stp>##V3_BDPV12</stp>
        <stp>912834LY Govt</stp>
        <stp>MTY_TYP</stp>
        <stp>[STRIPS.xlsx]Sheet1!R539C6</stp>
        <tr r="F539" s="1"/>
      </tp>
      <tp t="s">
        <v>NORMAL</v>
        <stp/>
        <stp>##V3_BDPV12</stp>
        <stp>912834KT Govt</stp>
        <stp>MTY_TYP</stp>
        <stp>[STRIPS.xlsx]Sheet1!R319C6</stp>
        <tr r="F319" s="1"/>
      </tp>
      <tp t="s">
        <v>NORMAL</v>
        <stp/>
        <stp>##V3_BDPV12</stp>
        <stp>912834KZ Govt</stp>
        <stp>MTY_TYP</stp>
        <stp>[STRIPS.xlsx]Sheet1!R269C6</stp>
        <tr r="F269" s="1"/>
      </tp>
      <tp t="s">
        <v>NORMAL</v>
        <stp/>
        <stp>##V3_BDPV12</stp>
        <stp>912834KF Govt</stp>
        <stp>MTY_TYP</stp>
        <stp>[STRIPS.xlsx]Sheet1!R229C6</stp>
        <tr r="F229" s="1"/>
      </tp>
      <tp t="s">
        <v>NORMAL</v>
        <stp/>
        <stp>##V3_BDPV12</stp>
        <stp>912834KN Govt</stp>
        <stp>MTY_TYP</stp>
        <stp>[STRIPS.xlsx]Sheet1!R469C6</stp>
        <tr r="F469" s="1"/>
      </tp>
      <tp t="s">
        <v>NORMAL</v>
        <stp/>
        <stp>##V3_BDPV12</stp>
        <stp>912834KM Govt</stp>
        <stp>MTY_TYP</stp>
        <stp>[STRIPS.xlsx]Sheet1!R399C6</stp>
        <tr r="F399" s="1"/>
      </tp>
      <tp t="s">
        <v>NORMAL</v>
        <stp/>
        <stp>##V3_BDPV12</stp>
        <stp>912834WV Govt</stp>
        <stp>MTY_TYP</stp>
        <stp>[STRIPS.xlsx]Sheet1!R129C6</stp>
        <tr r="F129" s="1"/>
      </tp>
      <tp t="s">
        <v>NORMAL</v>
        <stp/>
        <stp>##V3_BDPV12</stp>
        <stp>912834WY Govt</stp>
        <stp>MTY_TYP</stp>
        <stp>[STRIPS.xlsx]Sheet1!R189C6</stp>
        <tr r="F189" s="1"/>
      </tp>
      <tp t="s">
        <v>NORMAL</v>
        <stp/>
        <stp>##V3_BDPV12</stp>
        <stp>912834VU Govt</stp>
        <stp>MTY_TYP</stp>
        <stp>[STRIPS.xlsx]Sheet1!R769C6</stp>
        <tr r="F769" s="1"/>
      </tp>
      <tp t="s">
        <v>NORMAL</v>
        <stp/>
        <stp>##V3_BDPV12</stp>
        <stp>912834VB Govt</stp>
        <stp>MTY_TYP</stp>
        <stp>[STRIPS.xlsx]Sheet1!R159C6</stp>
        <tr r="F159" s="1"/>
      </tp>
      <tp t="s">
        <v>NORMAL</v>
        <stp/>
        <stp>##V3_BDPV12</stp>
        <stp>912834VF Govt</stp>
        <stp>MTY_TYP</stp>
        <stp>[STRIPS.xlsx]Sheet1!R219C6</stp>
        <tr r="F219" s="1"/>
      </tp>
      <tp t="s">
        <v>NORMAL</v>
        <stp/>
        <stp>##V3_BDPV12</stp>
        <stp>912834TY Govt</stp>
        <stp>MTY_TYP</stp>
        <stp>[STRIPS.xlsx]Sheet1!R199C6</stp>
        <tr r="F199" s="1"/>
      </tp>
      <tp t="s">
        <v>NORMAL</v>
        <stp/>
        <stp>##V3_BDPV12</stp>
        <stp>912834TZ Govt</stp>
        <stp>MTY_TYP</stp>
        <stp>[STRIPS.xlsx]Sheet1!R139C6</stp>
        <tr r="F139" s="1"/>
      </tp>
      <tp t="s">
        <v>NORMAL</v>
        <stp/>
        <stp>##V3_BDPV12</stp>
        <stp>912834RU Govt</stp>
        <stp>MTY_TYP</stp>
        <stp>[STRIPS.xlsx]Sheet1!R759C6</stp>
        <tr r="F759" s="1"/>
      </tp>
      <tp t="s">
        <v>NORMAL</v>
        <stp/>
        <stp>##V3_BDPV12</stp>
        <stp>912834RS Govt</stp>
        <stp>MTY_TYP</stp>
        <stp>[STRIPS.xlsx]Sheet1!R169C6</stp>
        <tr r="F169" s="1"/>
      </tp>
      <tp t="s">
        <v>NORMAL</v>
        <stp/>
        <stp>##V3_BDPV12</stp>
        <stp>912834QZ Govt</stp>
        <stp>MTY_TYP</stp>
        <stp>[STRIPS.xlsx]Sheet1!R279C6</stp>
        <tr r="F279" s="1"/>
      </tp>
      <tp t="s">
        <v>NORMAL</v>
        <stp/>
        <stp>##V3_BDPV12</stp>
        <stp>912834QE Govt</stp>
        <stp>MTY_TYP</stp>
        <stp>[STRIPS.xlsx]Sheet1!R149C6</stp>
        <tr r="F149" s="1"/>
      </tp>
      <tp t="s">
        <v>NORMAL</v>
        <stp/>
        <stp>##V3_BDPV12</stp>
        <stp>912834QN Govt</stp>
        <stp>MTY_TYP</stp>
        <stp>[STRIPS.xlsx]Sheet1!R179C6</stp>
        <tr r="F179" s="1"/>
      </tp>
      <tp t="s">
        <v>NORMAL</v>
        <stp/>
        <stp>##V3_BDPV12</stp>
        <stp>912834PS Govt</stp>
        <stp>MTY_TYP</stp>
        <stp>[STRIPS.xlsx]Sheet1!R209C6</stp>
        <tr r="F209" s="1"/>
      </tp>
      <tp t="s">
        <v>NORMAL</v>
        <stp/>
        <stp>##V3_BDPV12</stp>
        <stp>912834PV Govt</stp>
        <stp>MTY_TYP</stp>
        <stp>[STRIPS.xlsx]Sheet1!R479C6</stp>
        <tr r="F479" s="1"/>
      </tp>
      <tp t="s">
        <v>NORMAL</v>
        <stp/>
        <stp>##V3_BDPV12</stp>
        <stp>912834PR Govt</stp>
        <stp>MTY_TYP</stp>
        <stp>[STRIPS.xlsx]Sheet1!R549C6</stp>
        <tr r="F549" s="1"/>
      </tp>
      <tp t="s">
        <v>NORMAL</v>
        <stp/>
        <stp>##V3_BDPV12</stp>
        <stp>912834PB Govt</stp>
        <stp>MTY_TYP</stp>
        <stp>[STRIPS.xlsx]Sheet1!R109C6</stp>
        <tr r="F109" s="1"/>
      </tp>
      <tp t="s">
        <v>NORMAL</v>
        <stp/>
        <stp>##V3_BDPV12</stp>
        <stp>912834PK Govt</stp>
        <stp>MTY_TYP</stp>
        <stp>[STRIPS.xlsx]Sheet1!R329C6</stp>
        <tr r="F329" s="1"/>
      </tp>
      <tp t="s">
        <v>USD</v>
        <stp/>
        <stp>##V3_BDPV12</stp>
        <stp>912833LW Govt</stp>
        <stp>CRNCY</stp>
        <stp>[STRIPS.xlsx]Sheet1!R2C7</stp>
        <tr r="G2" s="1"/>
      </tp>
      <tp t="s">
        <v>#N/A Field Not Applicable</v>
        <stp/>
        <stp>##V3_BDPV12</stp>
        <stp>912834NY Govt</stp>
        <stp>FIRST_CPN_DT</stp>
        <stp>[STRIPS.xlsx]Sheet1!R143C9</stp>
        <tr r="I143" s="1"/>
      </tp>
      <tp t="s">
        <v>#N/A Field Not Applicable</v>
        <stp/>
        <stp>##V3_BDPV12</stp>
        <stp>912834HZ Govt</stp>
        <stp>FIRST_CPN_DT</stp>
        <stp>[STRIPS.xlsx]Sheet1!R265C9</stp>
        <tr r="I265" s="1"/>
      </tp>
      <tp t="s">
        <v>#N/A Field Not Applicable</v>
        <stp/>
        <stp>##V3_BDPV12</stp>
        <stp>912833KQ Govt</stp>
        <stp>FIRST_CPN_DT</stp>
        <stp>[STRIPS.xlsx]Sheet1!R566C9</stp>
        <tr r="I566" s="1"/>
      </tp>
      <tp t="s">
        <v>#N/A Field Not Applicable</v>
        <stp/>
        <stp>##V3_BDPV12</stp>
        <stp>912834NQ Govt</stp>
        <stp>FIRST_CPN_DT</stp>
        <stp>[STRIPS.xlsx]Sheet1!R273C9</stp>
        <tr r="I273" s="1"/>
      </tp>
      <tp t="s">
        <v>#N/A Field Not Applicable</v>
        <stp/>
        <stp>##V3_BDPV12</stp>
        <stp>912833NP Govt</stp>
        <stp>FIRST_CPN_DT</stp>
        <stp>[STRIPS.xlsx]Sheet1!R373C9</stp>
        <tr r="I373" s="1"/>
      </tp>
      <tp t="s">
        <v>#N/A Field Not Applicable</v>
        <stp/>
        <stp>##V3_BDPV12</stp>
        <stp>912833KS Govt</stp>
        <stp>FIRST_CPN_DT</stp>
        <stp>[STRIPS.xlsx]Sheet1!R176C9</stp>
        <tr r="I176" s="1"/>
      </tp>
      <tp t="s">
        <v>#N/A Field Not Applicable</v>
        <stp/>
        <stp>##V3_BDPV12</stp>
        <stp>912834HR Govt</stp>
        <stp>FIRST_CPN_DT</stp>
        <stp>[STRIPS.xlsx]Sheet1!R535C9</stp>
        <tr r="I535" s="1"/>
      </tp>
      <tp t="s">
        <v>#N/A Field Not Applicable</v>
        <stp/>
        <stp>##V3_BDPV12</stp>
        <stp>912834HU Govt</stp>
        <stp>FIRST_CPN_DT</stp>
        <stp>[STRIPS.xlsx]Sheet1!R225C9</stp>
        <tr r="I225" s="1"/>
      </tp>
      <tp t="s">
        <v>#N/A Field Not Applicable</v>
        <stp/>
        <stp>##V3_BDPV12</stp>
        <stp>912834JT Govt</stp>
        <stp>FIRST_CPN_DT</stp>
        <stp>[STRIPS.xlsx]Sheet1!R467C9</stp>
        <tr r="I467" s="1"/>
      </tp>
      <tp t="s">
        <v>#N/A Field Not Applicable</v>
        <stp/>
        <stp>##V3_BDPV12</stp>
        <stp>912834HT Govt</stp>
        <stp>FIRST_CPN_DT</stp>
        <stp>[STRIPS.xlsx]Sheet1!R355C9</stp>
        <tr r="I355" s="1"/>
      </tp>
      <tp t="s">
        <v>#N/A Field Not Applicable</v>
        <stp/>
        <stp>##V3_BDPV12</stp>
        <stp>912833MJ Govt</stp>
        <stp>FIRST_CPN_DT</stp>
        <stp>[STRIPS.xlsx]Sheet1!R370C9</stp>
        <tr r="I370" s="1"/>
      </tp>
      <tp t="s">
        <v>#N/A Field Not Applicable</v>
        <stp/>
        <stp>##V3_BDPV12</stp>
        <stp>912834JM Govt</stp>
        <stp>FIRST_CPN_DT</stp>
        <stp>[STRIPS.xlsx]Sheet1!R397C9</stp>
        <tr r="I397" s="1"/>
      </tp>
      <tp t="s">
        <v>#N/A Field Not Applicable</v>
        <stp/>
        <stp>##V3_BDPV12</stp>
        <stp>912834LN Govt</stp>
        <stp>FIRST_CPN_DT</stp>
        <stp>[STRIPS.xlsx]Sheet1!R231C9</stp>
        <tr r="I231" s="1"/>
      </tp>
      <tp t="s">
        <v>#N/A Field Not Applicable</v>
        <stp/>
        <stp>##V3_BDPV12</stp>
        <stp>912834JN Govt</stp>
        <stp>FIRST_CPN_DT</stp>
        <stp>[STRIPS.xlsx]Sheet1!R357C9</stp>
        <tr r="I357" s="1"/>
      </tp>
      <tp t="s">
        <v>#N/A Field Not Applicable</v>
        <stp/>
        <stp>##V3_BDPV12</stp>
        <stp>912834JA Govt</stp>
        <stp>FIRST_CPN_DT</stp>
        <stp>[STRIPS.xlsx]Sheet1!R537C9</stp>
        <tr r="I537" s="1"/>
      </tp>
      <tp t="s">
        <v>#N/A Field Not Applicable</v>
        <stp/>
        <stp>##V3_BDPV12</stp>
        <stp>912834JC Govt</stp>
        <stp>FIRST_CPN_DT</stp>
        <stp>[STRIPS.xlsx]Sheet1!R227C9</stp>
        <tr r="I227" s="1"/>
      </tp>
      <tp t="s">
        <v>#N/A Field Not Applicable</v>
        <stp/>
        <stp>##V3_BDPV12</stp>
        <stp>912834MB Govt</stp>
        <stp>FIRST_CPN_DT</stp>
        <stp>[STRIPS.xlsx]Sheet1!R540C9</stp>
        <tr r="I540" s="1"/>
      </tp>
      <tp t="s">
        <v>#N/A Field Not Applicable</v>
        <stp/>
        <stp>##V3_BDPV12</stp>
        <stp>912834KE Govt</stp>
        <stp>FIRST_CPN_DT</stp>
        <stp>[STRIPS.xlsx]Sheet1!R316C9</stp>
        <tr r="I316" s="1"/>
      </tp>
      <tp t="s">
        <v>#N/A Field Not Applicable</v>
        <stp/>
        <stp>##V3_BDPV12</stp>
        <stp>912833DD Govt</stp>
        <stp>FIRST_CPN_DT</stp>
        <stp>[STRIPS.xlsx]Sheet1!R659C9</stp>
        <tr r="I659" s="1"/>
      </tp>
      <tp t="s">
        <v>#N/A Field Not Applicable</v>
        <stp/>
        <stp>##V3_BDPV12</stp>
        <stp>912833LD Govt</stp>
        <stp>FIRST_CPN_DT</stp>
        <stp>[STRIPS.xlsx]Sheet1!R151C9</stp>
        <tr r="I151" s="1"/>
      </tp>
      <tp t="s">
        <v>USD</v>
        <stp/>
        <stp>##V3_BDPV12</stp>
        <stp>912834TJ Govt</stp>
        <stp>CRNCY</stp>
        <stp>[STRIPS.xlsx]Sheet1!R757C7</stp>
        <tr r="G757" s="1"/>
      </tp>
      <tp t="s">
        <v>USD</v>
        <stp/>
        <stp>##V3_BDPV12</stp>
        <stp>912833CJ Govt</stp>
        <stp>CRNCY</stp>
        <stp>[STRIPS.xlsx]Sheet1!R297C7</stp>
        <tr r="G297" s="1"/>
      </tp>
      <tp t="s">
        <v>USD</v>
        <stp/>
        <stp>##V3_BDPV12</stp>
        <stp>912834JK Govt</stp>
        <stp>CRNCY</stp>
        <stp>[STRIPS.xlsx]Sheet1!R466C7</stp>
        <tr r="G466" s="1"/>
      </tp>
      <tp t="s">
        <v>USD</v>
        <stp/>
        <stp>##V3_BDPV12</stp>
        <stp>912834AH Govt</stp>
        <stp>CRNCY</stp>
        <stp>[STRIPS.xlsx]Sheet1!R385C7</stp>
        <tr r="G385" s="1"/>
      </tp>
      <tp t="s">
        <v>USD</v>
        <stp/>
        <stp>##V3_BDPV12</stp>
        <stp>9128336H Govt</stp>
        <stp>CRNCY</stp>
        <stp>[STRIPS.xlsx]Sheet1!R495C7</stp>
        <tr r="G495" s="1"/>
      </tp>
      <tp t="s">
        <v>USD</v>
        <stp/>
        <stp>##V3_BDPV12</stp>
        <stp>9128336K Govt</stp>
        <stp>CRNCY</stp>
        <stp>[STRIPS.xlsx]Sheet1!R496C7</stp>
        <tr r="G496" s="1"/>
      </tp>
      <tp t="s">
        <v>USD</v>
        <stp/>
        <stp>##V3_BDPV12</stp>
        <stp>9128333J Govt</stp>
        <stp>CRNCY</stp>
        <stp>[STRIPS.xlsx]Sheet1!R427C7</stp>
        <tr r="G427" s="1"/>
      </tp>
      <tp t="s">
        <v>USD</v>
        <stp/>
        <stp>##V3_BDPV12</stp>
        <stp>912833ZJ Govt</stp>
        <stp>CRNCY</stp>
        <stp>[STRIPS.xlsx]Sheet1!R527C7</stp>
        <tr r="G527" s="1"/>
      </tp>
      <tp t="s">
        <v>USD</v>
        <stp/>
        <stp>##V3_BDPV12</stp>
        <stp>912833QM Govt</stp>
        <stp>CRNCY</stp>
        <stp>[STRIPS.xlsx]Sheet1!R520C7</stp>
        <tr r="G520" s="1"/>
      </tp>
      <tp t="s">
        <v>USD</v>
        <stp/>
        <stp>##V3_BDPV12</stp>
        <stp>912834WH Govt</stp>
        <stp>CRNCY</stp>
        <stp>[STRIPS.xlsx]Sheet1!R215C7</stp>
        <tr r="G215" s="1"/>
      </tp>
      <tp t="s">
        <v>USD</v>
        <stp/>
        <stp>##V3_BDPV12</stp>
        <stp>912833KH Govt</stp>
        <stp>CRNCY</stp>
        <stp>[STRIPS.xlsx]Sheet1!R565C7</stp>
        <tr r="G565" s="1"/>
      </tp>
      <tp t="s">
        <v>USD</v>
        <stp/>
        <stp>##V3_BDPV12</stp>
        <stp>912834KJ Govt</stp>
        <stp>CRNCY</stp>
        <stp>[STRIPS.xlsx]Sheet1!R267C7</stp>
        <tr r="G267" s="1"/>
      </tp>
      <tp t="s">
        <v>USD</v>
        <stp/>
        <stp>##V3_BDPV12</stp>
        <stp>912834BN Govt</stp>
        <stp>CRNCY</stp>
        <stp>[STRIPS.xlsx]Sheet1!R263C7</stp>
        <tr r="G263" s="1"/>
      </tp>
      <tp t="s">
        <v>USD</v>
        <stp/>
        <stp>##V3_BDPV12</stp>
        <stp>912834UM Govt</stp>
        <stp>CRNCY</stp>
        <stp>[STRIPS.xlsx]Sheet1!R180C7</stp>
        <tr r="G180" s="1"/>
      </tp>
      <tp t="s">
        <v>USD</v>
        <stp/>
        <stp>##V3_BDPV12</stp>
        <stp>912833QL Govt</stp>
        <stp>CRNCY</stp>
        <stp>[STRIPS.xlsx]Sheet1!R631C7</stp>
        <tr r="G631" s="1"/>
      </tp>
      <tp t="s">
        <v>USD</v>
        <stp/>
        <stp>##V3_BDPV12</stp>
        <stp>912834RE Govt</stp>
        <stp>CRNCY</stp>
        <stp>[STRIPS.xlsx]Sheet1!R168C7</stp>
        <tr r="G168" s="1"/>
      </tp>
      <tp t="s">
        <v>USD</v>
        <stp/>
        <stp>##V3_BDPV12</stp>
        <stp>912834UH Govt</stp>
        <stp>CRNCY</stp>
        <stp>[STRIPS.xlsx]Sheet1!R105C7</stp>
        <tr r="G105" s="1"/>
      </tp>
      <tp t="s">
        <v>USD</v>
        <stp/>
        <stp>##V3_BDPV12</stp>
        <stp>912833CH Govt</stp>
        <stp>CRNCY</stp>
        <stp>[STRIPS.xlsx]Sheet1!R615C7</stp>
        <tr r="G615" s="1"/>
      </tp>
      <tp t="s">
        <v>USD</v>
        <stp/>
        <stp>##V3_BDPV12</stp>
        <stp>912834AE Govt</stp>
        <stp>CRNCY</stp>
        <stp>[STRIPS.xlsx]Sheet1!R118C7</stp>
        <tr r="G118" s="1"/>
      </tp>
      <tp t="s">
        <v>USD</v>
        <stp/>
        <stp>##V3_BDPV12</stp>
        <stp>912833DD Govt</stp>
        <stp>CRNCY</stp>
        <stp>[STRIPS.xlsx]Sheet1!R659C7</stp>
        <tr r="G659" s="1"/>
      </tp>
      <tp t="s">
        <v>USD</v>
        <stp/>
        <stp>##V3_BDPV12</stp>
        <stp>9128337L Govt</stp>
        <stp>CRNCY</stp>
        <stp>[STRIPS.xlsx]Sheet1!R651C7</stp>
        <tr r="G651" s="1"/>
      </tp>
      <tp t="s">
        <v>USD</v>
        <stp/>
        <stp>##V3_BDPV12</stp>
        <stp>912833FJ Govt</stp>
        <stp>CRNCY</stp>
        <stp>[STRIPS.xlsx]Sheet1!R737C7</stp>
        <tr r="G737" s="1"/>
      </tp>
      <tp t="s">
        <v>USD</v>
        <stp/>
        <stp>##V3_BDPV12</stp>
        <stp>9128336D Govt</stp>
        <stp>CRNCY</stp>
        <stp>[STRIPS.xlsx]Sheet1!R749C7</stp>
        <tr r="G749" s="1"/>
      </tp>
      <tp t="s">
        <v>USD</v>
        <stp/>
        <stp>##V3_BDPV12</stp>
        <stp>9128334E Govt</stp>
        <stp>CRNCY</stp>
        <stp>[STRIPS.xlsx]Sheet1!R708C7</stp>
        <tr r="G708" s="1"/>
      </tp>
      <tp t="s">
        <v>USD</v>
        <stp/>
        <stp>##V3_BDPV12</stp>
        <stp>9128335M Govt</stp>
        <stp>CRNCY</stp>
        <stp>[STRIPS.xlsx]Sheet1!R710C7</stp>
        <tr r="G710" s="1"/>
      </tp>
      <tp t="s">
        <v>USD</v>
        <stp/>
        <stp>##V3_BDPV12</stp>
        <stp>9128336E Govt</stp>
        <stp>CRNCY</stp>
        <stp>[STRIPS.xlsx]Sheet1!R728C7</stp>
        <tr r="G728" s="1"/>
      </tp>
      <tp t="s">
        <v>#N/A Field Not Applicable</v>
        <stp/>
        <stp>##V3_BDPV12</stp>
        <stp>912834LG Govt</stp>
        <stp>FIRST_CPN_DT</stp>
        <stp>[STRIPS.xlsx]Sheet1!R321C9</stp>
        <tr r="I321" s="1"/>
      </tp>
      <tp t="s">
        <v>#N/A Field Not Applicable</v>
        <stp/>
        <stp>##V3_BDPV12</stp>
        <stp>912834JF Govt</stp>
        <stp>FIRST_CPN_DT</stp>
        <stp>[STRIPS.xlsx]Sheet1!R647C9</stp>
        <tr r="I647" s="1"/>
      </tp>
      <tp>
        <v>2.1809999999999885</v>
        <stp/>
        <stp>##V3_BDPV12</stp>
        <stp>912834WZ Govt</stp>
        <stp>YLD_YTM_BID</stp>
        <stp>[STRIPS.xlsx]Sheet1!R6C4</stp>
        <tr r="D6" s="1"/>
      </tp>
      <tp t="s">
        <v>USD</v>
        <stp/>
        <stp>##V3_BDPV12</stp>
        <stp>912834WZ Govt</stp>
        <stp>CRNCY</stp>
        <stp>[STRIPS.xlsx]Sheet1!R6C7</stp>
        <tr r="G6" s="1"/>
      </tp>
      <tp t="s">
        <v>#N/A Field Not Applicable</v>
        <stp/>
        <stp>##V3_BDPV12</stp>
        <stp>912833KX Govt</stp>
        <stp>FIRST_CPN_DT</stp>
        <stp>[STRIPS.xlsx]Sheet1!R157C9</stp>
        <tr r="I157" s="1"/>
      </tp>
      <tp t="s">
        <v>#N/A Field Not Applicable</v>
        <stp/>
        <stp>##V3_BDPV12</stp>
        <stp>912834JZ Govt</stp>
        <stp>FIRST_CPN_DT</stp>
        <stp>[STRIPS.xlsx]Sheet1!R266C9</stp>
        <tr r="I266" s="1"/>
      </tp>
      <tp t="s">
        <v>#N/A Field Not Applicable</v>
        <stp/>
        <stp>##V3_BDPV12</stp>
        <stp>912834LS Govt</stp>
        <stp>FIRST_CPN_DT</stp>
        <stp>[STRIPS.xlsx]Sheet1!R270C9</stp>
        <tr r="I270" s="1"/>
      </tp>
      <tp t="s">
        <v>#N/A Field Not Applicable</v>
        <stp/>
        <stp>##V3_BDPV12</stp>
        <stp>912834NR Govt</stp>
        <stp>FIRST_CPN_DT</stp>
        <stp>[STRIPS.xlsx]Sheet1!R422C9</stp>
        <tr r="I422" s="1"/>
      </tp>
      <tp t="s">
        <v>#N/A Field Not Applicable</v>
        <stp/>
        <stp>##V3_BDPV12</stp>
        <stp>912833NR Govt</stp>
        <stp>FIRST_CPN_DT</stp>
        <stp>[STRIPS.xlsx]Sheet1!R572C9</stp>
        <tr r="I572" s="1"/>
      </tp>
      <tp t="s">
        <v>#N/A Field Not Applicable</v>
        <stp/>
        <stp>##V3_BDPV12</stp>
        <stp>912833JU Govt</stp>
        <stp>FIRST_CPN_DT</stp>
        <stp>[STRIPS.xlsx]Sheet1!R366C9</stp>
        <tr r="I366" s="1"/>
      </tp>
      <tp t="s">
        <v>#N/A Field Not Applicable</v>
        <stp/>
        <stp>##V3_BDPV12</stp>
        <stp>912833JT Govt</stp>
        <stp>FIRST_CPN_DT</stp>
        <stp>[STRIPS.xlsx]Sheet1!R156C9</stp>
        <tr r="I156" s="1"/>
      </tp>
      <tp t="s">
        <v>#N/A Field Not Applicable</v>
        <stp/>
        <stp>##V3_BDPV12</stp>
        <stp>912833KW Govt</stp>
        <stp>FIRST_CPN_DT</stp>
        <stp>[STRIPS.xlsx]Sheet1!R177C9</stp>
        <tr r="I177" s="1"/>
      </tp>
      <tp t="s">
        <v>#N/A Field Not Applicable</v>
        <stp/>
        <stp>##V3_BDPV12</stp>
        <stp>912834LW Govt</stp>
        <stp>FIRST_CPN_DT</stp>
        <stp>[STRIPS.xlsx]Sheet1!R360C9</stp>
        <tr r="I360" s="1"/>
      </tp>
      <tp t="s">
        <v>#N/A Field Not Applicable</v>
        <stp/>
        <stp>##V3_BDPV12</stp>
        <stp>912834EH Govt</stp>
        <stp>FIRST_CPN_DT</stp>
        <stp>[STRIPS.xlsx]Sheet1!R309C9</stp>
        <tr r="I309" s="1"/>
      </tp>
      <tp t="s">
        <v>#N/A Field Not Applicable</v>
        <stp/>
        <stp>##V3_BDPV12</stp>
        <stp>912834JK Govt</stp>
        <stp>FIRST_CPN_DT</stp>
        <stp>[STRIPS.xlsx]Sheet1!R466C9</stp>
        <tr r="I466" s="1"/>
      </tp>
      <tp t="s">
        <v>#N/A Field Not Applicable</v>
        <stp/>
        <stp>##V3_BDPV12</stp>
        <stp>912833NK Govt</stp>
        <stp>FIRST_CPN_DT</stp>
        <stp>[STRIPS.xlsx]Sheet1!R372C9</stp>
        <tr r="I372" s="1"/>
      </tp>
      <tp t="s">
        <v>#N/A Field Not Applicable</v>
        <stp/>
        <stp>##V3_BDPV12</stp>
        <stp>912834KK Govt</stp>
        <stp>FIRST_CPN_DT</stp>
        <stp>[STRIPS.xlsx]Sheet1!R317C9</stp>
        <tr r="I317" s="1"/>
      </tp>
      <tp t="s">
        <v>#N/A Field Not Applicable</v>
        <stp/>
        <stp>##V3_BDPV12</stp>
        <stp>912834KJ Govt</stp>
        <stp>FIRST_CPN_DT</stp>
        <stp>[STRIPS.xlsx]Sheet1!R267C9</stp>
        <tr r="I267" s="1"/>
      </tp>
      <tp t="s">
        <v>#N/A Field Not Applicable</v>
        <stp/>
        <stp>##V3_BDPV12</stp>
        <stp>912833MM Govt</stp>
        <stp>FIRST_CPN_DT</stp>
        <stp>[STRIPS.xlsx]Sheet1!R371C9</stp>
        <tr r="I371" s="1"/>
      </tp>
      <tp t="s">
        <v>#N/A Field Not Applicable</v>
        <stp/>
        <stp>##V3_BDPV12</stp>
        <stp>912834MC Govt</stp>
        <stp>FIRST_CPN_DT</stp>
        <stp>[STRIPS.xlsx]Sheet1!R541C9</stp>
        <tr r="I541" s="1"/>
      </tp>
      <tp t="s">
        <v>#N/A Field Not Applicable</v>
        <stp/>
        <stp>##V3_BDPV12</stp>
        <stp>912833KB Govt</stp>
        <stp>FIRST_CPN_DT</stp>
        <stp>[STRIPS.xlsx]Sheet1!R367C9</stp>
        <tr r="I367" s="1"/>
      </tp>
      <tp t="s">
        <v>#N/A Field Not Applicable</v>
        <stp/>
        <stp>##V3_BDPV12</stp>
        <stp>912834JE Govt</stp>
        <stp>FIRST_CPN_DT</stp>
        <stp>[STRIPS.xlsx]Sheet1!R646C9</stp>
        <tr r="I646" s="1"/>
      </tp>
      <tp t="s">
        <v>USD</v>
        <stp/>
        <stp>##V3_BDPV12</stp>
        <stp>912834PD Govt</stp>
        <stp>CRNCY</stp>
        <stp>[STRIPS.xlsx]Sheet1!R478C7</stp>
        <tr r="G478" s="1"/>
      </tp>
      <tp t="s">
        <v>USD</v>
        <stp/>
        <stp>##V3_BDPV12</stp>
        <stp>912833MM Govt</stp>
        <stp>CRNCY</stp>
        <stp>[STRIPS.xlsx]Sheet1!R371C7</stp>
        <tr r="G371" s="1"/>
      </tp>
      <tp t="s">
        <v>USD</v>
        <stp/>
        <stp>##V3_BDPV12</stp>
        <stp>912834NK Govt</stp>
        <stp>CRNCY</stp>
        <stp>[STRIPS.xlsx]Sheet1!R477C7</stp>
        <tr r="G477" s="1"/>
      </tp>
      <tp t="s">
        <v>USD</v>
        <stp/>
        <stp>##V3_BDPV12</stp>
        <stp>912834KK Govt</stp>
        <stp>CRNCY</stp>
        <stp>[STRIPS.xlsx]Sheet1!R317C7</stp>
        <tr r="G317" s="1"/>
      </tp>
      <tp t="s">
        <v>USD</v>
        <stp/>
        <stp>##V3_BDPV12</stp>
        <stp>912834KD Govt</stp>
        <stp>CRNCY</stp>
        <stp>[STRIPS.xlsx]Sheet1!R398C7</stp>
        <tr r="G398" s="1"/>
      </tp>
      <tp t="s">
        <v>USD</v>
        <stp/>
        <stp>##V3_BDPV12</stp>
        <stp>9128334D Govt</stp>
        <stp>CRNCY</stp>
        <stp>[STRIPS.xlsx]Sheet1!R488C7</stp>
        <tr r="G488" s="1"/>
      </tp>
      <tp t="s">
        <v>USD</v>
        <stp/>
        <stp>##V3_BDPV12</stp>
        <stp>9128334M Govt</stp>
        <stp>CRNCY</stp>
        <stp>[STRIPS.xlsx]Sheet1!R491C7</stp>
        <tr r="G491" s="1"/>
      </tp>
      <tp t="s">
        <v>USD</v>
        <stp/>
        <stp>##V3_BDPV12</stp>
        <stp>912834AK Govt</stp>
        <stp>CRNCY</stp>
        <stp>[STRIPS.xlsx]Sheet1!R257C7</stp>
        <tr r="G257" s="1"/>
      </tp>
      <tp t="s">
        <v>USD</v>
        <stp/>
        <stp>##V3_BDPV12</stp>
        <stp>912833QJ Govt</stp>
        <stp>CRNCY</stp>
        <stp>[STRIPS.xlsx]Sheet1!R686C7</stp>
        <tr r="G686" s="1"/>
      </tp>
      <tp t="s">
        <v>USD</v>
        <stp/>
        <stp>##V3_BDPV12</stp>
        <stp>912833RH Govt</stp>
        <stp>CRNCY</stp>
        <stp>[STRIPS.xlsx]Sheet1!R634C7</stp>
        <tr r="G634" s="1"/>
      </tp>
      <tp t="s">
        <v>USD</v>
        <stp/>
        <stp>##V3_BDPV12</stp>
        <stp>912834QE Govt</stp>
        <stp>CRNCY</stp>
        <stp>[STRIPS.xlsx]Sheet1!R149C7</stp>
        <tr r="G149" s="1"/>
      </tp>
      <tp t="s">
        <v>USD</v>
        <stp/>
        <stp>##V3_BDPV12</stp>
        <stp>912833KN Govt</stp>
        <stp>CRNCY</stp>
        <stp>[STRIPS.xlsx]Sheet1!R672C7</stp>
        <tr r="G672" s="1"/>
      </tp>
      <tp t="s">
        <v>USD</v>
        <stp/>
        <stp>##V3_BDPV12</stp>
        <stp>9128332D Govt</stp>
        <stp>CRNCY</stp>
        <stp>[STRIPS.xlsx]Sheet1!R648C7</stp>
        <tr r="G648" s="1"/>
      </tp>
      <tp t="s">
        <v>#N/A Field Not Applicable</v>
        <stp/>
        <stp>##V3_BDPV12</stp>
        <stp>912834MG Govt</stp>
        <stp>FIRST_CPN_DT</stp>
        <stp>[STRIPS.xlsx]Sheet1!R271C9</stp>
        <tr r="I271" s="1"/>
      </tp>
      <tp t="s">
        <v>#N/A Field Not Applicable</v>
        <stp/>
        <stp>##V3_BDPV12</stp>
        <stp>912834LF Govt</stp>
        <stp>FIRST_CPN_DT</stp>
        <stp>[STRIPS.xlsx]Sheet1!R320C9</stp>
        <tr r="I320" s="1"/>
      </tp>
      <tp>
        <v>0</v>
        <stp/>
        <stp>##V3_BDPV12</stp>
        <stp>912834WZ Govt</stp>
        <stp>CPN</stp>
        <stp>[STRIPS.xlsx]Sheet1!R6C3</stp>
        <tr r="C6" s="1"/>
      </tp>
      <tp t="s">
        <v>#N/A Field Not Applicable</v>
        <stp/>
        <stp>##V3_BDPV12</stp>
        <stp>912833BY Govt</stp>
        <stp>FIRST_CPN_DT</stp>
        <stp>[STRIPS.xlsx]Sheet1!R501C9</stp>
        <tr r="I501" s="1"/>
      </tp>
      <tp t="s">
        <v>#N/A Field Not Applicable</v>
        <stp/>
        <stp>##V3_BDPV12</stp>
        <stp>912833FY Govt</stp>
        <stp>FIRST_CPN_DT</stp>
        <stp>[STRIPS.xlsx]Sheet1!R665C9</stp>
        <tr r="I665" s="1"/>
      </tp>
      <tp t="s">
        <v>#N/A Field Not Applicable</v>
        <stp/>
        <stp>##V3_BDPV12</stp>
        <stp>912834AY Govt</stp>
        <stp>FIRST_CPN_DT</stp>
        <stp>[STRIPS.xlsx]Sheet1!R642C9</stp>
        <tr r="I642" s="1"/>
      </tp>
      <tp t="s">
        <v>#N/A Field Not Applicable</v>
        <stp/>
        <stp>##V3_BDPV12</stp>
        <stp>912833JX Govt</stp>
        <stp>FIRST_CPN_DT</stp>
        <stp>[STRIPS.xlsx]Sheet1!R669C9</stp>
        <tr r="I669" s="1"/>
      </tp>
      <tp t="s">
        <v>#N/A Field Not Applicable</v>
        <stp/>
        <stp>##V3_BDPV12</stp>
        <stp>912833BX Govt</stp>
        <stp>FIRST_CPN_DT</stp>
        <stp>[STRIPS.xlsx]Sheet1!R361C9</stp>
        <tr r="I361" s="1"/>
      </tp>
      <tp t="s">
        <v>#N/A Field Not Applicable</v>
        <stp/>
        <stp>##V3_BDPV12</stp>
        <stp>912833CZ Govt</stp>
        <stp>FIRST_CPN_DT</stp>
        <stp>[STRIPS.xlsx]Sheet1!R220C9</stp>
        <tr r="I220" s="1"/>
      </tp>
      <tp t="s">
        <v>#N/A Field Not Applicable</v>
        <stp/>
        <stp>##V3_BDPV12</stp>
        <stp>912834KQ Govt</stp>
        <stp>FIRST_CPN_DT</stp>
        <stp>[STRIPS.xlsx]Sheet1!R318C9</stp>
        <tr r="I318" s="1"/>
      </tp>
      <tp t="s">
        <v>#N/A Field Not Applicable</v>
        <stp/>
        <stp>##V3_BDPV12</stp>
        <stp>912834KS Govt</stp>
        <stp>FIRST_CPN_DT</stp>
        <stp>[STRIPS.xlsx]Sheet1!R268C9</stp>
        <tr r="I268" s="1"/>
      </tp>
      <tp t="s">
        <v>#N/A Field Not Applicable</v>
        <stp/>
        <stp>##V3_BDPV12</stp>
        <stp>912834ER Govt</stp>
        <stp>FIRST_CPN_DT</stp>
        <stp>[STRIPS.xlsx]Sheet1!R596C9</stp>
        <tr r="I596" s="1"/>
      </tp>
      <tp t="s">
        <v>#N/A Field Not Applicable</v>
        <stp/>
        <stp>##V3_BDPV12</stp>
        <stp>912834BR Govt</stp>
        <stp>FIRST_CPN_DT</stp>
        <stp>[STRIPS.xlsx]Sheet1!R531C9</stp>
        <tr r="I531" s="1"/>
      </tp>
      <tp t="s">
        <v>#N/A Field Not Applicable</v>
        <stp/>
        <stp>##V3_BDPV12</stp>
        <stp>912834DV Govt</stp>
        <stp>FIRST_CPN_DT</stp>
        <stp>[STRIPS.xlsx]Sheet1!R127C9</stp>
        <tr r="I127" s="1"/>
      </tp>
      <tp t="s">
        <v>#N/A Field Not Applicable</v>
        <stp/>
        <stp>##V3_BDPV12</stp>
        <stp>912834BH Govt</stp>
        <stp>FIRST_CPN_DT</stp>
        <stp>[STRIPS.xlsx]Sheet1!R351C9</stp>
        <tr r="I351" s="1"/>
      </tp>
      <tp t="s">
        <v>#N/A Field Not Applicable</v>
        <stp/>
        <stp>##V3_BDPV12</stp>
        <stp>912834KL Govt</stp>
        <stp>FIRST_CPN_DT</stp>
        <stp>[STRIPS.xlsx]Sheet1!R468C9</stp>
        <tr r="I468" s="1"/>
      </tp>
      <tp t="s">
        <v>#N/A Field Not Applicable</v>
        <stp/>
        <stp>##V3_BDPV12</stp>
        <stp>912833DA Govt</stp>
        <stp>FIRST_CPN_DT</stp>
        <stp>[STRIPS.xlsx]Sheet1!R167C9</stp>
        <tr r="I167" s="1"/>
      </tp>
      <tp t="s">
        <v>#N/A Field Not Applicable</v>
        <stp/>
        <stp>##V3_BDPV12</stp>
        <stp>912834FA Govt</stp>
        <stp>FIRST_CPN_DT</stp>
        <stp>[STRIPS.xlsx]Sheet1!R395C9</stp>
        <tr r="I395" s="1"/>
      </tp>
      <tp t="s">
        <v>#N/A Field Not Applicable</v>
        <stp/>
        <stp>##V3_BDPV12</stp>
        <stp>912834KD Govt</stp>
        <stp>FIRST_CPN_DT</stp>
        <stp>[STRIPS.xlsx]Sheet1!R398C9</stp>
        <tr r="I398" s="1"/>
      </tp>
      <tp t="s">
        <v>USD</v>
        <stp/>
        <stp>##V3_BDPV12</stp>
        <stp>912834WB Govt</stp>
        <stp>CRNCY</stp>
        <stp>[STRIPS.xlsx]Sheet1!R771C7</stp>
        <tr r="G771" s="1"/>
      </tp>
      <tp t="s">
        <v>USD</v>
        <stp/>
        <stp>##V3_BDPV12</stp>
        <stp>912834JE Govt</stp>
        <stp>CRNCY</stp>
        <stp>[STRIPS.xlsx]Sheet1!R646C7</stp>
        <tr r="G646" s="1"/>
      </tp>
      <tp t="s">
        <v>USD</v>
        <stp/>
        <stp>##V3_BDPV12</stp>
        <stp>912833RG Govt</stp>
        <stp>CRNCY</stp>
        <stp>[STRIPS.xlsx]Sheet1!R244C7</stp>
        <tr r="G244" s="1"/>
      </tp>
      <tp t="s">
        <v>USD</v>
        <stp/>
        <stp>##V3_BDPV12</stp>
        <stp>912834NE Govt</stp>
        <stp>CRNCY</stp>
        <stp>[STRIPS.xlsx]Sheet1!R546C7</stp>
        <tr r="G546" s="1"/>
      </tp>
      <tp t="s">
        <v>USD</v>
        <stp/>
        <stp>##V3_BDPV12</stp>
        <stp>9128336J Govt</stp>
        <stp>CRNCY</stp>
        <stp>[STRIPS.xlsx]Sheet1!R289C7</stp>
        <tr r="G289" s="1"/>
      </tp>
      <tp t="s">
        <v>USD</v>
        <stp/>
        <stp>##V3_BDPV12</stp>
        <stp>912833RA Govt</stp>
        <stp>CRNCY</stp>
        <stp>[STRIPS.xlsx]Sheet1!R342C7</stp>
        <tr r="G342" s="1"/>
      </tp>
      <tp t="s">
        <v>USD</v>
        <stp/>
        <stp>##V3_BDPV12</stp>
        <stp>912834LA Govt</stp>
        <stp>CRNCY</stp>
        <stp>[STRIPS.xlsx]Sheet1!R402C7</stp>
        <tr r="G402" s="1"/>
      </tp>
      <tp t="s">
        <v>USD</v>
        <stp/>
        <stp>##V3_BDPV12</stp>
        <stp>912833MF Govt</stp>
        <stp>CRNCY</stp>
        <stp>[STRIPS.xlsx]Sheet1!R305C7</stp>
        <tr r="G305" s="1"/>
      </tp>
      <tp t="s">
        <v>USD</v>
        <stp/>
        <stp>##V3_BDPV12</stp>
        <stp>912833YB Govt</stp>
        <stp>CRNCY</stp>
        <stp>[STRIPS.xlsx]Sheet1!R451C7</stp>
        <tr r="G451" s="1"/>
      </tp>
      <tp t="s">
        <v>USD</v>
        <stp/>
        <stp>##V3_BDPV12</stp>
        <stp>912834KE Govt</stp>
        <stp>CRNCY</stp>
        <stp>[STRIPS.xlsx]Sheet1!R316C7</stp>
        <tr r="G316" s="1"/>
      </tp>
      <tp t="s">
        <v>USD</v>
        <stp/>
        <stp>##V3_BDPV12</stp>
        <stp>912834BK Govt</stp>
        <stp>CRNCY</stp>
        <stp>[STRIPS.xlsx]Sheet1!R308C7</stp>
        <tr r="G308" s="1"/>
      </tp>
      <tp t="s">
        <v>USD</v>
        <stp/>
        <stp>##V3_BDPV12</stp>
        <stp>912833GC Govt</stp>
        <stp>CRNCY</stp>
        <stp>[STRIPS.xlsx]Sheet1!R440C7</stp>
        <tr r="G440" s="1"/>
      </tp>
      <tp t="s">
        <v>USD</v>
        <stp/>
        <stp>##V3_BDPV12</stp>
        <stp>9128336G Govt</stp>
        <stp>CRNCY</stp>
        <stp>[STRIPS.xlsx]Sheet1!R494C7</stp>
        <tr r="G494" s="1"/>
      </tp>
      <tp t="s">
        <v>USD</v>
        <stp/>
        <stp>##V3_BDPV12</stp>
        <stp>912834QK Govt</stp>
        <stp>CRNCY</stp>
        <stp>[STRIPS.xlsx]Sheet1!R278C7</stp>
        <tr r="G278" s="1"/>
      </tp>
      <tp t="s">
        <v>USD</v>
        <stp/>
        <stp>##V3_BDPV12</stp>
        <stp>912833RK Govt</stp>
        <stp>CRNCY</stp>
        <stp>[STRIPS.xlsx]Sheet1!R578C7</stp>
        <tr r="G578" s="1"/>
      </tp>
      <tp t="s">
        <v>USD</v>
        <stp/>
        <stp>##V3_BDPV12</stp>
        <stp>912833NC Govt</stp>
        <stp>CRNCY</stp>
        <stp>[STRIPS.xlsx]Sheet1!R570C7</stp>
        <tr r="G570" s="1"/>
      </tp>
      <tp t="s">
        <v>USD</v>
        <stp/>
        <stp>##V3_BDPV12</stp>
        <stp>912833MG Govt</stp>
        <stp>CRNCY</stp>
        <stp>[STRIPS.xlsx]Sheet1!R514C7</stp>
        <tr r="G514" s="1"/>
      </tp>
      <tp t="s">
        <v>USD</v>
        <stp/>
        <stp>##V3_BDPV12</stp>
        <stp>912833CA Govt</stp>
        <stp>CRNCY</stp>
        <stp>[STRIPS.xlsx]Sheet1!R502C7</stp>
        <tr r="G502" s="1"/>
      </tp>
      <tp t="s">
        <v>USD</v>
        <stp/>
        <stp>##V3_BDPV12</stp>
        <stp>912833RC Govt</stp>
        <stp>CRNCY</stp>
        <stp>[STRIPS.xlsx]Sheet1!R690C7</stp>
        <tr r="G690" s="1"/>
      </tp>
      <tp t="s">
        <v>USD</v>
        <stp/>
        <stp>##V3_BDPV12</stp>
        <stp>912833ZD Govt</stp>
        <stp>CRNCY</stp>
        <stp>[STRIPS.xlsx]Sheet1!R637C7</stp>
        <tr r="G637" s="1"/>
      </tp>
      <tp t="s">
        <v>USD</v>
        <stp/>
        <stp>##V3_BDPV12</stp>
        <stp>912834UD Govt</stp>
        <stp>CRNCY</stp>
        <stp>[STRIPS.xlsx]Sheet1!R197C7</stp>
        <tr r="G197" s="1"/>
      </tp>
      <tp t="s">
        <v>USD</v>
        <stp/>
        <stp>##V3_BDPV12</stp>
        <stp>912834VE Govt</stp>
        <stp>CRNCY</stp>
        <stp>[STRIPS.xlsx]Sheet1!R116C7</stp>
        <tr r="G116" s="1"/>
      </tp>
      <tp t="s">
        <v>USD</v>
        <stp/>
        <stp>##V3_BDPV12</stp>
        <stp>912834MA Govt</stp>
        <stp>CRNCY</stp>
        <stp>[STRIPS.xlsx]Sheet1!R172C7</stp>
        <tr r="G172" s="1"/>
      </tp>
      <tp t="s">
        <v>USD</v>
        <stp/>
        <stp>##V3_BDPV12</stp>
        <stp>912833CF Govt</stp>
        <stp>CRNCY</stp>
        <stp>[STRIPS.xlsx]Sheet1!R655C7</stp>
        <tr r="G655" s="1"/>
      </tp>
      <tp t="s">
        <v>USD</v>
        <stp/>
        <stp>##V3_BDPV12</stp>
        <stp>9128335C Govt</stp>
        <stp>CRNCY</stp>
        <stp>[STRIPS.xlsx]Sheet1!R720C7</stp>
        <tr r="G720" s="1"/>
      </tp>
      <tp t="s">
        <v>#N/A Field Not Applicable</v>
        <stp/>
        <stp>##V3_BDPV12</stp>
        <stp>912833KF Govt</stp>
        <stp>FIRST_CPN_DT</stp>
        <stp>[STRIPS.xlsx]Sheet1!R368C9</stp>
        <tr r="I368" s="1"/>
      </tp>
      <tp>
        <v>0</v>
        <stp/>
        <stp>##V3_BDPV12</stp>
        <stp>912833LZ Govt</stp>
        <stp>CPN</stp>
        <stp>[STRIPS.xlsx]Sheet1!R9C3</stp>
        <tr r="C9" s="1"/>
      </tp>
      <tp t="s">
        <v>NORMAL</v>
        <stp/>
        <stp>##V3_BDPV12</stp>
        <stp>9128336C Govt</stp>
        <stp>MTY_TYP</stp>
        <stp>[STRIPS.xlsx]Sheet1!R713C6</stp>
        <tr r="F713" s="1"/>
      </tp>
      <tp t="s">
        <v>NORMAL</v>
        <stp/>
        <stp>##V3_BDPV12</stp>
        <stp>9128335P Govt</stp>
        <stp>MTY_TYP</stp>
        <stp>[STRIPS.xlsx]Sheet1!R723C6</stp>
        <tr r="F723" s="1"/>
      </tp>
      <tp t="s">
        <v>NORMAL</v>
        <stp/>
        <stp>##V3_BDPV12</stp>
        <stp>9128335K Govt</stp>
        <stp>MTY_TYP</stp>
        <stp>[STRIPS.xlsx]Sheet1!R493C6</stp>
        <tr r="F493" s="1"/>
      </tp>
      <tp t="s">
        <v>NORMAL</v>
        <stp/>
        <stp>##V3_BDPV12</stp>
        <stp>9128334B Govt</stp>
        <stp>MTY_TYP</stp>
        <stp>[STRIPS.xlsx]Sheet1!R603C6</stp>
        <tr r="F603" s="1"/>
      </tp>
      <tp t="s">
        <v>NORMAL</v>
        <stp/>
        <stp>##V3_BDPV12</stp>
        <stp>9128333T Govt</stp>
        <stp>MTY_TYP</stp>
        <stp>[STRIPS.xlsx]Sheet1!R483C6</stp>
        <tr r="F483" s="1"/>
      </tp>
      <tp t="s">
        <v>NORMAL</v>
        <stp/>
        <stp>##V3_BDPV12</stp>
        <stp>9128333S Govt</stp>
        <stp>MTY_TYP</stp>
        <stp>[STRIPS.xlsx]Sheet1!R553C6</stp>
        <tr r="F553" s="1"/>
      </tp>
      <tp t="s">
        <v>NORMAL</v>
        <stp/>
        <stp>##V3_BDPV12</stp>
        <stp>9128333K Govt</stp>
        <stp>MTY_TYP</stp>
        <stp>[STRIPS.xlsx]Sheet1!R743C6</stp>
        <tr r="F743" s="1"/>
      </tp>
      <tp t="s">
        <v>NORMAL</v>
        <stp/>
        <stp>##V3_BDPV12</stp>
        <stp>9128332G Govt</stp>
        <stp>MTY_TYP</stp>
        <stp>[STRIPS.xlsx]Sheet1!R703C6</stp>
        <tr r="F703" s="1"/>
      </tp>
      <tp t="s">
        <v>NORMAL</v>
        <stp/>
        <stp>##V3_BDPV12</stp>
        <stp>912834FC Govt</stp>
        <stp>MTY_TYP</stp>
        <stp>[STRIPS.xlsx]Sheet1!R534C6</stp>
        <tr r="F534" s="1"/>
      </tp>
      <tp t="s">
        <v>NORMAL</v>
        <stp/>
        <stp>##V3_BDPV12</stp>
        <stp>912833FL Govt</stp>
        <stp>MTY_TYP</stp>
        <stp>[STRIPS.xlsx]Sheet1!R663C6</stp>
        <tr r="F663" s="1"/>
      </tp>
      <tp t="s">
        <v>NORMAL</v>
        <stp/>
        <stp>##V3_BDPV12</stp>
        <stp>912834ES Govt</stp>
        <stp>MTY_TYP</stp>
        <stp>[STRIPS.xlsx]Sheet1!R464C6</stp>
        <tr r="F464" s="1"/>
      </tp>
      <tp t="s">
        <v>NORMAL</v>
        <stp/>
        <stp>##V3_BDPV12</stp>
        <stp>912834EZ Govt</stp>
        <stp>MTY_TYP</stp>
        <stp>[STRIPS.xlsx]Sheet1!R394C6</stp>
        <tr r="F394" s="1"/>
      </tp>
      <tp t="s">
        <v>NORMAL</v>
        <stp/>
        <stp>##V3_BDPV12</stp>
        <stp>912834EX Govt</stp>
        <stp>MTY_TYP</stp>
        <stp>[STRIPS.xlsx]Sheet1!R354C6</stp>
        <tr r="F354" s="1"/>
      </tp>
      <tp t="s">
        <v>NORMAL</v>
        <stp/>
        <stp>##V3_BDPV12</stp>
        <stp>912834EF Govt</stp>
        <stp>MTY_TYP</stp>
        <stp>[STRIPS.xlsx]Sheet1!R594C6</stp>
        <tr r="F594" s="1"/>
      </tp>
      <tp t="s">
        <v>NORMAL</v>
        <stp/>
        <stp>##V3_BDPV12</stp>
        <stp>912834EB Govt</stp>
        <stp>MTY_TYP</stp>
        <stp>[STRIPS.xlsx]Sheet1!R644C6</stp>
        <tr r="F644" s="1"/>
      </tp>
      <tp t="s">
        <v>NORMAL</v>
        <stp/>
        <stp>##V3_BDPV12</stp>
        <stp>912834DY Govt</stp>
        <stp>MTY_TYP</stp>
        <stp>[STRIPS.xlsx]Sheet1!R264C6</stp>
        <tr r="F264" s="1"/>
      </tp>
      <tp t="s">
        <v>NORMAL</v>
        <stp/>
        <stp>##V3_BDPV12</stp>
        <stp>912833C6 Govt</stp>
        <stp>MTY_TYP</stp>
        <stp>[STRIPS.xlsx]Sheet1!R563C6</stp>
        <tr r="F563" s="1"/>
      </tp>
      <tp t="s">
        <v>NORMAL</v>
        <stp/>
        <stp>##V3_BDPV12</stp>
        <stp>912833C9 Govt</stp>
        <stp>MTY_TYP</stp>
        <stp>[STRIPS.xlsx]Sheet1!R613C6</stp>
        <tr r="F613" s="1"/>
      </tp>
      <tp t="s">
        <v>NORMAL</v>
        <stp/>
        <stp>##V3_BDPV12</stp>
        <stp>912833CY Govt</stp>
        <stp>MTY_TYP</stp>
        <stp>[STRIPS.xlsx]Sheet1!R363C6</stp>
        <tr r="F363" s="1"/>
      </tp>
      <tp t="s">
        <v>NORMAL</v>
        <stp/>
        <stp>##V3_BDPV12</stp>
        <stp>912833CX Govt</stp>
        <stp>MTY_TYP</stp>
        <stp>[STRIPS.xlsx]Sheet1!R503C6</stp>
        <tr r="F503" s="1"/>
      </tp>
      <tp t="s">
        <v>NORMAL</v>
        <stp/>
        <stp>##V3_BDPV12</stp>
        <stp>912833CK Govt</stp>
        <stp>MTY_TYP</stp>
        <stp>[STRIPS.xlsx]Sheet1!R733C6</stp>
        <tr r="F733" s="1"/>
      </tp>
      <tp t="s">
        <v>NORMAL</v>
        <stp/>
        <stp>##V3_BDPV12</stp>
        <stp>912833B7 Govt</stp>
        <stp>MTY_TYP</stp>
        <stp>[STRIPS.xlsx]Sheet1!R433C6</stp>
        <tr r="F433" s="1"/>
      </tp>
      <tp t="s">
        <v>NORMAL</v>
        <stp/>
        <stp>##V3_BDPV12</stp>
        <stp>912833B8 Govt</stp>
        <stp>MTY_TYP</stp>
        <stp>[STRIPS.xlsx]Sheet1!R293C6</stp>
        <tr r="F293" s="1"/>
      </tp>
      <tp t="s">
        <v>NORMAL</v>
        <stp/>
        <stp>##V3_BDPV12</stp>
        <stp>912833A7 Govt</stp>
        <stp>MTY_TYP</stp>
        <stp>[STRIPS.xlsx]Sheet1!R653C6</stp>
        <tr r="F653" s="1"/>
      </tp>
      <tp t="s">
        <v>NORMAL</v>
        <stp/>
        <stp>##V3_BDPV12</stp>
        <stp>912834AC Govt</stp>
        <stp>MTY_TYP</stp>
        <stp>[STRIPS.xlsx]Sheet1!R384C6</stp>
        <tr r="F384" s="1"/>
      </tp>
      <tp t="s">
        <v>1/15/2004</v>
        <stp/>
        <stp>##V3_BDPV12</stp>
        <stp>912833C4 Govt</stp>
        <stp>ISSUE_DT</stp>
        <stp>[STRIPS.xlsx]Sheet1!R612C15</stp>
        <tr r="O612" s="1"/>
      </tp>
      <tp t="s">
        <v>12/15/2003</v>
        <stp/>
        <stp>##V3_BDPV12</stp>
        <stp>912833B4 Govt</stp>
        <stp>ISSUE_DT</stp>
        <stp>[STRIPS.xlsx]Sheet1!R654C15</stp>
        <tr r="O654" s="1"/>
      </tp>
      <tp t="s">
        <v>NORMAL</v>
        <stp/>
        <stp>##V3_BDPV12</stp>
        <stp>912833NP Govt</stp>
        <stp>MTY_TYP</stp>
        <stp>[STRIPS.xlsx]Sheet1!R373C6</stp>
        <tr r="F373" s="1"/>
      </tp>
      <tp t="s">
        <v>NORMAL</v>
        <stp/>
        <stp>##V3_BDPV12</stp>
        <stp>912834NT Govt</stp>
        <stp>MTY_TYP</stp>
        <stp>[STRIPS.xlsx]Sheet1!R174C6</stp>
        <tr r="F174" s="1"/>
      </tp>
      <tp t="s">
        <v>NORMAL</v>
        <stp/>
        <stp>##V3_BDPV12</stp>
        <stp>912834NU Govt</stp>
        <stp>MTY_TYP</stp>
        <stp>[STRIPS.xlsx]Sheet1!R274C6</stp>
        <tr r="F274" s="1"/>
      </tp>
      <tp t="s">
        <v>NORMAL</v>
        <stp/>
        <stp>##V3_BDPV12</stp>
        <stp>912834NB Govt</stp>
        <stp>MTY_TYP</stp>
        <stp>[STRIPS.xlsx]Sheet1!R544C6</stp>
        <tr r="F544" s="1"/>
      </tp>
      <tp t="s">
        <v>NORMAL</v>
        <stp/>
        <stp>##V3_BDPV12</stp>
        <stp>912833MR Govt</stp>
        <stp>MTY_TYP</stp>
        <stp>[STRIPS.xlsx]Sheet1!R333C6</stp>
        <tr r="F333" s="1"/>
      </tp>
      <tp t="s">
        <v>NORMAL</v>
        <stp/>
        <stp>##V3_BDPV12</stp>
        <stp>912834MW Govt</stp>
        <stp>MTY_TYP</stp>
        <stp>[STRIPS.xlsx]Sheet1!R234C6</stp>
        <tr r="F234" s="1"/>
      </tp>
      <tp t="s">
        <v>NORMAL</v>
        <stp/>
        <stp>##V3_BDPV12</stp>
        <stp>912834LP Govt</stp>
        <stp>MTY_TYP</stp>
        <stp>[STRIPS.xlsx]Sheet1!R474C6</stp>
        <tr r="F474" s="1"/>
      </tp>
      <tp t="s">
        <v>NORMAL</v>
        <stp/>
        <stp>##V3_BDPV12</stp>
        <stp>912834LQ Govt</stp>
        <stp>MTY_TYP</stp>
        <stp>[STRIPS.xlsx]Sheet1!R404C6</stp>
        <tr r="F404" s="1"/>
      </tp>
      <tp t="s">
        <v>NORMAL</v>
        <stp/>
        <stp>##V3_BDPV12</stp>
        <stp>912833LE Govt</stp>
        <stp>MTY_TYP</stp>
        <stp>[STRIPS.xlsx]Sheet1!R153C6</stp>
        <tr r="F153" s="1"/>
      </tp>
      <tp t="s">
        <v>NORMAL</v>
        <stp/>
        <stp>##V3_BDPV12</stp>
        <stp>912833LC Govt</stp>
        <stp>MTY_TYP</stp>
        <stp>[STRIPS.xlsx]Sheet1!R673C6</stp>
        <tr r="F673" s="1"/>
      </tp>
      <tp t="s">
        <v>NORMAL</v>
        <stp/>
        <stp>##V3_BDPV12</stp>
        <stp>912834LM Govt</stp>
        <stp>MTY_TYP</stp>
        <stp>[STRIPS.xlsx]Sheet1!R324C6</stp>
        <tr r="F324" s="1"/>
      </tp>
      <tp t="s">
        <v>NORMAL</v>
        <stp/>
        <stp>##V3_BDPV12</stp>
        <stp>912833KR Govt</stp>
        <stp>MTY_TYP</stp>
        <stp>[STRIPS.xlsx]Sheet1!R443C6</stp>
        <tr r="F443" s="1"/>
      </tp>
      <tp t="s">
        <v>NORMAL</v>
        <stp/>
        <stp>##V3_BDPV12</stp>
        <stp>912833KP Govt</stp>
        <stp>MTY_TYP</stp>
        <stp>[STRIPS.xlsx]Sheet1!R623C6</stp>
        <tr r="F623" s="1"/>
      </tp>
      <tp t="s">
        <v>NORMAL</v>
        <stp/>
        <stp>##V3_BDPV12</stp>
        <stp>912833KY Govt</stp>
        <stp>MTY_TYP</stp>
        <stp>[STRIPS.xlsx]Sheet1!R513C6</stp>
        <tr r="F513" s="1"/>
      </tp>
      <tp t="s">
        <v>NORMAL</v>
        <stp/>
        <stp>##V3_BDPV12</stp>
        <stp>912833KA Govt</stp>
        <stp>MTY_TYP</stp>
        <stp>[STRIPS.xlsx]Sheet1!R193C6</stp>
        <tr r="F193" s="1"/>
      </tp>
      <tp t="s">
        <v>NORMAL</v>
        <stp/>
        <stp>##V3_BDPV12</stp>
        <stp>912833KM Govt</stp>
        <stp>MTY_TYP</stp>
        <stp>[STRIPS.xlsx]Sheet1!R303C6</stp>
        <tr r="F303" s="1"/>
      </tp>
      <tp t="s">
        <v>1/31/2008</v>
        <stp/>
        <stp>##V3_BDPV12</stp>
        <stp>912833Z4 Govt</stp>
        <stp>ISSUE_DT</stp>
        <stp>[STRIPS.xlsx]Sheet1!R382C15</stp>
        <tr r="O382" s="1"/>
      </tp>
      <tp t="s">
        <v>10/15/2003</v>
        <stp/>
        <stp>##V3_BDPV12</stp>
        <stp>912833A4 Govt</stp>
        <stp>ISSUE_DT</stp>
        <stp>[STRIPS.xlsx]Sheet1!R330C15</stp>
        <tr r="O330" s="1"/>
      </tp>
      <tp t="s">
        <v>NORMAL</v>
        <stp/>
        <stp>##V3_BDPV12</stp>
        <stp>912833JY Govt</stp>
        <stp>MTY_TYP</stp>
        <stp>[STRIPS.xlsx]Sheet1!R173C6</stp>
        <tr r="F173" s="1"/>
      </tp>
      <tp t="s">
        <v>NORMAL</v>
        <stp/>
        <stp>##V3_BDPV12</stp>
        <stp>912834JD Govt</stp>
        <stp>MTY_TYP</stp>
        <stp>[STRIPS.xlsx]Sheet1!R314C6</stp>
        <tr r="F314" s="1"/>
      </tp>
      <tp t="s">
        <v>NORMAL</v>
        <stp/>
        <stp>##V3_BDPV12</stp>
        <stp>912834VR Govt</stp>
        <stp>MTY_TYP</stp>
        <stp>[STRIPS.xlsx]Sheet1!R224C6</stp>
        <tr r="F224" s="1"/>
      </tp>
      <tp t="s">
        <v>NORMAL</v>
        <stp/>
        <stp>##V3_BDPV12</stp>
        <stp>912834VJ Govt</stp>
        <stp>MTY_TYP</stp>
        <stp>[STRIPS.xlsx]Sheet1!R774C6</stp>
        <tr r="F774" s="1"/>
      </tp>
      <tp t="s">
        <v>NORMAL</v>
        <stp/>
        <stp>##V3_BDPV12</stp>
        <stp>912834UT Govt</stp>
        <stp>MTY_TYP</stp>
        <stp>[STRIPS.xlsx]Sheet1!R184C6</stp>
        <tr r="F184" s="1"/>
      </tp>
      <tp t="s">
        <v>NORMAL</v>
        <stp/>
        <stp>##V3_BDPV12</stp>
        <stp>912834UP Govt</stp>
        <stp>MTY_TYP</stp>
        <stp>[STRIPS.xlsx]Sheet1!R754C6</stp>
        <tr r="F754" s="1"/>
      </tp>
      <tp t="s">
        <v>NORMAL</v>
        <stp/>
        <stp>##V3_BDPV12</stp>
        <stp>912834TB Govt</stp>
        <stp>MTY_TYP</stp>
        <stp>[STRIPS.xlsx]Sheet1!R424C6</stp>
        <tr r="F424" s="1"/>
      </tp>
      <tp t="s">
        <v>NORMAL</v>
        <stp/>
        <stp>##V3_BDPV12</stp>
        <stp>912834RQ Govt</stp>
        <stp>MTY_TYP</stp>
        <stp>[STRIPS.xlsx]Sheet1!R204C6</stp>
        <tr r="F204" s="1"/>
      </tp>
      <tp t="s">
        <v>NORMAL</v>
        <stp/>
        <stp>##V3_BDPV12</stp>
        <stp>912833RR Govt</stp>
        <stp>MTY_TYP</stp>
        <stp>[STRIPS.xlsx]Sheet1!R693C6</stp>
        <tr r="F693" s="1"/>
      </tp>
      <tp t="s">
        <v>NORMAL</v>
        <stp/>
        <stp>##V3_BDPV12</stp>
        <stp>912833RL Govt</stp>
        <stp>MTY_TYP</stp>
        <stp>[STRIPS.xlsx]Sheet1!R523C6</stp>
        <tr r="F523" s="1"/>
      </tp>
      <tp t="s">
        <v>NORMAL</v>
        <stp/>
        <stp>##V3_BDPV12</stp>
        <stp>912834RK Govt</stp>
        <stp>MTY_TYP</stp>
        <stp>[STRIPS.xlsx]Sheet1!R124C6</stp>
        <tr r="F124" s="1"/>
      </tp>
      <tp t="s">
        <v>NORMAL</v>
        <stp/>
        <stp>##V3_BDPV12</stp>
        <stp>912834RN Govt</stp>
        <stp>MTY_TYP</stp>
        <stp>[STRIPS.xlsx]Sheet1!R194C6</stp>
        <tr r="F194" s="1"/>
      </tp>
      <tp t="s">
        <v>NORMAL</v>
        <stp/>
        <stp>##V3_BDPV12</stp>
        <stp>912834QT Govt</stp>
        <stp>MTY_TYP</stp>
        <stp>[STRIPS.xlsx]Sheet1!R414C6</stp>
        <tr r="F414" s="1"/>
      </tp>
      <tp t="s">
        <v>NORMAL</v>
        <stp/>
        <stp>##V3_BDPV12</stp>
        <stp>912834QV Govt</stp>
        <stp>MTY_TYP</stp>
        <stp>[STRIPS.xlsx]Sheet1!R104C6</stp>
        <tr r="F104" s="1"/>
      </tp>
      <tp t="s">
        <v>NORMAL</v>
        <stp/>
        <stp>##V3_BDPV12</stp>
        <stp>912834QY Govt</stp>
        <stp>MTY_TYP</stp>
        <stp>[STRIPS.xlsx]Sheet1!R134C6</stp>
        <tr r="F134" s="1"/>
      </tp>
      <tp t="s">
        <v>NORMAL</v>
        <stp/>
        <stp>##V3_BDPV12</stp>
        <stp>912833QX Govt</stp>
        <stp>MTY_TYP</stp>
        <stp>[STRIPS.xlsx]Sheet1!R243C6</stp>
        <tr r="F243" s="1"/>
      </tp>
      <tp t="s">
        <v>NORMAL</v>
        <stp/>
        <stp>##V3_BDPV12</stp>
        <stp>912833QY Govt</stp>
        <stp>MTY_TYP</stp>
        <stp>[STRIPS.xlsx]Sheet1!R633C6</stp>
        <tr r="F633" s="1"/>
      </tp>
      <tp t="s">
        <v>NORMAL</v>
        <stp/>
        <stp>##V3_BDPV12</stp>
        <stp>912833PU Govt</stp>
        <stp>MTY_TYP</stp>
        <stp>[STRIPS.xlsx]Sheet1!R683C6</stp>
        <tr r="F683" s="1"/>
      </tp>
      <tp t="s">
        <v>NORMAL</v>
        <stp/>
        <stp>##V3_BDPV12</stp>
        <stp>912834PW Govt</stp>
        <stp>MTY_TYP</stp>
        <stp>[STRIPS.xlsx]Sheet1!R154C6</stp>
        <tr r="F154" s="1"/>
      </tp>
      <tp t="s">
        <v>NORMAL</v>
        <stp/>
        <stp>##V3_BDPV12</stp>
        <stp>912834PJ Govt</stp>
        <stp>MTY_TYP</stp>
        <stp>[STRIPS.xlsx]Sheet1!R144C6</stp>
        <tr r="F144" s="1"/>
      </tp>
      <tp t="s">
        <v>NORMAL</v>
        <stp/>
        <stp>##V3_BDPV12</stp>
        <stp>912833PK Govt</stp>
        <stp>MTY_TYP</stp>
        <stp>[STRIPS.xlsx]Sheet1!R573C6</stp>
        <tr r="F573" s="1"/>
      </tp>
      <tp t="s">
        <v>NORMAL</v>
        <stp/>
        <stp>##V3_BDPV12</stp>
        <stp>912834PN Govt</stp>
        <stp>MTY_TYP</stp>
        <stp>[STRIPS.xlsx]Sheet1!R164C6</stp>
        <tr r="F164" s="1"/>
      </tp>
      <tp t="s">
        <v>NORMAL</v>
        <stp/>
        <stp>##V3_BDPV12</stp>
        <stp>912833ZR Govt</stp>
        <stp>MTY_TYP</stp>
        <stp>[STRIPS.xlsx]Sheet1!R383C6</stp>
        <tr r="F383" s="1"/>
      </tp>
      <tp t="s">
        <v>NORMAL</v>
        <stp/>
        <stp>##V3_BDPV12</stp>
        <stp>912833ZG Govt</stp>
        <stp>MTY_TYP</stp>
        <stp>[STRIPS.xlsx]Sheet1!R253C6</stp>
        <tr r="F253" s="1"/>
      </tp>
      <tp t="s">
        <v>NORMAL</v>
        <stp/>
        <stp>##V3_BDPV12</stp>
        <stp>912833Y3 Govt</stp>
        <stp>MTY_TYP</stp>
        <stp>[STRIPS.xlsx]Sheet1!R103C6</stp>
        <tr r="F103" s="1"/>
      </tp>
      <tp t="s">
        <v>NORMAL</v>
        <stp/>
        <stp>##V3_BDPV12</stp>
        <stp>912833Y7 Govt</stp>
        <stp>MTY_TYP</stp>
        <stp>[STRIPS.xlsx]Sheet1!R583C6</stp>
        <tr r="F583" s="1"/>
      </tp>
      <tp t="s">
        <v>NORMAL</v>
        <stp/>
        <stp>##V3_BDPV12</stp>
        <stp>912833YY Govt</stp>
        <stp>MTY_TYP</stp>
        <stp>[STRIPS.xlsx]Sheet1!R453C6</stp>
        <tr r="F453" s="1"/>
      </tp>
      <tp t="s">
        <v>NORMAL</v>
        <stp/>
        <stp>##V3_BDPV12</stp>
        <stp>912833YL Govt</stp>
        <stp>MTY_TYP</stp>
        <stp>[STRIPS.xlsx]Sheet1!R343C6</stp>
        <tr r="F343" s="1"/>
      </tp>
      <tp t="s">
        <v>NORMAL</v>
        <stp/>
        <stp>##V3_BDPV12</stp>
        <stp>912834XC Govt</stp>
        <stp>MTY_TYP</stp>
        <stp>[STRIPS.xlsx]Sheet1!R214C6</stp>
        <tr r="F214" s="1"/>
      </tp>
      <tp t="s">
        <v>NORMAL</v>
        <stp/>
        <stp>##V3_BDPV12</stp>
        <stp>912834XD Govt</stp>
        <stp>MTY_TYP</stp>
        <stp>[STRIPS.xlsx]Sheet1!R764C6</stp>
        <tr r="F764" s="1"/>
      </tp>
      <tp t="s">
        <v>USD</v>
        <stp/>
        <stp>##V3_BDPV12</stp>
        <stp>912834KP Govt</stp>
        <stp>CRNCY</stp>
        <stp>[STRIPS.xlsx]Sheet1!R8C7</stp>
        <tr r="G8" s="1"/>
      </tp>
      <tp t="s">
        <v>#N/A Field Not Applicable</v>
        <stp/>
        <stp>##V3_BDPV12</stp>
        <stp>912833B2 Govt</stp>
        <stp>FIRST_CPN_DT</stp>
        <stp>[STRIPS.xlsx]Sheet1!R561C9</stp>
        <tr r="I561" s="1"/>
      </tp>
      <tp t="s">
        <v>#N/A Field Not Applicable</v>
        <stp/>
        <stp>##V3_BDPV12</stp>
        <stp>912834A2 Govt</stp>
        <stp>FIRST_CPN_DT</stp>
        <stp>[STRIPS.xlsx]Sheet1!R122C9</stp>
        <tr r="I122" s="1"/>
      </tp>
      <tp t="s">
        <v>#N/A Field Not Applicable</v>
        <stp/>
        <stp>##V3_BDPV12</stp>
        <stp>912833A5 Govt</stp>
        <stp>FIRST_CPN_DT</stp>
        <stp>[STRIPS.xlsx]Sheet1!R432C9</stp>
        <tr r="I432" s="1"/>
      </tp>
      <tp t="s">
        <v>#N/A Field Not Applicable</v>
        <stp/>
        <stp>##V3_BDPV12</stp>
        <stp>912833B5 Govt</stp>
        <stp>FIRST_CPN_DT</stp>
        <stp>[STRIPS.xlsx]Sheet1!R331C9</stp>
        <tr r="I331" s="1"/>
      </tp>
      <tp t="s">
        <v>#N/A Field Not Applicable</v>
        <stp/>
        <stp>##V3_BDPV12</stp>
        <stp>912833A6 Govt</stp>
        <stp>FIRST_CPN_DT</stp>
        <stp>[STRIPS.xlsx]Sheet1!R652C9</stp>
        <tr r="I652" s="1"/>
      </tp>
      <tp t="s">
        <v>#N/A Field Not Applicable</v>
        <stp/>
        <stp>##V3_BDPV12</stp>
        <stp>912834KZ Govt</stp>
        <stp>FIRST_CPN_DT</stp>
        <stp>[STRIPS.xlsx]Sheet1!R269C9</stp>
        <tr r="I269" s="1"/>
      </tp>
      <tp t="s">
        <v>#N/A Field Not Applicable</v>
        <stp/>
        <stp>##V3_BDPV12</stp>
        <stp>912833FP Govt</stp>
        <stp>FIRST_CPN_DT</stp>
        <stp>[STRIPS.xlsx]Sheet1!R664C9</stp>
        <tr r="I664" s="1"/>
      </tp>
      <tp t="s">
        <v>#N/A Field Not Applicable</v>
        <stp/>
        <stp>##V3_BDPV12</stp>
        <stp>912833FR Govt</stp>
        <stp>FIRST_CPN_DT</stp>
        <stp>[STRIPS.xlsx]Sheet1!R364C9</stp>
        <tr r="I364" s="1"/>
      </tp>
      <tp t="s">
        <v>#N/A Field Not Applicable</v>
        <stp/>
        <stp>##V3_BDPV12</stp>
        <stp>912834KT Govt</stp>
        <stp>FIRST_CPN_DT</stp>
        <stp>[STRIPS.xlsx]Sheet1!R319C9</stp>
        <tr r="I319" s="1"/>
      </tp>
      <tp t="s">
        <v>#N/A Field Not Applicable</v>
        <stp/>
        <stp>##V3_BDPV12</stp>
        <stp>912833BW Govt</stp>
        <stp>FIRST_CPN_DT</stp>
        <stp>[STRIPS.xlsx]Sheet1!R610C9</stp>
        <tr r="I610" s="1"/>
      </tp>
      <tp t="s">
        <v>#N/A Field Not Applicable</v>
        <stp/>
        <stp>##V3_BDPV12</stp>
        <stp>912833JV Govt</stp>
        <stp>FIRST_CPN_DT</stp>
        <stp>[STRIPS.xlsx]Sheet1!R668C9</stp>
        <tr r="I668" s="1"/>
      </tp>
      <tp t="s">
        <v>#N/A Field Not Applicable</v>
        <stp/>
        <stp>##V3_BDPV12</stp>
        <stp>912833DH Govt</stp>
        <stp>FIRST_CPN_DT</stp>
        <stp>[STRIPS.xlsx]Sheet1!R506C9</stp>
        <tr r="I506" s="1"/>
      </tp>
      <tp t="s">
        <v>#N/A Field Not Applicable</v>
        <stp/>
        <stp>##V3_BDPV12</stp>
        <stp>912834KM Govt</stp>
        <stp>FIRST_CPN_DT</stp>
        <stp>[STRIPS.xlsx]Sheet1!R399C9</stp>
        <tr r="I399" s="1"/>
      </tp>
      <tp t="s">
        <v>#N/A Field Not Applicable</v>
        <stp/>
        <stp>##V3_BDPV12</stp>
        <stp>912834JL Govt</stp>
        <stp>FIRST_CPN_DT</stp>
        <stp>[STRIPS.xlsx]Sheet1!R538C9</stp>
        <tr r="I538" s="1"/>
      </tp>
      <tp t="s">
        <v>#N/A Field Not Applicable</v>
        <stp/>
        <stp>##V3_BDPV12</stp>
        <stp>912834KN Govt</stp>
        <stp>FIRST_CPN_DT</stp>
        <stp>[STRIPS.xlsx]Sheet1!R469C9</stp>
        <tr r="I469" s="1"/>
      </tp>
      <tp t="s">
        <v>#N/A Field Not Applicable</v>
        <stp/>
        <stp>##V3_BDPV12</stp>
        <stp>912834FC Govt</stp>
        <stp>FIRST_CPN_DT</stp>
        <stp>[STRIPS.xlsx]Sheet1!R534C9</stp>
        <tr r="I534" s="1"/>
      </tp>
      <tp t="s">
        <v>#N/A Field Not Applicable</v>
        <stp/>
        <stp>##V3_BDPV12</stp>
        <stp>912834BE Govt</stp>
        <stp>FIRST_CPN_DT</stp>
        <stp>[STRIPS.xlsx]Sheet1!R530C9</stp>
        <tr r="I530" s="1"/>
      </tp>
      <tp t="s">
        <v>#N/A Field Not Applicable</v>
        <stp/>
        <stp>##V3_BDPV12</stp>
        <stp>912833GD Govt</stp>
        <stp>FIRST_CPN_DT</stp>
        <stp>[STRIPS.xlsx]Sheet1!R365C9</stp>
        <tr r="I365" s="1"/>
      </tp>
      <tp t="s">
        <v>USD</v>
        <stp/>
        <stp>##V3_BDPV12</stp>
        <stp>912834UC Govt</stp>
        <stp>CRNCY</stp>
        <stp>[STRIPS.xlsx]Sheet1!R761C7</stp>
        <tr r="G761" s="1"/>
      </tp>
      <tp t="s">
        <v>USD</v>
        <stp/>
        <stp>##V3_BDPV12</stp>
        <stp>912833KA Govt</stp>
        <stp>CRNCY</stp>
        <stp>[STRIPS.xlsx]Sheet1!R193C7</stp>
        <tr r="G193" s="1"/>
      </tp>
      <tp t="s">
        <v>USD</v>
        <stp/>
        <stp>##V3_BDPV12</stp>
        <stp>912834MB Govt</stp>
        <stp>CRNCY</stp>
        <stp>[STRIPS.xlsx]Sheet1!R540C7</stp>
        <tr r="G540" s="1"/>
      </tp>
      <tp t="s">
        <v>USD</v>
        <stp/>
        <stp>##V3_BDPV12</stp>
        <stp>912834MC Govt</stp>
        <stp>CRNCY</stp>
        <stp>[STRIPS.xlsx]Sheet1!R541C7</stp>
        <tr r="G541" s="1"/>
      </tp>
      <tp t="s">
        <v>USD</v>
        <stp/>
        <stp>##V3_BDPV12</stp>
        <stp>912834EA Govt</stp>
        <stp>CRNCY</stp>
        <stp>[STRIPS.xlsx]Sheet1!R593C7</stp>
        <tr r="G593" s="1"/>
      </tp>
      <tp t="s">
        <v>USD</v>
        <stp/>
        <stp>##V3_BDPV12</stp>
        <stp>912834EF Govt</stp>
        <stp>CRNCY</stp>
        <stp>[STRIPS.xlsx]Sheet1!R594C7</stp>
        <tr r="G594" s="1"/>
      </tp>
      <tp t="s">
        <v>USD</v>
        <stp/>
        <stp>##V3_BDPV12</stp>
        <stp>912833QC Govt</stp>
        <stp>CRNCY</stp>
        <stp>[STRIPS.xlsx]Sheet1!R341C7</stp>
        <tr r="G341" s="1"/>
      </tp>
      <tp t="s">
        <v>USD</v>
        <stp/>
        <stp>##V3_BDPV12</stp>
        <stp>912834EC Govt</stp>
        <stp>CRNCY</stp>
        <stp>[STRIPS.xlsx]Sheet1!R461C7</stp>
        <tr r="G461" s="1"/>
      </tp>
      <tp t="s">
        <v>USD</v>
        <stp/>
        <stp>##V3_BDPV12</stp>
        <stp>912834PK Govt</stp>
        <stp>CRNCY</stp>
        <stp>[STRIPS.xlsx]Sheet1!R329C7</stp>
        <tr r="G329" s="1"/>
      </tp>
      <tp t="s">
        <v>USD</v>
        <stp/>
        <stp>##V3_BDPV12</stp>
        <stp>912833CE Govt</stp>
        <stp>CRNCY</stp>
        <stp>[STRIPS.xlsx]Sheet1!R437C7</stp>
        <tr r="G437" s="1"/>
      </tp>
      <tp t="s">
        <v>USD</v>
        <stp/>
        <stp>##V3_BDPV12</stp>
        <stp>912833QK Govt</stp>
        <stp>CRNCY</stp>
        <stp>[STRIPS.xlsx]Sheet1!R519C7</stp>
        <tr r="G519" s="1"/>
      </tp>
      <tp t="s">
        <v>USD</v>
        <stp/>
        <stp>##V3_BDPV12</stp>
        <stp>912833QD Govt</stp>
        <stp>CRNCY</stp>
        <stp>[STRIPS.xlsx]Sheet1!R576C7</stp>
        <tr r="G576" s="1"/>
      </tp>
      <tp t="s">
        <v>USD</v>
        <stp/>
        <stp>##V3_BDPV12</stp>
        <stp>912834UE Govt</stp>
        <stp>CRNCY</stp>
        <stp>[STRIPS.xlsx]Sheet1!R207C7</stp>
        <tr r="G207" s="1"/>
      </tp>
      <tp t="s">
        <v>USD</v>
        <stp/>
        <stp>##V3_BDPV12</stp>
        <stp>912833ME Govt</stp>
        <stp>CRNCY</stp>
        <stp>[STRIPS.xlsx]Sheet1!R567C7</stp>
        <tr r="G567" s="1"/>
      </tp>
      <tp t="s">
        <v>USD</v>
        <stp/>
        <stp>##V3_BDPV12</stp>
        <stp>9128332E Govt</stp>
        <stp>CRNCY</stp>
        <stp>[STRIPS.xlsx]Sheet1!R597C7</stp>
        <tr r="G597" s="1"/>
      </tp>
      <tp t="s">
        <v>USD</v>
        <stp/>
        <stp>##V3_BDPV12</stp>
        <stp>9128332J Govt</stp>
        <stp>CRNCY</stp>
        <stp>[STRIPS.xlsx]Sheet1!R598C7</stp>
        <tr r="G598" s="1"/>
      </tp>
      <tp t="s">
        <v>USD</v>
        <stp/>
        <stp>##V3_BDPV12</stp>
        <stp>912833QF Govt</stp>
        <stp>CRNCY</stp>
        <stp>[STRIPS.xlsx]Sheet1!R684C7</stp>
        <tr r="G684" s="1"/>
      </tp>
      <tp t="s">
        <v>USD</v>
        <stp/>
        <stp>##V3_BDPV12</stp>
        <stp>912833QG Govt</stp>
        <stp>CRNCY</stp>
        <stp>[STRIPS.xlsx]Sheet1!R685C7</stp>
        <tr r="G685" s="1"/>
      </tp>
      <tp t="s">
        <v>USD</v>
        <stp/>
        <stp>##V3_BDPV12</stp>
        <stp>912834WD Govt</stp>
        <stp>CRNCY</stp>
        <stp>[STRIPS.xlsx]Sheet1!R186C7</stp>
        <tr r="G186" s="1"/>
      </tp>
      <tp t="s">
        <v>USD</v>
        <stp/>
        <stp>##V3_BDPV12</stp>
        <stp>912834PA Govt</stp>
        <stp>CRNCY</stp>
        <stp>[STRIPS.xlsx]Sheet1!R123C7</stp>
        <tr r="G123" s="1"/>
      </tp>
      <tp t="s">
        <v>USD</v>
        <stp/>
        <stp>##V3_BDPV12</stp>
        <stp>912834QC Govt</stp>
        <stp>CRNCY</stp>
        <stp>[STRIPS.xlsx]Sheet1!R141C7</stp>
        <tr r="G141" s="1"/>
      </tp>
      <tp t="s">
        <v>USD</v>
        <stp/>
        <stp>##V3_BDPV12</stp>
        <stp>912834KB Govt</stp>
        <stp>CRNCY</stp>
        <stp>[STRIPS.xlsx]Sheet1!R110C7</stp>
        <tr r="G110" s="1"/>
      </tp>
      <tp t="s">
        <v>USD</v>
        <stp/>
        <stp>##V3_BDPV12</stp>
        <stp>912833ND Govt</stp>
        <stp>CRNCY</stp>
        <stp>[STRIPS.xlsx]Sheet1!R676C7</stp>
        <tr r="G676" s="1"/>
      </tp>
      <tp t="s">
        <v>USD</v>
        <stp/>
        <stp>##V3_BDPV12</stp>
        <stp>912834FB Govt</stp>
        <stp>CRNCY</stp>
        <stp>[STRIPS.xlsx]Sheet1!R120C7</stp>
        <tr r="G120" s="1"/>
      </tp>
      <tp t="s">
        <v>USD</v>
        <stp/>
        <stp>##V3_BDPV12</stp>
        <stp>9128334F Govt</stp>
        <stp>CRNCY</stp>
        <stp>[STRIPS.xlsx]Sheet1!R604C7</stp>
        <tr r="G604" s="1"/>
      </tp>
      <tp t="s">
        <v>USD</v>
        <stp/>
        <stp>##V3_BDPV12</stp>
        <stp>9128332C Govt</stp>
        <stp>CRNCY</stp>
        <stp>[STRIPS.xlsx]Sheet1!R701C7</stp>
        <tr r="G701" s="1"/>
      </tp>
      <tp t="s">
        <v>#N/A Field Not Applicable</v>
        <stp/>
        <stp>##V3_BDPV12</stp>
        <stp>912833DG Govt</stp>
        <stp>FIRST_CPN_DT</stp>
        <stp>[STRIPS.xlsx]Sheet1!R736C9</stp>
        <tr r="I736" s="1"/>
      </tp>
      <tp t="s">
        <v>#N/A Field Not Applicable</v>
        <stp/>
        <stp>##V3_BDPV12</stp>
        <stp>912834JG Govt</stp>
        <stp>FIRST_CPN_DT</stp>
        <stp>[STRIPS.xlsx]Sheet1!R228C9</stp>
        <tr r="I228" s="1"/>
      </tp>
      <tp t="s">
        <v>#N/A Field Not Applicable</v>
        <stp/>
        <stp>##V3_BDPV12</stp>
        <stp>912834KF Govt</stp>
        <stp>FIRST_CPN_DT</stp>
        <stp>[STRIPS.xlsx]Sheet1!R229C9</stp>
        <tr r="I229" s="1"/>
      </tp>
      <tp t="s">
        <v>#N/A Field Not Applicable</v>
        <stp/>
        <stp>##V3_BDPV12</stp>
        <stp>912834BF Govt</stp>
        <stp>FIRST_CPN_DT</stp>
        <stp>[STRIPS.xlsx]Sheet1!R350C9</stp>
        <tr r="I350" s="1"/>
      </tp>
      <tp t="s">
        <v>NORMAL</v>
        <stp/>
        <stp>##V3_BDPV12</stp>
        <stp>9128337K Govt</stp>
        <stp>MTY_TYP</stp>
        <stp>[STRIPS.xlsx]Sheet1!R292C6</stp>
        <tr r="F292" s="1"/>
      </tp>
      <tp t="s">
        <v>NORMAL</v>
        <stp/>
        <stp>##V3_BDPV12</stp>
        <stp>9128335U Govt</stp>
        <stp>MTY_TYP</stp>
        <stp>[STRIPS.xlsx]Sheet1!R712C6</stp>
        <tr r="F712" s="1"/>
      </tp>
      <tp t="s">
        <v>NORMAL</v>
        <stp/>
        <stp>##V3_BDPV12</stp>
        <stp>9128335J Govt</stp>
        <stp>MTY_TYP</stp>
        <stp>[STRIPS.xlsx]Sheet1!R492C6</stp>
        <tr r="F492" s="1"/>
      </tp>
      <tp t="s">
        <v>NORMAL</v>
        <stp/>
        <stp>##V3_BDPV12</stp>
        <stp>9128335H Govt</stp>
        <stp>MTY_TYP</stp>
        <stp>[STRIPS.xlsx]Sheet1!R722C6</stp>
        <tr r="F722" s="1"/>
      </tp>
      <tp t="s">
        <v>NORMAL</v>
        <stp/>
        <stp>##V3_BDPV12</stp>
        <stp>9128334U Govt</stp>
        <stp>MTY_TYP</stp>
        <stp>[STRIPS.xlsx]Sheet1!R102C6</stp>
        <tr r="F102" s="1"/>
      </tp>
      <tp>
        <v>1.0180000000000078</v>
        <stp/>
        <stp>##V3_BDPV12</stp>
        <stp>912833LZ Govt</stp>
        <stp>YLD_YTM_BID</stp>
        <stp>[STRIPS.xlsx]Sheet1!R9C4</stp>
        <tr r="D9" s="1"/>
      </tp>
      <tp t="s">
        <v>NORMAL</v>
        <stp/>
        <stp>##V3_BDPV12</stp>
        <stp>9128333Z Govt</stp>
        <stp>MTY_TYP</stp>
        <stp>[STRIPS.xlsx]Sheet1!R602C6</stp>
        <tr r="F602" s="1"/>
      </tp>
      <tp t="s">
        <v>NORMAL</v>
        <stp/>
        <stp>##V3_BDPV12</stp>
        <stp>9128333L Govt</stp>
        <stp>MTY_TYP</stp>
        <stp>[STRIPS.xlsx]Sheet1!R552C6</stp>
        <tr r="F552" s="1"/>
      </tp>
      <tp t="s">
        <v>NORMAL</v>
        <stp/>
        <stp>##V3_BDPV12</stp>
        <stp>9128332F Govt</stp>
        <stp>MTY_TYP</stp>
        <stp>[STRIPS.xlsx]Sheet1!R702C6</stp>
        <tr r="F702" s="1"/>
      </tp>
      <tp t="s">
        <v>NORMAL</v>
        <stp/>
        <stp>##V3_BDPV12</stp>
        <stp>912833FX Govt</stp>
        <stp>MTY_TYP</stp>
        <stp>[STRIPS.xlsx]Sheet1!R622C6</stp>
        <tr r="F622" s="1"/>
      </tp>
      <tp t="s">
        <v>NORMAL</v>
        <stp/>
        <stp>##V3_BDPV12</stp>
        <stp>912834FA Govt</stp>
        <stp>MTY_TYP</stp>
        <stp>[STRIPS.xlsx]Sheet1!R395C6</stp>
        <tr r="F395" s="1"/>
      </tp>
      <tp t="s">
        <v>NORMAL</v>
        <stp/>
        <stp>##V3_BDPV12</stp>
        <stp>912833FK Govt</stp>
        <stp>MTY_TYP</stp>
        <stp>[STRIPS.xlsx]Sheet1!R662C6</stp>
        <tr r="F662" s="1"/>
      </tp>
      <tp t="s">
        <v>NORMAL</v>
        <stp/>
        <stp>##V3_BDPV12</stp>
        <stp>912834EU Govt</stp>
        <stp>MTY_TYP</stp>
        <stp>[STRIPS.xlsx]Sheet1!R175C6</stp>
        <tr r="F175" s="1"/>
      </tp>
      <tp t="s">
        <v>NORMAL</v>
        <stp/>
        <stp>##V3_BDPV12</stp>
        <stp>912834ED Govt</stp>
        <stp>MTY_TYP</stp>
        <stp>[STRIPS.xlsx]Sheet1!R645C6</stp>
        <tr r="F645" s="1"/>
      </tp>
      <tp t="s">
        <v>NORMAL</v>
        <stp/>
        <stp>##V3_BDPV12</stp>
        <stp>912834EJ Govt</stp>
        <stp>MTY_TYP</stp>
        <stp>[STRIPS.xlsx]Sheet1!R595C6</stp>
        <tr r="F595" s="1"/>
      </tp>
      <tp t="s">
        <v>NORMAL</v>
        <stp/>
        <stp>##V3_BDPV12</stp>
        <stp>912833DB Govt</stp>
        <stp>MTY_TYP</stp>
        <stp>[STRIPS.xlsx]Sheet1!R162C6</stp>
        <tr r="F162" s="1"/>
      </tp>
      <tp t="s">
        <v>NORMAL</v>
        <stp/>
        <stp>##V3_BDPV12</stp>
        <stp>912833C3 Govt</stp>
        <stp>MTY_TYP</stp>
        <stp>[STRIPS.xlsx]Sheet1!R362C6</stp>
        <tr r="F362" s="1"/>
      </tp>
      <tp t="s">
        <v>NORMAL</v>
        <stp/>
        <stp>##V3_BDPV12</stp>
        <stp>912833C4 Govt</stp>
        <stp>MTY_TYP</stp>
        <stp>[STRIPS.xlsx]Sheet1!R612C6</stp>
        <tr r="F612" s="1"/>
      </tp>
      <tp t="s">
        <v>NORMAL</v>
        <stp/>
        <stp>##V3_BDPV12</stp>
        <stp>912833CA Govt</stp>
        <stp>MTY_TYP</stp>
        <stp>[STRIPS.xlsx]Sheet1!R502C6</stp>
        <tr r="F502" s="1"/>
      </tp>
      <tp t="s">
        <v>NORMAL</v>
        <stp/>
        <stp>##V3_BDPV12</stp>
        <stp>912833B3 Govt</stp>
        <stp>MTY_TYP</stp>
        <stp>[STRIPS.xlsx]Sheet1!R732C6</stp>
        <tr r="F732" s="1"/>
      </tp>
      <tp t="s">
        <v>NORMAL</v>
        <stp/>
        <stp>##V3_BDPV12</stp>
        <stp>912833BZ Govt</stp>
        <stp>MTY_TYP</stp>
        <stp>[STRIPS.xlsx]Sheet1!R562C6</stp>
        <tr r="F562" s="1"/>
      </tp>
      <tp t="s">
        <v>NORMAL</v>
        <stp/>
        <stp>##V3_BDPV12</stp>
        <stp>912833A6 Govt</stp>
        <stp>MTY_TYP</stp>
        <stp>[STRIPS.xlsx]Sheet1!R652C6</stp>
        <tr r="F652" s="1"/>
      </tp>
      <tp t="s">
        <v>NORMAL</v>
        <stp/>
        <stp>##V3_BDPV12</stp>
        <stp>912833A5 Govt</stp>
        <stp>MTY_TYP</stp>
        <stp>[STRIPS.xlsx]Sheet1!R432C6</stp>
        <tr r="F432" s="1"/>
      </tp>
      <tp t="s">
        <v>NORMAL</v>
        <stp/>
        <stp>##V3_BDPV12</stp>
        <stp>912834AU Govt</stp>
        <stp>MTY_TYP</stp>
        <stp>[STRIPS.xlsx]Sheet1!R125C6</stp>
        <tr r="F125" s="1"/>
      </tp>
      <tp t="s">
        <v>NORMAL</v>
        <stp/>
        <stp>##V3_BDPV12</stp>
        <stp>912834AH Govt</stp>
        <stp>MTY_TYP</stp>
        <stp>[STRIPS.xlsx]Sheet1!R385C6</stp>
        <tr r="F385" s="1"/>
      </tp>
      <tp t="s">
        <v>NORMAL</v>
        <stp/>
        <stp>##V3_BDPV12</stp>
        <stp>912833NR Govt</stp>
        <stp>MTY_TYP</stp>
        <stp>[STRIPS.xlsx]Sheet1!R572C6</stp>
        <tr r="F572" s="1"/>
      </tp>
      <tp t="s">
        <v>NORMAL</v>
        <stp/>
        <stp>##V3_BDPV12</stp>
        <stp>912834NV Govt</stp>
        <stp>MTY_TYP</stp>
        <stp>[STRIPS.xlsx]Sheet1!R115C6</stp>
        <tr r="F115" s="1"/>
      </tp>
      <tp t="s">
        <v>NORMAL</v>
        <stp/>
        <stp>##V3_BDPV12</stp>
        <stp>912834NZ Govt</stp>
        <stp>MTY_TYP</stp>
        <stp>[STRIPS.xlsx]Sheet1!R275C6</stp>
        <tr r="F275" s="1"/>
      </tp>
      <tp t="s">
        <v>NORMAL</v>
        <stp/>
        <stp>##V3_BDPV12</stp>
        <stp>912834ND Govt</stp>
        <stp>MTY_TYP</stp>
        <stp>[STRIPS.xlsx]Sheet1!R545C6</stp>
        <tr r="F545" s="1"/>
      </tp>
      <tp t="s">
        <v>NORMAL</v>
        <stp/>
        <stp>##V3_BDPV12</stp>
        <stp>912833NK Govt</stp>
        <stp>MTY_TYP</stp>
        <stp>[STRIPS.xlsx]Sheet1!R372C6</stp>
        <tr r="F372" s="1"/>
      </tp>
      <tp t="s">
        <v>10/15/2003</v>
        <stp/>
        <stp>##V3_BDPV12</stp>
        <stp>912833A5 Govt</stp>
        <stp>ISSUE_DT</stp>
        <stp>[STRIPS.xlsx]Sheet1!R432C15</stp>
        <tr r="O432" s="1"/>
      </tp>
      <tp t="s">
        <v>1/15/2004</v>
        <stp/>
        <stp>##V3_BDPV12</stp>
        <stp>912833C5 Govt</stp>
        <stp>ISSUE_DT</stp>
        <stp>[STRIPS.xlsx]Sheet1!R435C15</stp>
        <tr r="O435" s="1"/>
      </tp>
      <tp t="s">
        <v>NORMAL</v>
        <stp/>
        <stp>##V3_BDPV12</stp>
        <stp>912834ML Govt</stp>
        <stp>MTY_TYP</stp>
        <stp>[STRIPS.xlsx]Sheet1!R475C6</stp>
        <tr r="F475" s="1"/>
      </tp>
      <tp t="s">
        <v>NORMAL</v>
        <stp/>
        <stp>##V3_BDPV12</stp>
        <stp>912834MK Govt</stp>
        <stp>MTY_TYP</stp>
        <stp>[STRIPS.xlsx]Sheet1!R405C6</stp>
        <tr r="F405" s="1"/>
      </tp>
      <tp t="s">
        <v>8/31/2007</v>
        <stp/>
        <stp>##V3_BDPV12</stp>
        <stp>912833Y5 Govt</stp>
        <stp>ISSUE_DT</stp>
        <stp>[STRIPS.xlsx]Sheet1!R582C15</stp>
        <tr r="O582" s="1"/>
      </tp>
      <tp t="s">
        <v>NORMAL</v>
        <stp/>
        <stp>##V3_BDPV12</stp>
        <stp>912834LZ Govt</stp>
        <stp>MTY_TYP</stp>
        <stp>[STRIPS.xlsx]Sheet1!R325C6</stp>
        <tr r="F325" s="1"/>
      </tp>
      <tp t="s">
        <v>NORMAL</v>
        <stp/>
        <stp>##V3_BDPV12</stp>
        <stp>912833LB Govt</stp>
        <stp>MTY_TYP</stp>
        <stp>[STRIPS.xlsx]Sheet1!R332C6</stp>
        <tr r="F332" s="1"/>
      </tp>
      <tp t="s">
        <v>NORMAL</v>
        <stp/>
        <stp>##V3_BDPV12</stp>
        <stp>912833KV Govt</stp>
        <stp>MTY_TYP</stp>
        <stp>[STRIPS.xlsx]Sheet1!R742C6</stp>
        <tr r="F742" s="1"/>
      </tp>
      <tp t="s">
        <v>NORMAL</v>
        <stp/>
        <stp>##V3_BDPV12</stp>
        <stp>912833KZ Govt</stp>
        <stp>MTY_TYP</stp>
        <stp>[STRIPS.xlsx]Sheet1!R152C6</stp>
        <tr r="F152" s="1"/>
      </tp>
      <tp t="s">
        <v>NORMAL</v>
        <stp/>
        <stp>##V3_BDPV12</stp>
        <stp>912834KA Govt</stp>
        <stp>MTY_TYP</stp>
        <stp>[STRIPS.xlsx]Sheet1!R165C6</stp>
        <tr r="F165" s="1"/>
      </tp>
      <tp t="s">
        <v>NORMAL</v>
        <stp/>
        <stp>##V3_BDPV12</stp>
        <stp>912833KC Govt</stp>
        <stp>MTY_TYP</stp>
        <stp>[STRIPS.xlsx]Sheet1!R442C6</stp>
        <tr r="F442" s="1"/>
      </tp>
      <tp t="s">
        <v>NORMAL</v>
        <stp/>
        <stp>##V3_BDPV12</stp>
        <stp>912833KN Govt</stp>
        <stp>MTY_TYP</stp>
        <stp>[STRIPS.xlsx]Sheet1!R672C6</stp>
        <tr r="F672" s="1"/>
      </tp>
      <tp t="s">
        <v>NORMAL</v>
        <stp/>
        <stp>##V3_BDPV12</stp>
        <stp>912833KL Govt</stp>
        <stp>MTY_TYP</stp>
        <stp>[STRIPS.xlsx]Sheet1!R302C6</stp>
        <tr r="F302" s="1"/>
      </tp>
      <tp t="s">
        <v>NORMAL</v>
        <stp/>
        <stp>##V3_BDPV12</stp>
        <stp>912833KJ Govt</stp>
        <stp>MTY_TYP</stp>
        <stp>[STRIPS.xlsx]Sheet1!R512C6</stp>
        <tr r="F512" s="1"/>
      </tp>
      <tp t="s">
        <v>12/15/2003</v>
        <stp/>
        <stp>##V3_BDPV12</stp>
        <stp>912833B5 Govt</stp>
        <stp>ISSUE_DT</stp>
        <stp>[STRIPS.xlsx]Sheet1!R331C15</stp>
        <tr r="O331" s="1"/>
      </tp>
      <tp t="s">
        <v>NORMAL</v>
        <stp/>
        <stp>##V3_BDPV12</stp>
        <stp>912834JS Govt</stp>
        <stp>MTY_TYP</stp>
        <stp>[STRIPS.xlsx]Sheet1!R315C6</stp>
        <tr r="F315" s="1"/>
      </tp>
      <tp t="s">
        <v>NORMAL</v>
        <stp/>
        <stp>##V3_BDPV12</stp>
        <stp>912834JJ Govt</stp>
        <stp>MTY_TYP</stp>
        <stp>[STRIPS.xlsx]Sheet1!R465C6</stp>
        <tr r="F465" s="1"/>
      </tp>
      <tp t="s">
        <v>NORMAL</v>
        <stp/>
        <stp>##V3_BDPV12</stp>
        <stp>912834HT Govt</stp>
        <stp>MTY_TYP</stp>
        <stp>[STRIPS.xlsx]Sheet1!R355C6</stp>
        <tr r="F355" s="1"/>
      </tp>
      <tp t="s">
        <v>NORMAL</v>
        <stp/>
        <stp>##V3_BDPV12</stp>
        <stp>912834HU Govt</stp>
        <stp>MTY_TYP</stp>
        <stp>[STRIPS.xlsx]Sheet1!R225C6</stp>
        <tr r="F225" s="1"/>
      </tp>
      <tp t="s">
        <v>NORMAL</v>
        <stp/>
        <stp>##V3_BDPV12</stp>
        <stp>912834HR Govt</stp>
        <stp>MTY_TYP</stp>
        <stp>[STRIPS.xlsx]Sheet1!R535C6</stp>
        <tr r="F535" s="1"/>
      </tp>
      <tp t="s">
        <v>NORMAL</v>
        <stp/>
        <stp>##V3_BDPV12</stp>
        <stp>912834HZ Govt</stp>
        <stp>MTY_TYP</stp>
        <stp>[STRIPS.xlsx]Sheet1!R265C6</stp>
        <tr r="F265" s="1"/>
      </tp>
      <tp t="s">
        <v>NORMAL</v>
        <stp/>
        <stp>##V3_BDPV12</stp>
        <stp>912834WW Govt</stp>
        <stp>MTY_TYP</stp>
        <stp>[STRIPS.xlsx]Sheet1!R185C6</stp>
        <tr r="F185" s="1"/>
      </tp>
      <tp t="s">
        <v>NORMAL</v>
        <stp/>
        <stp>##V3_BDPV12</stp>
        <stp>912834WH Govt</stp>
        <stp>MTY_TYP</stp>
        <stp>[STRIPS.xlsx]Sheet1!R215C6</stp>
        <tr r="F215" s="1"/>
      </tp>
      <tp t="s">
        <v>NORMAL</v>
        <stp/>
        <stp>##V3_BDPV12</stp>
        <stp>912834WK Govt</stp>
        <stp>MTY_TYP</stp>
        <stp>[STRIPS.xlsx]Sheet1!R775C6</stp>
        <tr r="F775" s="1"/>
      </tp>
      <tp t="s">
        <v>NORMAL</v>
        <stp/>
        <stp>##V3_BDPV12</stp>
        <stp>912834VD Govt</stp>
        <stp>MTY_TYP</stp>
        <stp>[STRIPS.xlsx]Sheet1!R765C6</stp>
        <tr r="F765" s="1"/>
      </tp>
      <tp t="s">
        <v>NORMAL</v>
        <stp/>
        <stp>##V3_BDPV12</stp>
        <stp>912834UU Govt</stp>
        <stp>MTY_TYP</stp>
        <stp>[STRIPS.xlsx]Sheet1!R755C6</stp>
        <tr r="F755" s="1"/>
      </tp>
      <tp t="s">
        <v>NORMAL</v>
        <stp/>
        <stp>##V3_BDPV12</stp>
        <stp>912834UH Govt</stp>
        <stp>MTY_TYP</stp>
        <stp>[STRIPS.xlsx]Sheet1!R105C6</stp>
        <tr r="F105" s="1"/>
      </tp>
      <tp t="s">
        <v>NORMAL</v>
        <stp/>
        <stp>##V3_BDPV12</stp>
        <stp>912834TX Govt</stp>
        <stp>MTY_TYP</stp>
        <stp>[STRIPS.xlsx]Sheet1!R145C6</stp>
        <tr r="F145" s="1"/>
      </tp>
      <tp t="s">
        <v>NORMAL</v>
        <stp/>
        <stp>##V3_BDPV12</stp>
        <stp>912834TE Govt</stp>
        <stp>MTY_TYP</stp>
        <stp>[STRIPS.xlsx]Sheet1!R155C6</stp>
        <tr r="F155" s="1"/>
      </tp>
      <tp t="s">
        <v>NORMAL</v>
        <stp/>
        <stp>##V3_BDPV12</stp>
        <stp>912834TL Govt</stp>
        <stp>MTY_TYP</stp>
        <stp>[STRIPS.xlsx]Sheet1!R195C6</stp>
        <tr r="F195" s="1"/>
      </tp>
      <tp t="s">
        <v>NORMAL</v>
        <stp/>
        <stp>##V3_BDPV12</stp>
        <stp>912834TK Govt</stp>
        <stp>MTY_TYP</stp>
        <stp>[STRIPS.xlsx]Sheet1!R425C6</stp>
        <tr r="F425" s="1"/>
      </tp>
      <tp t="s">
        <v>NORMAL</v>
        <stp/>
        <stp>##V3_BDPV12</stp>
        <stp>912833RQ Govt</stp>
        <stp>MTY_TYP</stp>
        <stp>[STRIPS.xlsx]Sheet1!R692C6</stp>
        <tr r="F692" s="1"/>
      </tp>
      <tp t="s">
        <v>NORMAL</v>
        <stp/>
        <stp>##V3_BDPV12</stp>
        <stp>912833RA Govt</stp>
        <stp>MTY_TYP</stp>
        <stp>[STRIPS.xlsx]Sheet1!R342C6</stp>
        <tr r="F342" s="1"/>
      </tp>
      <tp t="s">
        <v>NORMAL</v>
        <stp/>
        <stp>##V3_BDPV12</stp>
        <stp>912833RF Govt</stp>
        <stp>MTY_TYP</stp>
        <stp>[STRIPS.xlsx]Sheet1!R522C6</stp>
        <tr r="F522" s="1"/>
      </tp>
      <tp t="s">
        <v>NORMAL</v>
        <stp/>
        <stp>##V3_BDPV12</stp>
        <stp>912834RM Govt</stp>
        <stp>MTY_TYP</stp>
        <stp>[STRIPS.xlsx]Sheet1!R415C6</stp>
        <tr r="F415" s="1"/>
      </tp>
      <tp t="s">
        <v>NORMAL</v>
        <stp/>
        <stp>##V3_BDPV12</stp>
        <stp>912834QS Govt</stp>
        <stp>MTY_TYP</stp>
        <stp>[STRIPS.xlsx]Sheet1!R135C6</stp>
        <tr r="F135" s="1"/>
      </tp>
      <tp t="s">
        <v>NORMAL</v>
        <stp/>
        <stp>##V3_BDPV12</stp>
        <stp>912834QQ Govt</stp>
        <stp>MTY_TYP</stp>
        <stp>[STRIPS.xlsx]Sheet1!R205C6</stp>
        <tr r="F205" s="1"/>
      </tp>
      <tp t="s">
        <v>NORMAL</v>
        <stp/>
        <stp>##V3_BDPV12</stp>
        <stp>912833QV Govt</stp>
        <stp>MTY_TYP</stp>
        <stp>[STRIPS.xlsx]Sheet1!R242C6</stp>
        <tr r="F242" s="1"/>
      </tp>
      <tp t="s">
        <v>NORMAL</v>
        <stp/>
        <stp>##V3_BDPV12</stp>
        <stp>912833QS Govt</stp>
        <stp>MTY_TYP</stp>
        <stp>[STRIPS.xlsx]Sheet1!R632C6</stp>
        <tr r="F632" s="1"/>
      </tp>
      <tp t="s">
        <v>NORMAL</v>
        <stp/>
        <stp>##V3_BDPV12</stp>
        <stp>912833PQ Govt</stp>
        <stp>MTY_TYP</stp>
        <stp>[STRIPS.xlsx]Sheet1!R682C6</stp>
        <tr r="F682" s="1"/>
      </tp>
      <tp t="s">
        <v>NORMAL</v>
        <stp/>
        <stp>##V3_BDPV12</stp>
        <stp>912833Z4 Govt</stp>
        <stp>MTY_TYP</stp>
        <stp>[STRIPS.xlsx]Sheet1!R382C6</stp>
        <tr r="F382" s="1"/>
      </tp>
      <tp t="s">
        <v>NORMAL</v>
        <stp/>
        <stp>##V3_BDPV12</stp>
        <stp>912833ZP Govt</stp>
        <stp>MTY_TYP</stp>
        <stp>[STRIPS.xlsx]Sheet1!R192C6</stp>
        <tr r="F192" s="1"/>
      </tp>
      <tp t="s">
        <v>NORMAL</v>
        <stp/>
        <stp>##V3_BDPV12</stp>
        <stp>912833ZE Govt</stp>
        <stp>MTY_TYP</stp>
        <stp>[STRIPS.xlsx]Sheet1!R252C6</stp>
        <tr r="F252" s="1"/>
      </tp>
      <tp t="s">
        <v>NORMAL</v>
        <stp/>
        <stp>##V3_BDPV12</stp>
        <stp>912833Y5 Govt</stp>
        <stp>MTY_TYP</stp>
        <stp>[STRIPS.xlsx]Sheet1!R582C6</stp>
        <tr r="F582" s="1"/>
      </tp>
      <tp t="s">
        <v>NORMAL</v>
        <stp/>
        <stp>##V3_BDPV12</stp>
        <stp>912833YM Govt</stp>
        <stp>MTY_TYP</stp>
        <stp>[STRIPS.xlsx]Sheet1!R452C6</stp>
        <tr r="F452" s="1"/>
      </tp>
      <tp t="s">
        <v>#N/A Field Not Applicable</v>
        <stp/>
        <stp>##V3_BDPV12</stp>
        <stp>912833C2 Govt</stp>
        <stp>FIRST_CPN_DT</stp>
        <stp>[STRIPS.xlsx]Sheet1!R611C9</stp>
        <tr r="I611" s="1"/>
      </tp>
      <tp t="s">
        <v>#N/A Field Not Applicable</v>
        <stp/>
        <stp>##V3_BDPV12</stp>
        <stp>912833A7 Govt</stp>
        <stp>FIRST_CPN_DT</stp>
        <stp>[STRIPS.xlsx]Sheet1!R653C9</stp>
        <tr r="I653" s="1"/>
      </tp>
      <tp t="s">
        <v>#N/A Field Not Applicable</v>
        <stp/>
        <stp>##V3_BDPV12</stp>
        <stp>912833B6 Govt</stp>
        <stp>FIRST_CPN_DT</stp>
        <stp>[STRIPS.xlsx]Sheet1!R500C9</stp>
        <tr r="I500" s="1"/>
      </tp>
      <tp t="s">
        <v>#N/A Field Not Applicable</v>
        <stp/>
        <stp>##V3_BDPV12</stp>
        <stp>912834EX Govt</stp>
        <stp>FIRST_CPN_DT</stp>
        <stp>[STRIPS.xlsx]Sheet1!R354C9</stp>
        <tr r="I354" s="1"/>
      </tp>
      <tp t="s">
        <v>#N/A Field Not Applicable</v>
        <stp/>
        <stp>##V3_BDPV12</stp>
        <stp>912834EZ Govt</stp>
        <stp>FIRST_CPN_DT</stp>
        <stp>[STRIPS.xlsx]Sheet1!R394C9</stp>
        <tr r="I394" s="1"/>
      </tp>
      <tp t="s">
        <v>#N/A Field Not Applicable</v>
        <stp/>
        <stp>##V3_BDPV12</stp>
        <stp>912834AQ Govt</stp>
        <stp>FIRST_CPN_DT</stp>
        <stp>[STRIPS.xlsx]Sheet1!R260C9</stp>
        <tr r="I260" s="1"/>
      </tp>
      <tp t="s">
        <v>#N/A Field Not Applicable</v>
        <stp/>
        <stp>##V3_BDPV12</stp>
        <stp>912834ES Govt</stp>
        <stp>FIRST_CPN_DT</stp>
        <stp>[STRIPS.xlsx]Sheet1!R464C9</stp>
        <tr r="I464" s="1"/>
      </tp>
      <tp t="s">
        <v>#N/A Field Not Applicable</v>
        <stp/>
        <stp>##V3_BDPV12</stp>
        <stp>912833FH Govt</stp>
        <stp>FIRST_CPN_DT</stp>
        <stp>[STRIPS.xlsx]Sheet1!R507C9</stp>
        <tr r="I507" s="1"/>
      </tp>
      <tp t="s">
        <v>#N/A Field Not Applicable</v>
        <stp/>
        <stp>##V3_BDPV12</stp>
        <stp>912833FJ Govt</stp>
        <stp>FIRST_CPN_DT</stp>
        <stp>[STRIPS.xlsx]Sheet1!R737C9</stp>
        <tr r="I737" s="1"/>
      </tp>
      <tp t="s">
        <v>#N/A Field Not Applicable</v>
        <stp/>
        <stp>##V3_BDPV12</stp>
        <stp>912834BM Govt</stp>
        <stp>FIRST_CPN_DT</stp>
        <stp>[STRIPS.xlsx]Sheet1!R353C9</stp>
        <tr r="I353" s="1"/>
      </tp>
      <tp t="s">
        <v>#N/A Field Not Applicable</v>
        <stp/>
        <stp>##V3_BDPV12</stp>
        <stp>912834BN Govt</stp>
        <stp>FIRST_CPN_DT</stp>
        <stp>[STRIPS.xlsx]Sheet1!R263C9</stp>
        <tr r="I263" s="1"/>
      </tp>
      <tp t="s">
        <v>#N/A Field Not Applicable</v>
        <stp/>
        <stp>##V3_BDPV12</stp>
        <stp>912833CA Govt</stp>
        <stp>FIRST_CPN_DT</stp>
        <stp>[STRIPS.xlsx]Sheet1!R502C9</stp>
        <tr r="I502" s="1"/>
      </tp>
      <tp t="s">
        <v>#N/A Field Not Applicable</v>
        <stp/>
        <stp>##V3_BDPV12</stp>
        <stp>912833GB Govt</stp>
        <stp>FIRST_CPN_DT</stp>
        <stp>[STRIPS.xlsx]Sheet1!R666C9</stp>
        <tr r="I666" s="1"/>
      </tp>
      <tp t="s">
        <v>#N/A Field Not Applicable</v>
        <stp/>
        <stp>##V3_BDPV12</stp>
        <stp>912834EB Govt</stp>
        <stp>FIRST_CPN_DT</stp>
        <stp>[STRIPS.xlsx]Sheet1!R644C9</stp>
        <tr r="I644" s="1"/>
      </tp>
      <tp t="s">
        <v>#N/A Field Not Applicable</v>
        <stp/>
        <stp>##V3_BDPV12</stp>
        <stp>912833DE Govt</stp>
        <stp>FIRST_CPN_DT</stp>
        <stp>[STRIPS.xlsx]Sheet1!R505C9</stp>
        <tr r="I505" s="1"/>
      </tp>
      <tp t="s">
        <v>#N/A Field Not Applicable</v>
        <stp/>
        <stp>##V3_BDPV12</stp>
        <stp>912834BD Govt</stp>
        <stp>FIRST_CPN_DT</stp>
        <stp>[STRIPS.xlsx]Sheet1!R643C9</stp>
        <tr r="I643" s="1"/>
      </tp>
      <tp t="s">
        <v>USD</v>
        <stp/>
        <stp>##V3_BDPV12</stp>
        <stp>912834VD Govt</stp>
        <stp>CRNCY</stp>
        <stp>[STRIPS.xlsx]Sheet1!R765C7</stp>
        <tr r="G765" s="1"/>
      </tp>
      <tp t="s">
        <v>USD</v>
        <stp/>
        <stp>##V3_BDPV12</stp>
        <stp>912834JF Govt</stp>
        <stp>CRNCY</stp>
        <stp>[STRIPS.xlsx]Sheet1!R647C7</stp>
        <tr r="G647" s="1"/>
      </tp>
      <tp t="s">
        <v>USD</v>
        <stp/>
        <stp>##V3_BDPV12</stp>
        <stp>912834ED Govt</stp>
        <stp>CRNCY</stp>
        <stp>[STRIPS.xlsx]Sheet1!R645C7</stp>
        <tr r="G645" s="1"/>
      </tp>
      <tp t="s">
        <v>USD</v>
        <stp/>
        <stp>##V3_BDPV12</stp>
        <stp>912833CD Govt</stp>
        <stp>CRNCY</stp>
        <stp>[STRIPS.xlsx]Sheet1!R295C7</stp>
        <tr r="G295" s="1"/>
      </tp>
      <tp t="s">
        <v>USD</v>
        <stp/>
        <stp>##V3_BDPV12</stp>
        <stp>912833CG Govt</stp>
        <stp>CRNCY</stp>
        <stp>[STRIPS.xlsx]Sheet1!R296C7</stp>
        <tr r="G296" s="1"/>
      </tp>
      <tp t="s">
        <v>USD</v>
        <stp/>
        <stp>##V3_BDPV12</stp>
        <stp>912834ND Govt</stp>
        <stp>CRNCY</stp>
        <stp>[STRIPS.xlsx]Sheet1!R545C7</stp>
        <tr r="G545" s="1"/>
      </tp>
      <tp t="s">
        <v>USD</v>
        <stp/>
        <stp>##V3_BDPV12</stp>
        <stp>9128335D Govt</stp>
        <stp>CRNCY</stp>
        <stp>[STRIPS.xlsx]Sheet1!R285C7</stp>
        <tr r="G285" s="1"/>
      </tp>
      <tp t="s">
        <v>USD</v>
        <stp/>
        <stp>##V3_BDPV12</stp>
        <stp>9128335G Govt</stp>
        <stp>CRNCY</stp>
        <stp>[STRIPS.xlsx]Sheet1!R286C7</stp>
        <tr r="G286" s="1"/>
      </tp>
      <tp t="s">
        <v>USD</v>
        <stp/>
        <stp>##V3_BDPV12</stp>
        <stp>912833GD Govt</stp>
        <stp>CRNCY</stp>
        <stp>[STRIPS.xlsx]Sheet1!R365C7</stp>
        <tr r="G365" s="1"/>
      </tp>
      <tp t="s">
        <v>USD</v>
        <stp/>
        <stp>##V3_BDPV12</stp>
        <stp>912833NF Govt</stp>
        <stp>CRNCY</stp>
        <stp>[STRIPS.xlsx]Sheet1!R447C7</stp>
        <tr r="G447" s="1"/>
      </tp>
      <tp t="s">
        <v>USD</v>
        <stp/>
        <stp>##V3_BDPV12</stp>
        <stp>912833KC Govt</stp>
        <stp>CRNCY</stp>
        <stp>[STRIPS.xlsx]Sheet1!R442C7</stp>
        <tr r="G442" s="1"/>
      </tp>
      <tp t="s">
        <v>USD</v>
        <stp/>
        <stp>##V3_BDPV12</stp>
        <stp>912834EH Govt</stp>
        <stp>CRNCY</stp>
        <stp>[STRIPS.xlsx]Sheet1!R309C7</stp>
        <tr r="G309" s="1"/>
      </tp>
      <tp t="s">
        <v>USD</v>
        <stp/>
        <stp>##V3_BDPV12</stp>
        <stp>9128334H Govt</stp>
        <stp>CRNCY</stp>
        <stp>[STRIPS.xlsx]Sheet1!R489C7</stp>
        <tr r="G489" s="1"/>
      </tp>
      <tp t="s">
        <v>USD</v>
        <stp/>
        <stp>##V3_BDPV12</stp>
        <stp>912833ZF Govt</stp>
        <stp>CRNCY</stp>
        <stp>[STRIPS.xlsx]Sheet1!R587C7</stp>
        <tr r="G587" s="1"/>
      </tp>
      <tp t="s">
        <v>USD</v>
        <stp/>
        <stp>##V3_BDPV12</stp>
        <stp>912834QF Govt</stp>
        <stp>CRNCY</stp>
        <stp>[STRIPS.xlsx]Sheet1!R277C7</stp>
        <tr r="G277" s="1"/>
      </tp>
      <tp t="s">
        <v>USD</v>
        <stp/>
        <stp>##V3_BDPV12</stp>
        <stp>912834UA Govt</stp>
        <stp>CRNCY</stp>
        <stp>[STRIPS.xlsx]Sheet1!R200C7</stp>
        <tr r="G200" s="1"/>
      </tp>
      <tp t="s">
        <v>USD</v>
        <stp/>
        <stp>##V3_BDPV12</stp>
        <stp>912833NG Govt</stp>
        <stp>CRNCY</stp>
        <stp>[STRIPS.xlsx]Sheet1!R516C7</stp>
        <tr r="G516" s="1"/>
      </tp>
      <tp t="s">
        <v>USD</v>
        <stp/>
        <stp>##V3_BDPV12</stp>
        <stp>912834XB Govt</stp>
        <stp>CRNCY</stp>
        <stp>[STRIPS.xlsx]Sheet1!R183C7</stp>
        <tr r="G183" s="1"/>
      </tp>
      <tp t="s">
        <v>USD</v>
        <stp/>
        <stp>##V3_BDPV12</stp>
        <stp>912834XF Govt</stp>
        <stp>CRNCY</stp>
        <stp>[STRIPS.xlsx]Sheet1!R187C7</stp>
        <tr r="G187" s="1"/>
      </tp>
      <tp t="s">
        <v>USD</v>
        <stp/>
        <stp>##V3_BDPV12</stp>
        <stp>912834UF Govt</stp>
        <stp>CRNCY</stp>
        <stp>[STRIPS.xlsx]Sheet1!R147C7</stp>
        <tr r="G147" s="1"/>
      </tp>
      <tp t="s">
        <v>USD</v>
        <stp/>
        <stp>##V3_BDPV12</stp>
        <stp>912834XA Govt</stp>
        <stp>CRNCY</stp>
        <stp>[STRIPS.xlsx]Sheet1!R190C7</stp>
        <tr r="G190" s="1"/>
      </tp>
      <tp t="s">
        <v>USD</v>
        <stp/>
        <stp>##V3_BDPV12</stp>
        <stp>912834UB Govt</stp>
        <stp>CRNCY</stp>
        <stp>[STRIPS.xlsx]Sheet1!R113C7</stp>
        <tr r="G113" s="1"/>
      </tp>
      <tp t="s">
        <v>USD</v>
        <stp/>
        <stp>##V3_BDPV12</stp>
        <stp>912833GF Govt</stp>
        <stp>CRNCY</stp>
        <stp>[STRIPS.xlsx]Sheet1!R667C7</stp>
        <tr r="G667" s="1"/>
      </tp>
      <tp t="s">
        <v>USD</v>
        <stp/>
        <stp>##V3_BDPV12</stp>
        <stp>9128334B Govt</stp>
        <stp>CRNCY</stp>
        <stp>[STRIPS.xlsx]Sheet1!R603C7</stp>
        <tr r="G603" s="1"/>
      </tp>
      <tp t="s">
        <v>USD</v>
        <stp/>
        <stp>##V3_BDPV12</stp>
        <stp>912833DG Govt</stp>
        <stp>CRNCY</stp>
        <stp>[STRIPS.xlsx]Sheet1!R736C7</stp>
        <tr r="G736" s="1"/>
      </tp>
      <tp t="s">
        <v>USD</v>
        <stp/>
        <stp>##V3_BDPV12</stp>
        <stp>9128332A Govt</stp>
        <stp>CRNCY</stp>
        <stp>[STRIPS.xlsx]Sheet1!R700C7</stp>
        <tr r="G700" s="1"/>
      </tp>
      <tp t="s">
        <v>USD</v>
        <stp/>
        <stp>##V3_BDPV12</stp>
        <stp>9128337G Govt</stp>
        <stp>CRNCY</stp>
        <stp>[STRIPS.xlsx]Sheet1!R716C7</stp>
        <tr r="G716" s="1"/>
      </tp>
      <tp t="s">
        <v>#N/A Field Not Applicable</v>
        <stp/>
        <stp>##V3_BDPV12</stp>
        <stp>912834AG Govt</stp>
        <stp>FIRST_CPN_DT</stp>
        <stp>[STRIPS.xlsx]Sheet1!R590C9</stp>
        <tr r="I590" s="1"/>
      </tp>
      <tp t="s">
        <v>#N/A Field Not Applicable</v>
        <stp/>
        <stp>##V3_BDPV12</stp>
        <stp>912834EF Govt</stp>
        <stp>FIRST_CPN_DT</stp>
        <stp>[STRIPS.xlsx]Sheet1!R594C9</stp>
        <tr r="I594" s="1"/>
      </tp>
      <tp t="s">
        <v>NORMAL</v>
        <stp/>
        <stp>##V3_BDPV12</stp>
        <stp>9128337T Govt</stp>
        <stp>MTY_TYP</stp>
        <stp>[STRIPS.xlsx]Sheet1!R121C6</stp>
        <tr r="F121" s="1"/>
      </tp>
      <tp t="s">
        <v>NORMAL</v>
        <stp/>
        <stp>##V3_BDPV12</stp>
        <stp>9128337D Govt</stp>
        <stp>MTY_TYP</stp>
        <stp>[STRIPS.xlsx]Sheet1!R291C6</stp>
        <tr r="F291" s="1"/>
      </tp>
      <tp t="s">
        <v>NORMAL</v>
        <stp/>
        <stp>##V3_BDPV12</stp>
        <stp>9128337L Govt</stp>
        <stp>MTY_TYP</stp>
        <stp>[STRIPS.xlsx]Sheet1!R651C6</stp>
        <tr r="F651" s="1"/>
      </tp>
      <tp t="s">
        <v>NORMAL</v>
        <stp/>
        <stp>##V3_BDPV12</stp>
        <stp>9128337H Govt</stp>
        <stp>MTY_TYP</stp>
        <stp>[STRIPS.xlsx]Sheet1!R431C6</stp>
        <tr r="F431" s="1"/>
      </tp>
      <tp t="s">
        <v>NORMAL</v>
        <stp/>
        <stp>##V3_BDPV12</stp>
        <stp>9128336S Govt</stp>
        <stp>MTY_TYP</stp>
        <stp>[STRIPS.xlsx]Sheet1!R751C6</stp>
        <tr r="F751" s="1"/>
      </tp>
      <tp t="s">
        <v>NORMAL</v>
        <stp/>
        <stp>##V3_BDPV12</stp>
        <stp>9128335Q Govt</stp>
        <stp>MTY_TYP</stp>
        <stp>[STRIPS.xlsx]Sheet1!R711C6</stp>
        <tr r="F711" s="1"/>
      </tp>
      <tp t="s">
        <v>NORMAL</v>
        <stp/>
        <stp>##V3_BDPV12</stp>
        <stp>9128335F Govt</stp>
        <stp>MTY_TYP</stp>
        <stp>[STRIPS.xlsx]Sheet1!R721C6</stp>
        <tr r="F721" s="1"/>
      </tp>
      <tp t="s">
        <v>NORMAL</v>
        <stp/>
        <stp>##V3_BDPV12</stp>
        <stp>9128334M Govt</stp>
        <stp>MTY_TYP</stp>
        <stp>[STRIPS.xlsx]Sheet1!R491C6</stp>
        <tr r="F491" s="1"/>
      </tp>
      <tp t="s">
        <v>NORMAL</v>
        <stp/>
        <stp>##V3_BDPV12</stp>
        <stp>9128333X Govt</stp>
        <stp>MTY_TYP</stp>
        <stp>[STRIPS.xlsx]Sheet1!R601C6</stp>
        <tr r="F601" s="1"/>
      </tp>
      <tp t="s">
        <v>NORMAL</v>
        <stp/>
        <stp>##V3_BDPV12</stp>
        <stp>9128332C Govt</stp>
        <stp>MTY_TYP</stp>
        <stp>[STRIPS.xlsx]Sheet1!R701C6</stp>
        <tr r="F701" s="1"/>
      </tp>
      <tp t="s">
        <v>NORMAL</v>
        <stp/>
        <stp>##V3_BDPV12</stp>
        <stp>912833GE Govt</stp>
        <stp>MTY_TYP</stp>
        <stp>[STRIPS.xlsx]Sheet1!R441C6</stp>
        <tr r="F441" s="1"/>
      </tp>
      <tp t="s">
        <v>NORMAL</v>
        <stp/>
        <stp>##V3_BDPV12</stp>
        <stp>912833FT Govt</stp>
        <stp>MTY_TYP</stp>
        <stp>[STRIPS.xlsx]Sheet1!R621C6</stp>
        <tr r="F621" s="1"/>
      </tp>
      <tp t="s">
        <v>NORMAL</v>
        <stp/>
        <stp>##V3_BDPV12</stp>
        <stp>912833FZ Govt</stp>
        <stp>MTY_TYP</stp>
        <stp>[STRIPS.xlsx]Sheet1!R511C6</stp>
        <tr r="F511" s="1"/>
      </tp>
      <tp t="s">
        <v>NORMAL</v>
        <stp/>
        <stp>##V3_BDPV12</stp>
        <stp>912833FG Govt</stp>
        <stp>MTY_TYP</stp>
        <stp>[STRIPS.xlsx]Sheet1!R661C6</stp>
        <tr r="F661" s="1"/>
      </tp>
      <tp t="s">
        <v>NORMAL</v>
        <stp/>
        <stp>##V3_BDPV12</stp>
        <stp>912834ER Govt</stp>
        <stp>MTY_TYP</stp>
        <stp>[STRIPS.xlsx]Sheet1!R596C6</stp>
        <tr r="F596" s="1"/>
      </tp>
      <tp t="s">
        <v>NORMAL</v>
        <stp/>
        <stp>##V3_BDPV12</stp>
        <stp>912833C2 Govt</stp>
        <stp>MTY_TYP</stp>
        <stp>[STRIPS.xlsx]Sheet1!R611C6</stp>
        <tr r="F611" s="1"/>
      </tp>
      <tp t="s">
        <v>NORMAL</v>
        <stp/>
        <stp>##V3_BDPV12</stp>
        <stp>912833B5 Govt</stp>
        <stp>MTY_TYP</stp>
        <stp>[STRIPS.xlsx]Sheet1!R331C6</stp>
        <tr r="F331" s="1"/>
      </tp>
      <tp t="s">
        <v>NORMAL</v>
        <stp/>
        <stp>##V3_BDPV12</stp>
        <stp>912833B2 Govt</stp>
        <stp>MTY_TYP</stp>
        <stp>[STRIPS.xlsx]Sheet1!R561C6</stp>
        <tr r="F561" s="1"/>
      </tp>
      <tp t="s">
        <v>NORMAL</v>
        <stp/>
        <stp>##V3_BDPV12</stp>
        <stp>912833BX Govt</stp>
        <stp>MTY_TYP</stp>
        <stp>[STRIPS.xlsx]Sheet1!R361C6</stp>
        <tr r="F361" s="1"/>
      </tp>
      <tp t="s">
        <v>NORMAL</v>
        <stp/>
        <stp>##V3_BDPV12</stp>
        <stp>912833BY Govt</stp>
        <stp>MTY_TYP</stp>
        <stp>[STRIPS.xlsx]Sheet1!R501C6</stp>
        <tr r="F501" s="1"/>
      </tp>
      <tp t="s">
        <v>NORMAL</v>
        <stp/>
        <stp>##V3_BDPV12</stp>
        <stp>912833A3 Govt</stp>
        <stp>MTY_TYP</stp>
        <stp>[STRIPS.xlsx]Sheet1!R731C6</stp>
        <tr r="F731" s="1"/>
      </tp>
      <tp t="s">
        <v>NORMAL</v>
        <stp/>
        <stp>##V3_BDPV12</stp>
        <stp>912834AP Govt</stp>
        <stp>MTY_TYP</stp>
        <stp>[STRIPS.xlsx]Sheet1!R386C6</stp>
        <tr r="F386" s="1"/>
      </tp>
      <tp t="s">
        <v>NORMAL</v>
        <stp/>
        <stp>##V3_BDPV12</stp>
        <stp>912834AB Govt</stp>
        <stp>MTY_TYP</stp>
        <stp>[STRIPS.xlsx]Sheet1!R256C6</stp>
        <tr r="F256" s="1"/>
      </tp>
      <tp t="s">
        <v>NORMAL</v>
        <stp/>
        <stp>##V3_BDPV12</stp>
        <stp>912834AF Govt</stp>
        <stp>MTY_TYP</stp>
        <stp>[STRIPS.xlsx]Sheet1!R456C6</stp>
        <tr r="F456" s="1"/>
      </tp>
      <tp t="s">
        <v>10/31/2003</v>
        <stp/>
        <stp>##V3_BDPV12</stp>
        <stp>912833A6 Govt</stp>
        <stp>ISSUE_DT</stp>
        <stp>[STRIPS.xlsx]Sheet1!R652C15</stp>
        <tr r="O652" s="1"/>
      </tp>
      <tp t="s">
        <v>NORMAL</v>
        <stp/>
        <stp>##V3_BDPV12</stp>
        <stp>912834NE Govt</stp>
        <stp>MTY_TYP</stp>
        <stp>[STRIPS.xlsx]Sheet1!R546C6</stp>
        <tr r="F546" s="1"/>
      </tp>
      <tp t="s">
        <v>NORMAL</v>
        <stp/>
        <stp>##V3_BDPV12</stp>
        <stp>912833NE Govt</stp>
        <stp>MTY_TYP</stp>
        <stp>[STRIPS.xlsx]Sheet1!R571C6</stp>
        <tr r="F571" s="1"/>
      </tp>
      <tp t="s">
        <v>NORMAL</v>
        <stp/>
        <stp>##V3_BDPV12</stp>
        <stp>912834NA Govt</stp>
        <stp>MTY_TYP</stp>
        <stp>[STRIPS.xlsx]Sheet1!R476C6</stp>
        <tr r="F476" s="1"/>
      </tp>
      <tp t="s">
        <v>NORMAL</v>
        <stp/>
        <stp>##V3_BDPV12</stp>
        <stp>912834MS Govt</stp>
        <stp>MTY_TYP</stp>
        <stp>[STRIPS.xlsx]Sheet1!R406C6</stp>
        <tr r="F406" s="1"/>
      </tp>
      <tp t="s">
        <v>NORMAL</v>
        <stp/>
        <stp>##V3_BDPV12</stp>
        <stp>912834MH Govt</stp>
        <stp>MTY_TYP</stp>
        <stp>[STRIPS.xlsx]Sheet1!R326C6</stp>
        <tr r="F326" s="1"/>
      </tp>
      <tp t="s">
        <v>NORMAL</v>
        <stp/>
        <stp>##V3_BDPV12</stp>
        <stp>912833MM Govt</stp>
        <stp>MTY_TYP</stp>
        <stp>[STRIPS.xlsx]Sheet1!R371C6</stp>
        <tr r="F371" s="1"/>
      </tp>
      <tp t="s">
        <v>12/15/2003</v>
        <stp/>
        <stp>##V3_BDPV12</stp>
        <stp>912833B6 Govt</stp>
        <stp>ISSUE_DT</stp>
        <stp>[STRIPS.xlsx]Sheet1!R500C15</stp>
        <tr r="O500" s="1"/>
      </tp>
      <tp t="s">
        <v>1/15/2004</v>
        <stp/>
        <stp>##V3_BDPV12</stp>
        <stp>912833C6 Govt</stp>
        <stp>ISSUE_DT</stp>
        <stp>[STRIPS.xlsx]Sheet1!R563C15</stp>
        <tr r="O563" s="1"/>
      </tp>
      <tp t="s">
        <v>NORMAL</v>
        <stp/>
        <stp>##V3_BDPV12</stp>
        <stp>912833LD Govt</stp>
        <stp>MTY_TYP</stp>
        <stp>[STRIPS.xlsx]Sheet1!R151C6</stp>
        <tr r="F151" s="1"/>
      </tp>
      <tp t="s">
        <v>10/1/2007</v>
        <stp/>
        <stp>##V3_BDPV12</stp>
        <stp>912833Y6 Govt</stp>
        <stp>ISSUE_DT</stp>
        <stp>[STRIPS.xlsx]Sheet1!R247C15</stp>
        <tr r="O247" s="1"/>
      </tp>
      <tp t="s">
        <v>NORMAL</v>
        <stp/>
        <stp>##V3_BDPV12</stp>
        <stp>912833KT Govt</stp>
        <stp>MTY_TYP</stp>
        <stp>[STRIPS.xlsx]Sheet1!R161C6</stp>
        <tr r="F161" s="1"/>
      </tp>
      <tp t="s">
        <v>NORMAL</v>
        <stp/>
        <stp>##V3_BDPV12</stp>
        <stp>912833KG Govt</stp>
        <stp>MTY_TYP</stp>
        <stp>[STRIPS.xlsx]Sheet1!R671C6</stp>
        <tr r="F671" s="1"/>
      </tp>
      <tp t="s">
        <v>NORMAL</v>
        <stp/>
        <stp>##V3_BDPV12</stp>
        <stp>912834KE Govt</stp>
        <stp>MTY_TYP</stp>
        <stp>[STRIPS.xlsx]Sheet1!R316C6</stp>
        <tr r="F316" s="1"/>
      </tp>
      <tp t="s">
        <v>NORMAL</v>
        <stp/>
        <stp>##V3_BDPV12</stp>
        <stp>912833KK Govt</stp>
        <stp>MTY_TYP</stp>
        <stp>[STRIPS.xlsx]Sheet1!R301C6</stp>
        <tr r="F301" s="1"/>
      </tp>
      <tp t="s">
        <v>NORMAL</v>
        <stp/>
        <stp>##V3_BDPV12</stp>
        <stp>912834JZ Govt</stp>
        <stp>MTY_TYP</stp>
        <stp>[STRIPS.xlsx]Sheet1!R266C6</stp>
        <tr r="F266" s="1"/>
      </tp>
      <tp t="s">
        <v>NORMAL</v>
        <stp/>
        <stp>##V3_BDPV12</stp>
        <stp>912833JZ Govt</stp>
        <stp>MTY_TYP</stp>
        <stp>[STRIPS.xlsx]Sheet1!R741C6</stp>
        <tr r="F741" s="1"/>
      </tp>
      <tp t="s">
        <v>NORMAL</v>
        <stp/>
        <stp>##V3_BDPV12</stp>
        <stp>912834JE Govt</stp>
        <stp>MTY_TYP</stp>
        <stp>[STRIPS.xlsx]Sheet1!R646C6</stp>
        <tr r="F646" s="1"/>
      </tp>
      <tp t="s">
        <v>NORMAL</v>
        <stp/>
        <stp>##V3_BDPV12</stp>
        <stp>912834JK Govt</stp>
        <stp>MTY_TYP</stp>
        <stp>[STRIPS.xlsx]Sheet1!R466C6</stp>
        <tr r="F466" s="1"/>
      </tp>
      <tp t="s">
        <v>2/15/2008</v>
        <stp/>
        <stp>##V3_BDPV12</stp>
        <stp>912833Z6 Govt</stp>
        <stp>ISSUE_DT</stp>
        <stp>[STRIPS.xlsx]Sheet1!R111C15</stp>
        <tr r="O111" s="1"/>
      </tp>
      <tp t="s">
        <v>NORMAL</v>
        <stp/>
        <stp>##V3_BDPV12</stp>
        <stp>912834HS Govt</stp>
        <stp>MTY_TYP</stp>
        <stp>[STRIPS.xlsx]Sheet1!R396C6</stp>
        <tr r="F396" s="1"/>
      </tp>
      <tp t="s">
        <v>NORMAL</v>
        <stp/>
        <stp>##V3_BDPV12</stp>
        <stp>912834HW Govt</stp>
        <stp>MTY_TYP</stp>
        <stp>[STRIPS.xlsx]Sheet1!R536C6</stp>
        <tr r="F536" s="1"/>
      </tp>
      <tp t="s">
        <v>NORMAL</v>
        <stp/>
        <stp>##V3_BDPV12</stp>
        <stp>912834HX Govt</stp>
        <stp>MTY_TYP</stp>
        <stp>[STRIPS.xlsx]Sheet1!R356C6</stp>
        <tr r="F356" s="1"/>
      </tp>
      <tp t="s">
        <v>NORMAL</v>
        <stp/>
        <stp>##V3_BDPV12</stp>
        <stp>912834HY Govt</stp>
        <stp>MTY_TYP</stp>
        <stp>[STRIPS.xlsx]Sheet1!R226C6</stp>
        <tr r="F226" s="1"/>
      </tp>
      <tp t="s">
        <v>NORMAL</v>
        <stp/>
        <stp>##V3_BDPV12</stp>
        <stp>912834WQ Govt</stp>
        <stp>MTY_TYP</stp>
        <stp>[STRIPS.xlsx]Sheet1!R136C6</stp>
        <tr r="F136" s="1"/>
      </tp>
      <tp t="s">
        <v>NORMAL</v>
        <stp/>
        <stp>##V3_BDPV12</stp>
        <stp>912834WU Govt</stp>
        <stp>MTY_TYP</stp>
        <stp>[STRIPS.xlsx]Sheet1!R166C6</stp>
        <tr r="F166" s="1"/>
      </tp>
      <tp t="s">
        <v>NORMAL</v>
        <stp/>
        <stp>##V3_BDPV12</stp>
        <stp>912834WX Govt</stp>
        <stp>MTY_TYP</stp>
        <stp>[STRIPS.xlsx]Sheet1!R776C6</stp>
        <tr r="F776" s="1"/>
      </tp>
      <tp t="s">
        <v>NORMAL</v>
        <stp/>
        <stp>##V3_BDPV12</stp>
        <stp>912834WD Govt</stp>
        <stp>MTY_TYP</stp>
        <stp>[STRIPS.xlsx]Sheet1!R186C6</stp>
        <tr r="F186" s="1"/>
      </tp>
      <tp t="s">
        <v>NORMAL</v>
        <stp/>
        <stp>##V3_BDPV12</stp>
        <stp>912834VZ Govt</stp>
        <stp>MTY_TYP</stp>
        <stp>[STRIPS.xlsx]Sheet1!R766C6</stp>
        <tr r="F766" s="1"/>
      </tp>
      <tp t="s">
        <v>NORMAL</v>
        <stp/>
        <stp>##V3_BDPV12</stp>
        <stp>912834VE Govt</stp>
        <stp>MTY_TYP</stp>
        <stp>[STRIPS.xlsx]Sheet1!R116C6</stp>
        <tr r="F116" s="1"/>
      </tp>
      <tp t="s">
        <v>NORMAL</v>
        <stp/>
        <stp>##V3_BDPV12</stp>
        <stp>912834VH Govt</stp>
        <stp>MTY_TYP</stp>
        <stp>[STRIPS.xlsx]Sheet1!R146C6</stp>
        <tr r="F146" s="1"/>
      </tp>
      <tp t="s">
        <v>NORMAL</v>
        <stp/>
        <stp>##V3_BDPV12</stp>
        <stp>912834UN Govt</stp>
        <stp>MTY_TYP</stp>
        <stp>[STRIPS.xlsx]Sheet1!R206C6</stp>
        <tr r="F206" s="1"/>
      </tp>
      <tp t="s">
        <v>NORMAL</v>
        <stp/>
        <stp>##V3_BDPV12</stp>
        <stp>912834TS Govt</stp>
        <stp>MTY_TYP</stp>
        <stp>[STRIPS.xlsx]Sheet1!R196C6</stp>
        <tr r="F196" s="1"/>
      </tp>
      <tp t="s">
        <v>NORMAL</v>
        <stp/>
        <stp>##V3_BDPV12</stp>
        <stp>912834TR Govt</stp>
        <stp>MTY_TYP</stp>
        <stp>[STRIPS.xlsx]Sheet1!R426C6</stp>
        <tr r="F426" s="1"/>
      </tp>
      <tp t="s">
        <v>NORMAL</v>
        <stp/>
        <stp>##V3_BDPV12</stp>
        <stp>912834TA Govt</stp>
        <stp>MTY_TYP</stp>
        <stp>[STRIPS.xlsx]Sheet1!R756C6</stp>
        <tr r="F756" s="1"/>
      </tp>
      <tp t="s">
        <v>NORMAL</v>
        <stp/>
        <stp>##V3_BDPV12</stp>
        <stp>912833RV Govt</stp>
        <stp>MTY_TYP</stp>
        <stp>[STRIPS.xlsx]Sheet1!R581C6</stp>
        <tr r="F581" s="1"/>
      </tp>
      <tp t="s">
        <v>NORMAL</v>
        <stp/>
        <stp>##V3_BDPV12</stp>
        <stp>912834RP Govt</stp>
        <stp>MTY_TYP</stp>
        <stp>[STRIPS.xlsx]Sheet1!R416C6</stp>
        <tr r="F416" s="1"/>
      </tp>
      <tp t="s">
        <v>NORMAL</v>
        <stp/>
        <stp>##V3_BDPV12</stp>
        <stp>912834RA Govt</stp>
        <stp>MTY_TYP</stp>
        <stp>[STRIPS.xlsx]Sheet1!R216C6</stp>
        <tr r="F216" s="1"/>
      </tp>
      <tp t="s">
        <v>NORMAL</v>
        <stp/>
        <stp>##V3_BDPV12</stp>
        <stp>912833RE Govt</stp>
        <stp>MTY_TYP</stp>
        <stp>[STRIPS.xlsx]Sheet1!R691C6</stp>
        <tr r="F691" s="1"/>
      </tp>
      <tp t="s">
        <v>NORMAL</v>
        <stp/>
        <stp>##V3_BDPV12</stp>
        <stp>912833QR Govt</stp>
        <stp>MTY_TYP</stp>
        <stp>[STRIPS.xlsx]Sheet1!R521C6</stp>
        <tr r="F521" s="1"/>
      </tp>
      <tp t="s">
        <v>NORMAL</v>
        <stp/>
        <stp>##V3_BDPV12</stp>
        <stp>912833QC Govt</stp>
        <stp>MTY_TYP</stp>
        <stp>[STRIPS.xlsx]Sheet1!R341C6</stp>
        <tr r="F341" s="1"/>
      </tp>
      <tp t="s">
        <v>NORMAL</v>
        <stp/>
        <stp>##V3_BDPV12</stp>
        <stp>912833QE Govt</stp>
        <stp>MTY_TYP</stp>
        <stp>[STRIPS.xlsx]Sheet1!R241C6</stp>
        <tr r="F241" s="1"/>
      </tp>
      <tp t="s">
        <v>NORMAL</v>
        <stp/>
        <stp>##V3_BDPV12</stp>
        <stp>912833QL Govt</stp>
        <stp>MTY_TYP</stp>
        <stp>[STRIPS.xlsx]Sheet1!R631C6</stp>
        <tr r="F631" s="1"/>
      </tp>
      <tp t="s">
        <v>NORMAL</v>
        <stp/>
        <stp>##V3_BDPV12</stp>
        <stp>912834PP Govt</stp>
        <stp>MTY_TYP</stp>
        <stp>[STRIPS.xlsx]Sheet1!R276C6</stp>
        <tr r="F276" s="1"/>
      </tp>
      <tp t="s">
        <v>NORMAL</v>
        <stp/>
        <stp>##V3_BDPV12</stp>
        <stp>912834PT Govt</stp>
        <stp>MTY_TYP</stp>
        <stp>[STRIPS.xlsx]Sheet1!R106C6</stp>
        <tr r="F106" s="1"/>
      </tp>
      <tp t="s">
        <v>NORMAL</v>
        <stp/>
        <stp>##V3_BDPV12</stp>
        <stp>912834PZ Govt</stp>
        <stp>MTY_TYP</stp>
        <stp>[STRIPS.xlsx]Sheet1!R126C6</stp>
        <tr r="F126" s="1"/>
      </tp>
      <tp t="s">
        <v>NORMAL</v>
        <stp/>
        <stp>##V3_BDPV12</stp>
        <stp>912833PN Govt</stp>
        <stp>MTY_TYP</stp>
        <stp>[STRIPS.xlsx]Sheet1!R681C6</stp>
        <tr r="F681" s="1"/>
      </tp>
      <tp t="s">
        <v>NORMAL</v>
        <stp/>
        <stp>##V3_BDPV12</stp>
        <stp>912833Z6 Govt</stp>
        <stp>MTY_TYP</stp>
        <stp>[STRIPS.xlsx]Sheet1!R111C6</stp>
        <tr r="F111" s="1"/>
      </tp>
      <tp t="s">
        <v>NORMAL</v>
        <stp/>
        <stp>##V3_BDPV12</stp>
        <stp>912833ZA Govt</stp>
        <stp>MTY_TYP</stp>
        <stp>[STRIPS.xlsx]Sheet1!R251C6</stp>
        <tr r="F251" s="1"/>
      </tp>
      <tp t="s">
        <v>NORMAL</v>
        <stp/>
        <stp>##V3_BDPV12</stp>
        <stp>912833YX Govt</stp>
        <stp>MTY_TYP</stp>
        <stp>[STRIPS.xlsx]Sheet1!R381C6</stp>
        <tr r="F381" s="1"/>
      </tp>
      <tp t="s">
        <v>NORMAL</v>
        <stp/>
        <stp>##V3_BDPV12</stp>
        <stp>912833YB Govt</stp>
        <stp>MTY_TYP</stp>
        <stp>[STRIPS.xlsx]Sheet1!R451C6</stp>
        <tr r="F451" s="1"/>
      </tp>
      <tp t="s">
        <v>#N/A Field Not Applicable</v>
        <stp/>
        <stp>##V3_BDPV12</stp>
        <stp>912833A8 Govt</stp>
        <stp>FIRST_CPN_DT</stp>
        <stp>[STRIPS.xlsx]Sheet1!R560C9</stp>
        <tr r="I560" s="1"/>
      </tp>
      <tp t="s">
        <v>#N/A Field Not Applicable</v>
        <stp/>
        <stp>##V3_BDPV12</stp>
        <stp>912833B8 Govt</stp>
        <stp>FIRST_CPN_DT</stp>
        <stp>[STRIPS.xlsx]Sheet1!R293C9</stp>
        <tr r="I293" s="1"/>
      </tp>
      <tp t="s">
        <v>#N/A Field Not Applicable</v>
        <stp/>
        <stp>##V3_BDPV12</stp>
        <stp>912833C3 Govt</stp>
        <stp>FIRST_CPN_DT</stp>
        <stp>[STRIPS.xlsx]Sheet1!R362C9</stp>
        <tr r="I362" s="1"/>
      </tp>
      <tp t="s">
        <v>#N/A Field Not Applicable</v>
        <stp/>
        <stp>##V3_BDPV12</stp>
        <stp>912833C4 Govt</stp>
        <stp>FIRST_CPN_DT</stp>
        <stp>[STRIPS.xlsx]Sheet1!R612C9</stp>
        <tr r="I612" s="1"/>
      </tp>
      <tp t="s">
        <v>#N/A Field Not Applicable</v>
        <stp/>
        <stp>##V3_BDPV12</stp>
        <stp>912833A4 Govt</stp>
        <stp>FIRST_CPN_DT</stp>
        <stp>[STRIPS.xlsx]Sheet1!R330C9</stp>
        <tr r="I330" s="1"/>
      </tp>
      <tp t="s">
        <v>#N/A Field Not Applicable</v>
        <stp/>
        <stp>##V3_BDPV12</stp>
        <stp>912833B7 Govt</stp>
        <stp>FIRST_CPN_DT</stp>
        <stp>[STRIPS.xlsx]Sheet1!R433C9</stp>
        <tr r="I433" s="1"/>
      </tp>
      <tp t="s">
        <v>#N/A Field Not Applicable</v>
        <stp/>
        <stp>##V3_BDPV12</stp>
        <stp>912834DY Govt</stp>
        <stp>FIRST_CPN_DT</stp>
        <stp>[STRIPS.xlsx]Sheet1!R264C9</stp>
        <tr r="I264" s="1"/>
      </tp>
      <tp t="s">
        <v>#N/A Field Not Applicable</v>
        <stp/>
        <stp>##V3_BDPV12</stp>
        <stp>912833CY Govt</stp>
        <stp>FIRST_CPN_DT</stp>
        <stp>[STRIPS.xlsx]Sheet1!R363C9</stp>
        <tr r="I363" s="1"/>
      </tp>
      <tp t="s">
        <v>#N/A Field Not Applicable</v>
        <stp/>
        <stp>##V3_BDPV12</stp>
        <stp>912833CX Govt</stp>
        <stp>FIRST_CPN_DT</stp>
        <stp>[STRIPS.xlsx]Sheet1!R503C9</stp>
        <tr r="I503" s="1"/>
      </tp>
      <tp t="s">
        <v>#N/A Field Not Applicable</v>
        <stp/>
        <stp>##V3_BDPV12</stp>
        <stp>912833BZ Govt</stp>
        <stp>FIRST_CPN_DT</stp>
        <stp>[STRIPS.xlsx]Sheet1!R562C9</stp>
        <tr r="I562" s="1"/>
      </tp>
      <tp t="s">
        <v>#N/A Field Not Applicable</v>
        <stp/>
        <stp>##V3_BDPV12</stp>
        <stp>912834AZ Govt</stp>
        <stp>FIRST_CPN_DT</stp>
        <stp>[STRIPS.xlsx]Sheet1!R261C9</stp>
        <tr r="I261" s="1"/>
      </tp>
      <tp t="s">
        <v>#N/A Field Not Applicable</v>
        <stp/>
        <stp>##V3_BDPV12</stp>
        <stp>912834EU Govt</stp>
        <stp>FIRST_CPN_DT</stp>
        <stp>[STRIPS.xlsx]Sheet1!R175C9</stp>
        <tr r="I175" s="1"/>
      </tp>
      <tp t="s">
        <v>#N/A Field Not Applicable</v>
        <stp/>
        <stp>##V3_BDPV12</stp>
        <stp>912834AW Govt</stp>
        <stp>FIRST_CPN_DT</stp>
        <stp>[STRIPS.xlsx]Sheet1!R641C9</stp>
        <tr r="I641" s="1"/>
      </tp>
      <tp t="s">
        <v>#N/A Field Not Applicable</v>
        <stp/>
        <stp>##V3_BDPV12</stp>
        <stp>912833CK Govt</stp>
        <stp>FIRST_CPN_DT</stp>
        <stp>[STRIPS.xlsx]Sheet1!R733C9</stp>
        <tr r="I733" s="1"/>
      </tp>
      <tp t="s">
        <v>#N/A Field Not Applicable</v>
        <stp/>
        <stp>##V3_BDPV12</stp>
        <stp>912834AJ Govt</stp>
        <stp>FIRST_CPN_DT</stp>
        <stp>[STRIPS.xlsx]Sheet1!R591C9</stp>
        <tr r="I591" s="1"/>
      </tp>
      <tp t="s">
        <v>#N/A Field Not Applicable</v>
        <stp/>
        <stp>##V3_BDPV12</stp>
        <stp>912834EJ Govt</stp>
        <stp>FIRST_CPN_DT</stp>
        <stp>[STRIPS.xlsx]Sheet1!R595C9</stp>
        <tr r="I595" s="1"/>
      </tp>
      <tp t="s">
        <v>#N/A Field Not Applicable</v>
        <stp/>
        <stp>##V3_BDPV12</stp>
        <stp>912834BJ Govt</stp>
        <stp>FIRST_CPN_DT</stp>
        <stp>[STRIPS.xlsx]Sheet1!R352C9</stp>
        <tr r="I352" s="1"/>
      </tp>
      <tp t="s">
        <v>#N/A Field Not Applicable</v>
        <stp/>
        <stp>##V3_BDPV12</stp>
        <stp>912834BL Govt</stp>
        <stp>FIRST_CPN_DT</stp>
        <stp>[STRIPS.xlsx]Sheet1!R262C9</stp>
        <tr r="I262" s="1"/>
      </tp>
      <tp t="s">
        <v>#N/A Field Not Applicable</v>
        <stp/>
        <stp>##V3_BDPV12</stp>
        <stp>912833DC Govt</stp>
        <stp>FIRST_CPN_DT</stp>
        <stp>[STRIPS.xlsx]Sheet1!R504C9</stp>
        <tr r="I504" s="1"/>
      </tp>
      <tp t="s">
        <v>#N/A Field Not Applicable</v>
        <stp/>
        <stp>##V3_BDPV12</stp>
        <stp>912834ED Govt</stp>
        <stp>FIRST_CPN_DT</stp>
        <stp>[STRIPS.xlsx]Sheet1!R645C9</stp>
        <tr r="I645" s="1"/>
      </tp>
      <tp t="s">
        <v>USD</v>
        <stp/>
        <stp>##V3_BDPV12</stp>
        <stp>912834XD Govt</stp>
        <stp>CRNCY</stp>
        <stp>[STRIPS.xlsx]Sheet1!R764C7</stp>
        <tr r="G764" s="1"/>
      </tp>
      <tp t="s">
        <v>USD</v>
        <stp/>
        <stp>##V3_BDPV12</stp>
        <stp>912834VC Govt</stp>
        <stp>CRNCY</stp>
        <stp>[STRIPS.xlsx]Sheet1!R763C7</stp>
        <tr r="G763" s="1"/>
      </tp>
      <tp t="s">
        <v>USD</v>
        <stp/>
        <stp>##V3_BDPV12</stp>
        <stp>912833DB Govt</stp>
        <stp>CRNCY</stp>
        <stp>[STRIPS.xlsx]Sheet1!R162C7</stp>
        <tr r="G162" s="1"/>
      </tp>
      <tp t="s">
        <v>USD</v>
        <stp/>
        <stp>##V3_BDPV12</stp>
        <stp>912833ZA Govt</stp>
        <stp>CRNCY</stp>
        <stp>[STRIPS.xlsx]Sheet1!R251C7</stp>
        <tr r="G251" s="1"/>
      </tp>
      <tp t="s">
        <v>USD</v>
        <stp/>
        <stp>##V3_BDPV12</stp>
        <stp>912833LB Govt</stp>
        <stp>CRNCY</stp>
        <stp>[STRIPS.xlsx]Sheet1!R332C7</stp>
        <tr r="G332" s="1"/>
      </tp>
      <tp t="s">
        <v>USD</v>
        <stp/>
        <stp>##V3_BDPV12</stp>
        <stp>912833MD Govt</stp>
        <stp>CRNCY</stp>
        <stp>[STRIPS.xlsx]Sheet1!R304C7</stp>
        <tr r="G304" s="1"/>
      </tp>
      <tp t="s">
        <v>USD</v>
        <stp/>
        <stp>##V3_BDPV12</stp>
        <stp>912834AF Govt</stp>
        <stp>CRNCY</stp>
        <stp>[STRIPS.xlsx]Sheet1!R456C7</stp>
        <tr r="G456" s="1"/>
      </tp>
      <tp t="s">
        <v>USD</v>
        <stp/>
        <stp>##V3_BDPV12</stp>
        <stp>912834JD Govt</stp>
        <stp>CRNCY</stp>
        <stp>[STRIPS.xlsx]Sheet1!R314C7</stp>
        <tr r="G314" s="1"/>
      </tp>
      <tp t="s">
        <v>USD</v>
        <stp/>
        <stp>##V3_BDPV12</stp>
        <stp>912834RG Govt</stp>
        <stp>CRNCY</stp>
        <stp>[STRIPS.xlsx]Sheet1!R217C7</stp>
        <tr r="G217" s="1"/>
      </tp>
      <tp t="s">
        <v>USD</v>
        <stp/>
        <stp>##V3_BDPV12</stp>
        <stp>912833DE Govt</stp>
        <stp>CRNCY</stp>
        <stp>[STRIPS.xlsx]Sheet1!R505C7</stp>
        <tr r="G505" s="1"/>
      </tp>
      <tp t="s">
        <v>USD</v>
        <stp/>
        <stp>##V3_BDPV12</stp>
        <stp>912834TC Govt</stp>
        <stp>CRNCY</stp>
        <stp>[STRIPS.xlsx]Sheet1!R163C7</stp>
        <tr r="G163" s="1"/>
      </tp>
      <tp t="s">
        <v>USD</v>
        <stp/>
        <stp>##V3_BDPV12</stp>
        <stp>912833ZH Govt</stp>
        <stp>CRNCY</stp>
        <stp>[STRIPS.xlsx]Sheet1!R698C7</stp>
        <tr r="G698" s="1"/>
      </tp>
      <tp t="s">
        <v>USD</v>
        <stp/>
        <stp>##V3_BDPV12</stp>
        <stp>912834RB Govt</stp>
        <stp>CRNCY</stp>
        <stp>[STRIPS.xlsx]Sheet1!R112C7</stp>
        <tr r="G112" s="1"/>
      </tp>
      <tp t="s">
        <v>USD</v>
        <stp/>
        <stp>##V3_BDPV12</stp>
        <stp>912834TE Govt</stp>
        <stp>CRNCY</stp>
        <stp>[STRIPS.xlsx]Sheet1!R155C7</stp>
        <tr r="G155" s="1"/>
      </tp>
      <tp t="s">
        <v>USD</v>
        <stp/>
        <stp>##V3_BDPV12</stp>
        <stp>912834UG Govt</stp>
        <stp>CRNCY</stp>
        <stp>[STRIPS.xlsx]Sheet1!R137C7</stp>
        <tr r="G137" s="1"/>
      </tp>
      <tp t="s">
        <v>USD</v>
        <stp/>
        <stp>##V3_BDPV12</stp>
        <stp>912833LC Govt</stp>
        <stp>CRNCY</stp>
        <stp>[STRIPS.xlsx]Sheet1!R673C7</stp>
        <tr r="G673" s="1"/>
      </tp>
      <tp t="s">
        <v>USD</v>
        <stp/>
        <stp>##V3_BDPV12</stp>
        <stp>912834KC Govt</stp>
        <stp>CRNCY</stp>
        <stp>[STRIPS.xlsx]Sheet1!R133C7</stp>
        <tr r="G133" s="1"/>
      </tp>
      <tp t="s">
        <v>USD</v>
        <stp/>
        <stp>##V3_BDPV12</stp>
        <stp>9128332H Govt</stp>
        <stp>CRNCY</stp>
        <stp>[STRIPS.xlsx]Sheet1!R718C7</stp>
        <tr r="G718" s="1"/>
      </tp>
      <tp t="s">
        <v>USD</v>
        <stp/>
        <stp>##V3_BDPV12</stp>
        <stp>9128335E Govt</stp>
        <stp>CRNCY</stp>
        <stp>[STRIPS.xlsx]Sheet1!R745C7</stp>
        <tr r="G745" s="1"/>
      </tp>
      <tp t="s">
        <v>USD</v>
        <stp/>
        <stp>##V3_BDPV12</stp>
        <stp>9128336C Govt</stp>
        <stp>CRNCY</stp>
        <stp>[STRIPS.xlsx]Sheet1!R713C7</stp>
        <tr r="G713" s="1"/>
      </tp>
      <tp t="s">
        <v>#N/A Field Not Applicable</v>
        <stp/>
        <stp>##V3_BDPV12</stp>
        <stp>912834BG Govt</stp>
        <stp>FIRST_CPN_DT</stp>
        <stp>[STRIPS.xlsx]Sheet1!R592C9</stp>
        <tr r="I592" s="1"/>
      </tp>
      <tp t="s">
        <v>#N/A Field Not Applicable</v>
        <stp/>
        <stp>##V3_BDPV12</stp>
        <stp>912833GF Govt</stp>
        <stp>FIRST_CPN_DT</stp>
        <stp>[STRIPS.xlsx]Sheet1!R667C9</stp>
        <tr r="I667" s="1"/>
      </tp>
      <tp t="s">
        <v>NORMAL</v>
        <stp/>
        <stp>##V3_BDPV12</stp>
        <stp>9128337V Govt</stp>
        <stp>MTY_TYP</stp>
        <stp>[STRIPS.xlsx]Sheet1!R100C6</stp>
        <tr r="F100" s="1"/>
      </tp>
      <tp t="s">
        <v>NORMAL</v>
        <stp/>
        <stp>##V3_BDPV12</stp>
        <stp>9128337J Govt</stp>
        <stp>MTY_TYP</stp>
        <stp>[STRIPS.xlsx]Sheet1!R730C6</stp>
        <tr r="F730" s="1"/>
      </tp>
      <tp t="s">
        <v>NORMAL</v>
        <stp/>
        <stp>##V3_BDPV12</stp>
        <stp>9128336Q Govt</stp>
        <stp>MTY_TYP</stp>
        <stp>[STRIPS.xlsx]Sheet1!R750C6</stp>
        <tr r="F750" s="1"/>
      </tp>
      <tp t="s">
        <v>NORMAL</v>
        <stp/>
        <stp>##V3_BDPV12</stp>
        <stp>9128336X Govt</stp>
        <stp>MTY_TYP</stp>
        <stp>[STRIPS.xlsx]Sheet1!R290C6</stp>
        <tr r="F290" s="1"/>
      </tp>
      <tp t="s">
        <v>NORMAL</v>
        <stp/>
        <stp>##V3_BDPV12</stp>
        <stp>9128336Z Govt</stp>
        <stp>MTY_TYP</stp>
        <stp>[STRIPS.xlsx]Sheet1!R430C6</stp>
        <tr r="F430" s="1"/>
      </tp>
      <tp t="s">
        <v>NORMAL</v>
        <stp/>
        <stp>##V3_BDPV12</stp>
        <stp>9128335Z Govt</stp>
        <stp>MTY_TYP</stp>
        <stp>[STRIPS.xlsx]Sheet1!R650C6</stp>
        <tr r="F650" s="1"/>
      </tp>
      <tp t="s">
        <v>NORMAL</v>
        <stp/>
        <stp>##V3_BDPV12</stp>
        <stp>9128335C Govt</stp>
        <stp>MTY_TYP</stp>
        <stp>[STRIPS.xlsx]Sheet1!R720C6</stp>
        <tr r="F720" s="1"/>
      </tp>
      <tp t="s">
        <v>NORMAL</v>
        <stp/>
        <stp>##V3_BDPV12</stp>
        <stp>9128335M Govt</stp>
        <stp>MTY_TYP</stp>
        <stp>[STRIPS.xlsx]Sheet1!R710C6</stp>
        <tr r="F710" s="1"/>
      </tp>
      <tp t="s">
        <v>NORMAL</v>
        <stp/>
        <stp>##V3_BDPV12</stp>
        <stp>9128334K Govt</stp>
        <stp>MTY_TYP</stp>
        <stp>[STRIPS.xlsx]Sheet1!R490C6</stp>
        <tr r="F490" s="1"/>
      </tp>
      <tp t="s">
        <v>NORMAL</v>
        <stp/>
        <stp>##V3_BDPV12</stp>
        <stp>9128333H Govt</stp>
        <stp>MTY_TYP</stp>
        <stp>[STRIPS.xlsx]Sheet1!R600C6</stp>
        <tr r="F600" s="1"/>
      </tp>
      <tp t="s">
        <v>NORMAL</v>
        <stp/>
        <stp>##V3_BDPV12</stp>
        <stp>9128332A Govt</stp>
        <stp>MTY_TYP</stp>
        <stp>[STRIPS.xlsx]Sheet1!R700C6</stp>
        <tr r="F700" s="1"/>
      </tp>
      <tp t="s">
        <v>NORMAL</v>
        <stp/>
        <stp>##V3_BDPV12</stp>
        <stp>912833GC Govt</stp>
        <stp>MTY_TYP</stp>
        <stp>[STRIPS.xlsx]Sheet1!R440C6</stp>
        <tr r="F440" s="1"/>
      </tp>
      <tp t="s">
        <v>NORMAL</v>
        <stp/>
        <stp>##V3_BDPV12</stp>
        <stp>912833FV Govt</stp>
        <stp>MTY_TYP</stp>
        <stp>[STRIPS.xlsx]Sheet1!R510C6</stp>
        <tr r="F510" s="1"/>
      </tp>
      <tp t="s">
        <v>NORMAL</v>
        <stp/>
        <stp>##V3_BDPV12</stp>
        <stp>912833FQ Govt</stp>
        <stp>MTY_TYP</stp>
        <stp>[STRIPS.xlsx]Sheet1!R620C6</stp>
        <tr r="F620" s="1"/>
      </tp>
      <tp t="s">
        <v>NORMAL</v>
        <stp/>
        <stp>##V3_BDPV12</stp>
        <stp>912834DV Govt</stp>
        <stp>MTY_TYP</stp>
        <stp>[STRIPS.xlsx]Sheet1!R127C6</stp>
        <tr r="F127" s="1"/>
      </tp>
      <tp t="s">
        <v>NORMAL</v>
        <stp/>
        <stp>##V3_BDPV12</stp>
        <stp>912833DF Govt</stp>
        <stp>MTY_TYP</stp>
        <stp>[STRIPS.xlsx]Sheet1!R660C6</stp>
        <tr r="F660" s="1"/>
      </tp>
      <tp t="s">
        <v>NORMAL</v>
        <stp/>
        <stp>##V3_BDPV12</stp>
        <stp>912833CZ Govt</stp>
        <stp>MTY_TYP</stp>
        <stp>[STRIPS.xlsx]Sheet1!R220C6</stp>
        <tr r="F220" s="1"/>
      </tp>
      <tp t="s">
        <v>NORMAL</v>
        <stp/>
        <stp>##V3_BDPV12</stp>
        <stp>912833B6 Govt</stp>
        <stp>MTY_TYP</stp>
        <stp>[STRIPS.xlsx]Sheet1!R500C6</stp>
        <tr r="F500" s="1"/>
      </tp>
      <tp t="s">
        <v>NORMAL</v>
        <stp/>
        <stp>##V3_BDPV12</stp>
        <stp>912833BW Govt</stp>
        <stp>MTY_TYP</stp>
        <stp>[STRIPS.xlsx]Sheet1!R610C6</stp>
        <tr r="F610" s="1"/>
      </tp>
      <tp t="s">
        <v>NORMAL</v>
        <stp/>
        <stp>##V3_BDPV12</stp>
        <stp>912833A4 Govt</stp>
        <stp>MTY_TYP</stp>
        <stp>[STRIPS.xlsx]Sheet1!R330C6</stp>
        <tr r="F330" s="1"/>
      </tp>
      <tp t="s">
        <v>NORMAL</v>
        <stp/>
        <stp>##V3_BDPV12</stp>
        <stp>912833A8 Govt</stp>
        <stp>MTY_TYP</stp>
        <stp>[STRIPS.xlsx]Sheet1!R560C6</stp>
        <tr r="F560" s="1"/>
      </tp>
      <tp t="s">
        <v>NORMAL</v>
        <stp/>
        <stp>##V3_BDPV12</stp>
        <stp>912834AV Govt</stp>
        <stp>MTY_TYP</stp>
        <stp>[STRIPS.xlsx]Sheet1!R387C6</stp>
        <tr r="F387" s="1"/>
      </tp>
      <tp t="s">
        <v>NORMAL</v>
        <stp/>
        <stp>##V3_BDPV12</stp>
        <stp>912834AK Govt</stp>
        <stp>MTY_TYP</stp>
        <stp>[STRIPS.xlsx]Sheet1!R257C6</stp>
        <tr r="F257" s="1"/>
      </tp>
      <tp t="s">
        <v>NORMAL</v>
        <stp/>
        <stp>##V3_BDPV12</stp>
        <stp>912834AM Govt</stp>
        <stp>MTY_TYP</stp>
        <stp>[STRIPS.xlsx]Sheet1!R457C6</stp>
        <tr r="F457" s="1"/>
      </tp>
      <tp t="s">
        <v>2/29/2008</v>
        <stp/>
        <stp>##V3_BDPV12</stp>
        <stp>912833Z7 Govt</stp>
        <stp>ISSUE_DT</stp>
        <stp>[STRIPS.xlsx]Sheet1!R696C15</stp>
        <tr r="O696" s="1"/>
      </tp>
      <tp t="s">
        <v>12/1/2003</v>
        <stp/>
        <stp>##V3_BDPV12</stp>
        <stp>912833A7 Govt</stp>
        <stp>ISSUE_DT</stp>
        <stp>[STRIPS.xlsx]Sheet1!R653C15</stp>
        <tr r="O653" s="1"/>
      </tp>
      <tp t="s">
        <v>NORMAL</v>
        <stp/>
        <stp>##V3_BDPV12</stp>
        <stp>912834NS Govt</stp>
        <stp>MTY_TYP</stp>
        <stp>[STRIPS.xlsx]Sheet1!R547C6</stp>
        <tr r="F547" s="1"/>
      </tp>
      <tp t="s">
        <v>NORMAL</v>
        <stp/>
        <stp>##V3_BDPV12</stp>
        <stp>912833NC Govt</stp>
        <stp>MTY_TYP</stp>
        <stp>[STRIPS.xlsx]Sheet1!R570C6</stp>
        <tr r="F570" s="1"/>
      </tp>
      <tp t="s">
        <v>NORMAL</v>
        <stp/>
        <stp>##V3_BDPV12</stp>
        <stp>912834NC Govt</stp>
        <stp>MTY_TYP</stp>
        <stp>[STRIPS.xlsx]Sheet1!R407C6</stp>
        <tr r="F407" s="1"/>
      </tp>
      <tp t="s">
        <v>NORMAL</v>
        <stp/>
        <stp>##V3_BDPV12</stp>
        <stp>912834NK Govt</stp>
        <stp>MTY_TYP</stp>
        <stp>[STRIPS.xlsx]Sheet1!R477C6</stp>
        <tr r="F477" s="1"/>
      </tp>
      <tp t="s">
        <v>12/15/2003</v>
        <stp/>
        <stp>##V3_BDPV12</stp>
        <stp>912833B7 Govt</stp>
        <stp>ISSUE_DT</stp>
        <stp>[STRIPS.xlsx]Sheet1!R433C15</stp>
        <tr r="O433" s="1"/>
      </tp>
      <tp t="s">
        <v>NORMAL</v>
        <stp/>
        <stp>##V3_BDPV12</stp>
        <stp>912834MX Govt</stp>
        <stp>MTY_TYP</stp>
        <stp>[STRIPS.xlsx]Sheet1!R327C6</stp>
        <tr r="F327" s="1"/>
      </tp>
      <tp t="s">
        <v>NORMAL</v>
        <stp/>
        <stp>##V3_BDPV12</stp>
        <stp>912833MJ Govt</stp>
        <stp>MTY_TYP</stp>
        <stp>[STRIPS.xlsx]Sheet1!R370C6</stp>
        <tr r="F370" s="1"/>
      </tp>
      <tp t="s">
        <v>NORMAL</v>
        <stp/>
        <stp>##V3_BDPV12</stp>
        <stp>912834MN Govt</stp>
        <stp>MTY_TYP</stp>
        <stp>[STRIPS.xlsx]Sheet1!R417C6</stp>
        <tr r="F417" s="1"/>
      </tp>
      <tp t="s">
        <v>10/31/2007</v>
        <stp/>
        <stp>##V3_BDPV12</stp>
        <stp>912833Y7 Govt</stp>
        <stp>ISSUE_DT</stp>
        <stp>[STRIPS.xlsx]Sheet1!R583C15</stp>
        <tr r="O583" s="1"/>
      </tp>
      <tp t="s">
        <v>1/15/2004</v>
        <stp/>
        <stp>##V3_BDPV12</stp>
        <stp>912833C7 Govt</stp>
        <stp>ISSUE_DT</stp>
        <stp>[STRIPS.xlsx]Sheet1!R294C15</stp>
        <tr r="O294" s="1"/>
      </tp>
      <tp t="s">
        <v>NORMAL</v>
        <stp/>
        <stp>##V3_BDPV12</stp>
        <stp>912833KE Govt</stp>
        <stp>MTY_TYP</stp>
        <stp>[STRIPS.xlsx]Sheet1!R670C6</stp>
        <tr r="F670" s="1"/>
      </tp>
      <tp t="s">
        <v>NORMAL</v>
        <stp/>
        <stp>##V3_BDPV12</stp>
        <stp>912833KD Govt</stp>
        <stp>MTY_TYP</stp>
        <stp>[STRIPS.xlsx]Sheet1!R300C6</stp>
        <tr r="F300" s="1"/>
      </tp>
      <tp t="s">
        <v>NORMAL</v>
        <stp/>
        <stp>##V3_BDPV12</stp>
        <stp>912834KJ Govt</stp>
        <stp>MTY_TYP</stp>
        <stp>[STRIPS.xlsx]Sheet1!R267C6</stp>
        <tr r="F267" s="1"/>
      </tp>
      <tp t="s">
        <v>NORMAL</v>
        <stp/>
        <stp>##V3_BDPV12</stp>
        <stp>912834KK Govt</stp>
        <stp>MTY_TYP</stp>
        <stp>[STRIPS.xlsx]Sheet1!R317C6</stp>
        <tr r="F317" s="1"/>
      </tp>
      <tp t="s">
        <v>NORMAL</v>
        <stp/>
        <stp>##V3_BDPV12</stp>
        <stp>912833JW Govt</stp>
        <stp>MTY_TYP</stp>
        <stp>[STRIPS.xlsx]Sheet1!R740C6</stp>
        <tr r="F740" s="1"/>
      </tp>
      <tp t="s">
        <v>NORMAL</v>
        <stp/>
        <stp>##V3_BDPV12</stp>
        <stp>912834JT Govt</stp>
        <stp>MTY_TYP</stp>
        <stp>[STRIPS.xlsx]Sheet1!R467C6</stp>
        <tr r="F467" s="1"/>
      </tp>
      <tp t="s">
        <v>NORMAL</v>
        <stp/>
        <stp>##V3_BDPV12</stp>
        <stp>912834JF Govt</stp>
        <stp>MTY_TYP</stp>
        <stp>[STRIPS.xlsx]Sheet1!R647C6</stp>
        <tr r="F647" s="1"/>
      </tp>
      <tp t="s">
        <v>NORMAL</v>
        <stp/>
        <stp>##V3_BDPV12</stp>
        <stp>912834JC Govt</stp>
        <stp>MTY_TYP</stp>
        <stp>[STRIPS.xlsx]Sheet1!R227C6</stp>
        <tr r="F227" s="1"/>
      </tp>
      <tp t="s">
        <v>NORMAL</v>
        <stp/>
        <stp>##V3_BDPV12</stp>
        <stp>912834JA Govt</stp>
        <stp>MTY_TYP</stp>
        <stp>[STRIPS.xlsx]Sheet1!R537C6</stp>
        <tr r="F537" s="1"/>
      </tp>
      <tp t="s">
        <v>NORMAL</v>
        <stp/>
        <stp>##V3_BDPV12</stp>
        <stp>912834JN Govt</stp>
        <stp>MTY_TYP</stp>
        <stp>[STRIPS.xlsx]Sheet1!R357C6</stp>
        <tr r="F357" s="1"/>
      </tp>
      <tp t="s">
        <v>NORMAL</v>
        <stp/>
        <stp>##V3_BDPV12</stp>
        <stp>912834JM Govt</stp>
        <stp>MTY_TYP</stp>
        <stp>[STRIPS.xlsx]Sheet1!R397C6</stp>
        <tr r="F397" s="1"/>
      </tp>
      <tp t="s">
        <v>NORMAL</v>
        <stp/>
        <stp>##V3_BDPV12</stp>
        <stp>912834VX Govt</stp>
        <stp>MTY_TYP</stp>
        <stp>[STRIPS.xlsx]Sheet1!R767C6</stp>
        <tr r="F767" s="1"/>
      </tp>
      <tp t="s">
        <v>NORMAL</v>
        <stp/>
        <stp>##V3_BDPV12</stp>
        <stp>912834UD Govt</stp>
        <stp>MTY_TYP</stp>
        <stp>[STRIPS.xlsx]Sheet1!R197C6</stp>
        <tr r="F197" s="1"/>
      </tp>
      <tp t="s">
        <v>NORMAL</v>
        <stp/>
        <stp>##V3_BDPV12</stp>
        <stp>912834UG Govt</stp>
        <stp>MTY_TYP</stp>
        <stp>[STRIPS.xlsx]Sheet1!R137C6</stp>
        <tr r="F137" s="1"/>
      </tp>
      <tp t="s">
        <v>NORMAL</v>
        <stp/>
        <stp>##V3_BDPV12</stp>
        <stp>912834UF Govt</stp>
        <stp>MTY_TYP</stp>
        <stp>[STRIPS.xlsx]Sheet1!R147C6</stp>
        <tr r="F147" s="1"/>
      </tp>
      <tp t="s">
        <v>NORMAL</v>
        <stp/>
        <stp>##V3_BDPV12</stp>
        <stp>912834UE Govt</stp>
        <stp>MTY_TYP</stp>
        <stp>[STRIPS.xlsx]Sheet1!R207C6</stp>
        <tr r="F207" s="1"/>
      </tp>
      <tp t="s">
        <v>NORMAL</v>
        <stp/>
        <stp>##V3_BDPV12</stp>
        <stp>912834TP Govt</stp>
        <stp>MTY_TYP</stp>
        <stp>[STRIPS.xlsx]Sheet1!R117C6</stp>
        <tr r="F117" s="1"/>
      </tp>
      <tp t="s">
        <v>NORMAL</v>
        <stp/>
        <stp>##V3_BDPV12</stp>
        <stp>912834TJ Govt</stp>
        <stp>MTY_TYP</stp>
        <stp>[STRIPS.xlsx]Sheet1!R757C6</stp>
        <tr r="F757" s="1"/>
      </tp>
      <tp t="s">
        <v>NORMAL</v>
        <stp/>
        <stp>##V3_BDPV12</stp>
        <stp>912833RT Govt</stp>
        <stp>MTY_TYP</stp>
        <stp>[STRIPS.xlsx]Sheet1!R580C6</stp>
        <tr r="F580" s="1"/>
      </tp>
      <tp t="s">
        <v>NORMAL</v>
        <stp/>
        <stp>##V3_BDPV12</stp>
        <stp>912834RG Govt</stp>
        <stp>MTY_TYP</stp>
        <stp>[STRIPS.xlsx]Sheet1!R217C6</stp>
        <tr r="F217" s="1"/>
      </tp>
      <tp t="s">
        <v>NORMAL</v>
        <stp/>
        <stp>##V3_BDPV12</stp>
        <stp>912833RC Govt</stp>
        <stp>MTY_TYP</stp>
        <stp>[STRIPS.xlsx]Sheet1!R690C6</stp>
        <tr r="F690" s="1"/>
      </tp>
      <tp t="s">
        <v>NORMAL</v>
        <stp/>
        <stp>##V3_BDPV12</stp>
        <stp>912833RD Govt</stp>
        <stp>MTY_TYP</stp>
        <stp>[STRIPS.xlsx]Sheet1!R380C6</stp>
        <tr r="F380" s="1"/>
      </tp>
      <tp t="s">
        <v>NORMAL</v>
        <stp/>
        <stp>##V3_BDPV12</stp>
        <stp>912834QF Govt</stp>
        <stp>MTY_TYP</stp>
        <stp>[STRIPS.xlsx]Sheet1!R277C6</stp>
        <tr r="F277" s="1"/>
      </tp>
      <tp t="s">
        <v>NORMAL</v>
        <stp/>
        <stp>##V3_BDPV12</stp>
        <stp>912833QM Govt</stp>
        <stp>MTY_TYP</stp>
        <stp>[STRIPS.xlsx]Sheet1!R520C6</stp>
        <tr r="F520" s="1"/>
      </tp>
      <tp t="s">
        <v>NORMAL</v>
        <stp/>
        <stp>##V3_BDPV12</stp>
        <stp>912833QH Govt</stp>
        <stp>MTY_TYP</stp>
        <stp>[STRIPS.xlsx]Sheet1!R630C6</stp>
        <tr r="F630" s="1"/>
      </tp>
      <tp t="s">
        <v>NORMAL</v>
        <stp/>
        <stp>##V3_BDPV12</stp>
        <stp>912833PZ Govt</stp>
        <stp>MTY_TYP</stp>
        <stp>[STRIPS.xlsx]Sheet1!R240C6</stp>
        <tr r="F240" s="1"/>
      </tp>
      <tp t="s">
        <v>NORMAL</v>
        <stp/>
        <stp>##V3_BDPV12</stp>
        <stp>912833PY Govt</stp>
        <stp>MTY_TYP</stp>
        <stp>[STRIPS.xlsx]Sheet1!R340C6</stp>
        <tr r="F340" s="1"/>
      </tp>
      <tp t="s">
        <v>NORMAL</v>
        <stp/>
        <stp>##V3_BDPV12</stp>
        <stp>912833PJ Govt</stp>
        <stp>MTY_TYP</stp>
        <stp>[STRIPS.xlsx]Sheet1!R680C6</stp>
        <tr r="F680" s="1"/>
      </tp>
      <tp t="s">
        <v>NORMAL</v>
        <stp/>
        <stp>##V3_BDPV12</stp>
        <stp>912833ZW Govt</stp>
        <stp>MTY_TYP</stp>
        <stp>[STRIPS.xlsx]Sheet1!R640C6</stp>
        <tr r="F640" s="1"/>
      </tp>
      <tp t="s">
        <v>NORMAL</v>
        <stp/>
        <stp>##V3_BDPV12</stp>
        <stp>912833Y9 Govt</stp>
        <stp>MTY_TYP</stp>
        <stp>[STRIPS.xlsx]Sheet1!R450C6</stp>
        <tr r="F450" s="1"/>
      </tp>
      <tp t="s">
        <v>NORMAL</v>
        <stp/>
        <stp>##V3_BDPV12</stp>
        <stp>912833YV Govt</stp>
        <stp>MTY_TYP</stp>
        <stp>[STRIPS.xlsx]Sheet1!R250C6</stp>
        <tr r="F250" s="1"/>
      </tp>
      <tp t="s">
        <v>NORMAL</v>
        <stp/>
        <stp>##V3_BDPV12</stp>
        <stp>912834XF Govt</stp>
        <stp>MTY_TYP</stp>
        <stp>[STRIPS.xlsx]Sheet1!R187C6</stp>
        <tr r="F187" s="1"/>
      </tp>
      <tp t="s">
        <v>#N/A Field Not Applicable</v>
        <stp/>
        <stp>##V3_BDPV12</stp>
        <stp>912833C9 Govt</stp>
        <stp>FIRST_CPN_DT</stp>
        <stp>[STRIPS.xlsx]Sheet1!R613C9</stp>
        <tr r="I613" s="1"/>
      </tp>
      <tp t="s">
        <v>#N/A Field Not Applicable</v>
        <stp/>
        <stp>##V3_BDPV12</stp>
        <stp>912833LZ Govt</stp>
        <stp>IDX_RATIO</stp>
        <stp>[STRIPS.xlsx]Sheet1!R9C20</stp>
        <tr r="T9" s="1"/>
      </tp>
      <tp t="s">
        <v>#N/A Field Not Applicable</v>
        <stp/>
        <stp>##V3_BDPV12</stp>
        <stp>912833A3 Govt</stp>
        <stp>FIRST_CPN_DT</stp>
        <stp>[STRIPS.xlsx]Sheet1!R731C9</stp>
        <tr r="I731" s="1"/>
      </tp>
      <tp t="s">
        <v>#N/A Field Not Applicable</v>
        <stp/>
        <stp>##V3_BDPV12</stp>
        <stp>912833B3 Govt</stp>
        <stp>FIRST_CPN_DT</stp>
        <stp>[STRIPS.xlsx]Sheet1!R732C9</stp>
        <tr r="I732" s="1"/>
      </tp>
      <tp t="s">
        <v>#N/A Field Not Applicable</v>
        <stp/>
        <stp>##V3_BDPV12</stp>
        <stp>912833LW Govt</stp>
        <stp>IDX_RATIO</stp>
        <stp>[STRIPS.xlsx]Sheet1!R2C20</stp>
        <tr r="T2" s="1"/>
      </tp>
      <tp t="s">
        <v>#N/A Field Not Applicable</v>
        <stp/>
        <stp>##V3_BDPV12</stp>
        <stp>912833C6 Govt</stp>
        <stp>FIRST_CPN_DT</stp>
        <stp>[STRIPS.xlsx]Sheet1!R563C9</stp>
        <tr r="I563" s="1"/>
      </tp>
      <tp t="s">
        <v>#N/A Field Not Applicable</v>
        <stp/>
        <stp>##V3_BDPV12</stp>
        <stp>912833LF Govt</stp>
        <stp>IDX_RATIO</stp>
        <stp>[STRIPS.xlsx]Sheet1!R7C20</stp>
        <tr r="T7" s="1"/>
      </tp>
      <tp t="s">
        <v>#N/A Field Not Applicable</v>
        <stp/>
        <stp>##V3_BDPV12</stp>
        <stp>912833FZ Govt</stp>
        <stp>FIRST_CPN_DT</stp>
        <stp>[STRIPS.xlsx]Sheet1!R511C9</stp>
        <tr r="I511" s="1"/>
      </tp>
      <tp t="s">
        <v>#N/A Field Not Applicable</v>
        <stp/>
        <stp>##V3_BDPV12</stp>
        <stp>912833CP Govt</stp>
        <stp>FIRST_CPN_DT</stp>
        <stp>[STRIPS.xlsx]Sheet1!R564C9</stp>
        <tr r="I564" s="1"/>
      </tp>
      <tp t="s">
        <v>#N/A Field Not Applicable</v>
        <stp/>
        <stp>##V3_BDPV12</stp>
        <stp>912834AP Govt</stp>
        <stp>FIRST_CPN_DT</stp>
        <stp>[STRIPS.xlsx]Sheet1!R386C9</stp>
        <tr r="I386" s="1"/>
      </tp>
      <tp t="s">
        <v>#N/A Field Not Applicable</v>
        <stp/>
        <stp>##V3_BDPV12</stp>
        <stp>912833FT Govt</stp>
        <stp>FIRST_CPN_DT</stp>
        <stp>[STRIPS.xlsx]Sheet1!R621C9</stp>
        <tr r="I621" s="1"/>
      </tp>
      <tp t="s">
        <v>#N/A Field Not Applicable</v>
        <stp/>
        <stp>##V3_BDPV12</stp>
        <stp>912834EW Govt</stp>
        <stp>FIRST_CPN_DT</stp>
        <stp>[STRIPS.xlsx]Sheet1!R312C9</stp>
        <tr r="I312" s="1"/>
      </tp>
      <tp t="s">
        <v>#N/A Field Not Applicable</v>
        <stp/>
        <stp>##V3_BDPV12</stp>
        <stp>912834EK Govt</stp>
        <stp>FIRST_CPN_DT</stp>
        <stp>[STRIPS.xlsx]Sheet1!R392C9</stp>
        <tr r="I392" s="1"/>
      </tp>
      <tp t="s">
        <v>#N/A Field Not Applicable</v>
        <stp/>
        <stp>##V3_BDPV12</stp>
        <stp>912834NM Govt</stp>
        <stp>FIRST_CPN_DT</stp>
        <stp>[STRIPS.xlsx]Sheet1!R409C9</stp>
        <tr r="I409" s="1"/>
      </tp>
      <tp t="s">
        <v>#N/A Field Not Applicable</v>
        <stp/>
        <stp>##V3_BDPV12</stp>
        <stp>912834EL Govt</stp>
        <stp>FIRST_CPN_DT</stp>
        <stp>[STRIPS.xlsx]Sheet1!R462C9</stp>
        <tr r="I462" s="1"/>
      </tp>
      <tp t="s">
        <v>#N/A Field Not Applicable</v>
        <stp/>
        <stp>##V3_BDPV12</stp>
        <stp>912833CN Govt</stp>
        <stp>FIRST_CPN_DT</stp>
        <stp>[STRIPS.xlsx]Sheet1!R734C9</stp>
        <tr r="I734" s="1"/>
      </tp>
      <tp t="s">
        <v>#N/A Field Not Applicable</v>
        <stp/>
        <stp>##V3_BDPV12</stp>
        <stp>912833GC Govt</stp>
        <stp>FIRST_CPN_DT</stp>
        <stp>[STRIPS.xlsx]Sheet1!R440C9</stp>
        <tr r="I440" s="1"/>
      </tp>
      <tp t="s">
        <v>#N/A Field Not Applicable</v>
        <stp/>
        <stp>##V3_BDPV12</stp>
        <stp>912833NB Govt</stp>
        <stp>FIRST_CPN_DT</stp>
        <stp>[STRIPS.xlsx]Sheet1!R629C9</stp>
        <tr r="I629" s="1"/>
      </tp>
      <tp t="s">
        <v>#N/A Field Not Applicable</v>
        <stp/>
        <stp>##V3_BDPV12</stp>
        <stp>912833CB Govt</stp>
        <stp>FIRST_CPN_DT</stp>
        <stp>[STRIPS.xlsx]Sheet1!R614C9</stp>
        <tr r="I614" s="1"/>
      </tp>
      <tp t="s">
        <v>#N/A Field Not Applicable</v>
        <stp/>
        <stp>##V3_BDPV12</stp>
        <stp>912834AB Govt</stp>
        <stp>FIRST_CPN_DT</stp>
        <stp>[STRIPS.xlsx]Sheet1!R256C9</stp>
        <tr r="I256" s="1"/>
      </tp>
      <tp t="s">
        <v>#N/A Field Not Applicable</v>
        <stp/>
        <stp>##V3_BDPV12</stp>
        <stp>912834EE Govt</stp>
        <stp>FIRST_CPN_DT</stp>
        <stp>[STRIPS.xlsx]Sheet1!R532C9</stp>
        <tr r="I532" s="1"/>
      </tp>
      <tp t="s">
        <v>USD</v>
        <stp/>
        <stp>##V3_BDPV12</stp>
        <stp>912834TA Govt</stp>
        <stp>CRNCY</stp>
        <stp>[STRIPS.xlsx]Sheet1!R756C7</stp>
        <tr r="G756" s="1"/>
      </tp>
      <tp t="s">
        <v>USD</v>
        <stp/>
        <stp>##V3_BDPV12</stp>
        <stp>912834BD Govt</stp>
        <stp>CRNCY</stp>
        <stp>[STRIPS.xlsx]Sheet1!R643C7</stp>
        <tr r="G643" s="1"/>
      </tp>
      <tp t="s">
        <v>USD</v>
        <stp/>
        <stp>##V3_BDPV12</stp>
        <stp>912833ZE Govt</stp>
        <stp>CRNCY</stp>
        <stp>[STRIPS.xlsx]Sheet1!R252C7</stp>
        <tr r="G252" s="1"/>
      </tp>
      <tp t="s">
        <v>USD</v>
        <stp/>
        <stp>##V3_BDPV12</stp>
        <stp>912834RF Govt</stp>
        <stp>CRNCY</stp>
        <stp>[STRIPS.xlsx]Sheet1!R551C7</stp>
        <tr r="G551" s="1"/>
      </tp>
      <tp t="s">
        <v>USD</v>
        <stp/>
        <stp>##V3_BDPV12</stp>
        <stp>912834AG Govt</stp>
        <stp>CRNCY</stp>
        <stp>[STRIPS.xlsx]Sheet1!R590C7</stp>
        <tr r="G590" s="1"/>
      </tp>
      <tp t="s">
        <v>USD</v>
        <stp/>
        <stp>##V3_BDPV12</stp>
        <stp>912834EE Govt</stp>
        <stp>CRNCY</stp>
        <stp>[STRIPS.xlsx]Sheet1!R532C7</stp>
        <tr r="G532" s="1"/>
      </tp>
      <tp t="s">
        <v>USD</v>
        <stp/>
        <stp>##V3_BDPV12</stp>
        <stp>912834FC Govt</stp>
        <stp>CRNCY</stp>
        <stp>[STRIPS.xlsx]Sheet1!R534C7</stp>
        <tr r="G534" s="1"/>
      </tp>
      <tp t="s">
        <v>USD</v>
        <stp/>
        <stp>##V3_BDPV12</stp>
        <stp>912834PF Govt</stp>
        <stp>CRNCY</stp>
        <stp>[STRIPS.xlsx]Sheet1!R411C7</stp>
        <tr r="G411" s="1"/>
      </tp>
      <tp t="s">
        <v>USD</v>
        <stp/>
        <stp>##V3_BDPV12</stp>
        <stp>912833QA Govt</stp>
        <stp>CRNCY</stp>
        <stp>[STRIPS.xlsx]Sheet1!R376C7</stp>
        <tr r="G376" s="1"/>
      </tp>
      <tp t="s">
        <v>USD</v>
        <stp/>
        <stp>##V3_BDPV12</stp>
        <stp>912834NA Govt</stp>
        <stp>CRNCY</stp>
        <stp>[STRIPS.xlsx]Sheet1!R476C7</stp>
        <tr r="G476" s="1"/>
      </tp>
      <tp t="s">
        <v>USD</v>
        <stp/>
        <stp>##V3_BDPV12</stp>
        <stp>912834KN Govt</stp>
        <stp>CRNCY</stp>
        <stp>[STRIPS.xlsx]Sheet1!R469C7</stp>
        <tr r="G469" s="1"/>
      </tp>
      <tp t="s">
        <v>USD</v>
        <stp/>
        <stp>##V3_BDPV12</stp>
        <stp>912833NA Govt</stp>
        <stp>CRNCY</stp>
        <stp>[STRIPS.xlsx]Sheet1!R446C7</stp>
        <tr r="G446" s="1"/>
      </tp>
      <tp t="s">
        <v>USD</v>
        <stp/>
        <stp>##V3_BDPV12</stp>
        <stp>912834AC Govt</stp>
        <stp>CRNCY</stp>
        <stp>[STRIPS.xlsx]Sheet1!R384C7</stp>
        <tr r="G384" s="1"/>
      </tp>
      <tp t="s">
        <v>USD</v>
        <stp/>
        <stp>##V3_BDPV12</stp>
        <stp>912834XC Govt</stp>
        <stp>CRNCY</stp>
        <stp>[STRIPS.xlsx]Sheet1!R214C7</stp>
        <tr r="G214" s="1"/>
      </tp>
      <tp t="s">
        <v>USD</v>
        <stp/>
        <stp>##V3_BDPV12</stp>
        <stp>912834RA Govt</stp>
        <stp>CRNCY</stp>
        <stp>[STRIPS.xlsx]Sheet1!R216C7</stp>
        <tr r="G216" s="1"/>
      </tp>
      <tp t="s">
        <v>USD</v>
        <stp/>
        <stp>##V3_BDPV12</stp>
        <stp>912833RN Govt</stp>
        <stp>CRNCY</stp>
        <stp>[STRIPS.xlsx]Sheet1!R579C7</stp>
        <tr r="G579" s="1"/>
      </tp>
      <tp t="s">
        <v>USD</v>
        <stp/>
        <stp>##V3_BDPV12</stp>
        <stp>912834KG Govt</stp>
        <stp>CRNCY</stp>
        <stp>[STRIPS.xlsx]Sheet1!R230C7</stp>
        <tr r="G230" s="1"/>
      </tp>
      <tp t="s">
        <v>USD</v>
        <stp/>
        <stp>##V3_BDPV12</stp>
        <stp>912833DC Govt</stp>
        <stp>CRNCY</stp>
        <stp>[STRIPS.xlsx]Sheet1!R504C7</stp>
        <tr r="G504" s="1"/>
      </tp>
      <tp t="s">
        <v>USD</v>
        <stp/>
        <stp>##V3_BDPV12</stp>
        <stp>912834AN Govt</stp>
        <stp>CRNCY</stp>
        <stp>[STRIPS.xlsx]Sheet1!R259C7</stp>
        <tr r="G259" s="1"/>
      </tp>
      <tp t="s">
        <v>USD</v>
        <stp/>
        <stp>##V3_BDPV12</stp>
        <stp>912834PE Govt</stp>
        <stp>CRNCY</stp>
        <stp>[STRIPS.xlsx]Sheet1!R132C7</stp>
        <tr r="G132" s="1"/>
      </tp>
      <tp t="s">
        <v>USD</v>
        <stp/>
        <stp>##V3_BDPV12</stp>
        <stp>912834VG Govt</stp>
        <stp>CRNCY</stp>
        <stp>[STRIPS.xlsx]Sheet1!R160C7</stp>
        <tr r="G160" s="1"/>
      </tp>
      <tp t="s">
        <v>USD</v>
        <stp/>
        <stp>##V3_BDPV12</stp>
        <stp>912834QN Govt</stp>
        <stp>CRNCY</stp>
        <stp>[STRIPS.xlsx]Sheet1!R179C7</stp>
        <tr r="G179" s="1"/>
      </tp>
      <tp t="s">
        <v>USD</v>
        <stp/>
        <stp>##V3_BDPV12</stp>
        <stp>9128335F Govt</stp>
        <stp>CRNCY</stp>
        <stp>[STRIPS.xlsx]Sheet1!R721C7</stp>
        <tr r="G721" s="1"/>
      </tp>
      <tp t="s">
        <v>#N/A Field Not Applicable</v>
        <stp/>
        <stp>##V3_BDPV12</stp>
        <stp>912833FG Govt</stp>
        <stp>FIRST_CPN_DT</stp>
        <stp>[STRIPS.xlsx]Sheet1!R661C9</stp>
        <tr r="I661" s="1"/>
      </tp>
      <tp t="s">
        <v>#N/A Field Not Applicable</v>
        <stp/>
        <stp>##V3_BDPV12</stp>
        <stp>912834AF Govt</stp>
        <stp>FIRST_CPN_DT</stp>
        <stp>[STRIPS.xlsx]Sheet1!R456C9</stp>
        <tr r="I456" s="1"/>
      </tp>
      <tp t="s">
        <v>NORMAL</v>
        <stp/>
        <stp>##V3_BDPV12</stp>
        <stp>9128336W Govt</stp>
        <stp>MTY_TYP</stp>
        <stp>[STRIPS.xlsx]Sheet1!R607C6</stp>
        <tr r="F607" s="1"/>
      </tp>
      <tp t="s">
        <v>NORMAL</v>
        <stp/>
        <stp>##V3_BDPV12</stp>
        <stp>9128336B Govt</stp>
        <stp>MTY_TYP</stp>
        <stp>[STRIPS.xlsx]Sheet1!R727C6</stp>
        <tr r="F727" s="1"/>
      </tp>
      <tp t="s">
        <v>NORMAL</v>
        <stp/>
        <stp>##V3_BDPV12</stp>
        <stp>9128336L Govt</stp>
        <stp>MTY_TYP</stp>
        <stp>[STRIPS.xlsx]Sheet1!R557C6</stp>
        <tr r="F557" s="1"/>
      </tp>
      <tp t="s">
        <v>NORMAL</v>
        <stp/>
        <stp>##V3_BDPV12</stp>
        <stp>9128336N Govt</stp>
        <stp>MTY_TYP</stp>
        <stp>[STRIPS.xlsx]Sheet1!R497C6</stp>
        <tr r="F497" s="1"/>
      </tp>
      <tp t="s">
        <v>NORMAL</v>
        <stp/>
        <stp>##V3_BDPV12</stp>
        <stp>9128335X Govt</stp>
        <stp>MTY_TYP</stp>
        <stp>[STRIPS.xlsx]Sheet1!R747C6</stp>
        <tr r="F747" s="1"/>
      </tp>
      <tp t="s">
        <v>NORMAL</v>
        <stp/>
        <stp>##V3_BDPV12</stp>
        <stp>9128335L Govt</stp>
        <stp>MTY_TYP</stp>
        <stp>[STRIPS.xlsx]Sheet1!R287C6</stp>
        <tr r="F287" s="1"/>
      </tp>
      <tp t="s">
        <v>NORMAL</v>
        <stp/>
        <stp>##V3_BDPV12</stp>
        <stp>9128334X Govt</stp>
        <stp>MTY_TYP</stp>
        <stp>[STRIPS.xlsx]Sheet1!R107C6</stp>
        <tr r="F107" s="1"/>
      </tp>
      <tp t="s">
        <v>NORMAL</v>
        <stp/>
        <stp>##V3_BDPV12</stp>
        <stp>9128334C Govt</stp>
        <stp>MTY_TYP</stp>
        <stp>[STRIPS.xlsx]Sheet1!R707C6</stp>
        <tr r="F707" s="1"/>
      </tp>
      <tp t="s">
        <v>NORMAL</v>
        <stp/>
        <stp>##V3_BDPV12</stp>
        <stp>9128334A Govt</stp>
        <stp>MTY_TYP</stp>
        <stp>[STRIPS.xlsx]Sheet1!R487C6</stp>
        <tr r="F487" s="1"/>
      </tp>
      <tp>
        <v>1.7230000000000079</v>
        <stp/>
        <stp>##V3_BDPV12</stp>
        <stp>9128334S Govt</stp>
        <stp>YLD_YTM_BID</stp>
        <stp>[STRIPS.xlsx]Sheet1!R5C4</stp>
        <tr r="D5" s="1"/>
      </tp>
      <tp t="s">
        <v>NORMAL</v>
        <stp/>
        <stp>##V3_BDPV12</stp>
        <stp>9128333J Govt</stp>
        <stp>MTY_TYP</stp>
        <stp>[STRIPS.xlsx]Sheet1!R427C6</stp>
        <tr r="F427" s="1"/>
      </tp>
      <tp t="s">
        <v>NORMAL</v>
        <stp/>
        <stp>##V3_BDPV12</stp>
        <stp>9128332E Govt</stp>
        <stp>MTY_TYP</stp>
        <stp>[STRIPS.xlsx]Sheet1!R597C6</stp>
        <tr r="F597" s="1"/>
      </tp>
      <tp t="s">
        <v>NORMAL</v>
        <stp/>
        <stp>##V3_BDPV12</stp>
        <stp>9128332B Govt</stp>
        <stp>MTY_TYP</stp>
        <stp>[STRIPS.xlsx]Sheet1!R717C6</stp>
        <tr r="F717" s="1"/>
      </tp>
      <tp t="s">
        <v>NORMAL</v>
        <stp/>
        <stp>##V3_BDPV12</stp>
        <stp>912833GF Govt</stp>
        <stp>MTY_TYP</stp>
        <stp>[STRIPS.xlsx]Sheet1!R667C6</stp>
        <tr r="F667" s="1"/>
      </tp>
      <tp t="s">
        <v>NORMAL</v>
        <stp/>
        <stp>##V3_BDPV12</stp>
        <stp>912834FB Govt</stp>
        <stp>MTY_TYP</stp>
        <stp>[STRIPS.xlsx]Sheet1!R120C6</stp>
        <tr r="F120" s="1"/>
      </tp>
      <tp t="s">
        <v>NORMAL</v>
        <stp/>
        <stp>##V3_BDPV12</stp>
        <stp>912833FH Govt</stp>
        <stp>MTY_TYP</stp>
        <stp>[STRIPS.xlsx]Sheet1!R507C6</stp>
        <tr r="F507" s="1"/>
      </tp>
      <tp t="s">
        <v>NORMAL</v>
        <stp/>
        <stp>##V3_BDPV12</stp>
        <stp>912833FJ Govt</stp>
        <stp>MTY_TYP</stp>
        <stp>[STRIPS.xlsx]Sheet1!R737C6</stp>
        <tr r="F737" s="1"/>
      </tp>
      <tp t="s">
        <v>NORMAL</v>
        <stp/>
        <stp>##V3_BDPV12</stp>
        <stp>912834EN Govt</stp>
        <stp>MTY_TYP</stp>
        <stp>[STRIPS.xlsx]Sheet1!R310C6</stp>
        <tr r="F310" s="1"/>
      </tp>
      <tp t="s">
        <v>NORMAL</v>
        <stp/>
        <stp>##V3_BDPV12</stp>
        <stp>912834DW Govt</stp>
        <stp>MTY_TYP</stp>
        <stp>[STRIPS.xlsx]Sheet1!R390C6</stp>
        <tr r="F390" s="1"/>
      </tp>
      <tp t="s">
        <v>NORMAL</v>
        <stp/>
        <stp>##V3_BDPV12</stp>
        <stp>912834DZ Govt</stp>
        <stp>MTY_TYP</stp>
        <stp>[STRIPS.xlsx]Sheet1!R460C6</stp>
        <tr r="F460" s="1"/>
      </tp>
      <tp t="s">
        <v>NORMAL</v>
        <stp/>
        <stp>##V3_BDPV12</stp>
        <stp>912833DA Govt</stp>
        <stp>MTY_TYP</stp>
        <stp>[STRIPS.xlsx]Sheet1!R167C6</stp>
        <tr r="F167" s="1"/>
      </tp>
      <tp t="s">
        <v>NORMAL</v>
        <stp/>
        <stp>##V3_BDPV12</stp>
        <stp>912833CT Govt</stp>
        <stp>MTY_TYP</stp>
        <stp>[STRIPS.xlsx]Sheet1!R657C6</stp>
        <tr r="F657" s="1"/>
      </tp>
      <tp t="s">
        <v>NORMAL</v>
        <stp/>
        <stp>##V3_BDPV12</stp>
        <stp>912833CR Govt</stp>
        <stp>MTY_TYP</stp>
        <stp>[STRIPS.xlsx]Sheet1!R617C6</stp>
        <tr r="F617" s="1"/>
      </tp>
      <tp t="s">
        <v>NORMAL</v>
        <stp/>
        <stp>##V3_BDPV12</stp>
        <stp>912833CE Govt</stp>
        <stp>MTY_TYP</stp>
        <stp>[STRIPS.xlsx]Sheet1!R437C6</stp>
        <tr r="F437" s="1"/>
      </tp>
      <tp t="s">
        <v>NORMAL</v>
        <stp/>
        <stp>##V3_BDPV12</stp>
        <stp>912833CJ Govt</stp>
        <stp>MTY_TYP</stp>
        <stp>[STRIPS.xlsx]Sheet1!R297C6</stp>
        <tr r="F297" s="1"/>
      </tp>
      <tp t="s">
        <v>NORMAL</v>
        <stp/>
        <stp>##V3_BDPV12</stp>
        <stp>912834BE Govt</stp>
        <stp>MTY_TYP</stp>
        <stp>[STRIPS.xlsx]Sheet1!R530C6</stp>
        <tr r="F530" s="1"/>
      </tp>
      <tp t="s">
        <v>NORMAL</v>
        <stp/>
        <stp>##V3_BDPV12</stp>
        <stp>912834BF Govt</stp>
        <stp>MTY_TYP</stp>
        <stp>[STRIPS.xlsx]Sheet1!R350C6</stp>
        <tr r="F350" s="1"/>
      </tp>
      <tp t="s">
        <v>NORMAL</v>
        <stp/>
        <stp>##V3_BDPV12</stp>
        <stp>912834AQ Govt</stp>
        <stp>MTY_TYP</stp>
        <stp>[STRIPS.xlsx]Sheet1!R260C6</stp>
        <tr r="F260" s="1"/>
      </tp>
      <tp t="s">
        <v>NORMAL</v>
        <stp/>
        <stp>##V3_BDPV12</stp>
        <stp>912834AG Govt</stp>
        <stp>MTY_TYP</stp>
        <stp>[STRIPS.xlsx]Sheet1!R590C6</stp>
        <tr r="F590" s="1"/>
      </tp>
      <tp t="s">
        <v>NORMAL</v>
        <stp/>
        <stp>##V3_BDPV12</stp>
        <stp>912834NP Govt</stp>
        <stp>MTY_TYP</stp>
        <stp>[STRIPS.xlsx]Sheet1!R130C6</stp>
        <tr r="F130" s="1"/>
      </tp>
      <tp t="s">
        <v>NORMAL</v>
        <stp/>
        <stp>##V3_BDPV12</stp>
        <stp>912833NQ Govt</stp>
        <stp>MTY_TYP</stp>
        <stp>[STRIPS.xlsx]Sheet1!R677C6</stp>
        <tr r="F677" s="1"/>
      </tp>
      <tp t="s">
        <v>NORMAL</v>
        <stp/>
        <stp>##V3_BDPV12</stp>
        <stp>912834NX Govt</stp>
        <stp>MTY_TYP</stp>
        <stp>[STRIPS.xlsx]Sheet1!R410C6</stp>
        <tr r="F410" s="1"/>
      </tp>
      <tp t="s">
        <v>NORMAL</v>
        <stp/>
        <stp>##V3_BDPV12</stp>
        <stp>912833NF Govt</stp>
        <stp>MTY_TYP</stp>
        <stp>[STRIPS.xlsx]Sheet1!R447C6</stp>
        <tr r="F447" s="1"/>
      </tp>
      <tp t="s">
        <v>NORMAL</v>
        <stp/>
        <stp>##V3_BDPV12</stp>
        <stp>912833NM Govt</stp>
        <stp>MTY_TYP</stp>
        <stp>[STRIPS.xlsx]Sheet1!R517C6</stp>
        <tr r="F517" s="1"/>
      </tp>
      <tp t="s">
        <v>NORMAL</v>
        <stp/>
        <stp>##V3_BDPV12</stp>
        <stp>912833NH Govt</stp>
        <stp>MTY_TYP</stp>
        <stp>[STRIPS.xlsx]Sheet1!R237C6</stp>
        <tr r="F237" s="1"/>
      </tp>
      <tp t="s">
        <v>NORMAL</v>
        <stp/>
        <stp>##V3_BDPV12</stp>
        <stp>912834NJ Govt</stp>
        <stp>MTY_TYP</stp>
        <stp>[STRIPS.xlsx]Sheet1!R420C6</stp>
        <tr r="F420" s="1"/>
      </tp>
      <tp t="s">
        <v>NORMAL</v>
        <stp/>
        <stp>##V3_BDPV12</stp>
        <stp>912833MX Govt</stp>
        <stp>MTY_TYP</stp>
        <stp>[STRIPS.xlsx]Sheet1!R627C6</stp>
        <tr r="F627" s="1"/>
      </tp>
      <tp t="s">
        <v>NORMAL</v>
        <stp/>
        <stp>##V3_BDPV12</stp>
        <stp>912833ME Govt</stp>
        <stp>MTY_TYP</stp>
        <stp>[STRIPS.xlsx]Sheet1!R567C6</stp>
        <tr r="F567" s="1"/>
      </tp>
      <tp t="s">
        <v>NORMAL</v>
        <stp/>
        <stp>##V3_BDPV12</stp>
        <stp>912834MB Govt</stp>
        <stp>MTY_TYP</stp>
        <stp>[STRIPS.xlsx]Sheet1!R540C6</stp>
        <tr r="F540" s="1"/>
      </tp>
      <tp t="s">
        <v>NORMAL</v>
        <stp/>
        <stp>##V3_BDPV12</stp>
        <stp>912834LS Govt</stp>
        <stp>MTY_TYP</stp>
        <stp>[STRIPS.xlsx]Sheet1!R270C6</stp>
        <tr r="F270" s="1"/>
      </tp>
      <tp t="s">
        <v>NORMAL</v>
        <stp/>
        <stp>##V3_BDPV12</stp>
        <stp>912834LW Govt</stp>
        <stp>MTY_TYP</stp>
        <stp>[STRIPS.xlsx]Sheet1!R360C6</stp>
        <tr r="F360" s="1"/>
      </tp>
      <tp t="s">
        <v>NORMAL</v>
        <stp/>
        <stp>##V3_BDPV12</stp>
        <stp>912834LF Govt</stp>
        <stp>MTY_TYP</stp>
        <stp>[STRIPS.xlsx]Sheet1!R320C6</stp>
        <tr r="F320" s="1"/>
      </tp>
      <tp t="s">
        <v>NORMAL</v>
        <stp/>
        <stp>##V3_BDPV12</stp>
        <stp>912834KW Govt</stp>
        <stp>MTY_TYP</stp>
        <stp>[STRIPS.xlsx]Sheet1!R470C6</stp>
        <tr r="F470" s="1"/>
      </tp>
      <tp t="s">
        <v>NORMAL</v>
        <stp/>
        <stp>##V3_BDPV12</stp>
        <stp>912833KW Govt</stp>
        <stp>MTY_TYP</stp>
        <stp>[STRIPS.xlsx]Sheet1!R177C6</stp>
        <tr r="F177" s="1"/>
      </tp>
      <tp t="s">
        <v>NORMAL</v>
        <stp/>
        <stp>##V3_BDPV12</stp>
        <stp>912834KR Govt</stp>
        <stp>MTY_TYP</stp>
        <stp>[STRIPS.xlsx]Sheet1!R400C6</stp>
        <tr r="F400" s="1"/>
      </tp>
      <tp t="s">
        <v>NORMAL</v>
        <stp/>
        <stp>##V3_BDPV12</stp>
        <stp>912833KX Govt</stp>
        <stp>MTY_TYP</stp>
        <stp>[STRIPS.xlsx]Sheet1!R157C6</stp>
        <tr r="F157" s="1"/>
      </tp>
      <tp t="s">
        <v>NORMAL</v>
        <stp/>
        <stp>##V3_BDPV12</stp>
        <stp>912833KB Govt</stp>
        <stp>MTY_TYP</stp>
        <stp>[STRIPS.xlsx]Sheet1!R367C6</stp>
        <tr r="F367" s="1"/>
      </tp>
      <tp t="s">
        <v>NORMAL</v>
        <stp/>
        <stp>##V3_BDPV12</stp>
        <stp>912834KB Govt</stp>
        <stp>MTY_TYP</stp>
        <stp>[STRIPS.xlsx]Sheet1!R110C6</stp>
        <tr r="F110" s="1"/>
      </tp>
      <tp t="s">
        <v>NORMAL</v>
        <stp/>
        <stp>##V3_BDPV12</stp>
        <stp>912834KG Govt</stp>
        <stp>MTY_TYP</stp>
        <stp>[STRIPS.xlsx]Sheet1!R230C6</stp>
        <tr r="F230" s="1"/>
      </tp>
      <tp t="s">
        <v>NORMAL</v>
        <stp/>
        <stp>##V3_BDPV12</stp>
        <stp>912834JW Govt</stp>
        <stp>MTY_TYP</stp>
        <stp>[STRIPS.xlsx]Sheet1!R210C6</stp>
        <tr r="F210" s="1"/>
      </tp>
      <tp t="s">
        <v>NORMAL</v>
        <stp/>
        <stp>##V3_BDPV12</stp>
        <stp>912834WF Govt</stp>
        <stp>MTY_TYP</stp>
        <stp>[STRIPS.xlsx]Sheet1!R770C6</stp>
        <tr r="F770" s="1"/>
      </tp>
      <tp t="s">
        <v>NORMAL</v>
        <stp/>
        <stp>##V3_BDPV12</stp>
        <stp>912834VS Govt</stp>
        <stp>MTY_TYP</stp>
        <stp>[STRIPS.xlsx]Sheet1!R170C6</stp>
        <tr r="F170" s="1"/>
      </tp>
      <tp t="s">
        <v>NORMAL</v>
        <stp/>
        <stp>##V3_BDPV12</stp>
        <stp>912834VG Govt</stp>
        <stp>MTY_TYP</stp>
        <stp>[STRIPS.xlsx]Sheet1!R160C6</stp>
        <tr r="F160" s="1"/>
      </tp>
      <tp t="s">
        <v>NORMAL</v>
        <stp/>
        <stp>##V3_BDPV12</stp>
        <stp>912834UA Govt</stp>
        <stp>MTY_TYP</stp>
        <stp>[STRIPS.xlsx]Sheet1!R200C6</stp>
        <tr r="F200" s="1"/>
      </tp>
      <tp t="s">
        <v>NORMAL</v>
        <stp/>
        <stp>##V3_BDPV12</stp>
        <stp>912834UM Govt</stp>
        <stp>MTY_TYP</stp>
        <stp>[STRIPS.xlsx]Sheet1!R180C6</stp>
        <tr r="F180" s="1"/>
      </tp>
      <tp t="s">
        <v>NORMAL</v>
        <stp/>
        <stp>##V3_BDPV12</stp>
        <stp>912834TW Govt</stp>
        <stp>MTY_TYP</stp>
        <stp>[STRIPS.xlsx]Sheet1!R760C6</stp>
        <tr r="F760" s="1"/>
      </tp>
      <tp t="s">
        <v>NORMAL</v>
        <stp/>
        <stp>##V3_BDPV12</stp>
        <stp>912834RT Govt</stp>
        <stp>MTY_TYP</stp>
        <stp>[STRIPS.xlsx]Sheet1!R280C6</stp>
        <tr r="F280" s="1"/>
      </tp>
      <tp t="s">
        <v>NORMAL</v>
        <stp/>
        <stp>##V3_BDPV12</stp>
        <stp>912833QQ Govt</stp>
        <stp>MTY_TYP</stp>
        <stp>[STRIPS.xlsx]Sheet1!R377C6</stp>
        <tr r="F377" s="1"/>
      </tp>
      <tp t="s">
        <v>NORMAL</v>
        <stp/>
        <stp>##V3_BDPV12</stp>
        <stp>912833QP Govt</stp>
        <stp>MTY_TYP</stp>
        <stp>[STRIPS.xlsx]Sheet1!R687C6</stp>
        <tr r="F687" s="1"/>
      </tp>
      <tp t="s">
        <v>NORMAL</v>
        <stp/>
        <stp>##V3_BDPV12</stp>
        <stp>912834QR Govt</stp>
        <stp>MTY_TYP</stp>
        <stp>[STRIPS.xlsx]Sheet1!R480C6</stp>
        <tr r="F480" s="1"/>
      </tp>
      <tp t="s">
        <v>NORMAL</v>
        <stp/>
        <stp>##V3_BDPV12</stp>
        <stp>912833QT Govt</stp>
        <stp>MTY_TYP</stp>
        <stp>[STRIPS.xlsx]Sheet1!R307C6</stp>
        <tr r="F307" s="1"/>
      </tp>
      <tp t="s">
        <v>NORMAL</v>
        <stp/>
        <stp>##V3_BDPV12</stp>
        <stp>912834QD Govt</stp>
        <stp>MTY_TYP</stp>
        <stp>[STRIPS.xlsx]Sheet1!R550C6</stp>
        <tr r="F550" s="1"/>
      </tp>
      <tp t="s">
        <v>NORMAL</v>
        <stp/>
        <stp>##V3_BDPV12</stp>
        <stp>912833QN Govt</stp>
        <stp>MTY_TYP</stp>
        <stp>[STRIPS.xlsx]Sheet1!R577C6</stp>
        <tr r="F577" s="1"/>
      </tp>
      <tp t="s">
        <v>NORMAL</v>
        <stp/>
        <stp>##V3_BDPV12</stp>
        <stp>912834PQ Govt</stp>
        <stp>MTY_TYP</stp>
        <stp>[STRIPS.xlsx]Sheet1!R140C6</stp>
        <tr r="F140" s="1"/>
      </tp>
      <tp t="s">
        <v>NORMAL</v>
        <stp/>
        <stp>##V3_BDPV12</stp>
        <stp>912833PP Govt</stp>
        <stp>MTY_TYP</stp>
        <stp>[STRIPS.xlsx]Sheet1!R337C6</stp>
        <tr r="F337" s="1"/>
      </tp>
      <tp t="s">
        <v>NORMAL</v>
        <stp/>
        <stp>##V3_BDPV12</stp>
        <stp>912833Z8 Govt</stp>
        <stp>MTY_TYP</stp>
        <stp>[STRIPS.xlsx]Sheet1!R697C6</stp>
        <tr r="F697" s="1"/>
      </tp>
      <tp t="s">
        <v>NORMAL</v>
        <stp/>
        <stp>##V3_BDPV12</stp>
        <stp>912833ZT Govt</stp>
        <stp>MTY_TYP</stp>
        <stp>[STRIPS.xlsx]Sheet1!R347C6</stp>
        <tr r="F347" s="1"/>
      </tp>
      <tp t="s">
        <v>NORMAL</v>
        <stp/>
        <stp>##V3_BDPV12</stp>
        <stp>912833ZD Govt</stp>
        <stp>MTY_TYP</stp>
        <stp>[STRIPS.xlsx]Sheet1!R637C6</stp>
        <tr r="F637" s="1"/>
      </tp>
      <tp t="s">
        <v>NORMAL</v>
        <stp/>
        <stp>##V3_BDPV12</stp>
        <stp>912833ZF Govt</stp>
        <stp>MTY_TYP</stp>
        <stp>[STRIPS.xlsx]Sheet1!R587C6</stp>
        <tr r="F587" s="1"/>
      </tp>
      <tp t="s">
        <v>NORMAL</v>
        <stp/>
        <stp>##V3_BDPV12</stp>
        <stp>912833ZJ Govt</stp>
        <stp>MTY_TYP</stp>
        <stp>[STRIPS.xlsx]Sheet1!R527C6</stp>
        <tr r="F527" s="1"/>
      </tp>
      <tp t="s">
        <v>NORMAL</v>
        <stp/>
        <stp>##V3_BDPV12</stp>
        <stp>912833Y6 Govt</stp>
        <stp>MTY_TYP</stp>
        <stp>[STRIPS.xlsx]Sheet1!R247C6</stp>
        <tr r="F247" s="1"/>
      </tp>
      <tp t="s">
        <v>NORMAL</v>
        <stp/>
        <stp>##V3_BDPV12</stp>
        <stp>912834XA Govt</stp>
        <stp>MTY_TYP</stp>
        <stp>[STRIPS.xlsx]Sheet1!R190C6</stp>
        <tr r="F190" s="1"/>
      </tp>
      <tp t="s">
        <v>NORMAL</v>
        <stp/>
        <stp>##V3_BDPV12</stp>
        <stp>912834XH Govt</stp>
        <stp>MTY_TYP</stp>
        <stp>[STRIPS.xlsx]Sheet1!R150C6</stp>
        <tr r="F150" s="1"/>
      </tp>
      <tp t="s">
        <v>#N/A Field Not Applicable</v>
        <stp/>
        <stp>##V3_BDPV12</stp>
        <stp>912834KP Govt</stp>
        <stp>IDX_RATIO</stp>
        <stp>[STRIPS.xlsx]Sheet1!R8C20</stp>
        <tr r="T8" s="1"/>
      </tp>
      <tp t="s">
        <v>#N/A Field Not Applicable</v>
        <stp/>
        <stp>##V3_BDPV12</stp>
        <stp>912833C7 Govt</stp>
        <stp>FIRST_CPN_DT</stp>
        <stp>[STRIPS.xlsx]Sheet1!R294C9</stp>
        <tr r="I294" s="1"/>
      </tp>
      <tp t="s">
        <v>#N/A Field Not Applicable</v>
        <stp/>
        <stp>##V3_BDPV12</stp>
        <stp>912834EY Govt</stp>
        <stp>FIRST_CPN_DT</stp>
        <stp>[STRIPS.xlsx]Sheet1!R313C9</stp>
        <tr r="I313" s="1"/>
      </tp>
      <tp t="s">
        <v>#N/A Field Not Applicable</v>
        <stp/>
        <stp>##V3_BDPV12</stp>
        <stp>912833FQ Govt</stp>
        <stp>FIRST_CPN_DT</stp>
        <stp>[STRIPS.xlsx]Sheet1!R620C9</stp>
        <tr r="I620" s="1"/>
      </tp>
      <tp t="s">
        <v>#N/A Field Not Applicable</v>
        <stp/>
        <stp>##V3_BDPV12</stp>
        <stp>912834ET Govt</stp>
        <stp>FIRST_CPN_DT</stp>
        <stp>[STRIPS.xlsx]Sheet1!R393C9</stp>
        <tr r="I393" s="1"/>
      </tp>
      <tp t="s">
        <v>#N/A Field Not Applicable</v>
        <stp/>
        <stp>##V3_BDPV12</stp>
        <stp>912834NW Govt</stp>
        <stp>FIRST_CPN_DT</stp>
        <stp>[STRIPS.xlsx]Sheet1!R548C9</stp>
        <tr r="I548" s="1"/>
      </tp>
      <tp t="s">
        <v>#N/A Field Not Applicable</v>
        <stp/>
        <stp>##V3_BDPV12</stp>
        <stp>912833CW Govt</stp>
        <stp>FIRST_CPN_DT</stp>
        <stp>[STRIPS.xlsx]Sheet1!R735C9</stp>
        <tr r="I735" s="1"/>
      </tp>
      <tp t="s">
        <v>#N/A Field Not Applicable</v>
        <stp/>
        <stp>##V3_BDPV12</stp>
        <stp>912833FV Govt</stp>
        <stp>FIRST_CPN_DT</stp>
        <stp>[STRIPS.xlsx]Sheet1!R510C9</stp>
        <tr r="I510" s="1"/>
      </tp>
      <tp t="s">
        <v>#N/A Field Not Applicable</v>
        <stp/>
        <stp>##V3_BDPV12</stp>
        <stp>912834AV Govt</stp>
        <stp>FIRST_CPN_DT</stp>
        <stp>[STRIPS.xlsx]Sheet1!R387C9</stp>
        <tr r="I387" s="1"/>
      </tp>
      <tp t="s">
        <v>#N/A Field Not Applicable</v>
        <stp/>
        <stp>##V3_BDPV12</stp>
        <stp>912833CH Govt</stp>
        <stp>FIRST_CPN_DT</stp>
        <stp>[STRIPS.xlsx]Sheet1!R615C9</stp>
        <tr r="I615" s="1"/>
      </tp>
      <tp t="s">
        <v>#N/A Field Not Applicable</v>
        <stp/>
        <stp>##V3_BDPV12</stp>
        <stp>912834AK Govt</stp>
        <stp>FIRST_CPN_DT</stp>
        <stp>[STRIPS.xlsx]Sheet1!R257C9</stp>
        <tr r="I257" s="1"/>
      </tp>
      <tp t="s">
        <v>#N/A Field Not Applicable</v>
        <stp/>
        <stp>##V3_BDPV12</stp>
        <stp>912834AM Govt</stp>
        <stp>FIRST_CPN_DT</stp>
        <stp>[STRIPS.xlsx]Sheet1!R457C9</stp>
        <tr r="I457" s="1"/>
      </tp>
      <tp t="s">
        <v>#N/A Field Not Applicable</v>
        <stp/>
        <stp>##V3_BDPV12</stp>
        <stp>912834EM Govt</stp>
        <stp>FIRST_CPN_DT</stp>
        <stp>[STRIPS.xlsx]Sheet1!R463C9</stp>
        <tr r="I463" s="1"/>
      </tp>
      <tp t="s">
        <v>#N/A Field Not Applicable</v>
        <stp/>
        <stp>##V3_BDPV12</stp>
        <stp>912834NL Govt</stp>
        <stp>FIRST_CPN_DT</stp>
        <stp>[STRIPS.xlsx]Sheet1!R408C9</stp>
        <tr r="I408" s="1"/>
      </tp>
      <tp t="s">
        <v>#N/A Field Not Applicable</v>
        <stp/>
        <stp>##V3_BDPV12</stp>
        <stp>912833NN Govt</stp>
        <stp>FIRST_CPN_DT</stp>
        <stp>[STRIPS.xlsx]Sheet1!R518C9</stp>
        <tr r="I518" s="1"/>
      </tp>
      <tp t="s">
        <v>#N/A Field Not Applicable</v>
        <stp/>
        <stp>##V3_BDPV12</stp>
        <stp>912834EA Govt</stp>
        <stp>FIRST_CPN_DT</stp>
        <stp>[STRIPS.xlsx]Sheet1!R593C9</stp>
        <tr r="I593" s="1"/>
      </tp>
      <tp t="s">
        <v>#N/A Field Not Applicable</v>
        <stp/>
        <stp>##V3_BDPV12</stp>
        <stp>912833DB Govt</stp>
        <stp>FIRST_CPN_DT</stp>
        <stp>[STRIPS.xlsx]Sheet1!R162C9</stp>
        <tr r="I162" s="1"/>
      </tp>
      <tp t="s">
        <v>#N/A Field Not Applicable</v>
        <stp/>
        <stp>##V3_BDPV12</stp>
        <stp>912834FB Govt</stp>
        <stp>FIRST_CPN_DT</stp>
        <stp>[STRIPS.xlsx]Sheet1!R120C9</stp>
        <tr r="I120" s="1"/>
      </tp>
      <tp t="s">
        <v>#N/A Field Not Applicable</v>
        <stp/>
        <stp>##V3_BDPV12</stp>
        <stp>912833GE Govt</stp>
        <stp>FIRST_CPN_DT</stp>
        <stp>[STRIPS.xlsx]Sheet1!R441C9</stp>
        <tr r="I441" s="1"/>
      </tp>
      <tp t="s">
        <v>#N/A Field Not Applicable</v>
        <stp/>
        <stp>##V3_BDPV12</stp>
        <stp>912833CD Govt</stp>
        <stp>FIRST_CPN_DT</stp>
        <stp>[STRIPS.xlsx]Sheet1!R295C9</stp>
        <tr r="I295" s="1"/>
      </tp>
      <tp t="s">
        <v>USD</v>
        <stp/>
        <stp>##V3_BDPV12</stp>
        <stp>912834WF Govt</stp>
        <stp>CRNCY</stp>
        <stp>[STRIPS.xlsx]Sheet1!R770C7</stp>
        <tr r="G770" s="1"/>
      </tp>
      <tp t="s">
        <v>USD</v>
        <stp/>
        <stp>##V3_BDPV12</stp>
        <stp>912833LE Govt</stp>
        <stp>CRNCY</stp>
        <stp>[STRIPS.xlsx]Sheet1!R153C7</stp>
        <tr r="G153" s="1"/>
      </tp>
      <tp t="s">
        <v>USD</v>
        <stp/>
        <stp>##V3_BDPV12</stp>
        <stp>912833DA Govt</stp>
        <stp>CRNCY</stp>
        <stp>[STRIPS.xlsx]Sheet1!R167C7</stp>
        <tr r="G167" s="1"/>
      </tp>
      <tp t="s">
        <v>USD</v>
        <stp/>
        <stp>##V3_BDPV12</stp>
        <stp>912834EB Govt</stp>
        <stp>CRNCY</stp>
        <stp>[STRIPS.xlsx]Sheet1!R644C7</stp>
        <tr r="G644" s="1"/>
      </tp>
      <tp t="s">
        <v>USD</v>
        <stp/>
        <stp>##V3_BDPV12</stp>
        <stp>912834NB Govt</stp>
        <stp>CRNCY</stp>
        <stp>[STRIPS.xlsx]Sheet1!R544C7</stp>
        <tr r="G544" s="1"/>
      </tp>
      <tp t="s">
        <v>USD</v>
        <stp/>
        <stp>##V3_BDPV12</stp>
        <stp>912834JA Govt</stp>
        <stp>CRNCY</stp>
        <stp>[STRIPS.xlsx]Sheet1!R537C7</stp>
        <tr r="G537" s="1"/>
      </tp>
      <tp t="s">
        <v>USD</v>
        <stp/>
        <stp>##V3_BDPV12</stp>
        <stp>912834TB Govt</stp>
        <stp>CRNCY</stp>
        <stp>[STRIPS.xlsx]Sheet1!R424C7</stp>
        <tr r="G424" s="1"/>
      </tp>
      <tp t="s">
        <v>USD</v>
        <stp/>
        <stp>##V3_BDPV12</stp>
        <stp>912834LE Govt</stp>
        <stp>CRNCY</stp>
        <stp>[STRIPS.xlsx]Sheet1!R473C7</stp>
        <tr r="G473" s="1"/>
      </tp>
      <tp t="s">
        <v>USD</v>
        <stp/>
        <stp>##V3_BDPV12</stp>
        <stp>912833ZB Govt</stp>
        <stp>CRNCY</stp>
        <stp>[STRIPS.xlsx]Sheet1!R454C7</stp>
        <tr r="G454" s="1"/>
      </tp>
      <tp t="s">
        <v>USD</v>
        <stp/>
        <stp>##V3_BDPV12</stp>
        <stp>912834LF Govt</stp>
        <stp>CRNCY</stp>
        <stp>[STRIPS.xlsx]Sheet1!R320C7</stp>
        <tr r="G320" s="1"/>
      </tp>
      <tp t="s">
        <v>USD</v>
        <stp/>
        <stp>##V3_BDPV12</stp>
        <stp>912834LG Govt</stp>
        <stp>CRNCY</stp>
        <stp>[STRIPS.xlsx]Sheet1!R321C7</stp>
        <tr r="G321" s="1"/>
      </tp>
      <tp t="s">
        <v>USD</v>
        <stp/>
        <stp>##V3_BDPV12</stp>
        <stp>912834BF Govt</stp>
        <stp>CRNCY</stp>
        <stp>[STRIPS.xlsx]Sheet1!R350C7</stp>
        <tr r="G350" s="1"/>
      </tp>
      <tp t="s">
        <v>USD</v>
        <stp/>
        <stp>##V3_BDPV12</stp>
        <stp>9128334A Govt</stp>
        <stp>CRNCY</stp>
        <stp>[STRIPS.xlsx]Sheet1!R487C7</stp>
        <tr r="G487" s="1"/>
      </tp>
      <tp t="s">
        <v>USD</v>
        <stp/>
        <stp>##V3_BDPV12</stp>
        <stp>9128333N Govt</stp>
        <stp>CRNCY</stp>
        <stp>[STRIPS.xlsx]Sheet1!R428C7</stp>
        <tr r="G428" s="1"/>
      </tp>
      <tp t="s">
        <v>USD</v>
        <stp/>
        <stp>##V3_BDPV12</stp>
        <stp>912834QG Govt</stp>
        <stp>CRNCY</stp>
        <stp>[STRIPS.xlsx]Sheet1!R211C7</stp>
        <tr r="G211" s="1"/>
      </tp>
      <tp t="s">
        <v>USD</v>
        <stp/>
        <stp>##V3_BDPV12</stp>
        <stp>912834WE Govt</stp>
        <stp>CRNCY</stp>
        <stp>[STRIPS.xlsx]Sheet1!R223C7</stp>
        <tr r="G223" s="1"/>
      </tp>
      <tp t="s">
        <v>USD</v>
        <stp/>
        <stp>##V3_BDPV12</stp>
        <stp>912834MG Govt</stp>
        <stp>CRNCY</stp>
        <stp>[STRIPS.xlsx]Sheet1!R271C7</stp>
        <tr r="G271" s="1"/>
      </tp>
      <tp t="s">
        <v>USD</v>
        <stp/>
        <stp>##V3_BDPV12</stp>
        <stp>912833NN Govt</stp>
        <stp>CRNCY</stp>
        <stp>[STRIPS.xlsx]Sheet1!R518C7</stp>
        <tr r="G518" s="1"/>
      </tp>
      <tp t="s">
        <v>USD</v>
        <stp/>
        <stp>##V3_BDPV12</stp>
        <stp>912833ZN Govt</stp>
        <stp>CRNCY</stp>
        <stp>[STRIPS.xlsx]Sheet1!R638C7</stp>
        <tr r="G638" s="1"/>
      </tp>
      <tp t="s">
        <v>USD</v>
        <stp/>
        <stp>##V3_BDPV12</stp>
        <stp>912834TN Govt</stp>
        <stp>CRNCY</stp>
        <stp>[STRIPS.xlsx]Sheet1!R158C7</stp>
        <tr r="G158" s="1"/>
      </tp>
      <tp t="s">
        <v>USD</v>
        <stp/>
        <stp>##V3_BDPV12</stp>
        <stp>912833KG Govt</stp>
        <stp>CRNCY</stp>
        <stp>[STRIPS.xlsx]Sheet1!R671C7</stp>
        <tr r="G671" s="1"/>
      </tp>
      <tp t="s">
        <v>USD</v>
        <stp/>
        <stp>##V3_BDPV12</stp>
        <stp>912833CB Govt</stp>
        <stp>CRNCY</stp>
        <stp>[STRIPS.xlsx]Sheet1!R614C7</stp>
        <tr r="G614" s="1"/>
      </tp>
      <tp t="s">
        <v>USD</v>
        <stp/>
        <stp>##V3_BDPV12</stp>
        <stp>912833DF Govt</stp>
        <stp>CRNCY</stp>
        <stp>[STRIPS.xlsx]Sheet1!R660C7</stp>
        <tr r="G660" s="1"/>
      </tp>
      <tp t="s">
        <v>USD</v>
        <stp/>
        <stp>##V3_BDPV12</stp>
        <stp>912833FG Govt</stp>
        <stp>CRNCY</stp>
        <stp>[STRIPS.xlsx]Sheet1!R661C7</stp>
        <tr r="G661" s="1"/>
      </tp>
      <tp t="s">
        <v>USD</v>
        <stp/>
        <stp>##V3_BDPV12</stp>
        <stp>912833FN Govt</stp>
        <stp>CRNCY</stp>
        <stp>[STRIPS.xlsx]Sheet1!R738C7</stp>
        <tr r="G738" s="1"/>
      </tp>
      <tp t="s">
        <v>#N/A Field Not Applicable</v>
        <stp/>
        <stp>##V3_BDPV12</stp>
        <stp>912834EG Govt</stp>
        <stp>FIRST_CPN_DT</stp>
        <stp>[STRIPS.xlsx]Sheet1!R533C9</stp>
        <tr r="I533" s="1"/>
      </tp>
      <tp t="s">
        <v>#N/A Field Not Applicable</v>
        <stp/>
        <stp>##V3_BDPV12</stp>
        <stp>912833CF Govt</stp>
        <stp>FIRST_CPN_DT</stp>
        <stp>[STRIPS.xlsx]Sheet1!R655C9</stp>
        <tr r="I655" s="1"/>
      </tp>
      <tp t="s">
        <v>NORMAL</v>
        <stp/>
        <stp>##V3_BDPV12</stp>
        <stp>9128337G Govt</stp>
        <stp>MTY_TYP</stp>
        <stp>[STRIPS.xlsx]Sheet1!R716C6</stp>
        <tr r="F716" s="1"/>
      </tp>
      <tp>
        <v>0</v>
        <stp/>
        <stp>##V3_BDPV12</stp>
        <stp>9128334S Govt</stp>
        <stp>CPN</stp>
        <stp>[STRIPS.xlsx]Sheet1!R5C3</stp>
        <tr r="C5" s="1"/>
      </tp>
      <tp t="s">
        <v>NORMAL</v>
        <stp/>
        <stp>##V3_BDPV12</stp>
        <stp>9128336U Govt</stp>
        <stp>MTY_TYP</stp>
        <stp>[STRIPS.xlsx]Sheet1!R606C6</stp>
        <tr r="F606" s="1"/>
      </tp>
      <tp t="s">
        <v>NORMAL</v>
        <stp/>
        <stp>##V3_BDPV12</stp>
        <stp>9128336K Govt</stp>
        <stp>MTY_TYP</stp>
        <stp>[STRIPS.xlsx]Sheet1!R496C6</stp>
        <tr r="F496" s="1"/>
      </tp>
      <tp t="s">
        <v>NORMAL</v>
        <stp/>
        <stp>##V3_BDPV12</stp>
        <stp>9128335T Govt</stp>
        <stp>MTY_TYP</stp>
        <stp>[STRIPS.xlsx]Sheet1!R556C6</stp>
        <tr r="F556" s="1"/>
      </tp>
      <tp t="s">
        <v>NORMAL</v>
        <stp/>
        <stp>##V3_BDPV12</stp>
        <stp>9128335Y Govt</stp>
        <stp>MTY_TYP</stp>
        <stp>[STRIPS.xlsx]Sheet1!R726C6</stp>
        <tr r="F726" s="1"/>
      </tp>
      <tp t="s">
        <v>NORMAL</v>
        <stp/>
        <stp>##V3_BDPV12</stp>
        <stp>9128335G Govt</stp>
        <stp>MTY_TYP</stp>
        <stp>[STRIPS.xlsx]Sheet1!R286C6</stp>
        <tr r="F286" s="1"/>
      </tp>
      <tp t="s">
        <v>NORMAL</v>
        <stp/>
        <stp>##V3_BDPV12</stp>
        <stp>9128335N Govt</stp>
        <stp>MTY_TYP</stp>
        <stp>[STRIPS.xlsx]Sheet1!R746C6</stp>
        <tr r="F746" s="1"/>
      </tp>
      <tp t="s">
        <v>NORMAL</v>
        <stp/>
        <stp>##V3_BDPV12</stp>
        <stp>9128333U Govt</stp>
        <stp>MTY_TYP</stp>
        <stp>[STRIPS.xlsx]Sheet1!R706C6</stp>
        <tr r="F706" s="1"/>
      </tp>
      <tp t="s">
        <v>NORMAL</v>
        <stp/>
        <stp>##V3_BDPV12</stp>
        <stp>9128333Y Govt</stp>
        <stp>MTY_TYP</stp>
        <stp>[STRIPS.xlsx]Sheet1!R486C6</stp>
        <tr r="F486" s="1"/>
      </tp>
      <tp t="s">
        <v>NORMAL</v>
        <stp/>
        <stp>##V3_BDPV12</stp>
        <stp>912833GB Govt</stp>
        <stp>MTY_TYP</stp>
        <stp>[STRIPS.xlsx]Sheet1!R666C6</stp>
        <tr r="F666" s="1"/>
      </tp>
      <tp t="s">
        <v>NORMAL</v>
        <stp/>
        <stp>##V3_BDPV12</stp>
        <stp>912834EQ Govt</stp>
        <stp>MTY_TYP</stp>
        <stp>[STRIPS.xlsx]Sheet1!R311C6</stp>
        <tr r="F311" s="1"/>
      </tp>
      <tp t="s">
        <v>NORMAL</v>
        <stp/>
        <stp>##V3_BDPV12</stp>
        <stp>912834EV Govt</stp>
        <stp>MTY_TYP</stp>
        <stp>[STRIPS.xlsx]Sheet1!R101C6</stp>
        <tr r="F101" s="1"/>
      </tp>
      <tp t="s">
        <v>NORMAL</v>
        <stp/>
        <stp>##V3_BDPV12</stp>
        <stp>912834EC Govt</stp>
        <stp>MTY_TYP</stp>
        <stp>[STRIPS.xlsx]Sheet1!R461C6</stp>
        <tr r="F461" s="1"/>
      </tp>
      <tp t="s">
        <v>NORMAL</v>
        <stp/>
        <stp>##V3_BDPV12</stp>
        <stp>912834DX Govt</stp>
        <stp>MTY_TYP</stp>
        <stp>[STRIPS.xlsx]Sheet1!R391C6</stp>
        <tr r="F391" s="1"/>
      </tp>
      <tp t="s">
        <v>NORMAL</v>
        <stp/>
        <stp>##V3_BDPV12</stp>
        <stp>912833DG Govt</stp>
        <stp>MTY_TYP</stp>
        <stp>[STRIPS.xlsx]Sheet1!R736C6</stp>
        <tr r="F736" s="1"/>
      </tp>
      <tp t="s">
        <v>NORMAL</v>
        <stp/>
        <stp>##V3_BDPV12</stp>
        <stp>912833DH Govt</stp>
        <stp>MTY_TYP</stp>
        <stp>[STRIPS.xlsx]Sheet1!R506C6</stp>
        <tr r="F506" s="1"/>
      </tp>
      <tp t="s">
        <v>NORMAL</v>
        <stp/>
        <stp>##V3_BDPV12</stp>
        <stp>912833CG Govt</stp>
        <stp>MTY_TYP</stp>
        <stp>[STRIPS.xlsx]Sheet1!R296C6</stp>
        <tr r="F296" s="1"/>
      </tp>
      <tp t="s">
        <v>NORMAL</v>
        <stp/>
        <stp>##V3_BDPV12</stp>
        <stp>912833CC Govt</stp>
        <stp>MTY_TYP</stp>
        <stp>[STRIPS.xlsx]Sheet1!R436C6</stp>
        <tr r="F436" s="1"/>
      </tp>
      <tp t="s">
        <v>NORMAL</v>
        <stp/>
        <stp>##V3_BDPV12</stp>
        <stp>912833CL Govt</stp>
        <stp>MTY_TYP</stp>
        <stp>[STRIPS.xlsx]Sheet1!R616C6</stp>
        <tr r="F616" s="1"/>
      </tp>
      <tp t="s">
        <v>NORMAL</v>
        <stp/>
        <stp>##V3_BDPV12</stp>
        <stp>912833CM Govt</stp>
        <stp>MTY_TYP</stp>
        <stp>[STRIPS.xlsx]Sheet1!R656C6</stp>
        <tr r="F656" s="1"/>
      </tp>
      <tp t="s">
        <v>NORMAL</v>
        <stp/>
        <stp>##V3_BDPV12</stp>
        <stp>912834BR Govt</stp>
        <stp>MTY_TYP</stp>
        <stp>[STRIPS.xlsx]Sheet1!R531C6</stp>
        <tr r="F531" s="1"/>
      </tp>
      <tp t="s">
        <v>NORMAL</v>
        <stp/>
        <stp>##V3_BDPV12</stp>
        <stp>912834BH Govt</stp>
        <stp>MTY_TYP</stp>
        <stp>[STRIPS.xlsx]Sheet1!R351C6</stp>
        <tr r="F351" s="1"/>
      </tp>
      <tp t="s">
        <v>NORMAL</v>
        <stp/>
        <stp>##V3_BDPV12</stp>
        <stp>912834AW Govt</stp>
        <stp>MTY_TYP</stp>
        <stp>[STRIPS.xlsx]Sheet1!R641C6</stp>
        <tr r="F641" s="1"/>
      </tp>
      <tp t="s">
        <v>NORMAL</v>
        <stp/>
        <stp>##V3_BDPV12</stp>
        <stp>912834AZ Govt</stp>
        <stp>MTY_TYP</stp>
        <stp>[STRIPS.xlsx]Sheet1!R261C6</stp>
        <tr r="F261" s="1"/>
      </tp>
      <tp t="s">
        <v>NORMAL</v>
        <stp/>
        <stp>##V3_BDPV12</stp>
        <stp>912834AJ Govt</stp>
        <stp>MTY_TYP</stp>
        <stp>[STRIPS.xlsx]Sheet1!R591C6</stp>
        <tr r="F591" s="1"/>
      </tp>
      <tp t="s">
        <v>NORMAL</v>
        <stp/>
        <stp>##V3_BDPV12</stp>
        <stp>912833ND Govt</stp>
        <stp>MTY_TYP</stp>
        <stp>[STRIPS.xlsx]Sheet1!R676C6</stp>
        <tr r="F676" s="1"/>
      </tp>
      <tp t="s">
        <v>NORMAL</v>
        <stp/>
        <stp>##V3_BDPV12</stp>
        <stp>912833NG Govt</stp>
        <stp>MTY_TYP</stp>
        <stp>[STRIPS.xlsx]Sheet1!R516C6</stp>
        <tr r="F516" s="1"/>
      </tp>
      <tp t="s">
        <v>NORMAL</v>
        <stp/>
        <stp>##V3_BDPV12</stp>
        <stp>912833NA Govt</stp>
        <stp>MTY_TYP</stp>
        <stp>[STRIPS.xlsx]Sheet1!R446C6</stp>
        <tr r="F446" s="1"/>
      </tp>
      <tp t="s">
        <v>NORMAL</v>
        <stp/>
        <stp>##V3_BDPV12</stp>
        <stp>912834NN Govt</stp>
        <stp>MTY_TYP</stp>
        <stp>[STRIPS.xlsx]Sheet1!R421C6</stp>
        <tr r="F421" s="1"/>
      </tp>
      <tp t="s">
        <v>NORMAL</v>
        <stp/>
        <stp>##V3_BDPV12</stp>
        <stp>912833MV Govt</stp>
        <stp>MTY_TYP</stp>
        <stp>[STRIPS.xlsx]Sheet1!R626C6</stp>
        <tr r="F626" s="1"/>
      </tp>
      <tp t="s">
        <v>NORMAL</v>
        <stp/>
        <stp>##V3_BDPV12</stp>
        <stp>912833MQ Govt</stp>
        <stp>MTY_TYP</stp>
        <stp>[STRIPS.xlsx]Sheet1!R236C6</stp>
        <tr r="F236" s="1"/>
      </tp>
      <tp t="s">
        <v>NORMAL</v>
        <stp/>
        <stp>##V3_BDPV12</stp>
        <stp>912834MG Govt</stp>
        <stp>MTY_TYP</stp>
        <stp>[STRIPS.xlsx]Sheet1!R271C6</stp>
        <tr r="F271" s="1"/>
      </tp>
      <tp t="s">
        <v>NORMAL</v>
        <stp/>
        <stp>##V3_BDPV12</stp>
        <stp>912834MC Govt</stp>
        <stp>MTY_TYP</stp>
        <stp>[STRIPS.xlsx]Sheet1!R541C6</stp>
        <tr r="F541" s="1"/>
      </tp>
      <tp t="s">
        <v>NORMAL</v>
        <stp/>
        <stp>##V3_BDPV12</stp>
        <stp>912833MH Govt</stp>
        <stp>MTY_TYP</stp>
        <stp>[STRIPS.xlsx]Sheet1!R306C6</stp>
        <tr r="F306" s="1"/>
      </tp>
      <tp t="s">
        <v>NORMAL</v>
        <stp/>
        <stp>##V3_BDPV12</stp>
        <stp>912834LG Govt</stp>
        <stp>MTY_TYP</stp>
        <stp>[STRIPS.xlsx]Sheet1!R321C6</stp>
        <tr r="F321" s="1"/>
      </tp>
      <tp t="s">
        <v>NORMAL</v>
        <stp/>
        <stp>##V3_BDPV12</stp>
        <stp>912834LN Govt</stp>
        <stp>MTY_TYP</stp>
        <stp>[STRIPS.xlsx]Sheet1!R231C6</stp>
        <tr r="F231" s="1"/>
      </tp>
      <tp t="s">
        <v>NORMAL</v>
        <stp/>
        <stp>##V3_BDPV12</stp>
        <stp>912834KU Govt</stp>
        <stp>MTY_TYP</stp>
        <stp>[STRIPS.xlsx]Sheet1!R401C6</stp>
        <tr r="F401" s="1"/>
      </tp>
      <tp t="s">
        <v>NORMAL</v>
        <stp/>
        <stp>##V3_BDPV12</stp>
        <stp>912833KS Govt</stp>
        <stp>MTY_TYP</stp>
        <stp>[STRIPS.xlsx]Sheet1!R176C6</stp>
        <tr r="F176" s="1"/>
      </tp>
      <tp t="s">
        <v>NORMAL</v>
        <stp/>
        <stp>##V3_BDPV12</stp>
        <stp>912833KQ Govt</stp>
        <stp>MTY_TYP</stp>
        <stp>[STRIPS.xlsx]Sheet1!R566C6</stp>
        <tr r="F566" s="1"/>
      </tp>
      <tp t="s">
        <v>NORMAL</v>
        <stp/>
        <stp>##V3_BDPV12</stp>
        <stp>912834KX Govt</stp>
        <stp>MTY_TYP</stp>
        <stp>[STRIPS.xlsx]Sheet1!R471C6</stp>
        <tr r="F471" s="1"/>
      </tp>
      <tp t="s">
        <v>NORMAL</v>
        <stp/>
        <stp>##V3_BDPV12</stp>
        <stp>912833JT Govt</stp>
        <stp>MTY_TYP</stp>
        <stp>[STRIPS.xlsx]Sheet1!R156C6</stp>
        <tr r="F156" s="1"/>
      </tp>
      <tp t="s">
        <v>NORMAL</v>
        <stp/>
        <stp>##V3_BDPV12</stp>
        <stp>912833JU Govt</stp>
        <stp>MTY_TYP</stp>
        <stp>[STRIPS.xlsx]Sheet1!R366C6</stp>
        <tr r="F366" s="1"/>
      </tp>
      <tp t="s">
        <v>NORMAL</v>
        <stp/>
        <stp>##V3_BDPV12</stp>
        <stp>912834JX Govt</stp>
        <stp>MTY_TYP</stp>
        <stp>[STRIPS.xlsx]Sheet1!R221C6</stp>
        <tr r="F221" s="1"/>
      </tp>
      <tp t="s">
        <v>NORMAL</v>
        <stp/>
        <stp>##V3_BDPV12</stp>
        <stp>912834WB Govt</stp>
        <stp>MTY_TYP</stp>
        <stp>[STRIPS.xlsx]Sheet1!R771C6</stp>
        <tr r="F771" s="1"/>
      </tp>
      <tp t="s">
        <v>NORMAL</v>
        <stp/>
        <stp>##V3_BDPV12</stp>
        <stp>912834WN Govt</stp>
        <stp>MTY_TYP</stp>
        <stp>[STRIPS.xlsx]Sheet1!R191C6</stp>
        <tr r="F191" s="1"/>
      </tp>
      <tp t="s">
        <v>NORMAL</v>
        <stp/>
        <stp>##V3_BDPV12</stp>
        <stp>912834VW Govt</stp>
        <stp>MTY_TYP</stp>
        <stp>[STRIPS.xlsx]Sheet1!R131C6</stp>
        <tr r="F131" s="1"/>
      </tp>
      <tp t="s">
        <v>NORMAL</v>
        <stp/>
        <stp>##V3_BDPV12</stp>
        <stp>912834UZ Govt</stp>
        <stp>MTY_TYP</stp>
        <stp>[STRIPS.xlsx]Sheet1!R181C6</stp>
        <tr r="F181" s="1"/>
      </tp>
      <tp t="s">
        <v>NORMAL</v>
        <stp/>
        <stp>##V3_BDPV12</stp>
        <stp>912834UC Govt</stp>
        <stp>MTY_TYP</stp>
        <stp>[STRIPS.xlsx]Sheet1!R761C6</stp>
        <tr r="F761" s="1"/>
      </tp>
      <tp t="s">
        <v>NORMAL</v>
        <stp/>
        <stp>##V3_BDPV12</stp>
        <stp>912834TD Govt</stp>
        <stp>MTY_TYP</stp>
        <stp>[STRIPS.xlsx]Sheet1!R281C6</stp>
        <tr r="F281" s="1"/>
      </tp>
      <tp t="s">
        <v>NORMAL</v>
        <stp/>
        <stp>##V3_BDPV12</stp>
        <stp>912833RW Govt</stp>
        <stp>MTY_TYP</stp>
        <stp>[STRIPS.xlsx]Sheet1!R246C6</stp>
        <tr r="F246" s="1"/>
      </tp>
      <tp t="s">
        <v>NORMAL</v>
        <stp/>
        <stp>##V3_BDPV12</stp>
        <stp>912834RF Govt</stp>
        <stp>MTY_TYP</stp>
        <stp>[STRIPS.xlsx]Sheet1!R551C6</stp>
        <tr r="F551" s="1"/>
      </tp>
      <tp t="s">
        <v>NORMAL</v>
        <stp/>
        <stp>##V3_BDPV12</stp>
        <stp>912834RH Govt</stp>
        <stp>MTY_TYP</stp>
        <stp>[STRIPS.xlsx]Sheet1!R481C6</stp>
        <tr r="F481" s="1"/>
      </tp>
      <tp t="s">
        <v>NORMAL</v>
        <stp/>
        <stp>##V3_BDPV12</stp>
        <stp>912834QW Govt</stp>
        <stp>MTY_TYP</stp>
        <stp>[STRIPS.xlsx]Sheet1!R171C6</stp>
        <tr r="F171" s="1"/>
      </tp>
      <tp t="s">
        <v>NORMAL</v>
        <stp/>
        <stp>##V3_BDPV12</stp>
        <stp>912834QU Govt</stp>
        <stp>MTY_TYP</stp>
        <stp>[STRIPS.xlsx]Sheet1!R201C6</stp>
        <tr r="F201" s="1"/>
      </tp>
      <tp t="s">
        <v>NORMAL</v>
        <stp/>
        <stp>##V3_BDPV12</stp>
        <stp>912833QD Govt</stp>
        <stp>MTY_TYP</stp>
        <stp>[STRIPS.xlsx]Sheet1!R576C6</stp>
        <tr r="F576" s="1"/>
      </tp>
      <tp t="s">
        <v>NORMAL</v>
        <stp/>
        <stp>##V3_BDPV12</stp>
        <stp>912834QC Govt</stp>
        <stp>MTY_TYP</stp>
        <stp>[STRIPS.xlsx]Sheet1!R141C6</stp>
        <tr r="F141" s="1"/>
      </tp>
      <tp t="s">
        <v>NORMAL</v>
        <stp/>
        <stp>##V3_BDPV12</stp>
        <stp>912833QA Govt</stp>
        <stp>MTY_TYP</stp>
        <stp>[STRIPS.xlsx]Sheet1!R376C6</stp>
        <tr r="F376" s="1"/>
      </tp>
      <tp t="s">
        <v>NORMAL</v>
        <stp/>
        <stp>##V3_BDPV12</stp>
        <stp>912834QG Govt</stp>
        <stp>MTY_TYP</stp>
        <stp>[STRIPS.xlsx]Sheet1!R211C6</stp>
        <tr r="F211" s="1"/>
      </tp>
      <tp t="s">
        <v>NORMAL</v>
        <stp/>
        <stp>##V3_BDPV12</stp>
        <stp>912833QJ Govt</stp>
        <stp>MTY_TYP</stp>
        <stp>[STRIPS.xlsx]Sheet1!R686C6</stp>
        <tr r="F686" s="1"/>
      </tp>
      <tp t="s">
        <v>NORMAL</v>
        <stp/>
        <stp>##V3_BDPV12</stp>
        <stp>912834PF Govt</stp>
        <stp>MTY_TYP</stp>
        <stp>[STRIPS.xlsx]Sheet1!R411C6</stp>
        <tr r="F411" s="1"/>
      </tp>
      <tp t="s">
        <v>NORMAL</v>
        <stp/>
        <stp>##V3_BDPV12</stp>
        <stp>912833PH Govt</stp>
        <stp>MTY_TYP</stp>
        <stp>[STRIPS.xlsx]Sheet1!R336C6</stp>
        <tr r="F336" s="1"/>
      </tp>
      <tp t="s">
        <v>NORMAL</v>
        <stp/>
        <stp>##V3_BDPV12</stp>
        <stp>912833Z7 Govt</stp>
        <stp>MTY_TYP</stp>
        <stp>[STRIPS.xlsx]Sheet1!R696C6</stp>
        <tr r="F696" s="1"/>
      </tp>
      <tp t="s">
        <v>NORMAL</v>
        <stp/>
        <stp>##V3_BDPV12</stp>
        <stp>912833Z9 Govt</stp>
        <stp>MTY_TYP</stp>
        <stp>[STRIPS.xlsx]Sheet1!R526C6</stp>
        <tr r="F526" s="1"/>
      </tp>
      <tp t="s">
        <v>NORMAL</v>
        <stp/>
        <stp>##V3_BDPV12</stp>
        <stp>912833ZC Govt</stp>
        <stp>MTY_TYP</stp>
        <stp>[STRIPS.xlsx]Sheet1!R346C6</stp>
        <tr r="F346" s="1"/>
      </tp>
      <tp t="s">
        <v>NORMAL</v>
        <stp/>
        <stp>##V3_BDPV12</stp>
        <stp>912833YU Govt</stp>
        <stp>MTY_TYP</stp>
        <stp>[STRIPS.xlsx]Sheet1!R586C6</stp>
        <tr r="F586" s="1"/>
      </tp>
      <tp t="s">
        <v>NORMAL</v>
        <stp/>
        <stp>##V3_BDPV12</stp>
        <stp>912833YC Govt</stp>
        <stp>MTY_TYP</stp>
        <stp>[STRIPS.xlsx]Sheet1!R636C6</stp>
        <tr r="F636" s="1"/>
      </tp>
      <tp t="s">
        <v>#N/A Field Not Applicable</v>
        <stp/>
        <stp>##V3_BDPV12</stp>
        <stp>912833B9 Govt</stp>
        <stp>FIRST_CPN_DT</stp>
        <stp>[STRIPS.xlsx]Sheet1!R434C9</stp>
        <tr r="I434" s="1"/>
      </tp>
      <tp t="s">
        <v>#N/A Field Not Applicable</v>
        <stp/>
        <stp>##V3_BDPV12</stp>
        <stp>912833C5 Govt</stp>
        <stp>FIRST_CPN_DT</stp>
        <stp>[STRIPS.xlsx]Sheet1!R435C9</stp>
        <tr r="I435" s="1"/>
      </tp>
      <tp t="s">
        <v>#N/A Field Not Applicable</v>
        <stp/>
        <stp>##V3_BDPV12</stp>
        <stp>912833B4 Govt</stp>
        <stp>FIRST_CPN_DT</stp>
        <stp>[STRIPS.xlsx]Sheet1!R654C9</stp>
        <tr r="I654" s="1"/>
      </tp>
      <tp t="s">
        <v>#N/A Field Not Applicable</v>
        <stp/>
        <stp>##V3_BDPV12</stp>
        <stp>912834LY Govt</stp>
        <stp>FIRST_CPN_DT</stp>
        <stp>[STRIPS.xlsx]Sheet1!R539C9</stp>
        <tr r="I539" s="1"/>
      </tp>
      <tp t="s">
        <v>#N/A Field Not Applicable</v>
        <stp/>
        <stp>##V3_BDPV12</stp>
        <stp>912834MY Govt</stp>
        <stp>FIRST_CPN_DT</stp>
        <stp>[STRIPS.xlsx]Sheet1!R328C9</stp>
        <tr r="I328" s="1"/>
      </tp>
      <tp t="s">
        <v>#N/A Field Not Applicable</v>
        <stp/>
        <stp>##V3_BDPV12</stp>
        <stp>912834DX Govt</stp>
        <stp>FIRST_CPN_DT</stp>
        <stp>[STRIPS.xlsx]Sheet1!R391C9</stp>
        <tr r="I391" s="1"/>
      </tp>
      <tp t="s">
        <v>#N/A Field Not Applicable</v>
        <stp/>
        <stp>##V3_BDPV12</stp>
        <stp>912833MZ Govt</stp>
        <stp>FIRST_CPN_DT</stp>
        <stp>[STRIPS.xlsx]Sheet1!R628C9</stp>
        <tr r="I628" s="1"/>
      </tp>
      <tp t="s">
        <v>#N/A Field Not Applicable</v>
        <stp/>
        <stp>##V3_BDPV12</stp>
        <stp>912834MQ Govt</stp>
        <stp>FIRST_CPN_DT</stp>
        <stp>[STRIPS.xlsx]Sheet1!R418C9</stp>
        <tr r="I418" s="1"/>
      </tp>
      <tp t="s">
        <v>#N/A Field Not Applicable</v>
        <stp/>
        <stp>##V3_BDPV12</stp>
        <stp>912834LU Govt</stp>
        <stp>FIRST_CPN_DT</stp>
        <stp>[STRIPS.xlsx]Sheet1!R359C9</stp>
        <tr r="I359" s="1"/>
      </tp>
      <tp t="s">
        <v>#N/A Field Not Applicable</v>
        <stp/>
        <stp>##V3_BDPV12</stp>
        <stp>912833CM Govt</stp>
        <stp>FIRST_CPN_DT</stp>
        <stp>[STRIPS.xlsx]Sheet1!R656C9</stp>
        <tr r="I656" s="1"/>
      </tp>
      <tp t="s">
        <v>#N/A Field Not Applicable</v>
        <stp/>
        <stp>##V3_BDPV12</stp>
        <stp>912833ML Govt</stp>
        <stp>FIRST_CPN_DT</stp>
        <stp>[STRIPS.xlsx]Sheet1!R568C9</stp>
        <tr r="I568" s="1"/>
      </tp>
      <tp t="s">
        <v>#N/A Field Not Applicable</v>
        <stp/>
        <stp>##V3_BDPV12</stp>
        <stp>912833FL Govt</stp>
        <stp>FIRST_CPN_DT</stp>
        <stp>[STRIPS.xlsx]Sheet1!R663C9</stp>
        <tr r="I663" s="1"/>
      </tp>
      <tp t="s">
        <v>#N/A Field Not Applicable</v>
        <stp/>
        <stp>##V3_BDPV12</stp>
        <stp>912833CL Govt</stp>
        <stp>FIRST_CPN_DT</stp>
        <stp>[STRIPS.xlsx]Sheet1!R616C9</stp>
        <tr r="I616" s="1"/>
      </tp>
      <tp t="s">
        <v>#N/A Field Not Applicable</v>
        <stp/>
        <stp>##V3_BDPV12</stp>
        <stp>912834EN Govt</stp>
        <stp>FIRST_CPN_DT</stp>
        <stp>[STRIPS.xlsx]Sheet1!R310C9</stp>
        <tr r="I310" s="1"/>
      </tp>
      <tp t="s">
        <v>#N/A Field Not Applicable</v>
        <stp/>
        <stp>##V3_BDPV12</stp>
        <stp>912833LA Govt</stp>
        <stp>FIRST_CPN_DT</stp>
        <stp>[STRIPS.xlsx]Sheet1!R369C9</stp>
        <tr r="I369" s="1"/>
      </tp>
      <tp t="s">
        <v>#N/A Field Not Applicable</v>
        <stp/>
        <stp>##V3_BDPV12</stp>
        <stp>912833CC Govt</stp>
        <stp>FIRST_CPN_DT</stp>
        <stp>[STRIPS.xlsx]Sheet1!R436C9</stp>
        <tr r="I436" s="1"/>
      </tp>
      <tp t="s">
        <v>#N/A Field Not Applicable</v>
        <stp/>
        <stp>##V3_BDPV12</stp>
        <stp>912834AC Govt</stp>
        <stp>FIRST_CPN_DT</stp>
        <stp>[STRIPS.xlsx]Sheet1!R384C9</stp>
        <tr r="I384" s="1"/>
      </tp>
      <tp t="s">
        <v>USD</v>
        <stp/>
        <stp>##V3_BDPV12</stp>
        <stp>912834WG Govt</stp>
        <stp>CRNCY</stp>
        <stp>[STRIPS.xlsx]Sheet1!R772C7</stp>
        <tr r="G772" s="1"/>
      </tp>
      <tp t="s">
        <v>USD</v>
        <stp/>
        <stp>##V3_BDPV12</stp>
        <stp>912833LD Govt</stp>
        <stp>CRNCY</stp>
        <stp>[STRIPS.xlsx]Sheet1!R151C7</stp>
        <tr r="G151" s="1"/>
      </tp>
      <tp t="s">
        <v>USD</v>
        <stp/>
        <stp>##V3_BDPV12</stp>
        <stp>912833PM Govt</stp>
        <stp>CRNCY</stp>
        <stp>[STRIPS.xlsx]Sheet1!R238C7</stp>
        <tr r="G238" s="1"/>
      </tp>
      <tp t="s">
        <v>USD</v>
        <stp/>
        <stp>##V3_BDPV12</stp>
        <stp>912834BG Govt</stp>
        <stp>CRNCY</stp>
        <stp>[STRIPS.xlsx]Sheet1!R592C7</stp>
        <tr r="G592" s="1"/>
      </tp>
      <tp t="s">
        <v>USD</v>
        <stp/>
        <stp>##V3_BDPV12</stp>
        <stp>912834BE Govt</stp>
        <stp>CRNCY</stp>
        <stp>[STRIPS.xlsx]Sheet1!R530C7</stp>
        <tr r="G530" s="1"/>
      </tp>
      <tp t="s">
        <v>USD</v>
        <stp/>
        <stp>##V3_BDPV12</stp>
        <stp>9128337D Govt</stp>
        <stp>CRNCY</stp>
        <stp>[STRIPS.xlsx]Sheet1!R291C7</stp>
        <tr r="G291" s="1"/>
      </tp>
      <tp t="s">
        <v>USD</v>
        <stp/>
        <stp>##V3_BDPV12</stp>
        <stp>912833ZC Govt</stp>
        <stp>CRNCY</stp>
        <stp>[STRIPS.xlsx]Sheet1!R346C7</stp>
        <tr r="G346" s="1"/>
      </tp>
      <tp t="s">
        <v>USD</v>
        <stp/>
        <stp>##V3_BDPV12</stp>
        <stp>912833KB Govt</stp>
        <stp>CRNCY</stp>
        <stp>[STRIPS.xlsx]Sheet1!R367C7</stp>
        <tr r="G367" s="1"/>
      </tp>
      <tp t="s">
        <v>USD</v>
        <stp/>
        <stp>##V3_BDPV12</stp>
        <stp>912833RM Govt</stp>
        <stp>CRNCY</stp>
        <stp>[STRIPS.xlsx]Sheet1!R448C7</stp>
        <tr r="G448" s="1"/>
      </tp>
      <tp t="s">
        <v>USD</v>
        <stp/>
        <stp>##V3_BDPV12</stp>
        <stp>912833CC Govt</stp>
        <stp>CRNCY</stp>
        <stp>[STRIPS.xlsx]Sheet1!R436C7</stp>
        <tr r="G436" s="1"/>
      </tp>
      <tp t="s">
        <v>USD</v>
        <stp/>
        <stp>##V3_BDPV12</stp>
        <stp>912834TD Govt</stp>
        <stp>CRNCY</stp>
        <stp>[STRIPS.xlsx]Sheet1!R281C7</stp>
        <tr r="G281" s="1"/>
      </tp>
      <tp t="s">
        <v>USD</v>
        <stp/>
        <stp>##V3_BDPV12</stp>
        <stp>9128336M Govt</stp>
        <stp>CRNCY</stp>
        <stp>[STRIPS.xlsx]Sheet1!R558C7</stp>
        <tr r="G558" s="1"/>
      </tp>
      <tp t="s">
        <v>USD</v>
        <stp/>
        <stp>##V3_BDPV12</stp>
        <stp>912833YC Govt</stp>
        <stp>CRNCY</stp>
        <stp>[STRIPS.xlsx]Sheet1!R636C7</stp>
        <tr r="G636" s="1"/>
      </tp>
      <tp t="s">
        <v>USD</v>
        <stp/>
        <stp>##V3_BDPV12</stp>
        <stp>912834WM Govt</stp>
        <stp>CRNCY</stp>
        <stp>[STRIPS.xlsx]Sheet1!R188C7</stp>
        <tr r="G188" s="1"/>
      </tp>
      <tp t="s">
        <v>USD</v>
        <stp/>
        <stp>##V3_BDPV12</stp>
        <stp>912833YA Govt</stp>
        <stp>CRNCY</stp>
        <stp>[STRIPS.xlsx]Sheet1!R694C7</stp>
        <tr r="G694" s="1"/>
      </tp>
      <tp t="s">
        <v>USD</v>
        <stp/>
        <stp>##V3_BDPV12</stp>
        <stp>912833KE Govt</stp>
        <stp>CRNCY</stp>
        <stp>[STRIPS.xlsx]Sheet1!R670C7</stp>
        <tr r="G670" s="1"/>
      </tp>
      <tp t="s">
        <v>USD</v>
        <stp/>
        <stp>##V3_BDPV12</stp>
        <stp>9128332B Govt</stp>
        <stp>CRNCY</stp>
        <stp>[STRIPS.xlsx]Sheet1!R717C7</stp>
        <tr r="G717" s="1"/>
      </tp>
      <tp t="s">
        <v>USD</v>
        <stp/>
        <stp>##V3_BDPV12</stp>
        <stp>9128336B Govt</stp>
        <stp>CRNCY</stp>
        <stp>[STRIPS.xlsx]Sheet1!R727C7</stp>
        <tr r="G727" s="1"/>
      </tp>
      <tp t="s">
        <v>#N/A Field Not Applicable</v>
        <stp/>
        <stp>##V3_BDPV12</stp>
        <stp>912833CG Govt</stp>
        <stp>FIRST_CPN_DT</stp>
        <stp>[STRIPS.xlsx]Sheet1!R296C9</stp>
        <tr r="I296" s="1"/>
      </tp>
      <tp>
        <v>0</v>
        <stp/>
        <stp>##V3_BDPV12</stp>
        <stp>912833LW Govt</stp>
        <stp>CPN</stp>
        <stp>[STRIPS.xlsx]Sheet1!R2C3</stp>
        <tr r="C2" s="1"/>
      </tp>
      <tp t="s">
        <v>NORMAL</v>
        <stp/>
        <stp>##V3_BDPV12</stp>
        <stp>9128336V Govt</stp>
        <stp>MTY_TYP</stp>
        <stp>[STRIPS.xlsx]Sheet1!R715C6</stp>
        <tr r="F715" s="1"/>
      </tp>
      <tp t="s">
        <v>NORMAL</v>
        <stp/>
        <stp>##V3_BDPV12</stp>
        <stp>9128336H Govt</stp>
        <stp>MTY_TYP</stp>
        <stp>[STRIPS.xlsx]Sheet1!R495C6</stp>
        <tr r="F495" s="1"/>
      </tp>
      <tp t="s">
        <v>NORMAL</v>
        <stp/>
        <stp>##V3_BDPV12</stp>
        <stp>9128335W Govt</stp>
        <stp>MTY_TYP</stp>
        <stp>[STRIPS.xlsx]Sheet1!R725C6</stp>
        <tr r="F725" s="1"/>
      </tp>
      <tp t="s">
        <v>NORMAL</v>
        <stp/>
        <stp>##V3_BDPV12</stp>
        <stp>9128335R Govt</stp>
        <stp>MTY_TYP</stp>
        <stp>[STRIPS.xlsx]Sheet1!R555C6</stp>
        <tr r="F555" s="1"/>
      </tp>
      <tp t="s">
        <v>NORMAL</v>
        <stp/>
        <stp>##V3_BDPV12</stp>
        <stp>9128335E Govt</stp>
        <stp>MTY_TYP</stp>
        <stp>[STRIPS.xlsx]Sheet1!R745C6</stp>
        <tr r="F745" s="1"/>
      </tp>
      <tp t="s">
        <v>NORMAL</v>
        <stp/>
        <stp>##V3_BDPV12</stp>
        <stp>9128335D Govt</stp>
        <stp>MTY_TYP</stp>
        <stp>[STRIPS.xlsx]Sheet1!R285C6</stp>
        <tr r="F285" s="1"/>
      </tp>
      <tp t="s">
        <v>NORMAL</v>
        <stp/>
        <stp>##V3_BDPV12</stp>
        <stp>9128334J Govt</stp>
        <stp>MTY_TYP</stp>
        <stp>[STRIPS.xlsx]Sheet1!R605C6</stp>
        <tr r="F605" s="1"/>
      </tp>
      <tp t="s">
        <v>NORMAL</v>
        <stp/>
        <stp>##V3_BDPV12</stp>
        <stp>9128333W Govt</stp>
        <stp>MTY_TYP</stp>
        <stp>[STRIPS.xlsx]Sheet1!R485C6</stp>
        <tr r="F485" s="1"/>
      </tp>
      <tp t="s">
        <v>NORMAL</v>
        <stp/>
        <stp>##V3_BDPV12</stp>
        <stp>9128333R Govt</stp>
        <stp>MTY_TYP</stp>
        <stp>[STRIPS.xlsx]Sheet1!R705C6</stp>
        <tr r="F705" s="1"/>
      </tp>
      <tp t="s">
        <v>NORMAL</v>
        <stp/>
        <stp>##V3_BDPV12</stp>
        <stp>912833GD Govt</stp>
        <stp>MTY_TYP</stp>
        <stp>[STRIPS.xlsx]Sheet1!R365C6</stp>
        <tr r="F365" s="1"/>
      </tp>
      <tp t="s">
        <v>NORMAL</v>
        <stp/>
        <stp>##V3_BDPV12</stp>
        <stp>912833FY Govt</stp>
        <stp>MTY_TYP</stp>
        <stp>[STRIPS.xlsx]Sheet1!R665C6</stp>
        <tr r="F665" s="1"/>
      </tp>
      <tp t="s">
        <v>NORMAL</v>
        <stp/>
        <stp>##V3_BDPV12</stp>
        <stp>912834EW Govt</stp>
        <stp>MTY_TYP</stp>
        <stp>[STRIPS.xlsx]Sheet1!R312C6</stp>
        <tr r="F312" s="1"/>
      </tp>
      <tp t="s">
        <v>NORMAL</v>
        <stp/>
        <stp>##V3_BDPV12</stp>
        <stp>912834EE Govt</stp>
        <stp>MTY_TYP</stp>
        <stp>[STRIPS.xlsx]Sheet1!R532C6</stp>
        <tr r="F532" s="1"/>
      </tp>
      <tp t="s">
        <v>NORMAL</v>
        <stp/>
        <stp>##V3_BDPV12</stp>
        <stp>912834EL Govt</stp>
        <stp>MTY_TYP</stp>
        <stp>[STRIPS.xlsx]Sheet1!R462C6</stp>
        <tr r="F462" s="1"/>
      </tp>
      <tp t="s">
        <v>NORMAL</v>
        <stp/>
        <stp>##V3_BDPV12</stp>
        <stp>912834EK Govt</stp>
        <stp>MTY_TYP</stp>
        <stp>[STRIPS.xlsx]Sheet1!R392C6</stp>
        <tr r="F392" s="1"/>
      </tp>
      <tp t="s">
        <v>NORMAL</v>
        <stp/>
        <stp>##V3_BDPV12</stp>
        <stp>912833DE Govt</stp>
        <stp>MTY_TYP</stp>
        <stp>[STRIPS.xlsx]Sheet1!R505C6</stp>
        <tr r="F505" s="1"/>
      </tp>
      <tp t="s">
        <v>NORMAL</v>
        <stp/>
        <stp>##V3_BDPV12</stp>
        <stp>912833C5 Govt</stp>
        <stp>MTY_TYP</stp>
        <stp>[STRIPS.xlsx]Sheet1!R435C6</stp>
        <tr r="F435" s="1"/>
      </tp>
      <tp t="s">
        <v>NORMAL</v>
        <stp/>
        <stp>##V3_BDPV12</stp>
        <stp>912833CW Govt</stp>
        <stp>MTY_TYP</stp>
        <stp>[STRIPS.xlsx]Sheet1!R735C6</stp>
        <tr r="F735" s="1"/>
      </tp>
      <tp t="s">
        <v>NORMAL</v>
        <stp/>
        <stp>##V3_BDPV12</stp>
        <stp>912833CF Govt</stp>
        <stp>MTY_TYP</stp>
        <stp>[STRIPS.xlsx]Sheet1!R655C6</stp>
        <tr r="F655" s="1"/>
      </tp>
      <tp t="s">
        <v>NORMAL</v>
        <stp/>
        <stp>##V3_BDPV12</stp>
        <stp>912833CD Govt</stp>
        <stp>MTY_TYP</stp>
        <stp>[STRIPS.xlsx]Sheet1!R295C6</stp>
        <tr r="F295" s="1"/>
      </tp>
      <tp t="s">
        <v>NORMAL</v>
        <stp/>
        <stp>##V3_BDPV12</stp>
        <stp>912833CH Govt</stp>
        <stp>MTY_TYP</stp>
        <stp>[STRIPS.xlsx]Sheet1!R615C6</stp>
        <tr r="F615" s="1"/>
      </tp>
      <tp t="s">
        <v>NORMAL</v>
        <stp/>
        <stp>##V3_BDPV12</stp>
        <stp>912834BG Govt</stp>
        <stp>MTY_TYP</stp>
        <stp>[STRIPS.xlsx]Sheet1!R592C6</stp>
        <tr r="F592" s="1"/>
      </tp>
      <tp t="s">
        <v>NORMAL</v>
        <stp/>
        <stp>##V3_BDPV12</stp>
        <stp>912834BJ Govt</stp>
        <stp>MTY_TYP</stp>
        <stp>[STRIPS.xlsx]Sheet1!R352C6</stp>
        <tr r="F352" s="1"/>
      </tp>
      <tp t="s">
        <v>NORMAL</v>
        <stp/>
        <stp>##V3_BDPV12</stp>
        <stp>912834BL Govt</stp>
        <stp>MTY_TYP</stp>
        <stp>[STRIPS.xlsx]Sheet1!R262C6</stp>
        <tr r="F262" s="1"/>
      </tp>
      <tp t="s">
        <v>NORMAL</v>
        <stp/>
        <stp>##V3_BDPV12</stp>
        <stp>912834A2 Govt</stp>
        <stp>MTY_TYP</stp>
        <stp>[STRIPS.xlsx]Sheet1!R122C6</stp>
        <tr r="F122" s="1"/>
      </tp>
      <tp t="s">
        <v>NORMAL</v>
        <stp/>
        <stp>##V3_BDPV12</stp>
        <stp>912834AY Govt</stp>
        <stp>MTY_TYP</stp>
        <stp>[STRIPS.xlsx]Sheet1!R642C6</stp>
        <tr r="F642" s="1"/>
      </tp>
      <tp t="s">
        <v>10/15/2003</v>
        <stp/>
        <stp>##V3_BDPV12</stp>
        <stp>912833A2 Govt</stp>
        <stp>ISSUE_DT</stp>
        <stp>[STRIPS.xlsx]Sheet1!R608C15</stp>
        <tr r="O608" s="1"/>
      </tp>
      <tp t="s">
        <v>12/31/2003</v>
        <stp/>
        <stp>##V3_BDPV12</stp>
        <stp>912833C2 Govt</stp>
        <stp>ISSUE_DT</stp>
        <stp>[STRIPS.xlsx]Sheet1!R611C15</stp>
        <tr r="O611" s="1"/>
      </tp>
      <tp t="s">
        <v>NORMAL</v>
        <stp/>
        <stp>##V3_BDPV12</stp>
        <stp>912834NR Govt</stp>
        <stp>MTY_TYP</stp>
        <stp>[STRIPS.xlsx]Sheet1!R422C6</stp>
        <tr r="F422" s="1"/>
      </tp>
      <tp t="s">
        <v>NORMAL</v>
        <stp/>
        <stp>##V3_BDPV12</stp>
        <stp>912833NL Govt</stp>
        <stp>MTY_TYP</stp>
        <stp>[STRIPS.xlsx]Sheet1!R335C6</stp>
        <tr r="F335" s="1"/>
      </tp>
      <tp t="s">
        <v>NORMAL</v>
        <stp/>
        <stp>##V3_BDPV12</stp>
        <stp>912834MR Govt</stp>
        <stp>MTY_TYP</stp>
        <stp>[STRIPS.xlsx]Sheet1!R272C6</stp>
        <tr r="F272" s="1"/>
      </tp>
      <tp t="s">
        <v>NORMAL</v>
        <stp/>
        <stp>##V3_BDPV12</stp>
        <stp>912833MU Govt</stp>
        <stp>MTY_TYP</stp>
        <stp>[STRIPS.xlsx]Sheet1!R515C6</stp>
        <tr r="F515" s="1"/>
      </tp>
      <tp t="s">
        <v>NORMAL</v>
        <stp/>
        <stp>##V3_BDPV12</stp>
        <stp>912833MW Govt</stp>
        <stp>MTY_TYP</stp>
        <stp>[STRIPS.xlsx]Sheet1!R675C6</stp>
        <tr r="F675" s="1"/>
      </tp>
      <tp t="s">
        <v>NORMAL</v>
        <stp/>
        <stp>##V3_BDPV12</stp>
        <stp>912833MP Govt</stp>
        <stp>MTY_TYP</stp>
        <stp>[STRIPS.xlsx]Sheet1!R235C6</stp>
        <tr r="F235" s="1"/>
      </tp>
      <tp t="s">
        <v>NORMAL</v>
        <stp/>
        <stp>##V3_BDPV12</stp>
        <stp>912834MP Govt</stp>
        <stp>MTY_TYP</stp>
        <stp>[STRIPS.xlsx]Sheet1!R542C6</stp>
        <tr r="F542" s="1"/>
      </tp>
      <tp t="s">
        <v>NORMAL</v>
        <stp/>
        <stp>##V3_BDPV12</stp>
        <stp>912833MS Govt</stp>
        <stp>MTY_TYP</stp>
        <stp>[STRIPS.xlsx]Sheet1!R625C6</stp>
        <tr r="F625" s="1"/>
      </tp>
      <tp t="s">
        <v>NORMAL</v>
        <stp/>
        <stp>##V3_BDPV12</stp>
        <stp>912834MA Govt</stp>
        <stp>MTY_TYP</stp>
        <stp>[STRIPS.xlsx]Sheet1!R172C6</stp>
        <tr r="F172" s="1"/>
      </tp>
      <tp t="s">
        <v>NORMAL</v>
        <stp/>
        <stp>##V3_BDPV12</stp>
        <stp>912833MF Govt</stp>
        <stp>MTY_TYP</stp>
        <stp>[STRIPS.xlsx]Sheet1!R305C6</stp>
        <tr r="F305" s="1"/>
      </tp>
      <tp t="s">
        <v>NORMAL</v>
        <stp/>
        <stp>##V3_BDPV12</stp>
        <stp>912833MK Govt</stp>
        <stp>MTY_TYP</stp>
        <stp>[STRIPS.xlsx]Sheet1!R445C6</stp>
        <tr r="F445" s="1"/>
      </tp>
      <tp t="s">
        <v>12/15/2003</v>
        <stp/>
        <stp>##V3_BDPV12</stp>
        <stp>912833B2 Govt</stp>
        <stp>ISSUE_DT</stp>
        <stp>[STRIPS.xlsx]Sheet1!R561C15</stp>
        <tr r="O561" s="1"/>
      </tp>
      <tp t="s">
        <v>NORMAL</v>
        <stp/>
        <stp>##V3_BDPV12</stp>
        <stp>912834LV Govt</stp>
        <stp>MTY_TYP</stp>
        <stp>[STRIPS.xlsx]Sheet1!R232C6</stp>
        <tr r="F232" s="1"/>
      </tp>
      <tp t="s">
        <v>NORMAL</v>
        <stp/>
        <stp>##V3_BDPV12</stp>
        <stp>912834LA Govt</stp>
        <stp>MTY_TYP</stp>
        <stp>[STRIPS.xlsx]Sheet1!R402C6</stp>
        <tr r="F402" s="1"/>
      </tp>
      <tp t="s">
        <v>NORMAL</v>
        <stp/>
        <stp>##V3_BDPV12</stp>
        <stp>912834LH Govt</stp>
        <stp>MTY_TYP</stp>
        <stp>[STRIPS.xlsx]Sheet1!R322C6</stp>
        <tr r="F322" s="1"/>
      </tp>
      <tp t="s">
        <v>NORMAL</v>
        <stp/>
        <stp>##V3_BDPV12</stp>
        <stp>912834KY Govt</stp>
        <stp>MTY_TYP</stp>
        <stp>[STRIPS.xlsx]Sheet1!R472C6</stp>
        <tr r="F472" s="1"/>
      </tp>
      <tp t="s">
        <v>NORMAL</v>
        <stp/>
        <stp>##V3_BDPV12</stp>
        <stp>912833KH Govt</stp>
        <stp>MTY_TYP</stp>
        <stp>[STRIPS.xlsx]Sheet1!R565C6</stp>
        <tr r="F565" s="1"/>
      </tp>
      <tp t="s">
        <v>9/15/2021</v>
        <stp/>
        <stp>##V3_BDPV12</stp>
        <stp>912834A2 Govt</stp>
        <stp>ISSUE_DT</stp>
        <stp>[STRIPS.xlsx]Sheet1!R122C15</stp>
        <tr r="O122" s="1"/>
      </tp>
      <tp t="s">
        <v>NORMAL</v>
        <stp/>
        <stp>##V3_BDPV12</stp>
        <stp>912834WG Govt</stp>
        <stp>MTY_TYP</stp>
        <stp>[STRIPS.xlsx]Sheet1!R772C6</stp>
        <tr r="F772" s="1"/>
      </tp>
      <tp t="s">
        <v>NORMAL</v>
        <stp/>
        <stp>##V3_BDPV12</stp>
        <stp>912834VQ Govt</stp>
        <stp>MTY_TYP</stp>
        <stp>[STRIPS.xlsx]Sheet1!R222C6</stp>
        <tr r="F222" s="1"/>
      </tp>
      <tp t="s">
        <v>NORMAL</v>
        <stp/>
        <stp>##V3_BDPV12</stp>
        <stp>912834US Govt</stp>
        <stp>MTY_TYP</stp>
        <stp>[STRIPS.xlsx]Sheet1!R762C6</stp>
        <tr r="F762" s="1"/>
      </tp>
      <tp t="s">
        <v>NORMAL</v>
        <stp/>
        <stp>##V3_BDPV12</stp>
        <stp>912834UX Govt</stp>
        <stp>MTY_TYP</stp>
        <stp>[STRIPS.xlsx]Sheet1!R182C6</stp>
        <tr r="F182" s="1"/>
      </tp>
      <tp t="s">
        <v>NORMAL</v>
        <stp/>
        <stp>##V3_BDPV12</stp>
        <stp>912834TU Govt</stp>
        <stp>MTY_TYP</stp>
        <stp>[STRIPS.xlsx]Sheet1!R752C6</stp>
        <tr r="F752" s="1"/>
      </tp>
      <tp t="s">
        <v>NORMAL</v>
        <stp/>
        <stp>##V3_BDPV12</stp>
        <stp>912834TM Govt</stp>
        <stp>MTY_TYP</stp>
        <stp>[STRIPS.xlsx]Sheet1!R282C6</stp>
        <tr r="F282" s="1"/>
      </tp>
      <tp t="s">
        <v>NORMAL</v>
        <stp/>
        <stp>##V3_BDPV12</stp>
        <stp>912834RV Govt</stp>
        <stp>MTY_TYP</stp>
        <stp>[STRIPS.xlsx]Sheet1!R482C6</stp>
        <tr r="F482" s="1"/>
      </tp>
      <tp t="s">
        <v>NORMAL</v>
        <stp/>
        <stp>##V3_BDPV12</stp>
        <stp>912833RU Govt</stp>
        <stp>MTY_TYP</stp>
        <stp>[STRIPS.xlsx]Sheet1!R635C6</stp>
        <tr r="F635" s="1"/>
      </tp>
      <tp t="s">
        <v>NORMAL</v>
        <stp/>
        <stp>##V3_BDPV12</stp>
        <stp>912833RS Govt</stp>
        <stp>MTY_TYP</stp>
        <stp>[STRIPS.xlsx]Sheet1!R525C6</stp>
        <tr r="F525" s="1"/>
      </tp>
      <tp t="s">
        <v>NORMAL</v>
        <stp/>
        <stp>##V3_BDPV12</stp>
        <stp>912834RB Govt</stp>
        <stp>MTY_TYP</stp>
        <stp>[STRIPS.xlsx]Sheet1!R112C6</stp>
        <tr r="F112" s="1"/>
      </tp>
      <tp t="s">
        <v>NORMAL</v>
        <stp/>
        <stp>##V3_BDPV12</stp>
        <stp>912833RJ Govt</stp>
        <stp>MTY_TYP</stp>
        <stp>[STRIPS.xlsx]Sheet1!R245C6</stp>
        <tr r="F245" s="1"/>
      </tp>
      <tp t="s">
        <v>NORMAL</v>
        <stp/>
        <stp>##V3_BDPV12</stp>
        <stp>912833QG Govt</stp>
        <stp>MTY_TYP</stp>
        <stp>[STRIPS.xlsx]Sheet1!R685C6</stp>
        <tr r="F685" s="1"/>
      </tp>
      <tp t="s">
        <v>NORMAL</v>
        <stp/>
        <stp>##V3_BDPV12</stp>
        <stp>912834QL Govt</stp>
        <stp>MTY_TYP</stp>
        <stp>[STRIPS.xlsx]Sheet1!R142C6</stp>
        <tr r="F142" s="1"/>
      </tp>
      <tp t="s">
        <v>NORMAL</v>
        <stp/>
        <stp>##V3_BDPV12</stp>
        <stp>912833PR Govt</stp>
        <stp>MTY_TYP</stp>
        <stp>[STRIPS.xlsx]Sheet1!R375C6</stp>
        <tr r="F375" s="1"/>
      </tp>
      <tp t="s">
        <v>NORMAL</v>
        <stp/>
        <stp>##V3_BDPV12</stp>
        <stp>912833PT Govt</stp>
        <stp>MTY_TYP</stp>
        <stp>[STRIPS.xlsx]Sheet1!R575C6</stp>
        <tr r="F575" s="1"/>
      </tp>
      <tp t="s">
        <v>NORMAL</v>
        <stp/>
        <stp>##V3_BDPV12</stp>
        <stp>912834PU Govt</stp>
        <stp>MTY_TYP</stp>
        <stp>[STRIPS.xlsx]Sheet1!R212C6</stp>
        <tr r="F212" s="1"/>
      </tp>
      <tp t="s">
        <v>NORMAL</v>
        <stp/>
        <stp>##V3_BDPV12</stp>
        <stp>912834PY Govt</stp>
        <stp>MTY_TYP</stp>
        <stp>[STRIPS.xlsx]Sheet1!R202C6</stp>
        <tr r="F202" s="1"/>
      </tp>
      <tp t="s">
        <v>NORMAL</v>
        <stp/>
        <stp>##V3_BDPV12</stp>
        <stp>912834PX Govt</stp>
        <stp>MTY_TYP</stp>
        <stp>[STRIPS.xlsx]Sheet1!R412C6</stp>
        <tr r="F412" s="1"/>
      </tp>
      <tp t="s">
        <v>NORMAL</v>
        <stp/>
        <stp>##V3_BDPV12</stp>
        <stp>912834PE Govt</stp>
        <stp>MTY_TYP</stp>
        <stp>[STRIPS.xlsx]Sheet1!R132C6</stp>
        <tr r="F132" s="1"/>
      </tp>
      <tp t="s">
        <v>NORMAL</v>
        <stp/>
        <stp>##V3_BDPV12</stp>
        <stp>912833ZS Govt</stp>
        <stp>MTY_TYP</stp>
        <stp>[STRIPS.xlsx]Sheet1!R455C6</stp>
        <tr r="F455" s="1"/>
      </tp>
      <tp t="s">
        <v>NORMAL</v>
        <stp/>
        <stp>##V3_BDPV12</stp>
        <stp>912833ZY Govt</stp>
        <stp>MTY_TYP</stp>
        <stp>[STRIPS.xlsx]Sheet1!R255C6</stp>
        <tr r="F255" s="1"/>
      </tp>
      <tp t="s">
        <v>NORMAL</v>
        <stp/>
        <stp>##V3_BDPV12</stp>
        <stp>912833YR Govt</stp>
        <stp>MTY_TYP</stp>
        <stp>[STRIPS.xlsx]Sheet1!R345C6</stp>
        <tr r="F345" s="1"/>
      </tp>
      <tp t="s">
        <v>NORMAL</v>
        <stp/>
        <stp>##V3_BDPV12</stp>
        <stp>912833YS Govt</stp>
        <stp>MTY_TYP</stp>
        <stp>[STRIPS.xlsx]Sheet1!R585C6</stp>
        <tr r="F585" s="1"/>
      </tp>
      <tp t="s">
        <v>NORMAL</v>
        <stp/>
        <stp>##V3_BDPV12</stp>
        <stp>912833YZ Govt</stp>
        <stp>MTY_TYP</stp>
        <stp>[STRIPS.xlsx]Sheet1!R695C6</stp>
        <tr r="F695" s="1"/>
      </tp>
      <tp t="s">
        <v>USD</v>
        <stp/>
        <stp>##V3_BDPV12</stp>
        <stp>912833LZ Govt</stp>
        <stp>CRNCY</stp>
        <stp>[STRIPS.xlsx]Sheet1!R9C7</stp>
        <tr r="G9" s="1"/>
      </tp>
      <tp t="s">
        <v>#N/A Field Not Applicable</v>
        <stp/>
        <stp>##V3_BDPV12</stp>
        <stp>912833MY Govt</stp>
        <stp>FIRST_CPN_DT</stp>
        <stp>[STRIPS.xlsx]Sheet1!R569C9</stp>
        <tr r="I569" s="1"/>
      </tp>
      <tp t="s">
        <v>#N/A Field Not Applicable</v>
        <stp/>
        <stp>##V3_BDPV12</stp>
        <stp>912833FX Govt</stp>
        <stp>FIRST_CPN_DT</stp>
        <stp>[STRIPS.xlsx]Sheet1!R622C9</stp>
        <tr r="I622" s="1"/>
      </tp>
      <tp t="s">
        <v>#N/A Field Not Applicable</v>
        <stp/>
        <stp>##V3_BDPV12</stp>
        <stp>912834DZ Govt</stp>
        <stp>FIRST_CPN_DT</stp>
        <stp>[STRIPS.xlsx]Sheet1!R460C9</stp>
        <tr r="I460" s="1"/>
      </tp>
      <tp t="s">
        <v>#N/A Field Not Applicable</v>
        <stp/>
        <stp>##V3_BDPV12</stp>
        <stp>912834EQ Govt</stp>
        <stp>FIRST_CPN_DT</stp>
        <stp>[STRIPS.xlsx]Sheet1!R311C9</stp>
        <tr r="I311" s="1"/>
      </tp>
      <tp t="s">
        <v>#N/A Field Not Applicable</v>
        <stp/>
        <stp>##V3_BDPV12</stp>
        <stp>912833CR Govt</stp>
        <stp>FIRST_CPN_DT</stp>
        <stp>[STRIPS.xlsx]Sheet1!R617C9</stp>
        <tr r="I617" s="1"/>
      </tp>
      <tp t="s">
        <v>#N/A Field Not Applicable</v>
        <stp/>
        <stp>##V3_BDPV12</stp>
        <stp>912834MU Govt</stp>
        <stp>FIRST_CPN_DT</stp>
        <stp>[STRIPS.xlsx]Sheet1!R419C9</stp>
        <tr r="I419" s="1"/>
      </tp>
      <tp t="s">
        <v>#N/A Field Not Applicable</v>
        <stp/>
        <stp>##V3_BDPV12</stp>
        <stp>912834AU Govt</stp>
        <stp>FIRST_CPN_DT</stp>
        <stp>[STRIPS.xlsx]Sheet1!R125C9</stp>
        <tr r="I125" s="1"/>
      </tp>
      <tp t="s">
        <v>#N/A Field Not Applicable</v>
        <stp/>
        <stp>##V3_BDPV12</stp>
        <stp>912833CT Govt</stp>
        <stp>FIRST_CPN_DT</stp>
        <stp>[STRIPS.xlsx]Sheet1!R657C9</stp>
        <tr r="I657" s="1"/>
      </tp>
      <tp t="s">
        <v>#N/A Field Not Applicable</v>
        <stp/>
        <stp>##V3_BDPV12</stp>
        <stp>912834LT Govt</stp>
        <stp>FIRST_CPN_DT</stp>
        <stp>[STRIPS.xlsx]Sheet1!R358C9</stp>
        <tr r="I358" s="1"/>
      </tp>
      <tp t="s">
        <v>#N/A Field Not Applicable</v>
        <stp/>
        <stp>##V3_BDPV12</stp>
        <stp>912834DW Govt</stp>
        <stp>FIRST_CPN_DT</stp>
        <stp>[STRIPS.xlsx]Sheet1!R390C9</stp>
        <tr r="I390" s="1"/>
      </tp>
      <tp t="s">
        <v>#N/A Field Not Applicable</v>
        <stp/>
        <stp>##V3_BDPV12</stp>
        <stp>912834EV Govt</stp>
        <stp>FIRST_CPN_DT</stp>
        <stp>[STRIPS.xlsx]Sheet1!R101C9</stp>
        <tr r="I101" s="1"/>
      </tp>
      <tp t="s">
        <v>#N/A Field Not Applicable</v>
        <stp/>
        <stp>##V3_BDPV12</stp>
        <stp>912834AH Govt</stp>
        <stp>FIRST_CPN_DT</stp>
        <stp>[STRIPS.xlsx]Sheet1!R385C9</stp>
        <tr r="I385" s="1"/>
      </tp>
      <tp t="s">
        <v>#N/A Field Not Applicable</v>
        <stp/>
        <stp>##V3_BDPV12</stp>
        <stp>912833FK Govt</stp>
        <stp>FIRST_CPN_DT</stp>
        <stp>[STRIPS.xlsx]Sheet1!R662C9</stp>
        <tr r="I662" s="1"/>
      </tp>
      <tp t="s">
        <v>#N/A Field Not Applicable</v>
        <stp/>
        <stp>##V3_BDPV12</stp>
        <stp>912833CJ Govt</stp>
        <stp>FIRST_CPN_DT</stp>
        <stp>[STRIPS.xlsx]Sheet1!R297C9</stp>
        <tr r="I297" s="1"/>
      </tp>
      <tp t="s">
        <v>#N/A Field Not Applicable</v>
        <stp/>
        <stp>##V3_BDPV12</stp>
        <stp>912834EC Govt</stp>
        <stp>FIRST_CPN_DT</stp>
        <stp>[STRIPS.xlsx]Sheet1!R461C9</stp>
        <tr r="I461" s="1"/>
      </tp>
      <tp t="s">
        <v>#N/A Field Not Applicable</v>
        <stp/>
        <stp>##V3_BDPV12</stp>
        <stp>912833CE Govt</stp>
        <stp>FIRST_CPN_DT</stp>
        <stp>[STRIPS.xlsx]Sheet1!R437C9</stp>
        <tr r="I437" s="1"/>
      </tp>
      <tp t="s">
        <v>USD</v>
        <stp/>
        <stp>##V3_BDPV12</stp>
        <stp>912834WL Govt</stp>
        <stp>CRNCY</stp>
        <stp>[STRIPS.xlsx]Sheet1!R768C7</stp>
        <tr r="G768" s="1"/>
      </tp>
      <tp t="s">
        <v>USD</v>
        <stp/>
        <stp>##V3_BDPV12</stp>
        <stp>912833ZG Govt</stp>
        <stp>CRNCY</stp>
        <stp>[STRIPS.xlsx]Sheet1!R253C7</stp>
        <tr r="G253" s="1"/>
      </tp>
      <tp t="s">
        <v>USD</v>
        <stp/>
        <stp>##V3_BDPV12</stp>
        <stp>912834QD Govt</stp>
        <stp>CRNCY</stp>
        <stp>[STRIPS.xlsx]Sheet1!R550C7</stp>
        <tr r="G550" s="1"/>
      </tp>
      <tp t="s">
        <v>USD</v>
        <stp/>
        <stp>##V3_BDPV12</stp>
        <stp>912833QE Govt</stp>
        <stp>CRNCY</stp>
        <stp>[STRIPS.xlsx]Sheet1!R241C7</stp>
        <tr r="G241" s="1"/>
      </tp>
      <tp t="s">
        <v>USD</v>
        <stp/>
        <stp>##V3_BDPV12</stp>
        <stp>912834JL Govt</stp>
        <stp>CRNCY</stp>
        <stp>[STRIPS.xlsx]Sheet1!R538C7</stp>
        <tr r="G538" s="1"/>
      </tp>
      <tp t="s">
        <v>USD</v>
        <stp/>
        <stp>##V3_BDPV12</stp>
        <stp>912834EG Govt</stp>
        <stp>CRNCY</stp>
        <stp>[STRIPS.xlsx]Sheet1!R533C7</stp>
        <tr r="G533" s="1"/>
      </tp>
      <tp t="s">
        <v>USD</v>
        <stp/>
        <stp>##V3_BDPV12</stp>
        <stp>912833RD Govt</stp>
        <stp>CRNCY</stp>
        <stp>[STRIPS.xlsx]Sheet1!R380C7</stp>
        <tr r="G380" s="1"/>
      </tp>
      <tp t="s">
        <v>USD</v>
        <stp/>
        <stp>##V3_BDPV12</stp>
        <stp>912833KD Govt</stp>
        <stp>CRNCY</stp>
        <stp>[STRIPS.xlsx]Sheet1!R300C7</stp>
        <tr r="G300" s="1"/>
      </tp>
      <tp t="s">
        <v>USD</v>
        <stp/>
        <stp>##V3_BDPV12</stp>
        <stp>912834NC Govt</stp>
        <stp>CRNCY</stp>
        <stp>[STRIPS.xlsx]Sheet1!R407C7</stp>
        <tr r="G407" s="1"/>
      </tp>
      <tp t="s">
        <v>USD</v>
        <stp/>
        <stp>##V3_BDPV12</stp>
        <stp>912834NL Govt</stp>
        <stp>CRNCY</stp>
        <stp>[STRIPS.xlsx]Sheet1!R408C7</stp>
        <tr r="G408" s="1"/>
      </tp>
      <tp t="s">
        <v>USD</v>
        <stp/>
        <stp>##V3_BDPV12</stp>
        <stp>912834NM Govt</stp>
        <stp>CRNCY</stp>
        <stp>[STRIPS.xlsx]Sheet1!R409C7</stp>
        <tr r="G409" s="1"/>
      </tp>
      <tp t="s">
        <v>USD</v>
        <stp/>
        <stp>##V3_BDPV12</stp>
        <stp>912834KL Govt</stp>
        <stp>CRNCY</stp>
        <stp>[STRIPS.xlsx]Sheet1!R468C7</stp>
        <tr r="G468" s="1"/>
      </tp>
      <tp t="s">
        <v>USD</v>
        <stp/>
        <stp>##V3_BDPV12</stp>
        <stp>912834FA Govt</stp>
        <stp>CRNCY</stp>
        <stp>[STRIPS.xlsx]Sheet1!R395C7</stp>
        <tr r="G395" s="1"/>
      </tp>
      <tp t="s">
        <v>USD</v>
        <stp/>
        <stp>##V3_BDPV12</stp>
        <stp>912834KM Govt</stp>
        <stp>CRNCY</stp>
        <stp>[STRIPS.xlsx]Sheet1!R399C7</stp>
        <tr r="G399" s="1"/>
      </tp>
      <tp t="s">
        <v>USD</v>
        <stp/>
        <stp>##V3_BDPV12</stp>
        <stp>912833GE Govt</stp>
        <stp>CRNCY</stp>
        <stp>[STRIPS.xlsx]Sheet1!R441C7</stp>
        <tr r="G441" s="1"/>
      </tp>
      <tp t="s">
        <v>USD</v>
        <stp/>
        <stp>##V3_BDPV12</stp>
        <stp>912833RF Govt</stp>
        <stp>CRNCY</stp>
        <stp>[STRIPS.xlsx]Sheet1!R522C7</stp>
        <tr r="G522" s="1"/>
      </tp>
      <tp t="s">
        <v>USD</v>
        <stp/>
        <stp>##V3_BDPV12</stp>
        <stp>912833ML Govt</stp>
        <stp>CRNCY</stp>
        <stp>[STRIPS.xlsx]Sheet1!R568C7</stp>
        <tr r="G568" s="1"/>
      </tp>
      <tp t="s">
        <v>USD</v>
        <stp/>
        <stp>##V3_BDPV12</stp>
        <stp>912834JC Govt</stp>
        <stp>CRNCY</stp>
        <stp>[STRIPS.xlsx]Sheet1!R227C7</stp>
        <tr r="G227" s="1"/>
      </tp>
      <tp t="s">
        <v>USD</v>
        <stp/>
        <stp>##V3_BDPV12</stp>
        <stp>912833NE Govt</stp>
        <stp>CRNCY</stp>
        <stp>[STRIPS.xlsx]Sheet1!R571C7</stp>
        <tr r="G571" s="1"/>
      </tp>
      <tp t="s">
        <v>USD</v>
        <stp/>
        <stp>##V3_BDPV12</stp>
        <stp>912834AB Govt</stp>
        <stp>CRNCY</stp>
        <stp>[STRIPS.xlsx]Sheet1!R256C7</stp>
        <tr r="G256" s="1"/>
      </tp>
      <tp t="s">
        <v>USD</v>
        <stp/>
        <stp>##V3_BDPV12</stp>
        <stp>912834AL Govt</stp>
        <stp>CRNCY</stp>
        <stp>[STRIPS.xlsx]Sheet1!R258C7</stp>
        <tr r="G258" s="1"/>
      </tp>
      <tp t="s">
        <v>USD</v>
        <stp/>
        <stp>##V3_BDPV12</stp>
        <stp>9128333M Govt</stp>
        <stp>CRNCY</stp>
        <stp>[STRIPS.xlsx]Sheet1!R599C7</stp>
        <tr r="G599" s="1"/>
      </tp>
      <tp t="s">
        <v>USD</v>
        <stp/>
        <stp>##V3_BDPV12</stp>
        <stp>9128337M Govt</stp>
        <stp>CRNCY</stp>
        <stp>[STRIPS.xlsx]Sheet1!R559C7</stp>
        <tr r="G559" s="1"/>
      </tp>
      <tp t="s">
        <v>USD</v>
        <stp/>
        <stp>##V3_BDPV12</stp>
        <stp>912833RE Govt</stp>
        <stp>CRNCY</stp>
        <stp>[STRIPS.xlsx]Sheet1!R691C7</stp>
        <tr r="G691" s="1"/>
      </tp>
      <tp t="s">
        <v>USD</v>
        <stp/>
        <stp>##V3_BDPV12</stp>
        <stp>912834RL Govt</stp>
        <stp>CRNCY</stp>
        <stp>[STRIPS.xlsx]Sheet1!R198C7</stp>
        <tr r="G198" s="1"/>
      </tp>
      <tp t="s">
        <v>USD</v>
        <stp/>
        <stp>##V3_BDPV12</stp>
        <stp>912834PL Govt</stp>
        <stp>CRNCY</stp>
        <stp>[STRIPS.xlsx]Sheet1!R128C7</stp>
        <tr r="G128" s="1"/>
      </tp>
      <tp t="s">
        <v>USD</v>
        <stp/>
        <stp>##V3_BDPV12</stp>
        <stp>912833ZM Govt</stp>
        <stp>CRNCY</stp>
        <stp>[STRIPS.xlsx]Sheet1!R699C7</stp>
        <tr r="G699" s="1"/>
      </tp>
      <tp t="s">
        <v>USD</v>
        <stp/>
        <stp>##V3_BDPV12</stp>
        <stp>912834VL Govt</stp>
        <stp>CRNCY</stp>
        <stp>[STRIPS.xlsx]Sheet1!R138C7</stp>
        <tr r="G138" s="1"/>
      </tp>
      <tp t="s">
        <v>USD</v>
        <stp/>
        <stp>##V3_BDPV12</stp>
        <stp>912834KA Govt</stp>
        <stp>CRNCY</stp>
        <stp>[STRIPS.xlsx]Sheet1!R165C7</stp>
        <tr r="G165" s="1"/>
      </tp>
      <tp t="s">
        <v>USD</v>
        <stp/>
        <stp>##V3_BDPV12</stp>
        <stp>912833GB Govt</stp>
        <stp>CRNCY</stp>
        <stp>[STRIPS.xlsx]Sheet1!R666C7</stp>
        <tr r="G666" s="1"/>
      </tp>
      <tp t="s">
        <v>USD</v>
        <stp/>
        <stp>##V3_BDPV12</stp>
        <stp>912833FM Govt</stp>
        <stp>CRNCY</stp>
        <stp>[STRIPS.xlsx]Sheet1!R619C7</stp>
        <tr r="G619" s="1"/>
      </tp>
      <tp t="s">
        <v>USD</v>
        <stp/>
        <stp>##V3_BDPV12</stp>
        <stp>9128332F Govt</stp>
        <stp>CRNCY</stp>
        <stp>[STRIPS.xlsx]Sheet1!R702C7</stp>
        <tr r="G702" s="1"/>
      </tp>
      <tp t="s">
        <v>USD</v>
        <stp/>
        <stp>##V3_BDPV12</stp>
        <stp>9128332G Govt</stp>
        <stp>CRNCY</stp>
        <stp>[STRIPS.xlsx]Sheet1!R703C7</stp>
        <tr r="G703" s="1"/>
      </tp>
      <tp t="s">
        <v>USD</v>
        <stp/>
        <stp>##V3_BDPV12</stp>
        <stp>9128334C Govt</stp>
        <stp>CRNCY</stp>
        <stp>[STRIPS.xlsx]Sheet1!R707C7</stp>
        <tr r="G707" s="1"/>
      </tp>
      <tp t="s">
        <v>#N/A Field Not Applicable</v>
        <stp/>
        <stp>##V3_BDPV12</stp>
        <stp>912833DF Govt</stp>
        <stp>FIRST_CPN_DT</stp>
        <stp>[STRIPS.xlsx]Sheet1!R660C9</stp>
        <tr r="I660" s="1"/>
      </tp>
      <tp t="s">
        <v>NORMAL</v>
        <stp/>
        <stp>##V3_BDPV12</stp>
        <stp>9128337R Govt</stp>
        <stp>MTY_TYP</stp>
        <stp>[STRIPS.xlsx]Sheet1!R114C6</stp>
        <tr r="F114" s="1"/>
      </tp>
      <tp t="s">
        <v>NORMAL</v>
        <stp/>
        <stp>##V3_BDPV12</stp>
        <stp>9128336T Govt</stp>
        <stp>MTY_TYP</stp>
        <stp>[STRIPS.xlsx]Sheet1!R714C6</stp>
        <tr r="F714" s="1"/>
      </tp>
      <tp t="s">
        <v>NORMAL</v>
        <stp/>
        <stp>##V3_BDPV12</stp>
        <stp>9128336G Govt</stp>
        <stp>MTY_TYP</stp>
        <stp>[STRIPS.xlsx]Sheet1!R494C6</stp>
        <tr r="F494" s="1"/>
      </tp>
      <tp t="s">
        <v>NORMAL</v>
        <stp/>
        <stp>##V3_BDPV12</stp>
        <stp>9128335V Govt</stp>
        <stp>MTY_TYP</stp>
        <stp>[STRIPS.xlsx]Sheet1!R724C6</stp>
        <tr r="F724" s="1"/>
      </tp>
      <tp t="s">
        <v>NORMAL</v>
        <stp/>
        <stp>##V3_BDPV12</stp>
        <stp>9128334R Govt</stp>
        <stp>MTY_TYP</stp>
        <stp>[STRIPS.xlsx]Sheet1!R554C6</stp>
        <tr r="F554" s="1"/>
      </tp>
      <tp t="s">
        <v>NORMAL</v>
        <stp/>
        <stp>##V3_BDPV12</stp>
        <stp>9128334F Govt</stp>
        <stp>MTY_TYP</stp>
        <stp>[STRIPS.xlsx]Sheet1!R604C6</stp>
        <tr r="F604" s="1"/>
      </tp>
      <tp t="s">
        <v>NORMAL</v>
        <stp/>
        <stp>##V3_BDPV12</stp>
        <stp>9128334N Govt</stp>
        <stp>MTY_TYP</stp>
        <stp>[STRIPS.xlsx]Sheet1!R744C6</stp>
        <tr r="F744" s="1"/>
      </tp>
      <tp t="s">
        <v>NORMAL</v>
        <stp/>
        <stp>##V3_BDPV12</stp>
        <stp>9128334L Govt</stp>
        <stp>MTY_TYP</stp>
        <stp>[STRIPS.xlsx]Sheet1!R284C6</stp>
        <tr r="F284" s="1"/>
      </tp>
      <tp>
        <v>0.80300000000002036</v>
        <stp/>
        <stp>##V3_BDPV12</stp>
        <stp>912833LW Govt</stp>
        <stp>YLD_YTM_BID</stp>
        <stp>[STRIPS.xlsx]Sheet1!R2C4</stp>
        <tr r="D2" s="1"/>
      </tp>
      <tp t="s">
        <v>NORMAL</v>
        <stp/>
        <stp>##V3_BDPV12</stp>
        <stp>9128333V Govt</stp>
        <stp>MTY_TYP</stp>
        <stp>[STRIPS.xlsx]Sheet1!R484C6</stp>
        <tr r="F484" s="1"/>
      </tp>
      <tp t="s">
        <v>NORMAL</v>
        <stp/>
        <stp>##V3_BDPV12</stp>
        <stp>9128333P Govt</stp>
        <stp>MTY_TYP</stp>
        <stp>[STRIPS.xlsx]Sheet1!R704C6</stp>
        <tr r="F704" s="1"/>
      </tp>
      <tp t="s">
        <v>NORMAL</v>
        <stp/>
        <stp>##V3_BDPV12</stp>
        <stp>912833FR Govt</stp>
        <stp>MTY_TYP</stp>
        <stp>[STRIPS.xlsx]Sheet1!R364C6</stp>
        <tr r="F364" s="1"/>
      </tp>
      <tp t="s">
        <v>NORMAL</v>
        <stp/>
        <stp>##V3_BDPV12</stp>
        <stp>912833FP Govt</stp>
        <stp>MTY_TYP</stp>
        <stp>[STRIPS.xlsx]Sheet1!R664C6</stp>
        <tr r="F664" s="1"/>
      </tp>
      <tp t="s">
        <v>NORMAL</v>
        <stp/>
        <stp>##V3_BDPV12</stp>
        <stp>912834ET Govt</stp>
        <stp>MTY_TYP</stp>
        <stp>[STRIPS.xlsx]Sheet1!R393C6</stp>
        <tr r="F393" s="1"/>
      </tp>
      <tp t="s">
        <v>NORMAL</v>
        <stp/>
        <stp>##V3_BDPV12</stp>
        <stp>912834EY Govt</stp>
        <stp>MTY_TYP</stp>
        <stp>[STRIPS.xlsx]Sheet1!R313C6</stp>
        <tr r="F313" s="1"/>
      </tp>
      <tp t="s">
        <v>NORMAL</v>
        <stp/>
        <stp>##V3_BDPV12</stp>
        <stp>912834EG Govt</stp>
        <stp>MTY_TYP</stp>
        <stp>[STRIPS.xlsx]Sheet1!R533C6</stp>
        <tr r="F533" s="1"/>
      </tp>
      <tp t="s">
        <v>NORMAL</v>
        <stp/>
        <stp>##V3_BDPV12</stp>
        <stp>912834EA Govt</stp>
        <stp>MTY_TYP</stp>
        <stp>[STRIPS.xlsx]Sheet1!R593C6</stp>
        <tr r="F593" s="1"/>
      </tp>
      <tp t="s">
        <v>NORMAL</v>
        <stp/>
        <stp>##V3_BDPV12</stp>
        <stp>912834EM Govt</stp>
        <stp>MTY_TYP</stp>
        <stp>[STRIPS.xlsx]Sheet1!R463C6</stp>
        <tr r="F463" s="1"/>
      </tp>
      <tp t="s">
        <v>NORMAL</v>
        <stp/>
        <stp>##V3_BDPV12</stp>
        <stp>912833DC Govt</stp>
        <stp>MTY_TYP</stp>
        <stp>[STRIPS.xlsx]Sheet1!R504C6</stp>
        <tr r="F504" s="1"/>
      </tp>
      <tp t="s">
        <v>NORMAL</v>
        <stp/>
        <stp>##V3_BDPV12</stp>
        <stp>912833C7 Govt</stp>
        <stp>MTY_TYP</stp>
        <stp>[STRIPS.xlsx]Sheet1!R294C6</stp>
        <tr r="F294" s="1"/>
      </tp>
      <tp t="s">
        <v>NORMAL</v>
        <stp/>
        <stp>##V3_BDPV12</stp>
        <stp>912833CP Govt</stp>
        <stp>MTY_TYP</stp>
        <stp>[STRIPS.xlsx]Sheet1!R564C6</stp>
        <tr r="F564" s="1"/>
      </tp>
      <tp t="s">
        <v>NORMAL</v>
        <stp/>
        <stp>##V3_BDPV12</stp>
        <stp>912833CB Govt</stp>
        <stp>MTY_TYP</stp>
        <stp>[STRIPS.xlsx]Sheet1!R614C6</stp>
        <tr r="F614" s="1"/>
      </tp>
      <tp t="s">
        <v>NORMAL</v>
        <stp/>
        <stp>##V3_BDPV12</stp>
        <stp>912833CN Govt</stp>
        <stp>MTY_TYP</stp>
        <stp>[STRIPS.xlsx]Sheet1!R734C6</stp>
        <tr r="F734" s="1"/>
      </tp>
      <tp t="s">
        <v>NORMAL</v>
        <stp/>
        <stp>##V3_BDPV12</stp>
        <stp>912833B4 Govt</stp>
        <stp>MTY_TYP</stp>
        <stp>[STRIPS.xlsx]Sheet1!R654C6</stp>
        <tr r="F654" s="1"/>
      </tp>
      <tp t="s">
        <v>NORMAL</v>
        <stp/>
        <stp>##V3_BDPV12</stp>
        <stp>912833B9 Govt</stp>
        <stp>MTY_TYP</stp>
        <stp>[STRIPS.xlsx]Sheet1!R434C6</stp>
        <tr r="F434" s="1"/>
      </tp>
      <tp t="s">
        <v>NORMAL</v>
        <stp/>
        <stp>##V3_BDPV12</stp>
        <stp>912834BD Govt</stp>
        <stp>MTY_TYP</stp>
        <stp>[STRIPS.xlsx]Sheet1!R643C6</stp>
        <tr r="F643" s="1"/>
      </tp>
      <tp t="s">
        <v>NORMAL</v>
        <stp/>
        <stp>##V3_BDPV12</stp>
        <stp>912834BN Govt</stp>
        <stp>MTY_TYP</stp>
        <stp>[STRIPS.xlsx]Sheet1!R263C6</stp>
        <tr r="F263" s="1"/>
      </tp>
      <tp t="s">
        <v>NORMAL</v>
        <stp/>
        <stp>##V3_BDPV12</stp>
        <stp>912834BM Govt</stp>
        <stp>MTY_TYP</stp>
        <stp>[STRIPS.xlsx]Sheet1!R353C6</stp>
        <tr r="F353" s="1"/>
      </tp>
      <tp t="s">
        <v>10/15/2003</v>
        <stp/>
        <stp>##V3_BDPV12</stp>
        <stp>912833A3 Govt</stp>
        <stp>ISSUE_DT</stp>
        <stp>[STRIPS.xlsx]Sheet1!R731C15</stp>
        <tr r="O731" s="1"/>
      </tp>
      <tp t="s">
        <v>12/15/2003</v>
        <stp/>
        <stp>##V3_BDPV12</stp>
        <stp>912833B3 Govt</stp>
        <stp>ISSUE_DT</stp>
        <stp>[STRIPS.xlsx]Sheet1!R732C15</stp>
        <tr r="O732" s="1"/>
      </tp>
      <tp t="s">
        <v>NORMAL</v>
        <stp/>
        <stp>##V3_BDPV12</stp>
        <stp>912834NQ Govt</stp>
        <stp>MTY_TYP</stp>
        <stp>[STRIPS.xlsx]Sheet1!R273C6</stp>
        <tr r="F273" s="1"/>
      </tp>
      <tp t="s">
        <v>NORMAL</v>
        <stp/>
        <stp>##V3_BDPV12</stp>
        <stp>912834NY Govt</stp>
        <stp>MTY_TYP</stp>
        <stp>[STRIPS.xlsx]Sheet1!R143C6</stp>
        <tr r="F143" s="1"/>
      </tp>
      <tp t="s">
        <v>NORMAL</v>
        <stp/>
        <stp>##V3_BDPV12</stp>
        <stp>912833NJ Govt</stp>
        <stp>MTY_TYP</stp>
        <stp>[STRIPS.xlsx]Sheet1!R334C6</stp>
        <tr r="F334" s="1"/>
      </tp>
      <tp t="s">
        <v>NORMAL</v>
        <stp/>
        <stp>##V3_BDPV12</stp>
        <stp>912833MT Govt</stp>
        <stp>MTY_TYP</stp>
        <stp>[STRIPS.xlsx]Sheet1!R674C6</stp>
        <tr r="F674" s="1"/>
      </tp>
      <tp t="s">
        <v>NORMAL</v>
        <stp/>
        <stp>##V3_BDPV12</stp>
        <stp>912834MV Govt</stp>
        <stp>MTY_TYP</stp>
        <stp>[STRIPS.xlsx]Sheet1!R543C6</stp>
        <tr r="F543" s="1"/>
      </tp>
      <tp t="s">
        <v>NORMAL</v>
        <stp/>
        <stp>##V3_BDPV12</stp>
        <stp>912833MG Govt</stp>
        <stp>MTY_TYP</stp>
        <stp>[STRIPS.xlsx]Sheet1!R514C6</stp>
        <tr r="F514" s="1"/>
      </tp>
      <tp t="s">
        <v>NORMAL</v>
        <stp/>
        <stp>##V3_BDPV12</stp>
        <stp>912833MD Govt</stp>
        <stp>MTY_TYP</stp>
        <stp>[STRIPS.xlsx]Sheet1!R304C6</stp>
        <tr r="F304" s="1"/>
      </tp>
      <tp t="s">
        <v>NORMAL</v>
        <stp/>
        <stp>##V3_BDPV12</stp>
        <stp>912833MN Govt</stp>
        <stp>MTY_TYP</stp>
        <stp>[STRIPS.xlsx]Sheet1!R624C6</stp>
        <tr r="F624" s="1"/>
      </tp>
      <tp t="s">
        <v>NORMAL</v>
        <stp/>
        <stp>##V3_BDPV12</stp>
        <stp>912834MJ Govt</stp>
        <stp>MTY_TYP</stp>
        <stp>[STRIPS.xlsx]Sheet1!R233C6</stp>
        <tr r="F233" s="1"/>
      </tp>
      <tp t="s">
        <v>NORMAL</v>
        <stp/>
        <stp>##V3_BDPV12</stp>
        <stp>912834LE Govt</stp>
        <stp>MTY_TYP</stp>
        <stp>[STRIPS.xlsx]Sheet1!R473C6</stp>
        <tr r="F473" s="1"/>
      </tp>
      <tp t="s">
        <v>NORMAL</v>
        <stp/>
        <stp>##V3_BDPV12</stp>
        <stp>912834LJ Govt</stp>
        <stp>MTY_TYP</stp>
        <stp>[STRIPS.xlsx]Sheet1!R403C6</stp>
        <tr r="F403" s="1"/>
      </tp>
      <tp t="s">
        <v>NORMAL</v>
        <stp/>
        <stp>##V3_BDPV12</stp>
        <stp>912834LL Govt</stp>
        <stp>MTY_TYP</stp>
        <stp>[STRIPS.xlsx]Sheet1!R323C6</stp>
        <tr r="F323" s="1"/>
      </tp>
      <tp t="s">
        <v>NORMAL</v>
        <stp/>
        <stp>##V3_BDPV12</stp>
        <stp>912833KU Govt</stp>
        <stp>MTY_TYP</stp>
        <stp>[STRIPS.xlsx]Sheet1!R444C6</stp>
        <tr r="F444" s="1"/>
      </tp>
      <tp t="s">
        <v>NORMAL</v>
        <stp/>
        <stp>##V3_BDPV12</stp>
        <stp>912834KC Govt</stp>
        <stp>MTY_TYP</stp>
        <stp>[STRIPS.xlsx]Sheet1!R133C6</stp>
        <tr r="F133" s="1"/>
      </tp>
      <tp t="s">
        <v>1/15/2004</v>
        <stp/>
        <stp>##V3_BDPV12</stp>
        <stp>912833C3 Govt</stp>
        <stp>ISSUE_DT</stp>
        <stp>[STRIPS.xlsx]Sheet1!R362C15</stp>
        <tr r="O362" s="1"/>
      </tp>
      <tp t="s">
        <v>8/15/2007</v>
        <stp/>
        <stp>##V3_BDPV12</stp>
        <stp>912833Y3 Govt</stp>
        <stp>ISSUE_DT</stp>
        <stp>[STRIPS.xlsx]Sheet1!R103C15</stp>
        <tr r="O103" s="1"/>
      </tp>
      <tp t="s">
        <v>9/30/2021</v>
        <stp/>
        <stp>##V3_BDPV12</stp>
        <stp>912834A3 Govt</stp>
        <stp>ISSUE_DT</stp>
        <stp>[STRIPS.xlsx]Sheet1!R119C15</stp>
        <tr r="O119" s="1"/>
      </tp>
      <tp t="s">
        <v>NORMAL</v>
        <stp/>
        <stp>##V3_BDPV12</stp>
        <stp>912834WE Govt</stp>
        <stp>MTY_TYP</stp>
        <stp>[STRIPS.xlsx]Sheet1!R223C6</stp>
        <tr r="F223" s="1"/>
      </tp>
      <tp t="s">
        <v>NORMAL</v>
        <stp/>
        <stp>##V3_BDPV12</stp>
        <stp>912834VT Govt</stp>
        <stp>MTY_TYP</stp>
        <stp>[STRIPS.xlsx]Sheet1!R773C6</stp>
        <tr r="F773" s="1"/>
      </tp>
      <tp t="s">
        <v>NORMAL</v>
        <stp/>
        <stp>##V3_BDPV12</stp>
        <stp>912834VC Govt</stp>
        <stp>MTY_TYP</stp>
        <stp>[STRIPS.xlsx]Sheet1!R763C6</stp>
        <tr r="F763" s="1"/>
      </tp>
      <tp t="s">
        <v>NORMAL</v>
        <stp/>
        <stp>##V3_BDPV12</stp>
        <stp>912834UB Govt</stp>
        <stp>MTY_TYP</stp>
        <stp>[STRIPS.xlsx]Sheet1!R113C6</stp>
        <tr r="F113" s="1"/>
      </tp>
      <tp t="s">
        <v>NORMAL</v>
        <stp/>
        <stp>##V3_BDPV12</stp>
        <stp>912834TT Govt</stp>
        <stp>MTY_TYP</stp>
        <stp>[STRIPS.xlsx]Sheet1!R283C6</stp>
        <tr r="F283" s="1"/>
      </tp>
      <tp t="s">
        <v>NORMAL</v>
        <stp/>
        <stp>##V3_BDPV12</stp>
        <stp>912834TC Govt</stp>
        <stp>MTY_TYP</stp>
        <stp>[STRIPS.xlsx]Sheet1!R163C6</stp>
        <tr r="F163" s="1"/>
      </tp>
      <tp t="s">
        <v>NORMAL</v>
        <stp/>
        <stp>##V3_BDPV12</stp>
        <stp>912834RW Govt</stp>
        <stp>MTY_TYP</stp>
        <stp>[STRIPS.xlsx]Sheet1!R753C6</stp>
        <tr r="F753" s="1"/>
      </tp>
      <tp t="s">
        <v>NORMAL</v>
        <stp/>
        <stp>##V3_BDPV12</stp>
        <stp>912833RP Govt</stp>
        <stp>MTY_TYP</stp>
        <stp>[STRIPS.xlsx]Sheet1!R524C6</stp>
        <tr r="F524" s="1"/>
      </tp>
      <tp t="s">
        <v>NORMAL</v>
        <stp/>
        <stp>##V3_BDPV12</stp>
        <stp>912833RG Govt</stp>
        <stp>MTY_TYP</stp>
        <stp>[STRIPS.xlsx]Sheet1!R244C6</stp>
        <tr r="F244" s="1"/>
      </tp>
      <tp t="s">
        <v>NORMAL</v>
        <stp/>
        <stp>##V3_BDPV12</stp>
        <stp>912834RJ Govt</stp>
        <stp>MTY_TYP</stp>
        <stp>[STRIPS.xlsx]Sheet1!R203C6</stp>
        <tr r="F203" s="1"/>
      </tp>
      <tp t="s">
        <v>NORMAL</v>
        <stp/>
        <stp>##V3_BDPV12</stp>
        <stp>912833RH Govt</stp>
        <stp>MTY_TYP</stp>
        <stp>[STRIPS.xlsx]Sheet1!R634C6</stp>
        <tr r="F634" s="1"/>
      </tp>
      <tp t="s">
        <v>NORMAL</v>
        <stp/>
        <stp>##V3_BDPV12</stp>
        <stp>912834QX Govt</stp>
        <stp>MTY_TYP</stp>
        <stp>[STRIPS.xlsx]Sheet1!R423C6</stp>
        <tr r="F423" s="1"/>
      </tp>
      <tp t="s">
        <v>NORMAL</v>
        <stp/>
        <stp>##V3_BDPV12</stp>
        <stp>912833QF Govt</stp>
        <stp>MTY_TYP</stp>
        <stp>[STRIPS.xlsx]Sheet1!R684C6</stp>
        <tr r="F684" s="1"/>
      </tp>
      <tp t="s">
        <v>NORMAL</v>
        <stp/>
        <stp>##V3_BDPV12</stp>
        <stp>912834QJ Govt</stp>
        <stp>MTY_TYP</stp>
        <stp>[STRIPS.xlsx]Sheet1!R213C6</stp>
        <tr r="F213" s="1"/>
      </tp>
      <tp t="s">
        <v>NORMAL</v>
        <stp/>
        <stp>##V3_BDPV12</stp>
        <stp>912834QM Govt</stp>
        <stp>MTY_TYP</stp>
        <stp>[STRIPS.xlsx]Sheet1!R413C6</stp>
        <tr r="F413" s="1"/>
      </tp>
      <tp t="s">
        <v>NORMAL</v>
        <stp/>
        <stp>##V3_BDPV12</stp>
        <stp>912833PS Govt</stp>
        <stp>MTY_TYP</stp>
        <stp>[STRIPS.xlsx]Sheet1!R574C6</stp>
        <tr r="F574" s="1"/>
      </tp>
      <tp t="s">
        <v>NORMAL</v>
        <stp/>
        <stp>##V3_BDPV12</stp>
        <stp>912834PA Govt</stp>
        <stp>MTY_TYP</stp>
        <stp>[STRIPS.xlsx]Sheet1!R123C6</stp>
        <tr r="F123" s="1"/>
      </tp>
      <tp t="s">
        <v>NORMAL</v>
        <stp/>
        <stp>##V3_BDPV12</stp>
        <stp>912833PL Govt</stp>
        <stp>MTY_TYP</stp>
        <stp>[STRIPS.xlsx]Sheet1!R374C6</stp>
        <tr r="F374" s="1"/>
      </tp>
      <tp t="s">
        <v>NORMAL</v>
        <stp/>
        <stp>##V3_BDPV12</stp>
        <stp>912833ZV Govt</stp>
        <stp>MTY_TYP</stp>
        <stp>[STRIPS.xlsx]Sheet1!R254C6</stp>
        <tr r="F254" s="1"/>
      </tp>
      <tp t="s">
        <v>NORMAL</v>
        <stp/>
        <stp>##V3_BDPV12</stp>
        <stp>912833ZB Govt</stp>
        <stp>MTY_TYP</stp>
        <stp>[STRIPS.xlsx]Sheet1!R454C6</stp>
        <tr r="F454" s="1"/>
      </tp>
      <tp t="s">
        <v>NORMAL</v>
        <stp/>
        <stp>##V3_BDPV12</stp>
        <stp>912833YQ Govt</stp>
        <stp>MTY_TYP</stp>
        <stp>[STRIPS.xlsx]Sheet1!R344C6</stp>
        <tr r="F344" s="1"/>
      </tp>
      <tp t="s">
        <v>NORMAL</v>
        <stp/>
        <stp>##V3_BDPV12</stp>
        <stp>912833YA Govt</stp>
        <stp>MTY_TYP</stp>
        <stp>[STRIPS.xlsx]Sheet1!R694C6</stp>
        <tr r="F694" s="1"/>
      </tp>
      <tp t="s">
        <v>NORMAL</v>
        <stp/>
        <stp>##V3_BDPV12</stp>
        <stp>912833YK Govt</stp>
        <stp>MTY_TYP</stp>
        <stp>[STRIPS.xlsx]Sheet1!R584C6</stp>
        <tr r="F584" s="1"/>
      </tp>
      <tp t="s">
        <v>NORMAL</v>
        <stp/>
        <stp>##V3_BDPV12</stp>
        <stp>912834XB Govt</stp>
        <stp>MTY_TYP</stp>
        <stp>[STRIPS.xlsx]Sheet1!R183C6</stp>
        <tr r="F183" s="1"/>
      </tp>
      <tp t="s">
        <v>#N/A Field Not Applicable</v>
        <stp/>
        <stp>##V3_BDPV12</stp>
        <stp>912833RX Govt</stp>
        <stp>FIRST_CPN_DT</stp>
        <stp>[STRIPS.xlsx]Sheet1!R449C9</stp>
        <tr r="I449" s="1"/>
      </tp>
      <tp t="s">
        <v>#N/A Field Not Applicable</v>
        <stp/>
        <stp>##V3_BDPV12</stp>
        <stp>912834RS Govt</stp>
        <stp>FIRST_CPN_DT</stp>
        <stp>[STRIPS.xlsx]Sheet1!R169C9</stp>
        <tr r="I169" s="1"/>
      </tp>
      <tp t="s">
        <v>#N/A Field Not Applicable</v>
        <stp/>
        <stp>##V3_BDPV12</stp>
        <stp>912834RU Govt</stp>
        <stp>FIRST_CPN_DT</stp>
        <stp>[STRIPS.xlsx]Sheet1!R759C9</stp>
        <tr r="I759" s="1"/>
      </tp>
      <tp t="s">
        <v>S</v>
        <stp/>
        <stp>##V3_BDPV12</stp>
        <stp>912834BQ Govt</stp>
        <stp>TICKER</stp>
        <stp>[STRIPS.xlsx]Sheet1!R459C2</stp>
        <tr r="B459" s="1"/>
      </tp>
      <tp t="s">
        <v>S</v>
        <stp/>
        <stp>##V3_BDPV12</stp>
        <stp>912834EH Govt</stp>
        <stp>TICKER</stp>
        <stp>[STRIPS.xlsx]Sheet1!R309C2</stp>
        <tr r="B309" s="1"/>
      </tp>
      <tp t="s">
        <v>S</v>
        <stp/>
        <stp>##V3_BDPV12</stp>
        <stp>912834BA Govt</stp>
        <stp>TICKER</stp>
        <stp>[STRIPS.xlsx]Sheet1!R529C2</stp>
        <tr r="B529" s="1"/>
      </tp>
      <tp t="s">
        <v>S</v>
        <stp/>
        <stp>##V3_BDPV12</stp>
        <stp>912834AA Govt</stp>
        <stp>TICKER</stp>
        <stp>[STRIPS.xlsx]Sheet1!R589C2</stp>
        <tr r="B589" s="1"/>
      </tp>
      <tp t="s">
        <v>S</v>
        <stp/>
        <stp>##V3_BDPV12</stp>
        <stp>912834AN Govt</stp>
        <stp>TICKER</stp>
        <stp>[STRIPS.xlsx]Sheet1!R259C2</stp>
        <tr r="B259" s="1"/>
      </tp>
      <tp t="s">
        <v>S</v>
        <stp/>
        <stp>##V3_BDPV12</stp>
        <stp>912834A3 Govt</stp>
        <stp>TICKER</stp>
        <stp>[STRIPS.xlsx]Sheet1!R119C2</stp>
        <tr r="B119" s="1"/>
      </tp>
      <tp t="s">
        <v>S</v>
        <stp/>
        <stp>##V3_BDPV12</stp>
        <stp>912834BP Govt</stp>
        <stp>TICKER</stp>
        <stp>[STRIPS.xlsx]Sheet1!R389C2</stp>
        <tr r="B389" s="1"/>
      </tp>
      <tp t="s">
        <v>S</v>
        <stp/>
        <stp>##V3_BDPV12</stp>
        <stp>912834BB Govt</stp>
        <stp>TICKER</stp>
        <stp>[STRIPS.xlsx]Sheet1!R349C2</stp>
        <tr r="B349" s="1"/>
      </tp>
      <tp t="s">
        <v>S</v>
        <stp/>
        <stp>##V3_BDPV12</stp>
        <stp>912834LU Govt</stp>
        <stp>TICKER</stp>
        <stp>[STRIPS.xlsx]Sheet1!R359C2</stp>
        <tr r="B359" s="1"/>
      </tp>
      <tp t="s">
        <v>S</v>
        <stp/>
        <stp>##V3_BDPV12</stp>
        <stp>912834KN Govt</stp>
        <stp>TICKER</stp>
        <stp>[STRIPS.xlsx]Sheet1!R469C2</stp>
        <tr r="B469" s="1"/>
      </tp>
      <tp t="s">
        <v>S</v>
        <stp/>
        <stp>##V3_BDPV12</stp>
        <stp>912834NM Govt</stp>
        <stp>TICKER</stp>
        <stp>[STRIPS.xlsx]Sheet1!R409C2</stp>
        <tr r="B409" s="1"/>
      </tp>
      <tp t="s">
        <v>S</v>
        <stp/>
        <stp>##V3_BDPV12</stp>
        <stp>912834KT Govt</stp>
        <stp>TICKER</stp>
        <stp>[STRIPS.xlsx]Sheet1!R319C2</stp>
        <tr r="B319" s="1"/>
      </tp>
      <tp t="s">
        <v>S</v>
        <stp/>
        <stp>##V3_BDPV12</stp>
        <stp>912834KM Govt</stp>
        <stp>TICKER</stp>
        <stp>[STRIPS.xlsx]Sheet1!R399C2</stp>
        <tr r="B399" s="1"/>
      </tp>
      <tp t="s">
        <v>S</v>
        <stp/>
        <stp>##V3_BDPV12</stp>
        <stp>912834MU Govt</stp>
        <stp>TICKER</stp>
        <stp>[STRIPS.xlsx]Sheet1!R419C2</stp>
        <tr r="B419" s="1"/>
      </tp>
      <tp t="s">
        <v>S</v>
        <stp/>
        <stp>##V3_BDPV12</stp>
        <stp>912834KZ Govt</stp>
        <stp>TICKER</stp>
        <stp>[STRIPS.xlsx]Sheet1!R269C2</stp>
        <tr r="B269" s="1"/>
      </tp>
      <tp t="s">
        <v>S</v>
        <stp/>
        <stp>##V3_BDPV12</stp>
        <stp>912834LY Govt</stp>
        <stp>TICKER</stp>
        <stp>[STRIPS.xlsx]Sheet1!R539C2</stp>
        <tr r="B539" s="1"/>
      </tp>
      <tp t="s">
        <v>S</v>
        <stp/>
        <stp>##V3_BDPV12</stp>
        <stp>912834KF Govt</stp>
        <stp>TICKER</stp>
        <stp>[STRIPS.xlsx]Sheet1!R229C2</stp>
        <tr r="B229" s="1"/>
      </tp>
      <tp t="s">
        <v>S</v>
        <stp/>
        <stp>##V3_BDPV12</stp>
        <stp>912834WV Govt</stp>
        <stp>TICKER</stp>
        <stp>[STRIPS.xlsx]Sheet1!R129C2</stp>
        <tr r="B129" s="1"/>
      </tp>
      <tp t="s">
        <v>S</v>
        <stp/>
        <stp>##V3_BDPV12</stp>
        <stp>912834WY Govt</stp>
        <stp>TICKER</stp>
        <stp>[STRIPS.xlsx]Sheet1!R189C2</stp>
        <tr r="B189" s="1"/>
      </tp>
      <tp t="s">
        <v>S</v>
        <stp/>
        <stp>##V3_BDPV12</stp>
        <stp>912834VB Govt</stp>
        <stp>TICKER</stp>
        <stp>[STRIPS.xlsx]Sheet1!R159C2</stp>
        <tr r="B159" s="1"/>
      </tp>
      <tp t="s">
        <v>S</v>
        <stp/>
        <stp>##V3_BDPV12</stp>
        <stp>912834PV Govt</stp>
        <stp>TICKER</stp>
        <stp>[STRIPS.xlsx]Sheet1!R479C2</stp>
        <tr r="B479" s="1"/>
      </tp>
      <tp t="s">
        <v>S</v>
        <stp/>
        <stp>##V3_BDPV12</stp>
        <stp>912834VF Govt</stp>
        <stp>TICKER</stp>
        <stp>[STRIPS.xlsx]Sheet1!R219C2</stp>
        <tr r="B219" s="1"/>
      </tp>
      <tp t="s">
        <v>S</v>
        <stp/>
        <stp>##V3_BDPV12</stp>
        <stp>912834PR Govt</stp>
        <stp>TICKER</stp>
        <stp>[STRIPS.xlsx]Sheet1!R549C2</stp>
        <tr r="B549" s="1"/>
      </tp>
      <tp t="s">
        <v>S</v>
        <stp/>
        <stp>##V3_BDPV12</stp>
        <stp>912834RU Govt</stp>
        <stp>TICKER</stp>
        <stp>[STRIPS.xlsx]Sheet1!R759C2</stp>
        <tr r="B759" s="1"/>
      </tp>
      <tp t="s">
        <v>S</v>
        <stp/>
        <stp>##V3_BDPV12</stp>
        <stp>912834TY Govt</stp>
        <stp>TICKER</stp>
        <stp>[STRIPS.xlsx]Sheet1!R199C2</stp>
        <tr r="B199" s="1"/>
      </tp>
      <tp t="s">
        <v>S</v>
        <stp/>
        <stp>##V3_BDPV12</stp>
        <stp>912834TZ Govt</stp>
        <stp>TICKER</stp>
        <stp>[STRIPS.xlsx]Sheet1!R139C2</stp>
        <tr r="B139" s="1"/>
      </tp>
      <tp t="s">
        <v>S</v>
        <stp/>
        <stp>##V3_BDPV12</stp>
        <stp>912834PS Govt</stp>
        <stp>TICKER</stp>
        <stp>[STRIPS.xlsx]Sheet1!R209C2</stp>
        <tr r="B209" s="1"/>
      </tp>
      <tp t="s">
        <v>S</v>
        <stp/>
        <stp>##V3_BDPV12</stp>
        <stp>912834RS Govt</stp>
        <stp>TICKER</stp>
        <stp>[STRIPS.xlsx]Sheet1!R169C2</stp>
        <tr r="B169" s="1"/>
      </tp>
      <tp t="s">
        <v>S</v>
        <stp/>
        <stp>##V3_BDPV12</stp>
        <stp>912834QZ Govt</stp>
        <stp>TICKER</stp>
        <stp>[STRIPS.xlsx]Sheet1!R279C2</stp>
        <tr r="B279" s="1"/>
      </tp>
      <tp t="s">
        <v>S</v>
        <stp/>
        <stp>##V3_BDPV12</stp>
        <stp>912834PK Govt</stp>
        <stp>TICKER</stp>
        <stp>[STRIPS.xlsx]Sheet1!R329C2</stp>
        <tr r="B329" s="1"/>
      </tp>
      <tp t="s">
        <v>S</v>
        <stp/>
        <stp>##V3_BDPV12</stp>
        <stp>912834QE Govt</stp>
        <stp>TICKER</stp>
        <stp>[STRIPS.xlsx]Sheet1!R149C2</stp>
        <tr r="B149" s="1"/>
      </tp>
      <tp t="s">
        <v>S</v>
        <stp/>
        <stp>##V3_BDPV12</stp>
        <stp>912834QN Govt</stp>
        <stp>TICKER</stp>
        <stp>[STRIPS.xlsx]Sheet1!R179C2</stp>
        <tr r="B179" s="1"/>
      </tp>
      <tp t="s">
        <v>S</v>
        <stp/>
        <stp>##V3_BDPV12</stp>
        <stp>912834VU Govt</stp>
        <stp>TICKER</stp>
        <stp>[STRIPS.xlsx]Sheet1!R769C2</stp>
        <tr r="B769" s="1"/>
      </tp>
      <tp t="s">
        <v>S</v>
        <stp/>
        <stp>##V3_BDPV12</stp>
        <stp>912834PB Govt</stp>
        <stp>TICKER</stp>
        <stp>[STRIPS.xlsx]Sheet1!R109C2</stp>
        <tr r="B109" s="1"/>
      </tp>
      <tp t="s">
        <v>#N/A Field Not Applicable</v>
        <stp/>
        <stp>##V3_BDPV12</stp>
        <stp>912833YM Govt</stp>
        <stp>FIRST_CPN_DT</stp>
        <stp>[STRIPS.xlsx]Sheet1!R452C9</stp>
        <tr r="I452" s="1"/>
      </tp>
      <tp t="s">
        <v>#N/A Field Not Applicable</v>
        <stp/>
        <stp>##V3_BDPV12</stp>
        <stp>912833RN Govt</stp>
        <stp>FIRST_CPN_DT</stp>
        <stp>[STRIPS.xlsx]Sheet1!R579C9</stp>
        <tr r="I579" s="1"/>
      </tp>
      <tp t="s">
        <v>S</v>
        <stp/>
        <stp>##V3_BDPV12</stp>
        <stp>9128333M Govt</stp>
        <stp>TICKER</stp>
        <stp>[STRIPS.xlsx]Sheet1!R599C2</stp>
        <tr r="B599" s="1"/>
      </tp>
      <tp t="s">
        <v>S</v>
        <stp/>
        <stp>##V3_BDPV12</stp>
        <stp>9128333Q Govt</stp>
        <stp>TICKER</stp>
        <stp>[STRIPS.xlsx]Sheet1!R719C2</stp>
        <tr r="B719" s="1"/>
      </tp>
      <tp t="s">
        <v>S</v>
        <stp/>
        <stp>##V3_BDPV12</stp>
        <stp>9128336J Govt</stp>
        <stp>TICKER</stp>
        <stp>[STRIPS.xlsx]Sheet1!R289C2</stp>
        <tr r="B289" s="1"/>
      </tp>
      <tp t="s">
        <v>S</v>
        <stp/>
        <stp>##V3_BDPV12</stp>
        <stp>9128336Y Govt</stp>
        <stp>TICKER</stp>
        <stp>[STRIPS.xlsx]Sheet1!R429C2</stp>
        <tr r="B429" s="1"/>
      </tp>
      <tp t="s">
        <v>S</v>
        <stp/>
        <stp>##V3_BDPV12</stp>
        <stp>9128337M Govt</stp>
        <stp>TICKER</stp>
        <stp>[STRIPS.xlsx]Sheet1!R559C2</stp>
        <tr r="B559" s="1"/>
      </tp>
      <tp t="s">
        <v>S</v>
        <stp/>
        <stp>##V3_BDPV12</stp>
        <stp>9128335S Govt</stp>
        <stp>TICKER</stp>
        <stp>[STRIPS.xlsx]Sheet1!R649C2</stp>
        <tr r="B649" s="1"/>
      </tp>
      <tp t="s">
        <v>S</v>
        <stp/>
        <stp>##V3_BDPV12</stp>
        <stp>9128334G Govt</stp>
        <stp>TICKER</stp>
        <stp>[STRIPS.xlsx]Sheet1!R709C2</stp>
        <tr r="B709" s="1"/>
      </tp>
      <tp t="s">
        <v>S</v>
        <stp/>
        <stp>##V3_BDPV12</stp>
        <stp>9128337A Govt</stp>
        <stp>TICKER</stp>
        <stp>[STRIPS.xlsx]Sheet1!R499C2</stp>
        <tr r="B499" s="1"/>
      </tp>
      <tp t="s">
        <v>S</v>
        <stp/>
        <stp>##V3_BDPV12</stp>
        <stp>9128334H Govt</stp>
        <stp>TICKER</stp>
        <stp>[STRIPS.xlsx]Sheet1!R489C2</stp>
        <tr r="B489" s="1"/>
      </tp>
      <tp t="s">
        <v>S</v>
        <stp/>
        <stp>##V3_BDPV12</stp>
        <stp>9128336P Govt</stp>
        <stp>TICKER</stp>
        <stp>[STRIPS.xlsx]Sheet1!R729C2</stp>
        <tr r="B729" s="1"/>
      </tp>
      <tp t="s">
        <v>S</v>
        <stp/>
        <stp>##V3_BDPV12</stp>
        <stp>9128336D Govt</stp>
        <stp>TICKER</stp>
        <stp>[STRIPS.xlsx]Sheet1!R749C2</stp>
        <tr r="B749" s="1"/>
      </tp>
      <tp t="s">
        <v>S</v>
        <stp/>
        <stp>##V3_BDPV12</stp>
        <stp>912833A9 Govt</stp>
        <stp>TICKER</stp>
        <stp>[STRIPS.xlsx]Sheet1!R609C2</stp>
        <tr r="B609" s="1"/>
      </tp>
      <tp t="s">
        <v>S</v>
        <stp/>
        <stp>##V3_BDPV12</stp>
        <stp>912833DD Govt</stp>
        <stp>TICKER</stp>
        <stp>[STRIPS.xlsx]Sheet1!R659C2</stp>
        <tr r="B659" s="1"/>
      </tp>
      <tp t="s">
        <v>S</v>
        <stp/>
        <stp>##V3_BDPV12</stp>
        <stp>912833FU Govt</stp>
        <stp>TICKER</stp>
        <stp>[STRIPS.xlsx]Sheet1!R509C2</stp>
        <tr r="B509" s="1"/>
      </tp>
      <tp t="s">
        <v>S</v>
        <stp/>
        <stp>##V3_BDPV12</stp>
        <stp>912833GA Govt</stp>
        <stp>TICKER</stp>
        <stp>[STRIPS.xlsx]Sheet1!R439C2</stp>
        <tr r="B439" s="1"/>
      </tp>
      <tp t="s">
        <v>S</v>
        <stp/>
        <stp>##V3_BDPV12</stp>
        <stp>912833FM Govt</stp>
        <stp>TICKER</stp>
        <stp>[STRIPS.xlsx]Sheet1!R619C2</stp>
        <tr r="B619" s="1"/>
      </tp>
      <tp t="s">
        <v>S</v>
        <stp/>
        <stp>##V3_BDPV12</stp>
        <stp>912833FW Govt</stp>
        <stp>TICKER</stp>
        <stp>[STRIPS.xlsx]Sheet1!R739C2</stp>
        <tr r="B739" s="1"/>
      </tp>
      <tp t="s">
        <v>S</v>
        <stp/>
        <stp>##V3_BDPV12</stp>
        <stp>912833CU Govt</stp>
        <stp>TICKER</stp>
        <stp>[STRIPS.xlsx]Sheet1!R299C2</stp>
        <tr r="B299" s="1"/>
      </tp>
      <tp t="s">
        <v>S</v>
        <stp/>
        <stp>##V3_BDPV12</stp>
        <stp>912833LA Govt</stp>
        <stp>TICKER</stp>
        <stp>[STRIPS.xlsx]Sheet1!R369C2</stp>
        <tr r="B369" s="1"/>
      </tp>
      <tp t="s">
        <v>S</v>
        <stp/>
        <stp>##V3_BDPV12</stp>
        <stp>912833JX Govt</stp>
        <stp>TICKER</stp>
        <stp>[STRIPS.xlsx]Sheet1!R669C2</stp>
        <tr r="B669" s="1"/>
      </tp>
      <tp t="s">
        <v>S</v>
        <stp/>
        <stp>##V3_BDPV12</stp>
        <stp>912833MY Govt</stp>
        <stp>TICKER</stp>
        <stp>[STRIPS.xlsx]Sheet1!R569C2</stp>
        <tr r="B569" s="1"/>
      </tp>
      <tp t="s">
        <v>S</v>
        <stp/>
        <stp>##V3_BDPV12</stp>
        <stp>912833NB Govt</stp>
        <stp>TICKER</stp>
        <stp>[STRIPS.xlsx]Sheet1!R629C2</stp>
        <tr r="B629" s="1"/>
      </tp>
      <tp t="s">
        <v>S</v>
        <stp/>
        <stp>##V3_BDPV12</stp>
        <stp>912833RX Govt</stp>
        <stp>TICKER</stp>
        <stp>[STRIPS.xlsx]Sheet1!R449C2</stp>
        <tr r="B449" s="1"/>
      </tp>
      <tp t="s">
        <v>S</v>
        <stp/>
        <stp>##V3_BDPV12</stp>
        <stp>912833PG Govt</stp>
        <stp>TICKER</stp>
        <stp>[STRIPS.xlsx]Sheet1!R679C2</stp>
        <tr r="B679" s="1"/>
      </tp>
      <tp t="s">
        <v>S</v>
        <stp/>
        <stp>##V3_BDPV12</stp>
        <stp>912833RN Govt</stp>
        <stp>TICKER</stp>
        <stp>[STRIPS.xlsx]Sheet1!R579C2</stp>
        <tr r="B579" s="1"/>
      </tp>
      <tp t="s">
        <v>S</v>
        <stp/>
        <stp>##V3_BDPV12</stp>
        <stp>912833QK Govt</stp>
        <stp>TICKER</stp>
        <stp>[STRIPS.xlsx]Sheet1!R519C2</stp>
        <tr r="B519" s="1"/>
      </tp>
      <tp t="s">
        <v>S</v>
        <stp/>
        <stp>##V3_BDPV12</stp>
        <stp>912833RB Govt</stp>
        <stp>TICKER</stp>
        <stp>[STRIPS.xlsx]Sheet1!R689C2</stp>
        <tr r="B689" s="1"/>
      </tp>
      <tp t="s">
        <v>S</v>
        <stp/>
        <stp>##V3_BDPV12</stp>
        <stp>912833PW Govt</stp>
        <stp>TICKER</stp>
        <stp>[STRIPS.xlsx]Sheet1!R239C2</stp>
        <tr r="B239" s="1"/>
      </tp>
      <tp t="s">
        <v>S</v>
        <stp/>
        <stp>##V3_BDPV12</stp>
        <stp>912833QZ Govt</stp>
        <stp>TICKER</stp>
        <stp>[STRIPS.xlsx]Sheet1!R379C2</stp>
        <tr r="B379" s="1"/>
      </tp>
      <tp t="s">
        <v>S</v>
        <stp/>
        <stp>##V3_BDPV12</stp>
        <stp>912833PX Govt</stp>
        <stp>TICKER</stp>
        <stp>[STRIPS.xlsx]Sheet1!R339C2</stp>
        <tr r="B339" s="1"/>
      </tp>
      <tp t="s">
        <v>S</v>
        <stp/>
        <stp>##V3_BDPV12</stp>
        <stp>912833ZQ Govt</stp>
        <stp>TICKER</stp>
        <stp>[STRIPS.xlsx]Sheet1!R639C2</stp>
        <tr r="B639" s="1"/>
      </tp>
      <tp t="s">
        <v>S</v>
        <stp/>
        <stp>##V3_BDPV12</stp>
        <stp>912833ZM Govt</stp>
        <stp>TICKER</stp>
        <stp>[STRIPS.xlsx]Sheet1!R699C2</stp>
        <tr r="B699" s="1"/>
      </tp>
      <tp t="s">
        <v>S</v>
        <stp/>
        <stp>##V3_BDPV12</stp>
        <stp>912833YT Govt</stp>
        <stp>TICKER</stp>
        <stp>[STRIPS.xlsx]Sheet1!R249C2</stp>
        <tr r="B249" s="1"/>
      </tp>
      <tp t="s">
        <v>#N/A Field Not Applicable</v>
        <stp/>
        <stp>##V3_BDPV12</stp>
        <stp>912833ZA Govt</stp>
        <stp>FIRST_CPN_DT</stp>
        <stp>[STRIPS.xlsx]Sheet1!R251C9</stp>
        <tr r="I251" s="1"/>
      </tp>
      <tp t="s">
        <v>#N/A Field Not Applicable</v>
        <stp/>
        <stp>##V3_BDPV12</stp>
        <stp>912833RB Govt</stp>
        <stp>FIRST_CPN_DT</stp>
        <stp>[STRIPS.xlsx]Sheet1!R689C9</stp>
        <tr r="I689" s="1"/>
      </tp>
      <tp t="s">
        <v>#N/A Field Not Applicable</v>
        <stp/>
        <stp>##V3_BDPV12</stp>
        <stp>912834XB Govt</stp>
        <stp>FIRST_CPN_DT</stp>
        <stp>[STRIPS.xlsx]Sheet1!R183C9</stp>
        <tr r="I183" s="1"/>
      </tp>
      <tp t="s">
        <v>USD</v>
        <stp/>
        <stp>##V3_BDPV12</stp>
        <stp>912834AY Govt</stp>
        <stp>CRNCY</stp>
        <stp>[STRIPS.xlsx]Sheet1!R642C7</stp>
        <tr r="G642" s="1"/>
      </tp>
      <tp t="s">
        <v>USD</v>
        <stp/>
        <stp>##V3_BDPV12</stp>
        <stp>912834PR Govt</stp>
        <stp>CRNCY</stp>
        <stp>[STRIPS.xlsx]Sheet1!R549C7</stp>
        <tr r="G549" s="1"/>
      </tp>
      <tp t="s">
        <v>USD</v>
        <stp/>
        <stp>##V3_BDPV12</stp>
        <stp>912833QX Govt</stp>
        <stp>CRNCY</stp>
        <stp>[STRIPS.xlsx]Sheet1!R243C7</stp>
        <tr r="G243" s="1"/>
      </tp>
      <tp t="s">
        <v>USD</v>
        <stp/>
        <stp>##V3_BDPV12</stp>
        <stp>912833CS Govt</stp>
        <stp>CRNCY</stp>
        <stp>[STRIPS.xlsx]Sheet1!R298C7</stp>
        <tr r="G298" s="1"/>
      </tp>
      <tp t="s">
        <v>USD</v>
        <stp/>
        <stp>##V3_BDPV12</stp>
        <stp>912834QX Govt</stp>
        <stp>CRNCY</stp>
        <stp>[STRIPS.xlsx]Sheet1!R423C7</stp>
        <tr r="G423" s="1"/>
      </tp>
      <tp t="s">
        <v>USD</v>
        <stp/>
        <stp>##V3_BDPV12</stp>
        <stp>912834KY Govt</stp>
        <stp>CRNCY</stp>
        <stp>[STRIPS.xlsx]Sheet1!R472C7</stp>
        <tr r="G472" s="1"/>
      </tp>
      <tp t="s">
        <v>USD</v>
        <stp/>
        <stp>##V3_BDPV12</stp>
        <stp>912834PY Govt</stp>
        <stp>CRNCY</stp>
        <stp>[STRIPS.xlsx]Sheet1!R202C7</stp>
        <tr r="G202" s="1"/>
      </tp>
      <tp t="s">
        <v>USD</v>
        <stp/>
        <stp>##V3_BDPV12</stp>
        <stp>912834KS Govt</stp>
        <stp>CRNCY</stp>
        <stp>[STRIPS.xlsx]Sheet1!R268C7</stp>
        <tr r="G268" s="1"/>
      </tp>
      <tp t="s">
        <v>USD</v>
        <stp/>
        <stp>##V3_BDPV12</stp>
        <stp>912833CX Govt</stp>
        <stp>CRNCY</stp>
        <stp>[STRIPS.xlsx]Sheet1!R503C7</stp>
        <tr r="G503" s="1"/>
      </tp>
      <tp t="s">
        <v>USD</v>
        <stp/>
        <stp>##V3_BDPV12</stp>
        <stp>912833FS Govt</stp>
        <stp>CRNCY</stp>
        <stp>[STRIPS.xlsx]Sheet1!R508C7</stp>
        <tr r="G508" s="1"/>
      </tp>
      <tp t="s">
        <v>USD</v>
        <stp/>
        <stp>##V3_BDPV12</stp>
        <stp>912833FZ Govt</stp>
        <stp>CRNCY</stp>
        <stp>[STRIPS.xlsx]Sheet1!R511C7</stp>
        <tr r="G511" s="1"/>
      </tp>
      <tp t="s">
        <v>USD</v>
        <stp/>
        <stp>##V3_BDPV12</stp>
        <stp>912834AZ Govt</stp>
        <stp>CRNCY</stp>
        <stp>[STRIPS.xlsx]Sheet1!R261C7</stp>
        <tr r="G261" s="1"/>
      </tp>
      <tp t="s">
        <v>USD</v>
        <stp/>
        <stp>##V3_BDPV12</stp>
        <stp>912834UZ Govt</stp>
        <stp>CRNCY</stp>
        <stp>[STRIPS.xlsx]Sheet1!R181C7</stp>
        <tr r="G181" s="1"/>
      </tp>
      <tp t="s">
        <v>USD</v>
        <stp/>
        <stp>##V3_BDPV12</stp>
        <stp>912833JZ Govt</stp>
        <stp>CRNCY</stp>
        <stp>[STRIPS.xlsx]Sheet1!R741C7</stp>
        <tr r="G741" s="1"/>
      </tp>
      <tp t="s">
        <v>US9128334R87</v>
        <stp/>
        <stp>##V3_BDPV12</stp>
        <stp>9128334R Govt</stp>
        <stp>ID_ISIN</stp>
        <stp>[STRIPS.xlsx]Sheet1!R554C12</stp>
        <tr r="L554" s="1"/>
      </tp>
      <tp t="s">
        <v>US9128334U17</v>
        <stp/>
        <stp>##V3_BDPV12</stp>
        <stp>9128334U Govt</stp>
        <stp>ID_ISIN</stp>
        <stp>[STRIPS.xlsx]Sheet1!R102C12</stp>
        <tr r="L102" s="1"/>
      </tp>
      <tp t="s">
        <v>912833A75</v>
        <stp/>
        <stp>##V3_BDPV12</stp>
        <stp>912833A7 Govt</stp>
        <stp>ID_CUSIP</stp>
        <stp>[STRIPS.xlsx]Sheet1!R653C19</stp>
        <tr r="S653" s="1"/>
      </tp>
      <tp t="s">
        <v>912833Z78</v>
        <stp/>
        <stp>##V3_BDPV12</stp>
        <stp>912833Z7 Govt</stp>
        <stp>ID_CUSIP</stp>
        <stp>[STRIPS.xlsx]Sheet1!R696C19</stp>
        <tr r="S696" s="1"/>
      </tp>
      <tp t="s">
        <v>912833Y79</v>
        <stp/>
        <stp>##V3_BDPV12</stp>
        <stp>912833Y7 Govt</stp>
        <stp>ID_CUSIP</stp>
        <stp>[STRIPS.xlsx]Sheet1!R583C19</stp>
        <tr r="S583" s="1"/>
      </tp>
      <tp t="s">
        <v>912833B74</v>
        <stp/>
        <stp>##V3_BDPV12</stp>
        <stp>912833B7 Govt</stp>
        <stp>ID_CUSIP</stp>
        <stp>[STRIPS.xlsx]Sheet1!R433C19</stp>
        <tr r="S433" s="1"/>
      </tp>
      <tp t="s">
        <v>912833C73</v>
        <stp/>
        <stp>##V3_BDPV12</stp>
        <stp>912833C7 Govt</stp>
        <stp>ID_CUSIP</stp>
        <stp>[STRIPS.xlsx]Sheet1!R294C19</stp>
        <tr r="S294" s="1"/>
      </tp>
      <tp t="s">
        <v>US9128334X55</v>
        <stp/>
        <stp>##V3_BDPV12</stp>
        <stp>9128334X Govt</stp>
        <stp>ID_ISIN</stp>
        <stp>[STRIPS.xlsx]Sheet1!R107C12</stp>
        <tr r="L107" s="1"/>
      </tp>
      <tp t="s">
        <v>US9128334A52</v>
        <stp/>
        <stp>##V3_BDPV12</stp>
        <stp>9128334A Govt</stp>
        <stp>ID_ISIN</stp>
        <stp>[STRIPS.xlsx]Sheet1!R487C12</stp>
        <tr r="L487" s="1"/>
      </tp>
      <tp t="s">
        <v>US9128334C19</v>
        <stp/>
        <stp>##V3_BDPV12</stp>
        <stp>9128334C Govt</stp>
        <stp>ID_ISIN</stp>
        <stp>[STRIPS.xlsx]Sheet1!R707C12</stp>
        <tr r="L707" s="1"/>
      </tp>
      <tp t="s">
        <v>US9128334B36</v>
        <stp/>
        <stp>##V3_BDPV12</stp>
        <stp>9128334B Govt</stp>
        <stp>ID_ISIN</stp>
        <stp>[STRIPS.xlsx]Sheet1!R603C12</stp>
        <tr r="L603" s="1"/>
      </tp>
      <tp t="s">
        <v>US9128334E74</v>
        <stp/>
        <stp>##V3_BDPV12</stp>
        <stp>9128334E Govt</stp>
        <stp>ID_ISIN</stp>
        <stp>[STRIPS.xlsx]Sheet1!R708C12</stp>
        <tr r="L708" s="1"/>
      </tp>
      <tp t="s">
        <v>US9128334D91</v>
        <stp/>
        <stp>##V3_BDPV12</stp>
        <stp>9128334D Govt</stp>
        <stp>ID_ISIN</stp>
        <stp>[STRIPS.xlsx]Sheet1!R488C12</stp>
        <tr r="L488" s="1"/>
      </tp>
      <tp t="s">
        <v>US9128334G23</v>
        <stp/>
        <stp>##V3_BDPV12</stp>
        <stp>9128334G Govt</stp>
        <stp>ID_ISIN</stp>
        <stp>[STRIPS.xlsx]Sheet1!R709C12</stp>
        <tr r="L709" s="1"/>
      </tp>
      <tp t="s">
        <v>US9128334F40</v>
        <stp/>
        <stp>##V3_BDPV12</stp>
        <stp>9128334F Govt</stp>
        <stp>ID_ISIN</stp>
        <stp>[STRIPS.xlsx]Sheet1!R604C12</stp>
        <tr r="L604" s="1"/>
      </tp>
      <tp t="s">
        <v>US9128334K35</v>
        <stp/>
        <stp>##V3_BDPV12</stp>
        <stp>9128334K Govt</stp>
        <stp>ID_ISIN</stp>
        <stp>[STRIPS.xlsx]Sheet1!R490C12</stp>
        <tr r="L490" s="1"/>
      </tp>
      <tp t="s">
        <v>US9128334L18</v>
        <stp/>
        <stp>##V3_BDPV12</stp>
        <stp>9128334L Govt</stp>
        <stp>ID_ISIN</stp>
        <stp>[STRIPS.xlsx]Sheet1!R284C12</stp>
        <tr r="L284" s="1"/>
      </tp>
      <tp t="s">
        <v>US9128334H06</v>
        <stp/>
        <stp>##V3_BDPV12</stp>
        <stp>9128334H Govt</stp>
        <stp>ID_ISIN</stp>
        <stp>[STRIPS.xlsx]Sheet1!R489C12</stp>
        <tr r="L489" s="1"/>
      </tp>
      <tp t="s">
        <v>US9128334J61</v>
        <stp/>
        <stp>##V3_BDPV12</stp>
        <stp>9128334J Govt</stp>
        <stp>ID_ISIN</stp>
        <stp>[STRIPS.xlsx]Sheet1!R605C12</stp>
        <tr r="L605" s="1"/>
      </tp>
      <tp t="s">
        <v>US9128334M90</v>
        <stp/>
        <stp>##V3_BDPV12</stp>
        <stp>9128334M Govt</stp>
        <stp>ID_ISIN</stp>
        <stp>[STRIPS.xlsx]Sheet1!R491C12</stp>
        <tr r="L491" s="1"/>
      </tp>
      <tp t="s">
        <v>US9128334N73</v>
        <stp/>
        <stp>##V3_BDPV12</stp>
        <stp>9128334N Govt</stp>
        <stp>ID_ISIN</stp>
        <stp>[STRIPS.xlsx]Sheet1!R744C12</stp>
        <tr r="L744" s="1"/>
      </tp>
      <tp t="s">
        <v>#N/A Field Not Applicable</v>
        <stp/>
        <stp>##V3_BDPV12</stp>
        <stp>912834WZ Govt</stp>
        <stp>IDX_RATIO</stp>
        <stp>[STRIPS.xlsx]Sheet1!R6C20</stp>
        <tr r="T6" s="1"/>
      </tp>
      <tp t="s">
        <v>#N/A Field Not Applicable</v>
        <stp/>
        <stp>##V3_BDPV12</stp>
        <stp>912833Y5 Govt</stp>
        <stp>FIRST_CPN_DT</stp>
        <stp>[STRIPS.xlsx]Sheet1!R582C9</stp>
        <tr r="I582" s="1"/>
      </tp>
      <tp t="s">
        <v>#N/A Field Not Applicable</v>
        <stp/>
        <stp>##V3_BDPV12</stp>
        <stp>912833Z6 Govt</stp>
        <stp>FIRST_CPN_DT</stp>
        <stp>[STRIPS.xlsx]Sheet1!R111C9</stp>
        <tr r="I111" s="1"/>
      </tp>
      <tp t="s">
        <v>S 0 05/15/35</v>
        <stp/>
        <stp>##V3_BDPV12</stp>
        <stp>912833X8 Govt</stp>
        <stp>SECURITY_NAME</stp>
        <stp>[STRIPS.xlsx]Sheet1!R66C16</stp>
        <tr r="P66" s="1"/>
      </tp>
      <tp t="s">
        <v>#N/A Field Not Applicable</v>
        <stp/>
        <stp>##V3_BDPV12</stp>
        <stp>912833YY Govt</stp>
        <stp>FIRST_CPN_DT</stp>
        <stp>[STRIPS.xlsx]Sheet1!R453C9</stp>
        <tr r="I453" s="1"/>
      </tp>
      <tp t="s">
        <v>#N/A Field Not Applicable</v>
        <stp/>
        <stp>##V3_BDPV12</stp>
        <stp>912833ZW Govt</stp>
        <stp>FIRST_CPN_DT</stp>
        <stp>[STRIPS.xlsx]Sheet1!R640C9</stp>
        <tr r="I640" s="1"/>
      </tp>
      <tp t="s">
        <v>S</v>
        <stp/>
        <stp>##V3_BDPV12</stp>
        <stp>912834BC Govt</stp>
        <stp>TICKER</stp>
        <stp>[STRIPS.xlsx]Sheet1!R458C2</stp>
        <tr r="B458" s="1"/>
      </tp>
      <tp t="s">
        <v>S</v>
        <stp/>
        <stp>##V3_BDPV12</stp>
        <stp>912834AX Govt</stp>
        <stp>TICKER</stp>
        <stp>[STRIPS.xlsx]Sheet1!R388C2</stp>
        <tr r="B388" s="1"/>
      </tp>
      <tp t="s">
        <v>S</v>
        <stp/>
        <stp>##V3_BDPV12</stp>
        <stp>912834AL Govt</stp>
        <stp>TICKER</stp>
        <stp>[STRIPS.xlsx]Sheet1!R258C2</stp>
        <tr r="B258" s="1"/>
      </tp>
      <tp t="s">
        <v>S</v>
        <stp/>
        <stp>##V3_BDPV12</stp>
        <stp>912834AE Govt</stp>
        <stp>TICKER</stp>
        <stp>[STRIPS.xlsx]Sheet1!R118C2</stp>
        <tr r="B118" s="1"/>
      </tp>
      <tp t="s">
        <v>S</v>
        <stp/>
        <stp>##V3_BDPV12</stp>
        <stp>912834BK Govt</stp>
        <stp>TICKER</stp>
        <stp>[STRIPS.xlsx]Sheet1!R308C2</stp>
        <tr r="B308" s="1"/>
      </tp>
      <tp t="s">
        <v>S</v>
        <stp/>
        <stp>##V3_BDPV12</stp>
        <stp>912834MY Govt</stp>
        <stp>TICKER</stp>
        <stp>[STRIPS.xlsx]Sheet1!R328C2</stp>
        <tr r="B328" s="1"/>
      </tp>
      <tp t="s">
        <v>S</v>
        <stp/>
        <stp>##V3_BDPV12</stp>
        <stp>912834LT Govt</stp>
        <stp>TICKER</stp>
        <stp>[STRIPS.xlsx]Sheet1!R358C2</stp>
        <tr r="B358" s="1"/>
      </tp>
      <tp t="s">
        <v>S</v>
        <stp/>
        <stp>##V3_BDPV12</stp>
        <stp>912834JL Govt</stp>
        <stp>TICKER</stp>
        <stp>[STRIPS.xlsx]Sheet1!R538C2</stp>
        <tr r="B538" s="1"/>
      </tp>
      <tp t="s">
        <v>S</v>
        <stp/>
        <stp>##V3_BDPV12</stp>
        <stp>912834KL Govt</stp>
        <stp>TICKER</stp>
        <stp>[STRIPS.xlsx]Sheet1!R468C2</stp>
        <tr r="B468" s="1"/>
      </tp>
      <tp t="s">
        <v>S</v>
        <stp/>
        <stp>##V3_BDPV12</stp>
        <stp>912834NL Govt</stp>
        <stp>TICKER</stp>
        <stp>[STRIPS.xlsx]Sheet1!R408C2</stp>
        <tr r="B408" s="1"/>
      </tp>
      <tp t="s">
        <v>S</v>
        <stp/>
        <stp>##V3_BDPV12</stp>
        <stp>912834NW Govt</stp>
        <stp>TICKER</stp>
        <stp>[STRIPS.xlsx]Sheet1!R548C2</stp>
        <tr r="B548" s="1"/>
      </tp>
      <tp t="s">
        <v>S</v>
        <stp/>
        <stp>##V3_BDPV12</stp>
        <stp>912834KQ Govt</stp>
        <stp>TICKER</stp>
        <stp>[STRIPS.xlsx]Sheet1!R318C2</stp>
        <tr r="B318" s="1"/>
      </tp>
      <tp t="s">
        <v>S</v>
        <stp/>
        <stp>##V3_BDPV12</stp>
        <stp>912834JG Govt</stp>
        <stp>TICKER</stp>
        <stp>[STRIPS.xlsx]Sheet1!R228C2</stp>
        <tr r="B228" s="1"/>
      </tp>
      <tp t="s">
        <v>S</v>
        <stp/>
        <stp>##V3_BDPV12</stp>
        <stp>912834KD Govt</stp>
        <stp>TICKER</stp>
        <stp>[STRIPS.xlsx]Sheet1!R398C2</stp>
        <tr r="B398" s="1"/>
      </tp>
      <tp t="s">
        <v>S</v>
        <stp/>
        <stp>##V3_BDPV12</stp>
        <stp>912834KS Govt</stp>
        <stp>TICKER</stp>
        <stp>[STRIPS.xlsx]Sheet1!R268C2</stp>
        <tr r="B268" s="1"/>
      </tp>
      <tp t="s">
        <v>S</v>
        <stp/>
        <stp>##V3_BDPV12</stp>
        <stp>912834MQ Govt</stp>
        <stp>TICKER</stp>
        <stp>[STRIPS.xlsx]Sheet1!R418C2</stp>
        <tr r="B418" s="1"/>
      </tp>
      <tp t="s">
        <v>S</v>
        <stp/>
        <stp>##V3_BDPV12</stp>
        <stp>912834WM Govt</stp>
        <stp>TICKER</stp>
        <stp>[STRIPS.xlsx]Sheet1!R188C2</stp>
        <tr r="B188" s="1"/>
      </tp>
      <tp t="s">
        <v>S</v>
        <stp/>
        <stp>##V3_BDPV12</stp>
        <stp>912834UV Govt</stp>
        <stp>TICKER</stp>
        <stp>[STRIPS.xlsx]Sheet1!R208C2</stp>
        <tr r="B208" s="1"/>
      </tp>
      <tp t="s">
        <v>S</v>
        <stp/>
        <stp>##V3_BDPV12</stp>
        <stp>912834VA Govt</stp>
        <stp>TICKER</stp>
        <stp>[STRIPS.xlsx]Sheet1!R178C2</stp>
        <tr r="B178" s="1"/>
      </tp>
      <tp t="s">
        <v>S</v>
        <stp/>
        <stp>##V3_BDPV12</stp>
        <stp>912834VL Govt</stp>
        <stp>TICKER</stp>
        <stp>[STRIPS.xlsx]Sheet1!R138C2</stp>
        <tr r="B138" s="1"/>
      </tp>
      <tp t="s">
        <v>S</v>
        <stp/>
        <stp>##V3_BDPV12</stp>
        <stp>912834VY Govt</stp>
        <stp>TICKER</stp>
        <stp>[STRIPS.xlsx]Sheet1!R218C2</stp>
        <tr r="B218" s="1"/>
      </tp>
      <tp t="s">
        <v>S</v>
        <stp/>
        <stp>##V3_BDPV12</stp>
        <stp>912834PD Govt</stp>
        <stp>TICKER</stp>
        <stp>[STRIPS.xlsx]Sheet1!R478C2</stp>
        <tr r="B478" s="1"/>
      </tp>
      <tp t="s">
        <v>S</v>
        <stp/>
        <stp>##V3_BDPV12</stp>
        <stp>912834TN Govt</stp>
        <stp>TICKER</stp>
        <stp>[STRIPS.xlsx]Sheet1!R158C2</stp>
        <tr r="B158" s="1"/>
      </tp>
      <tp t="s">
        <v>S</v>
        <stp/>
        <stp>##V3_BDPV12</stp>
        <stp>912834TQ Govt</stp>
        <stp>TICKER</stp>
        <stp>[STRIPS.xlsx]Sheet1!R758C2</stp>
        <tr r="B758" s="1"/>
      </tp>
      <tp t="s">
        <v>S</v>
        <stp/>
        <stp>##V3_BDPV12</stp>
        <stp>912834RL Govt</stp>
        <stp>TICKER</stp>
        <stp>[STRIPS.xlsx]Sheet1!R198C2</stp>
        <tr r="B198" s="1"/>
      </tp>
      <tp t="s">
        <v>S</v>
        <stp/>
        <stp>##V3_BDPV12</stp>
        <stp>912834RE Govt</stp>
        <stp>TICKER</stp>
        <stp>[STRIPS.xlsx]Sheet1!R168C2</stp>
        <tr r="B168" s="1"/>
      </tp>
      <tp t="s">
        <v>S</v>
        <stp/>
        <stp>##V3_BDPV12</stp>
        <stp>912834QK Govt</stp>
        <stp>TICKER</stp>
        <stp>[STRIPS.xlsx]Sheet1!R278C2</stp>
        <tr r="B278" s="1"/>
      </tp>
      <tp t="s">
        <v>S</v>
        <stp/>
        <stp>##V3_BDPV12</stp>
        <stp>912834QP Govt</stp>
        <stp>TICKER</stp>
        <stp>[STRIPS.xlsx]Sheet1!R108C2</stp>
        <tr r="B108" s="1"/>
      </tp>
      <tp t="s">
        <v>S</v>
        <stp/>
        <stp>##V3_BDPV12</stp>
        <stp>912834WL Govt</stp>
        <stp>TICKER</stp>
        <stp>[STRIPS.xlsx]Sheet1!R768C2</stp>
        <tr r="B768" s="1"/>
      </tp>
      <tp t="s">
        <v>S</v>
        <stp/>
        <stp>##V3_BDPV12</stp>
        <stp>912834PC Govt</stp>
        <stp>TICKER</stp>
        <stp>[STRIPS.xlsx]Sheet1!R148C2</stp>
        <tr r="B148" s="1"/>
      </tp>
      <tp t="s">
        <v>S</v>
        <stp/>
        <stp>##V3_BDPV12</stp>
        <stp>912834PL Govt</stp>
        <stp>TICKER</stp>
        <stp>[STRIPS.xlsx]Sheet1!R128C2</stp>
        <tr r="B128" s="1"/>
      </tp>
      <tp t="s">
        <v>#N/A Field Not Applicable</v>
        <stp/>
        <stp>##V3_BDPV12</stp>
        <stp>912833RK Govt</stp>
        <stp>FIRST_CPN_DT</stp>
        <stp>[STRIPS.xlsx]Sheet1!R578C9</stp>
        <tr r="I578" s="1"/>
      </tp>
      <tp t="s">
        <v>#N/A Field Not Applicable</v>
        <stp/>
        <stp>##V3_BDPV12</stp>
        <stp>912833RM Govt</stp>
        <stp>FIRST_CPN_DT</stp>
        <stp>[STRIPS.xlsx]Sheet1!R448C9</stp>
        <tr r="I448" s="1"/>
      </tp>
      <tp t="s">
        <v>#N/A Field Not Applicable</v>
        <stp/>
        <stp>##V3_BDPV12</stp>
        <stp>912834RL Govt</stp>
        <stp>FIRST_CPN_DT</stp>
        <stp>[STRIPS.xlsx]Sheet1!R198C9</stp>
        <tr r="I198" s="1"/>
      </tp>
      <tp t="s">
        <v>#N/A Field Not Applicable</v>
        <stp/>
        <stp>##V3_BDPV12</stp>
        <stp>912833YL Govt</stp>
        <stp>FIRST_CPN_DT</stp>
        <stp>[STRIPS.xlsx]Sheet1!R343C9</stp>
        <tr r="I343" s="1"/>
      </tp>
      <tp t="s">
        <v>S</v>
        <stp/>
        <stp>##V3_BDPV12</stp>
        <stp>9128332J Govt</stp>
        <stp>TICKER</stp>
        <stp>[STRIPS.xlsx]Sheet1!R598C2</stp>
        <tr r="B598" s="1"/>
      </tp>
      <tp t="s">
        <v>S</v>
        <stp/>
        <stp>##V3_BDPV12</stp>
        <stp>9128333N Govt</stp>
        <stp>TICKER</stp>
        <stp>[STRIPS.xlsx]Sheet1!R428C2</stp>
        <tr r="B428" s="1"/>
      </tp>
      <tp t="s">
        <v>S</v>
        <stp/>
        <stp>##V3_BDPV12</stp>
        <stp>9128332D Govt</stp>
        <stp>TICKER</stp>
        <stp>[STRIPS.xlsx]Sheet1!R648C2</stp>
        <tr r="B648" s="1"/>
      </tp>
      <tp t="s">
        <v>S</v>
        <stp/>
        <stp>##V3_BDPV12</stp>
        <stp>9128336F Govt</stp>
        <stp>TICKER</stp>
        <stp>[STRIPS.xlsx]Sheet1!R288C2</stp>
        <tr r="B288" s="1"/>
      </tp>
      <tp t="s">
        <v>S</v>
        <stp/>
        <stp>##V3_BDPV12</stp>
        <stp>9128332H Govt</stp>
        <stp>TICKER</stp>
        <stp>[STRIPS.xlsx]Sheet1!R718C2</stp>
        <tr r="B718" s="1"/>
      </tp>
      <tp t="s">
        <v>S</v>
        <stp/>
        <stp>##V3_BDPV12</stp>
        <stp>9128336R Govt</stp>
        <stp>TICKER</stp>
        <stp>[STRIPS.xlsx]Sheet1!R498C2</stp>
        <tr r="B498" s="1"/>
      </tp>
      <tp t="s">
        <v>S</v>
        <stp/>
        <stp>##V3_BDPV12</stp>
        <stp>9128334E Govt</stp>
        <stp>TICKER</stp>
        <stp>[STRIPS.xlsx]Sheet1!R708C2</stp>
        <tr r="B708" s="1"/>
      </tp>
      <tp t="s">
        <v>S</v>
        <stp/>
        <stp>##V3_BDPV12</stp>
        <stp>9128336M Govt</stp>
        <stp>TICKER</stp>
        <stp>[STRIPS.xlsx]Sheet1!R558C2</stp>
        <tr r="B558" s="1"/>
      </tp>
      <tp t="s">
        <v>S</v>
        <stp/>
        <stp>##V3_BDPV12</stp>
        <stp>9128334D Govt</stp>
        <stp>TICKER</stp>
        <stp>[STRIPS.xlsx]Sheet1!R488C2</stp>
        <tr r="B488" s="1"/>
      </tp>
      <tp t="s">
        <v>S</v>
        <stp/>
        <stp>##V3_BDPV12</stp>
        <stp>9128336A Govt</stp>
        <stp>TICKER</stp>
        <stp>[STRIPS.xlsx]Sheet1!R748C2</stp>
        <tr r="B748" s="1"/>
      </tp>
      <tp t="s">
        <v>S</v>
        <stp/>
        <stp>##V3_BDPV12</stp>
        <stp>9128336E Govt</stp>
        <stp>TICKER</stp>
        <stp>[STRIPS.xlsx]Sheet1!R728C2</stp>
        <tr r="B728" s="1"/>
      </tp>
      <tp t="s">
        <v>S</v>
        <stp/>
        <stp>##V3_BDPV12</stp>
        <stp>912833CQ Govt</stp>
        <stp>TICKER</stp>
        <stp>[STRIPS.xlsx]Sheet1!R438C2</stp>
        <tr r="B438" s="1"/>
      </tp>
      <tp t="s">
        <v>S</v>
        <stp/>
        <stp>##V3_BDPV12</stp>
        <stp>912833A2 Govt</stp>
        <stp>TICKER</stp>
        <stp>[STRIPS.xlsx]Sheet1!R608C2</stp>
        <tr r="B608" s="1"/>
      </tp>
      <tp t="s">
        <v>S</v>
        <stp/>
        <stp>##V3_BDPV12</stp>
        <stp>912833CV Govt</stp>
        <stp>TICKER</stp>
        <stp>[STRIPS.xlsx]Sheet1!R658C2</stp>
        <tr r="B658" s="1"/>
      </tp>
      <tp t="s">
        <v>S</v>
        <stp/>
        <stp>##V3_BDPV12</stp>
        <stp>912833FS Govt</stp>
        <stp>TICKER</stp>
        <stp>[STRIPS.xlsx]Sheet1!R508C2</stp>
        <tr r="B508" s="1"/>
      </tp>
      <tp t="s">
        <v>S</v>
        <stp/>
        <stp>##V3_BDPV12</stp>
        <stp>912833FF Govt</stp>
        <stp>TICKER</stp>
        <stp>[STRIPS.xlsx]Sheet1!R618C2</stp>
        <tr r="B618" s="1"/>
      </tp>
      <tp t="s">
        <v>S</v>
        <stp/>
        <stp>##V3_BDPV12</stp>
        <stp>912833CS Govt</stp>
        <stp>TICKER</stp>
        <stp>[STRIPS.xlsx]Sheet1!R298C2</stp>
        <tr r="B298" s="1"/>
      </tp>
      <tp t="s">
        <v>S</v>
        <stp/>
        <stp>##V3_BDPV12</stp>
        <stp>912833FN Govt</stp>
        <stp>TICKER</stp>
        <stp>[STRIPS.xlsx]Sheet1!R738C2</stp>
        <tr r="B738" s="1"/>
      </tp>
      <tp t="s">
        <v>S</v>
        <stp/>
        <stp>##V3_BDPV12</stp>
        <stp>912833JV Govt</stp>
        <stp>TICKER</stp>
        <stp>[STRIPS.xlsx]Sheet1!R668C2</stp>
        <tr r="B668" s="1"/>
      </tp>
      <tp t="s">
        <v>S</v>
        <stp/>
        <stp>##V3_BDPV12</stp>
        <stp>912833MZ Govt</stp>
        <stp>TICKER</stp>
        <stp>[STRIPS.xlsx]Sheet1!R628C2</stp>
        <tr r="B628" s="1"/>
      </tp>
      <tp t="s">
        <v>S</v>
        <stp/>
        <stp>##V3_BDPV12</stp>
        <stp>912833NN Govt</stp>
        <stp>TICKER</stp>
        <stp>[STRIPS.xlsx]Sheet1!R518C2</stp>
        <tr r="B518" s="1"/>
      </tp>
      <tp t="s">
        <v>S</v>
        <stp/>
        <stp>##V3_BDPV12</stp>
        <stp>912833KF Govt</stp>
        <stp>TICKER</stp>
        <stp>[STRIPS.xlsx]Sheet1!R368C2</stp>
        <tr r="B368" s="1"/>
      </tp>
      <tp t="s">
        <v>S</v>
        <stp/>
        <stp>##V3_BDPV12</stp>
        <stp>912833ML Govt</stp>
        <stp>TICKER</stp>
        <stp>[STRIPS.xlsx]Sheet1!R568C2</stp>
        <tr r="B568" s="1"/>
      </tp>
      <tp t="s">
        <v>S</v>
        <stp/>
        <stp>##V3_BDPV12</stp>
        <stp>912833PF Govt</stp>
        <stp>TICKER</stp>
        <stp>[STRIPS.xlsx]Sheet1!R678C2</stp>
        <tr r="B678" s="1"/>
      </tp>
      <tp t="s">
        <v>S</v>
        <stp/>
        <stp>##V3_BDPV12</stp>
        <stp>912833RM Govt</stp>
        <stp>TICKER</stp>
        <stp>[STRIPS.xlsx]Sheet1!R448C2</stp>
        <tr r="B448" s="1"/>
      </tp>
      <tp t="s">
        <v>S</v>
        <stp/>
        <stp>##V3_BDPV12</stp>
        <stp>912833QU Govt</stp>
        <stp>TICKER</stp>
        <stp>[STRIPS.xlsx]Sheet1!R688C2</stp>
        <tr r="B688" s="1"/>
      </tp>
      <tp t="s">
        <v>S</v>
        <stp/>
        <stp>##V3_BDPV12</stp>
        <stp>912833RK Govt</stp>
        <stp>TICKER</stp>
        <stp>[STRIPS.xlsx]Sheet1!R578C2</stp>
        <tr r="B578" s="1"/>
      </tp>
      <tp t="s">
        <v>S</v>
        <stp/>
        <stp>##V3_BDPV12</stp>
        <stp>912833QW Govt</stp>
        <stp>TICKER</stp>
        <stp>[STRIPS.xlsx]Sheet1!R378C2</stp>
        <tr r="B378" s="1"/>
      </tp>
      <tp t="s">
        <v>S</v>
        <stp/>
        <stp>##V3_BDPV12</stp>
        <stp>912833PM Govt</stp>
        <stp>TICKER</stp>
        <stp>[STRIPS.xlsx]Sheet1!R238C2</stp>
        <tr r="B238" s="1"/>
      </tp>
      <tp t="s">
        <v>S</v>
        <stp/>
        <stp>##V3_BDPV12</stp>
        <stp>912833PV Govt</stp>
        <stp>TICKER</stp>
        <stp>[STRIPS.xlsx]Sheet1!R338C2</stp>
        <tr r="B338" s="1"/>
      </tp>
      <tp t="s">
        <v>S</v>
        <stp/>
        <stp>##V3_BDPV12</stp>
        <stp>912833ZX Govt</stp>
        <stp>TICKER</stp>
        <stp>[STRIPS.xlsx]Sheet1!R588C2</stp>
        <tr r="B588" s="1"/>
      </tp>
      <tp t="s">
        <v>S</v>
        <stp/>
        <stp>##V3_BDPV12</stp>
        <stp>912833ZZ Govt</stp>
        <stp>TICKER</stp>
        <stp>[STRIPS.xlsx]Sheet1!R528C2</stp>
        <tr r="B528" s="1"/>
      </tp>
      <tp t="s">
        <v>S</v>
        <stp/>
        <stp>##V3_BDPV12</stp>
        <stp>912833ZH Govt</stp>
        <stp>TICKER</stp>
        <stp>[STRIPS.xlsx]Sheet1!R698C2</stp>
        <tr r="B698" s="1"/>
      </tp>
      <tp t="s">
        <v>S</v>
        <stp/>
        <stp>##V3_BDPV12</stp>
        <stp>912833ZN Govt</stp>
        <stp>TICKER</stp>
        <stp>[STRIPS.xlsx]Sheet1!R638C2</stp>
        <tr r="B638" s="1"/>
      </tp>
      <tp t="s">
        <v>S</v>
        <stp/>
        <stp>##V3_BDPV12</stp>
        <stp>912833Y8 Govt</stp>
        <stp>TICKER</stp>
        <stp>[STRIPS.xlsx]Sheet1!R248C2</stp>
        <tr r="B248" s="1"/>
      </tp>
      <tp t="s">
        <v>S</v>
        <stp/>
        <stp>##V3_BDPV12</stp>
        <stp>912833ZU Govt</stp>
        <stp>TICKER</stp>
        <stp>[STRIPS.xlsx]Sheet1!R348C2</stp>
        <tr r="B348" s="1"/>
      </tp>
      <tp t="s">
        <v>#N/A Field Not Applicable</v>
        <stp/>
        <stp>##V3_BDPV12</stp>
        <stp>912834RE Govt</stp>
        <stp>FIRST_CPN_DT</stp>
        <stp>[STRIPS.xlsx]Sheet1!R168C9</stp>
        <tr r="I168" s="1"/>
      </tp>
      <tp t="s">
        <v>USD</v>
        <stp/>
        <stp>##V3_BDPV12</stp>
        <stp>912833JY Govt</stp>
        <stp>CRNCY</stp>
        <stp>[STRIPS.xlsx]Sheet1!R173C7</stp>
        <tr r="G173" s="1"/>
      </tp>
      <tp t="s">
        <v>USD</v>
        <stp/>
        <stp>##V3_BDPV12</stp>
        <stp>912833PZ Govt</stp>
        <stp>CRNCY</stp>
        <stp>[STRIPS.xlsx]Sheet1!R240C7</stp>
        <tr r="G240" s="1"/>
      </tp>
      <tp t="s">
        <v>USD</v>
        <stp/>
        <stp>##V3_BDPV12</stp>
        <stp>912833CZ Govt</stp>
        <stp>CRNCY</stp>
        <stp>[STRIPS.xlsx]Sheet1!R220C7</stp>
        <tr r="G220" s="1"/>
      </tp>
      <tp t="s">
        <v>USD</v>
        <stp/>
        <stp>##V3_BDPV12</stp>
        <stp>912834PX Govt</stp>
        <stp>CRNCY</stp>
        <stp>[STRIPS.xlsx]Sheet1!R412C7</stp>
        <tr r="G412" s="1"/>
      </tp>
      <tp t="s">
        <v>USD</v>
        <stp/>
        <stp>##V3_BDPV12</stp>
        <stp>912834DZ Govt</stp>
        <stp>CRNCY</stp>
        <stp>[STRIPS.xlsx]Sheet1!R460C7</stp>
        <tr r="G460" s="1"/>
      </tp>
      <tp t="s">
        <v>USD</v>
        <stp/>
        <stp>##V3_BDPV12</stp>
        <stp>912833CY Govt</stp>
        <stp>CRNCY</stp>
        <stp>[STRIPS.xlsx]Sheet1!R363C7</stp>
        <tr r="G363" s="1"/>
      </tp>
      <tp t="s">
        <v>USD</v>
        <stp/>
        <stp>##V3_BDPV12</stp>
        <stp>912833YY Govt</stp>
        <stp>CRNCY</stp>
        <stp>[STRIPS.xlsx]Sheet1!R453C7</stp>
        <tr r="G453" s="1"/>
      </tp>
      <tp t="s">
        <v>USD</v>
        <stp/>
        <stp>##V3_BDPV12</stp>
        <stp>912834EY Govt</stp>
        <stp>CRNCY</stp>
        <stp>[STRIPS.xlsx]Sheet1!R313C7</stp>
        <tr r="G313" s="1"/>
      </tp>
      <tp t="s">
        <v>USD</v>
        <stp/>
        <stp>##V3_BDPV12</stp>
        <stp>9128336R Govt</stp>
        <stp>CRNCY</stp>
        <stp>[STRIPS.xlsx]Sheet1!R498C7</stp>
        <tr r="G498" s="1"/>
      </tp>
      <tp t="s">
        <v>USD</v>
        <stp/>
        <stp>##V3_BDPV12</stp>
        <stp>9128336Z Govt</stp>
        <stp>CRNCY</stp>
        <stp>[STRIPS.xlsx]Sheet1!R430C7</stp>
        <tr r="G430" s="1"/>
      </tp>
      <tp t="s">
        <v>USD</v>
        <stp/>
        <stp>##V3_BDPV12</stp>
        <stp>912834PS Govt</stp>
        <stp>CRNCY</stp>
        <stp>[STRIPS.xlsx]Sheet1!R209C7</stp>
        <tr r="G209" s="1"/>
      </tp>
      <tp t="s">
        <v>USD</v>
        <stp/>
        <stp>##V3_BDPV12</stp>
        <stp>912833KY Govt</stp>
        <stp>CRNCY</stp>
        <stp>[STRIPS.xlsx]Sheet1!R513C7</stp>
        <tr r="G513" s="1"/>
      </tp>
      <tp t="s">
        <v>USD</v>
        <stp/>
        <stp>##V3_BDPV12</stp>
        <stp>912834UX Govt</stp>
        <stp>CRNCY</stp>
        <stp>[STRIPS.xlsx]Sheet1!R182C7</stp>
        <tr r="G182" s="1"/>
      </tp>
      <tp t="s">
        <v>USD</v>
        <stp/>
        <stp>##V3_BDPV12</stp>
        <stp>912833QY Govt</stp>
        <stp>CRNCY</stp>
        <stp>[STRIPS.xlsx]Sheet1!R633C7</stp>
        <tr r="G633" s="1"/>
      </tp>
      <tp t="s">
        <v>USD</v>
        <stp/>
        <stp>##V3_BDPV12</stp>
        <stp>912834RS Govt</stp>
        <stp>CRNCY</stp>
        <stp>[STRIPS.xlsx]Sheet1!R169C7</stp>
        <tr r="G169" s="1"/>
      </tp>
      <tp t="s">
        <v>USD</v>
        <stp/>
        <stp>##V3_BDPV12</stp>
        <stp>912834NY Govt</stp>
        <stp>CRNCY</stp>
        <stp>[STRIPS.xlsx]Sheet1!R143C7</stp>
        <tr r="G143" s="1"/>
      </tp>
      <tp t="s">
        <v>USD</v>
        <stp/>
        <stp>##V3_BDPV12</stp>
        <stp>912833FX Govt</stp>
        <stp>CRNCY</stp>
        <stp>[STRIPS.xlsx]Sheet1!R622C7</stp>
        <tr r="G622" s="1"/>
      </tp>
      <tp t="s">
        <v>USD</v>
        <stp/>
        <stp>##V3_BDPV12</stp>
        <stp>9128335Z Govt</stp>
        <stp>CRNCY</stp>
        <stp>[STRIPS.xlsx]Sheet1!R650C7</stp>
        <tr r="G650" s="1"/>
      </tp>
      <tp t="s">
        <v>USD</v>
        <stp/>
        <stp>##V3_BDPV12</stp>
        <stp>9128335S Govt</stp>
        <stp>CRNCY</stp>
        <stp>[STRIPS.xlsx]Sheet1!R649C7</stp>
        <tr r="G649" s="1"/>
      </tp>
      <tp t="s">
        <v>US9128335R78</v>
        <stp/>
        <stp>##V3_BDPV12</stp>
        <stp>9128335R Govt</stp>
        <stp>ID_ISIN</stp>
        <stp>[STRIPS.xlsx]Sheet1!R555C12</stp>
        <tr r="L555" s="1"/>
      </tp>
      <tp t="s">
        <v>US9128335P13</v>
        <stp/>
        <stp>##V3_BDPV12</stp>
        <stp>9128335P Govt</stp>
        <stp>ID_ISIN</stp>
        <stp>[STRIPS.xlsx]Sheet1!R723C12</stp>
        <tr r="L723" s="1"/>
      </tp>
      <tp t="s">
        <v>US9128335Q95</v>
        <stp/>
        <stp>##V3_BDPV12</stp>
        <stp>9128335Q Govt</stp>
        <stp>ID_ISIN</stp>
        <stp>[STRIPS.xlsx]Sheet1!R711C12</stp>
        <tr r="L711" s="1"/>
      </tp>
      <tp t="s">
        <v>US9128335S51</v>
        <stp/>
        <stp>##V3_BDPV12</stp>
        <stp>9128335S Govt</stp>
        <stp>ID_ISIN</stp>
        <stp>[STRIPS.xlsx]Sheet1!R649C12</stp>
        <tr r="L649" s="1"/>
      </tp>
      <tp t="s">
        <v>US9128335U08</v>
        <stp/>
        <stp>##V3_BDPV12</stp>
        <stp>9128335U Govt</stp>
        <stp>ID_ISIN</stp>
        <stp>[STRIPS.xlsx]Sheet1!R712C12</stp>
        <tr r="L712" s="1"/>
      </tp>
      <tp t="s">
        <v>US9128335T35</v>
        <stp/>
        <stp>##V3_BDPV12</stp>
        <stp>9128335T Govt</stp>
        <stp>ID_ISIN</stp>
        <stp>[STRIPS.xlsx]Sheet1!R556C12</stp>
        <tr r="L556" s="1"/>
      </tp>
      <tp t="s">
        <v>US9128335V80</v>
        <stp/>
        <stp>##V3_BDPV12</stp>
        <stp>9128335V Govt</stp>
        <stp>ID_ISIN</stp>
        <stp>[STRIPS.xlsx]Sheet1!R724C12</stp>
        <tr r="L724" s="1"/>
      </tp>
      <tp t="s">
        <v>US9128335W63</v>
        <stp/>
        <stp>##V3_BDPV12</stp>
        <stp>9128335W Govt</stp>
        <stp>ID_ISIN</stp>
        <stp>[STRIPS.xlsx]Sheet1!R725C12</stp>
        <tr r="L725" s="1"/>
      </tp>
      <tp t="s">
        <v>US9128335X47</v>
        <stp/>
        <stp>##V3_BDPV12</stp>
        <stp>9128335X Govt</stp>
        <stp>ID_ISIN</stp>
        <stp>[STRIPS.xlsx]Sheet1!R747C12</stp>
        <tr r="L747" s="1"/>
      </tp>
      <tp t="s">
        <v>912833A67</v>
        <stp/>
        <stp>##V3_BDPV12</stp>
        <stp>912833A6 Govt</stp>
        <stp>ID_CUSIP</stp>
        <stp>[STRIPS.xlsx]Sheet1!R652C19</stp>
        <tr r="S652" s="1"/>
      </tp>
      <tp t="s">
        <v>US9128335Y20</v>
        <stp/>
        <stp>##V3_BDPV12</stp>
        <stp>9128335Y Govt</stp>
        <stp>ID_ISIN</stp>
        <stp>[STRIPS.xlsx]Sheet1!R726C12</stp>
        <tr r="L726" s="1"/>
      </tp>
      <tp t="s">
        <v>912833C65</v>
        <stp/>
        <stp>##V3_BDPV12</stp>
        <stp>912833C6 Govt</stp>
        <stp>ID_CUSIP</stp>
        <stp>[STRIPS.xlsx]Sheet1!R563C19</stp>
        <tr r="S563" s="1"/>
      </tp>
      <tp t="s">
        <v>912833B66</v>
        <stp/>
        <stp>##V3_BDPV12</stp>
        <stp>912833B6 Govt</stp>
        <stp>ID_CUSIP</stp>
        <stp>[STRIPS.xlsx]Sheet1!R500C19</stp>
        <tr r="S500" s="1"/>
      </tp>
      <tp t="s">
        <v>US9128335Z94</v>
        <stp/>
        <stp>##V3_BDPV12</stp>
        <stp>9128335Z Govt</stp>
        <stp>ID_ISIN</stp>
        <stp>[STRIPS.xlsx]Sheet1!R650C12</stp>
        <tr r="L650" s="1"/>
      </tp>
      <tp t="s">
        <v>912833Y61</v>
        <stp/>
        <stp>##V3_BDPV12</stp>
        <stp>912833Y6 Govt</stp>
        <stp>ID_CUSIP</stp>
        <stp>[STRIPS.xlsx]Sheet1!R247C19</stp>
        <tr r="S247" s="1"/>
      </tp>
      <tp t="s">
        <v>912833Z60</v>
        <stp/>
        <stp>##V3_BDPV12</stp>
        <stp>912833Z6 Govt</stp>
        <stp>ID_CUSIP</stp>
        <stp>[STRIPS.xlsx]Sheet1!R111C19</stp>
        <tr r="S111" s="1"/>
      </tp>
      <tp t="s">
        <v>US9128335D82</v>
        <stp/>
        <stp>##V3_BDPV12</stp>
        <stp>9128335D Govt</stp>
        <stp>ID_ISIN</stp>
        <stp>[STRIPS.xlsx]Sheet1!R285C12</stp>
        <tr r="L285" s="1"/>
      </tp>
      <tp t="s">
        <v>US9128335G14</v>
        <stp/>
        <stp>##V3_BDPV12</stp>
        <stp>9128335G Govt</stp>
        <stp>ID_ISIN</stp>
        <stp>[STRIPS.xlsx]Sheet1!R286C12</stp>
        <tr r="L286" s="1"/>
      </tp>
      <tp t="s">
        <v>US9128335C00</v>
        <stp/>
        <stp>##V3_BDPV12</stp>
        <stp>9128335C Govt</stp>
        <stp>ID_ISIN</stp>
        <stp>[STRIPS.xlsx]Sheet1!R720C12</stp>
        <tr r="L720" s="1"/>
      </tp>
      <tp t="s">
        <v>US9128335E65</v>
        <stp/>
        <stp>##V3_BDPV12</stp>
        <stp>9128335E Govt</stp>
        <stp>ID_ISIN</stp>
        <stp>[STRIPS.xlsx]Sheet1!R745C12</stp>
        <tr r="L745" s="1"/>
      </tp>
      <tp t="s">
        <v>US9128335F31</v>
        <stp/>
        <stp>##V3_BDPV12</stp>
        <stp>9128335F Govt</stp>
        <stp>ID_ISIN</stp>
        <stp>[STRIPS.xlsx]Sheet1!R721C12</stp>
        <tr r="L721" s="1"/>
      </tp>
      <tp t="s">
        <v>US9128335K26</v>
        <stp/>
        <stp>##V3_BDPV12</stp>
        <stp>9128335K Govt</stp>
        <stp>ID_ISIN</stp>
        <stp>[STRIPS.xlsx]Sheet1!R493C12</stp>
        <tr r="L493" s="1"/>
      </tp>
      <tp t="s">
        <v>US9128335H96</v>
        <stp/>
        <stp>##V3_BDPV12</stp>
        <stp>9128335H Govt</stp>
        <stp>ID_ISIN</stp>
        <stp>[STRIPS.xlsx]Sheet1!R722C12</stp>
        <tr r="L722" s="1"/>
      </tp>
      <tp t="s">
        <v>US9128335L09</v>
        <stp/>
        <stp>##V3_BDPV12</stp>
        <stp>9128335L Govt</stp>
        <stp>ID_ISIN</stp>
        <stp>[STRIPS.xlsx]Sheet1!R287C12</stp>
        <tr r="L287" s="1"/>
      </tp>
      <tp t="s">
        <v>US9128335J52</v>
        <stp/>
        <stp>##V3_BDPV12</stp>
        <stp>9128335J Govt</stp>
        <stp>ID_ISIN</stp>
        <stp>[STRIPS.xlsx]Sheet1!R492C12</stp>
        <tr r="L492" s="1"/>
      </tp>
      <tp t="s">
        <v>US9128335M81</v>
        <stp/>
        <stp>##V3_BDPV12</stp>
        <stp>9128335M Govt</stp>
        <stp>ID_ISIN</stp>
        <stp>[STRIPS.xlsx]Sheet1!R710C12</stp>
        <tr r="L710" s="1"/>
      </tp>
      <tp t="s">
        <v>US9128335N64</v>
        <stp/>
        <stp>##V3_BDPV12</stp>
        <stp>9128335N Govt</stp>
        <stp>ID_ISIN</stp>
        <stp>[STRIPS.xlsx]Sheet1!R746C12</stp>
        <tr r="L746" s="1"/>
      </tp>
      <tp t="s">
        <v>#N/A Field Not Applicable</v>
        <stp/>
        <stp>##V3_BDPV12</stp>
        <stp>912833Y3 Govt</stp>
        <stp>FIRST_CPN_DT</stp>
        <stp>[STRIPS.xlsx]Sheet1!R103C9</stp>
        <tr r="I103" s="1"/>
      </tp>
      <tp t="s">
        <v>#N/A Field Not Applicable</v>
        <stp/>
        <stp>##V3_BDPV12</stp>
        <stp>912833Y7 Govt</stp>
        <stp>FIRST_CPN_DT</stp>
        <stp>[STRIPS.xlsx]Sheet1!R583C9</stp>
        <tr r="I583" s="1"/>
      </tp>
      <tp t="s">
        <v>S 0 11/15/35</v>
        <stp/>
        <stp>##V3_BDPV12</stp>
        <stp>912833X9 Govt</stp>
        <stp>SECURITY_NAME</stp>
        <stp>[STRIPS.xlsx]Sheet1!R59C16</stp>
        <tr r="P59" s="1"/>
      </tp>
      <tp t="s">
        <v>#N/A Field Not Applicable</v>
        <stp/>
        <stp>##V3_BDPV12</stp>
        <stp>912833PX Govt</stp>
        <stp>FIRST_CPN_DT</stp>
        <stp>[STRIPS.xlsx]Sheet1!R339C9</stp>
        <tr r="I339" s="1"/>
      </tp>
      <tp t="s">
        <v>#N/A Field Not Applicable</v>
        <stp/>
        <stp>##V3_BDPV12</stp>
        <stp>912834QP Govt</stp>
        <stp>FIRST_CPN_DT</stp>
        <stp>[STRIPS.xlsx]Sheet1!R108C9</stp>
        <tr r="I108" s="1"/>
      </tp>
      <tp t="s">
        <v>#N/A Field Not Applicable</v>
        <stp/>
        <stp>##V3_BDPV12</stp>
        <stp>912834PS Govt</stp>
        <stp>FIRST_CPN_DT</stp>
        <stp>[STRIPS.xlsx]Sheet1!R209C9</stp>
        <tr r="I209" s="1"/>
      </tp>
      <tp t="s">
        <v>#N/A Field Not Applicable</v>
        <stp/>
        <stp>##V3_BDPV12</stp>
        <stp>912834PR Govt</stp>
        <stp>FIRST_CPN_DT</stp>
        <stp>[STRIPS.xlsx]Sheet1!R549C9</stp>
        <tr r="I549" s="1"/>
      </tp>
      <tp t="s">
        <v>#N/A Field Not Applicable</v>
        <stp/>
        <stp>##V3_BDPV12</stp>
        <stp>912833ZR Govt</stp>
        <stp>FIRST_CPN_DT</stp>
        <stp>[STRIPS.xlsx]Sheet1!R383C9</stp>
        <tr r="I383" s="1"/>
      </tp>
      <tp t="s">
        <v>#N/A Field Not Applicable</v>
        <stp/>
        <stp>##V3_BDPV12</stp>
        <stp>912833QU Govt</stp>
        <stp>FIRST_CPN_DT</stp>
        <stp>[STRIPS.xlsx]Sheet1!R688C9</stp>
        <tr r="I688" s="1"/>
      </tp>
      <tp t="s">
        <v>#N/A Field Not Applicable</v>
        <stp/>
        <stp>##V3_BDPV12</stp>
        <stp>912833PW Govt</stp>
        <stp>FIRST_CPN_DT</stp>
        <stp>[STRIPS.xlsx]Sheet1!R239C9</stp>
        <tr r="I239" s="1"/>
      </tp>
      <tp t="s">
        <v>#N/A Field Not Applicable</v>
        <stp/>
        <stp>##V3_BDPV12</stp>
        <stp>912833QW Govt</stp>
        <stp>FIRST_CPN_DT</stp>
        <stp>[STRIPS.xlsx]Sheet1!R378C9</stp>
        <tr r="I378" s="1"/>
      </tp>
      <tp t="s">
        <v>#N/A Field Not Applicable</v>
        <stp/>
        <stp>##V3_BDPV12</stp>
        <stp>912834PV Govt</stp>
        <stp>FIRST_CPN_DT</stp>
        <stp>[STRIPS.xlsx]Sheet1!R479C9</stp>
        <tr r="I479" s="1"/>
      </tp>
      <tp t="s">
        <v>#N/A Field Not Applicable</v>
        <stp/>
        <stp>##V3_BDPV12</stp>
        <stp>912833YV Govt</stp>
        <stp>FIRST_CPN_DT</stp>
        <stp>[STRIPS.xlsx]Sheet1!R250C9</stp>
        <tr r="I250" s="1"/>
      </tp>
      <tp t="s">
        <v>#N/A Field Not Applicable</v>
        <stp/>
        <stp>##V3_BDPV12</stp>
        <stp>912834QK Govt</stp>
        <stp>FIRST_CPN_DT</stp>
        <stp>[STRIPS.xlsx]Sheet1!R278C9</stp>
        <tr r="I278" s="1"/>
      </tp>
      <tp t="s">
        <v>#N/A Field Not Applicable</v>
        <stp/>
        <stp>##V3_BDPV12</stp>
        <stp>912834PK Govt</stp>
        <stp>FIRST_CPN_DT</stp>
        <stp>[STRIPS.xlsx]Sheet1!R329C9</stp>
        <tr r="I329" s="1"/>
      </tp>
      <tp t="s">
        <v>#N/A Field Not Applicable</v>
        <stp/>
        <stp>##V3_BDPV12</stp>
        <stp>912834PB Govt</stp>
        <stp>FIRST_CPN_DT</stp>
        <stp>[STRIPS.xlsx]Sheet1!R109C9</stp>
        <tr r="I109" s="1"/>
      </tp>
      <tp t="s">
        <v>USD</v>
        <stp/>
        <stp>##V3_BDPV12</stp>
        <stp>912834TQ Govt</stp>
        <stp>CRNCY</stp>
        <stp>[STRIPS.xlsx]Sheet1!R758C7</stp>
        <tr r="G758" s="1"/>
      </tp>
      <tp t="s">
        <v>USD</v>
        <stp/>
        <stp>##V3_BDPV12</stp>
        <stp>912833YX Govt</stp>
        <stp>CRNCY</stp>
        <stp>[STRIPS.xlsx]Sheet1!R381C7</stp>
        <tr r="G381" s="1"/>
      </tp>
      <tp t="s">
        <v>USD</v>
        <stp/>
        <stp>##V3_BDPV12</stp>
        <stp>912833PY Govt</stp>
        <stp>CRNCY</stp>
        <stp>[STRIPS.xlsx]Sheet1!R340C7</stp>
        <tr r="G340" s="1"/>
      </tp>
      <tp t="s">
        <v>USD</v>
        <stp/>
        <stp>##V3_BDPV12</stp>
        <stp>912834KX Govt</stp>
        <stp>CRNCY</stp>
        <stp>[STRIPS.xlsx]Sheet1!R471C7</stp>
        <tr r="G471" s="1"/>
      </tp>
      <tp t="s">
        <v>USD</v>
        <stp/>
        <stp>##V3_BDPV12</stp>
        <stp>912834MQ Govt</stp>
        <stp>CRNCY</stp>
        <stp>[STRIPS.xlsx]Sheet1!R418C7</stp>
        <tr r="G418" s="1"/>
      </tp>
      <tp t="s">
        <v>USD</v>
        <stp/>
        <stp>##V3_BDPV12</stp>
        <stp>912833BX Govt</stp>
        <stp>CRNCY</stp>
        <stp>[STRIPS.xlsx]Sheet1!R361C7</stp>
        <tr r="G361" s="1"/>
      </tp>
      <tp t="s">
        <v>USD</v>
        <stp/>
        <stp>##V3_BDPV12</stp>
        <stp>912834BP Govt</stp>
        <stp>CRNCY</stp>
        <stp>[STRIPS.xlsx]Sheet1!R389C7</stp>
        <tr r="G389" s="1"/>
      </tp>
      <tp t="s">
        <v>USD</v>
        <stp/>
        <stp>##V3_BDPV12</stp>
        <stp>912834KQ Govt</stp>
        <stp>CRNCY</stp>
        <stp>[STRIPS.xlsx]Sheet1!R318C7</stp>
        <tr r="G318" s="1"/>
      </tp>
      <tp t="s">
        <v>USD</v>
        <stp/>
        <stp>##V3_BDPV12</stp>
        <stp>912834DX Govt</stp>
        <stp>CRNCY</stp>
        <stp>[STRIPS.xlsx]Sheet1!R391C7</stp>
        <tr r="G391" s="1"/>
      </tp>
      <tp t="s">
        <v>USD</v>
        <stp/>
        <stp>##V3_BDPV12</stp>
        <stp>912833CQ Govt</stp>
        <stp>CRNCY</stp>
        <stp>[STRIPS.xlsx]Sheet1!R438C7</stp>
        <tr r="G438" s="1"/>
      </tp>
      <tp t="s">
        <v>USD</v>
        <stp/>
        <stp>##V3_BDPV12</stp>
        <stp>912834JX Govt</stp>
        <stp>CRNCY</stp>
        <stp>[STRIPS.xlsx]Sheet1!R221C7</stp>
        <tr r="G221" s="1"/>
      </tp>
      <tp t="s">
        <v>USD</v>
        <stp/>
        <stp>##V3_BDPV12</stp>
        <stp>9128333X Govt</stp>
        <stp>CRNCY</stp>
        <stp>[STRIPS.xlsx]Sheet1!R601C7</stp>
        <tr r="G601" s="1"/>
      </tp>
      <tp t="s">
        <v>USD</v>
        <stp/>
        <stp>##V3_BDPV12</stp>
        <stp>9128336P Govt</stp>
        <stp>CRNCY</stp>
        <stp>[STRIPS.xlsx]Sheet1!R729C7</stp>
        <tr r="G729" s="1"/>
      </tp>
      <tp t="s">
        <v>#N/A Field Not Applicable</v>
        <stp/>
        <stp>##V3_BDPV12</stp>
        <stp>912833PG Govt</stp>
        <stp>FIRST_CPN_DT</stp>
        <stp>[STRIPS.xlsx]Sheet1!R679C9</stp>
        <tr r="I679" s="1"/>
      </tp>
      <tp t="s">
        <v>#N/A Field Not Applicable</v>
        <stp/>
        <stp>##V3_BDPV12</stp>
        <stp>912833ZG Govt</stp>
        <stp>FIRST_CPN_DT</stp>
        <stp>[STRIPS.xlsx]Sheet1!R253C9</stp>
        <tr r="I253" s="1"/>
      </tp>
      <tp t="s">
        <v>US9128336P04</v>
        <stp/>
        <stp>##V3_BDPV12</stp>
        <stp>9128336P Govt</stp>
        <stp>ID_ISIN</stp>
        <stp>[STRIPS.xlsx]Sheet1!R729C12</stp>
        <tr r="L729" s="1"/>
      </tp>
      <tp t="s">
        <v>US9128336R69</v>
        <stp/>
        <stp>##V3_BDPV12</stp>
        <stp>9128336R Govt</stp>
        <stp>ID_ISIN</stp>
        <stp>[STRIPS.xlsx]Sheet1!R498C12</stp>
        <tr r="L498" s="1"/>
      </tp>
      <tp t="s">
        <v>US9128336Q86</v>
        <stp/>
        <stp>##V3_BDPV12</stp>
        <stp>9128336Q Govt</stp>
        <stp>ID_ISIN</stp>
        <stp>[STRIPS.xlsx]Sheet1!R750C12</stp>
        <tr r="L750" s="1"/>
      </tp>
      <tp t="s">
        <v>US9128336S43</v>
        <stp/>
        <stp>##V3_BDPV12</stp>
        <stp>9128336S Govt</stp>
        <stp>ID_ISIN</stp>
        <stp>[STRIPS.xlsx]Sheet1!R751C12</stp>
        <tr r="L751" s="1"/>
      </tp>
      <tp t="s">
        <v>US9128336U98</v>
        <stp/>
        <stp>##V3_BDPV12</stp>
        <stp>9128336U Govt</stp>
        <stp>ID_ISIN</stp>
        <stp>[STRIPS.xlsx]Sheet1!R606C12</stp>
        <tr r="L606" s="1"/>
      </tp>
      <tp t="s">
        <v>US9128336T26</v>
        <stp/>
        <stp>##V3_BDPV12</stp>
        <stp>9128336T Govt</stp>
        <stp>ID_ISIN</stp>
        <stp>[STRIPS.xlsx]Sheet1!R714C12</stp>
        <tr r="L714" s="1"/>
      </tp>
      <tp t="s">
        <v>US9128336W54</v>
        <stp/>
        <stp>##V3_BDPV12</stp>
        <stp>9128336W Govt</stp>
        <stp>ID_ISIN</stp>
        <stp>[STRIPS.xlsx]Sheet1!R607C12</stp>
        <tr r="L607" s="1"/>
      </tp>
      <tp t="s">
        <v>US9128336V71</v>
        <stp/>
        <stp>##V3_BDPV12</stp>
        <stp>9128336V Govt</stp>
        <stp>ID_ISIN</stp>
        <stp>[STRIPS.xlsx]Sheet1!R715C12</stp>
        <tr r="L715" s="1"/>
      </tp>
      <tp t="s">
        <v>US9128336Z85</v>
        <stp/>
        <stp>##V3_BDPV12</stp>
        <stp>9128336Z Govt</stp>
        <stp>ID_ISIN</stp>
        <stp>[STRIPS.xlsx]Sheet1!R430C12</stp>
        <tr r="L430" s="1"/>
      </tp>
      <tp t="s">
        <v>US9128336Y11</v>
        <stp/>
        <stp>##V3_BDPV12</stp>
        <stp>9128336Y Govt</stp>
        <stp>ID_ISIN</stp>
        <stp>[STRIPS.xlsx]Sheet1!R429C12</stp>
        <tr r="L429" s="1"/>
      </tp>
      <tp t="s">
        <v>912833Y53</v>
        <stp/>
        <stp>##V3_BDPV12</stp>
        <stp>912833Y5 Govt</stp>
        <stp>ID_CUSIP</stp>
        <stp>[STRIPS.xlsx]Sheet1!R582C19</stp>
        <tr r="S582" s="1"/>
      </tp>
      <tp t="s">
        <v>912833A59</v>
        <stp/>
        <stp>##V3_BDPV12</stp>
        <stp>912833A5 Govt</stp>
        <stp>ID_CUSIP</stp>
        <stp>[STRIPS.xlsx]Sheet1!R432C19</stp>
        <tr r="S432" s="1"/>
      </tp>
      <tp t="s">
        <v>912833C57</v>
        <stp/>
        <stp>##V3_BDPV12</stp>
        <stp>912833C5 Govt</stp>
        <stp>ID_CUSIP</stp>
        <stp>[STRIPS.xlsx]Sheet1!R435C19</stp>
        <tr r="S435" s="1"/>
      </tp>
      <tp t="s">
        <v>912833B58</v>
        <stp/>
        <stp>##V3_BDPV12</stp>
        <stp>912833B5 Govt</stp>
        <stp>ID_CUSIP</stp>
        <stp>[STRIPS.xlsx]Sheet1!R331C19</stp>
        <tr r="S331" s="1"/>
      </tp>
      <tp t="s">
        <v>US9128336X38</v>
        <stp/>
        <stp>##V3_BDPV12</stp>
        <stp>9128336X Govt</stp>
        <stp>ID_ISIN</stp>
        <stp>[STRIPS.xlsx]Sheet1!R290C12</stp>
        <tr r="L290" s="1"/>
      </tp>
      <tp t="s">
        <v>US9128336A35</v>
        <stp/>
        <stp>##V3_BDPV12</stp>
        <stp>9128336A Govt</stp>
        <stp>ID_ISIN</stp>
        <stp>[STRIPS.xlsx]Sheet1!R748C12</stp>
        <tr r="L748" s="1"/>
      </tp>
      <tp t="s">
        <v>US9128336B18</v>
        <stp/>
        <stp>##V3_BDPV12</stp>
        <stp>9128336B Govt</stp>
        <stp>ID_ISIN</stp>
        <stp>[STRIPS.xlsx]Sheet1!R727C12</stp>
        <tr r="L727" s="1"/>
      </tp>
      <tp t="s">
        <v>US9128336F22</v>
        <stp/>
        <stp>##V3_BDPV12</stp>
        <stp>9128336F Govt</stp>
        <stp>ID_ISIN</stp>
        <stp>[STRIPS.xlsx]Sheet1!R288C12</stp>
        <tr r="L288" s="1"/>
      </tp>
      <tp t="s">
        <v>US9128336C90</v>
        <stp/>
        <stp>##V3_BDPV12</stp>
        <stp>9128336C Govt</stp>
        <stp>ID_ISIN</stp>
        <stp>[STRIPS.xlsx]Sheet1!R713C12</stp>
        <tr r="L713" s="1"/>
      </tp>
      <tp t="s">
        <v>US9128336G05</v>
        <stp/>
        <stp>##V3_BDPV12</stp>
        <stp>9128336G Govt</stp>
        <stp>ID_ISIN</stp>
        <stp>[STRIPS.xlsx]Sheet1!R494C12</stp>
        <tr r="L494" s="1"/>
      </tp>
      <tp t="s">
        <v>US9128336D73</v>
        <stp/>
        <stp>##V3_BDPV12</stp>
        <stp>9128336D Govt</stp>
        <stp>ID_ISIN</stp>
        <stp>[STRIPS.xlsx]Sheet1!R749C12</stp>
        <tr r="L749" s="1"/>
      </tp>
      <tp t="s">
        <v>US9128336E56</v>
        <stp/>
        <stp>##V3_BDPV12</stp>
        <stp>9128336E Govt</stp>
        <stp>ID_ISIN</stp>
        <stp>[STRIPS.xlsx]Sheet1!R728C12</stp>
        <tr r="L728" s="1"/>
      </tp>
      <tp t="s">
        <v>US9128336K17</v>
        <stp/>
        <stp>##V3_BDPV12</stp>
        <stp>9128336K Govt</stp>
        <stp>ID_ISIN</stp>
        <stp>[STRIPS.xlsx]Sheet1!R496C12</stp>
        <tr r="L496" s="1"/>
      </tp>
      <tp t="s">
        <v>US9128336H87</v>
        <stp/>
        <stp>##V3_BDPV12</stp>
        <stp>9128336H Govt</stp>
        <stp>ID_ISIN</stp>
        <stp>[STRIPS.xlsx]Sheet1!R495C12</stp>
        <tr r="L495" s="1"/>
      </tp>
      <tp t="s">
        <v>US9128336N55</v>
        <stp/>
        <stp>##V3_BDPV12</stp>
        <stp>9128336N Govt</stp>
        <stp>ID_ISIN</stp>
        <stp>[STRIPS.xlsx]Sheet1!R497C12</stp>
        <tr r="L497" s="1"/>
      </tp>
      <tp t="s">
        <v>US9128336L99</v>
        <stp/>
        <stp>##V3_BDPV12</stp>
        <stp>9128336L Govt</stp>
        <stp>ID_ISIN</stp>
        <stp>[STRIPS.xlsx]Sheet1!R557C12</stp>
        <tr r="L557" s="1"/>
      </tp>
      <tp t="s">
        <v>US9128336J44</v>
        <stp/>
        <stp>##V3_BDPV12</stp>
        <stp>9128336J Govt</stp>
        <stp>ID_ISIN</stp>
        <stp>[STRIPS.xlsx]Sheet1!R289C12</stp>
        <tr r="L289" s="1"/>
      </tp>
      <tp t="s">
        <v>US9128336M72</v>
        <stp/>
        <stp>##V3_BDPV12</stp>
        <stp>9128336M Govt</stp>
        <stp>ID_ISIN</stp>
        <stp>[STRIPS.xlsx]Sheet1!R558C12</stp>
        <tr r="L558" s="1"/>
      </tp>
      <tp t="s">
        <v>#N/A Field Not Applicable</v>
        <stp/>
        <stp>##V3_BDPV12</stp>
        <stp>912833Y9 Govt</stp>
        <stp>FIRST_CPN_DT</stp>
        <stp>[STRIPS.xlsx]Sheet1!R450C9</stp>
        <tr r="I450" s="1"/>
      </tp>
      <tp t="s">
        <v>#N/A Field Not Applicable</v>
        <stp/>
        <stp>##V3_BDPV12</stp>
        <stp>912833YX Govt</stp>
        <stp>FIRST_CPN_DT</stp>
        <stp>[STRIPS.xlsx]Sheet1!R381C9</stp>
        <tr r="I381" s="1"/>
      </tp>
      <tp t="s">
        <v>#N/A Field Not Applicable</v>
        <stp/>
        <stp>##V3_BDPV12</stp>
        <stp>912834QZ Govt</stp>
        <stp>FIRST_CPN_DT</stp>
        <stp>[STRIPS.xlsx]Sheet1!R279C9</stp>
        <tr r="I279" s="1"/>
      </tp>
      <tp t="s">
        <v>#N/A Field Not Applicable</v>
        <stp/>
        <stp>##V3_BDPV12</stp>
        <stp>912833QZ Govt</stp>
        <stp>FIRST_CPN_DT</stp>
        <stp>[STRIPS.xlsx]Sheet1!R379C9</stp>
        <tr r="I379" s="1"/>
      </tp>
      <tp t="s">
        <v>#N/A Field Not Applicable</v>
        <stp/>
        <stp>##V3_BDPV12</stp>
        <stp>912833ZP Govt</stp>
        <stp>FIRST_CPN_DT</stp>
        <stp>[STRIPS.xlsx]Sheet1!R192C9</stp>
        <tr r="I192" s="1"/>
      </tp>
      <tp t="s">
        <v>#N/A Field Not Applicable</v>
        <stp/>
        <stp>##V3_BDPV12</stp>
        <stp>912833PV Govt</stp>
        <stp>FIRST_CPN_DT</stp>
        <stp>[STRIPS.xlsx]Sheet1!R338C9</stp>
        <tr r="I338" s="1"/>
      </tp>
      <tp t="s">
        <v>#N/A Field Not Applicable</v>
        <stp/>
        <stp>##V3_BDPV12</stp>
        <stp>912834XH Govt</stp>
        <stp>FIRST_CPN_DT</stp>
        <stp>[STRIPS.xlsx]Sheet1!R150C9</stp>
        <tr r="I150" s="1"/>
      </tp>
      <tp t="s">
        <v>#N/A Field Not Applicable</v>
        <stp/>
        <stp>##V3_BDPV12</stp>
        <stp>912833QK Govt</stp>
        <stp>FIRST_CPN_DT</stp>
        <stp>[STRIPS.xlsx]Sheet1!R519C9</stp>
        <tr r="I519" s="1"/>
      </tp>
      <tp t="s">
        <v>#N/A Field Not Applicable</v>
        <stp/>
        <stp>##V3_BDPV12</stp>
        <stp>912833PM Govt</stp>
        <stp>FIRST_CPN_DT</stp>
        <stp>[STRIPS.xlsx]Sheet1!R238C9</stp>
        <tr r="I238" s="1"/>
      </tp>
      <tp t="s">
        <v>#N/A Field Not Applicable</v>
        <stp/>
        <stp>##V3_BDPV12</stp>
        <stp>912834PL Govt</stp>
        <stp>FIRST_CPN_DT</stp>
        <stp>[STRIPS.xlsx]Sheet1!R128C9</stp>
        <tr r="I128" s="1"/>
      </tp>
      <tp t="s">
        <v>#N/A Field Not Applicable</v>
        <stp/>
        <stp>##V3_BDPV12</stp>
        <stp>912834QN Govt</stp>
        <stp>FIRST_CPN_DT</stp>
        <stp>[STRIPS.xlsx]Sheet1!R179C9</stp>
        <tr r="I179" s="1"/>
      </tp>
      <tp t="s">
        <v>#N/A Field Not Applicable</v>
        <stp/>
        <stp>##V3_BDPV12</stp>
        <stp>912834XA Govt</stp>
        <stp>FIRST_CPN_DT</stp>
        <stp>[STRIPS.xlsx]Sheet1!R190C9</stp>
        <tr r="I190" s="1"/>
      </tp>
      <tp t="s">
        <v>#N/A Field Not Applicable</v>
        <stp/>
        <stp>##V3_BDPV12</stp>
        <stp>912834PC Govt</stp>
        <stp>FIRST_CPN_DT</stp>
        <stp>[STRIPS.xlsx]Sheet1!R148C9</stp>
        <tr r="I148" s="1"/>
      </tp>
      <tp t="s">
        <v>#N/A Field Not Applicable</v>
        <stp/>
        <stp>##V3_BDPV12</stp>
        <stp>912833YB Govt</stp>
        <stp>FIRST_CPN_DT</stp>
        <stp>[STRIPS.xlsx]Sheet1!R451C9</stp>
        <tr r="I451" s="1"/>
      </tp>
      <tp t="s">
        <v>#N/A Field Not Applicable</v>
        <stp/>
        <stp>##V3_BDPV12</stp>
        <stp>912834QE Govt</stp>
        <stp>FIRST_CPN_DT</stp>
        <stp>[STRIPS.xlsx]Sheet1!R149C9</stp>
        <tr r="I149" s="1"/>
      </tp>
      <tp t="s">
        <v>#N/A Field Not Applicable</v>
        <stp/>
        <stp>##V3_BDPV12</stp>
        <stp>912833ZE Govt</stp>
        <stp>FIRST_CPN_DT</stp>
        <stp>[STRIPS.xlsx]Sheet1!R252C9</stp>
        <tr r="I252" s="1"/>
      </tp>
      <tp t="s">
        <v>#N/A Field Not Applicable</v>
        <stp/>
        <stp>##V3_BDPV12</stp>
        <stp>912834PD Govt</stp>
        <stp>FIRST_CPN_DT</stp>
        <stp>[STRIPS.xlsx]Sheet1!R478C9</stp>
        <tr r="I478" s="1"/>
      </tp>
      <tp t="s">
        <v>USD</v>
        <stp/>
        <stp>##V3_BDPV12</stp>
        <stp>912833KZ Govt</stp>
        <stp>CRNCY</stp>
        <stp>[STRIPS.xlsx]Sheet1!R152C7</stp>
        <tr r="G152" s="1"/>
      </tp>
      <tp t="s">
        <v>USD</v>
        <stp/>
        <stp>##V3_BDPV12</stp>
        <stp>9128336X Govt</stp>
        <stp>CRNCY</stp>
        <stp>[STRIPS.xlsx]Sheet1!R290C7</stp>
        <tr r="G290" s="1"/>
      </tp>
      <tp t="s">
        <v>USD</v>
        <stp/>
        <stp>##V3_BDPV12</stp>
        <stp>912834NX Govt</stp>
        <stp>CRNCY</stp>
        <stp>[STRIPS.xlsx]Sheet1!R410C7</stp>
        <tr r="G410" s="1"/>
      </tp>
      <tp t="s">
        <v>USD</v>
        <stp/>
        <stp>##V3_BDPV12</stp>
        <stp>912834BQ Govt</stp>
        <stp>CRNCY</stp>
        <stp>[STRIPS.xlsx]Sheet1!R459C7</stp>
        <tr r="G459" s="1"/>
      </tp>
      <tp t="s">
        <v>USD</v>
        <stp/>
        <stp>##V3_BDPV12</stp>
        <stp>912833BY Govt</stp>
        <stp>CRNCY</stp>
        <stp>[STRIPS.xlsx]Sheet1!R501C7</stp>
        <tr r="G501" s="1"/>
      </tp>
      <tp t="s">
        <v>USD</v>
        <stp/>
        <stp>##V3_BDPV12</stp>
        <stp>912833BZ Govt</stp>
        <stp>CRNCY</stp>
        <stp>[STRIPS.xlsx]Sheet1!R562C7</stp>
        <tr r="G562" s="1"/>
      </tp>
      <tp t="s">
        <v>USD</v>
        <stp/>
        <stp>##V3_BDPV12</stp>
        <stp>912833ZQ Govt</stp>
        <stp>CRNCY</stp>
        <stp>[STRIPS.xlsx]Sheet1!R639C7</stp>
        <tr r="G639" s="1"/>
      </tp>
      <tp t="s">
        <v>USD</v>
        <stp/>
        <stp>##V3_BDPV12</stp>
        <stp>912834QP Govt</stp>
        <stp>CRNCY</stp>
        <stp>[STRIPS.xlsx]Sheet1!R108C7</stp>
        <tr r="G108" s="1"/>
      </tp>
      <tp t="s">
        <v>USD</v>
        <stp/>
        <stp>##V3_BDPV12</stp>
        <stp>9128333Z Govt</stp>
        <stp>CRNCY</stp>
        <stp>[STRIPS.xlsx]Sheet1!R602C7</stp>
        <tr r="G602" s="1"/>
      </tp>
      <tp t="s">
        <v>USD</v>
        <stp/>
        <stp>##V3_BDPV12</stp>
        <stp>9128333Q Govt</stp>
        <stp>CRNCY</stp>
        <stp>[STRIPS.xlsx]Sheet1!R719C7</stp>
        <tr r="G719" s="1"/>
      </tp>
      <tp t="s">
        <v>#N/A Field Not Applicable</v>
        <stp/>
        <stp>##V3_BDPV12</stp>
        <stp>912833PF Govt</stp>
        <stp>FIRST_CPN_DT</stp>
        <stp>[STRIPS.xlsx]Sheet1!R678C9</stp>
        <tr r="I678" s="1"/>
      </tp>
      <tp t="s">
        <v>US9128337V62</v>
        <stp/>
        <stp>##V3_BDPV12</stp>
        <stp>9128337V Govt</stp>
        <stp>ID_ISIN</stp>
        <stp>[STRIPS.xlsx]Sheet1!R100C12</stp>
        <tr r="L100" s="1"/>
      </tp>
      <tp t="s">
        <v>US9128337T17</v>
        <stp/>
        <stp>##V3_BDPV12</stp>
        <stp>9128337T Govt</stp>
        <stp>ID_ISIN</stp>
        <stp>[STRIPS.xlsx]Sheet1!R121C12</stp>
        <tr r="L121" s="1"/>
      </tp>
      <tp t="s">
        <v>US9128337R50</v>
        <stp/>
        <stp>##V3_BDPV12</stp>
        <stp>9128337R Govt</stp>
        <stp>ID_ISIN</stp>
        <stp>[STRIPS.xlsx]Sheet1!R114C12</stp>
        <tr r="L114" s="1"/>
      </tp>
      <tp t="s">
        <v>912833B41</v>
        <stp/>
        <stp>##V3_BDPV12</stp>
        <stp>912833B4 Govt</stp>
        <stp>ID_CUSIP</stp>
        <stp>[STRIPS.xlsx]Sheet1!R654C19</stp>
        <tr r="S654" s="1"/>
      </tp>
      <tp t="s">
        <v>912833C40</v>
        <stp/>
        <stp>##V3_BDPV12</stp>
        <stp>912833C4 Govt</stp>
        <stp>ID_CUSIP</stp>
        <stp>[STRIPS.xlsx]Sheet1!R612C19</stp>
        <tr r="S612" s="1"/>
      </tp>
      <tp t="s">
        <v>912833A42</v>
        <stp/>
        <stp>##V3_BDPV12</stp>
        <stp>912833A4 Govt</stp>
        <stp>ID_CUSIP</stp>
        <stp>[STRIPS.xlsx]Sheet1!R330C19</stp>
        <tr r="S330" s="1"/>
      </tp>
      <tp t="s">
        <v>912833Z45</v>
        <stp/>
        <stp>##V3_BDPV12</stp>
        <stp>912833Z4 Govt</stp>
        <stp>ID_CUSIP</stp>
        <stp>[STRIPS.xlsx]Sheet1!R382C19</stp>
        <tr r="S382" s="1"/>
      </tp>
      <tp t="s">
        <v>US9128337D64</v>
        <stp/>
        <stp>##V3_BDPV12</stp>
        <stp>9128337D Govt</stp>
        <stp>ID_ISIN</stp>
        <stp>[STRIPS.xlsx]Sheet1!R291C12</stp>
        <tr r="L291" s="1"/>
      </tp>
      <tp t="s">
        <v>US9128337A26</v>
        <stp/>
        <stp>##V3_BDPV12</stp>
        <stp>9128337A Govt</stp>
        <stp>ID_ISIN</stp>
        <stp>[STRIPS.xlsx]Sheet1!R499C12</stp>
        <tr r="L499" s="1"/>
      </tp>
      <tp t="s">
        <v>US9128337G95</v>
        <stp/>
        <stp>##V3_BDPV12</stp>
        <stp>9128337G Govt</stp>
        <stp>ID_ISIN</stp>
        <stp>[STRIPS.xlsx]Sheet1!R716C12</stp>
        <tr r="L716" s="1"/>
      </tp>
      <tp t="s">
        <v>US9128337J35</v>
        <stp/>
        <stp>##V3_BDPV12</stp>
        <stp>9128337J Govt</stp>
        <stp>ID_ISIN</stp>
        <stp>[STRIPS.xlsx]Sheet1!R730C12</stp>
        <tr r="L730" s="1"/>
      </tp>
      <tp t="s">
        <v>US9128337H78</v>
        <stp/>
        <stp>##V3_BDPV12</stp>
        <stp>9128337H Govt</stp>
        <stp>ID_ISIN</stp>
        <stp>[STRIPS.xlsx]Sheet1!R431C12</stp>
        <tr r="L431" s="1"/>
      </tp>
      <tp t="s">
        <v>US9128337L80</v>
        <stp/>
        <stp>##V3_BDPV12</stp>
        <stp>9128337L Govt</stp>
        <stp>ID_ISIN</stp>
        <stp>[STRIPS.xlsx]Sheet1!R651C12</stp>
        <tr r="L651" s="1"/>
      </tp>
      <tp t="s">
        <v>US9128337K08</v>
        <stp/>
        <stp>##V3_BDPV12</stp>
        <stp>9128337K Govt</stp>
        <stp>ID_ISIN</stp>
        <stp>[STRIPS.xlsx]Sheet1!R292C12</stp>
        <tr r="L292" s="1"/>
      </tp>
      <tp t="s">
        <v>US9128337M63</v>
        <stp/>
        <stp>##V3_BDPV12</stp>
        <stp>9128337M Govt</stp>
        <stp>ID_ISIN</stp>
        <stp>[STRIPS.xlsx]Sheet1!R559C12</stp>
        <tr r="L559" s="1"/>
      </tp>
      <tp t="s">
        <v>#N/A Field Not Applicable</v>
        <stp/>
        <stp>##V3_BDPV12</stp>
        <stp>912833Z4 Govt</stp>
        <stp>FIRST_CPN_DT</stp>
        <stp>[STRIPS.xlsx]Sheet1!R382C9</stp>
        <tr r="I382" s="1"/>
      </tp>
      <tp t="s">
        <v>#N/A Field Not Applicable</v>
        <stp/>
        <stp>##V3_BDPV12</stp>
        <stp>912833ZY Govt</stp>
        <stp>FIRST_CPN_DT</stp>
        <stp>[STRIPS.xlsx]Sheet1!R255C9</stp>
        <tr r="I255" s="1"/>
      </tp>
      <tp t="s">
        <v>#N/A Field Not Applicable</v>
        <stp/>
        <stp>##V3_BDPV12</stp>
        <stp>912833ZS Govt</stp>
        <stp>FIRST_CPN_DT</stp>
        <stp>[STRIPS.xlsx]Sheet1!R455C9</stp>
        <tr r="I455" s="1"/>
      </tp>
      <tp t="s">
        <v>#N/A Field Not Applicable</v>
        <stp/>
        <stp>##V3_BDPV12</stp>
        <stp>912833YU Govt</stp>
        <stp>FIRST_CPN_DT</stp>
        <stp>[STRIPS.xlsx]Sheet1!R586C9</stp>
        <tr r="I586" s="1"/>
      </tp>
      <tp t="s">
        <v>#N/A Field Not Applicable</v>
        <stp/>
        <stp>##V3_BDPV12</stp>
        <stp>912834VU Govt</stp>
        <stp>FIRST_CPN_DT</stp>
        <stp>[STRIPS.xlsx]Sheet1!R769C9</stp>
        <tr r="I769" s="1"/>
      </tp>
      <tp t="s">
        <v>#N/A Field Not Applicable</v>
        <stp/>
        <stp>##V3_BDPV12</stp>
        <stp>912834WM Govt</stp>
        <stp>FIRST_CPN_DT</stp>
        <stp>[STRIPS.xlsx]Sheet1!R188C9</stp>
        <tr r="I188" s="1"/>
      </tp>
      <tp t="s">
        <v>#N/A Field Not Applicable</v>
        <stp/>
        <stp>##V3_BDPV12</stp>
        <stp>912834WL Govt</stp>
        <stp>FIRST_CPN_DT</stp>
        <stp>[STRIPS.xlsx]Sheet1!R768C9</stp>
        <tr r="I768" s="1"/>
      </tp>
      <tp t="s">
        <v>#N/A Field Not Applicable</v>
        <stp/>
        <stp>##V3_BDPV12</stp>
        <stp>912833YC Govt</stp>
        <stp>FIRST_CPN_DT</stp>
        <stp>[STRIPS.xlsx]Sheet1!R636C9</stp>
        <tr r="I636" s="1"/>
      </tp>
      <tp t="s">
        <v>#N/A Field Not Applicable</v>
        <stp/>
        <stp>##V3_BDPV12</stp>
        <stp>912834VB Govt</stp>
        <stp>FIRST_CPN_DT</stp>
        <stp>[STRIPS.xlsx]Sheet1!R159C9</stp>
        <tr r="I159" s="1"/>
      </tp>
      <tp t="s">
        <v>USD</v>
        <stp/>
        <stp>##V3_BDPV12</stp>
        <stp>912834VX Govt</stp>
        <stp>CRNCY</stp>
        <stp>[STRIPS.xlsx]Sheet1!R767C7</stp>
        <tr r="G767" s="1"/>
      </tp>
      <tp t="s">
        <v>USD</v>
        <stp/>
        <stp>##V3_BDPV12</stp>
        <stp>912833KX Govt</stp>
        <stp>CRNCY</stp>
        <stp>[STRIPS.xlsx]Sheet1!R157C7</stp>
        <tr r="G157" s="1"/>
      </tp>
      <tp t="s">
        <v>USD</v>
        <stp/>
        <stp>##V3_BDPV12</stp>
        <stp>9128334X Govt</stp>
        <stp>CRNCY</stp>
        <stp>[STRIPS.xlsx]Sheet1!R107C7</stp>
        <tr r="G107" s="1"/>
      </tp>
      <tp t="s">
        <v>USD</v>
        <stp/>
        <stp>##V3_BDPV12</stp>
        <stp>912834NW Govt</stp>
        <stp>CRNCY</stp>
        <stp>[STRIPS.xlsx]Sheet1!R548C7</stp>
        <tr r="G548" s="1"/>
      </tp>
      <tp t="s">
        <v>USD</v>
        <stp/>
        <stp>##V3_BDPV12</stp>
        <stp>912833QW Govt</stp>
        <stp>CRNCY</stp>
        <stp>[STRIPS.xlsx]Sheet1!R378C7</stp>
        <tr r="G378" s="1"/>
      </tp>
      <tp t="s">
        <v>USD</v>
        <stp/>
        <stp>##V3_BDPV12</stp>
        <stp>912834PV Govt</stp>
        <stp>CRNCY</stp>
        <stp>[STRIPS.xlsx]Sheet1!R479C7</stp>
        <tr r="G479" s="1"/>
      </tp>
      <tp t="s">
        <v>USD</v>
        <stp/>
        <stp>##V3_BDPV12</stp>
        <stp>912834LZ Govt</stp>
        <stp>CRNCY</stp>
        <stp>[STRIPS.xlsx]Sheet1!R325C7</stp>
        <tr r="G325" s="1"/>
      </tp>
      <tp t="s">
        <v>USD</v>
        <stp/>
        <stp>##V3_BDPV12</stp>
        <stp>912834MX Govt</stp>
        <stp>CRNCY</stp>
        <stp>[STRIPS.xlsx]Sheet1!R327C7</stp>
        <tr r="G327" s="1"/>
      </tp>
      <tp t="s">
        <v>USD</v>
        <stp/>
        <stp>##V3_BDPV12</stp>
        <stp>9128333Y Govt</stp>
        <stp>CRNCY</stp>
        <stp>[STRIPS.xlsx]Sheet1!R486C7</stp>
        <tr r="G486" s="1"/>
      </tp>
      <tp t="s">
        <v>USD</v>
        <stp/>
        <stp>##V3_BDPV12</stp>
        <stp>912834HY Govt</stp>
        <stp>CRNCY</stp>
        <stp>[STRIPS.xlsx]Sheet1!R226C7</stp>
        <tr r="G226" s="1"/>
      </tp>
      <tp t="s">
        <v>USD</v>
        <stp/>
        <stp>##V3_BDPV12</stp>
        <stp>912834NZ Govt</stp>
        <stp>CRNCY</stp>
        <stp>[STRIPS.xlsx]Sheet1!R275C7</stp>
        <tr r="G275" s="1"/>
      </tp>
      <tp t="s">
        <v>USD</v>
        <stp/>
        <stp>##V3_BDPV12</stp>
        <stp>912834HZ Govt</stp>
        <stp>CRNCY</stp>
        <stp>[STRIPS.xlsx]Sheet1!R265C7</stp>
        <tr r="G265" s="1"/>
      </tp>
      <tp t="s">
        <v>USD</v>
        <stp/>
        <stp>##V3_BDPV12</stp>
        <stp>912833YZ Govt</stp>
        <stp>CRNCY</stp>
        <stp>[STRIPS.xlsx]Sheet1!R695C7</stp>
        <tr r="G695" s="1"/>
      </tp>
      <tp t="s">
        <v>USD</v>
        <stp/>
        <stp>##V3_BDPV12</stp>
        <stp>912834WV Govt</stp>
        <stp>CRNCY</stp>
        <stp>[STRIPS.xlsx]Sheet1!R129C7</stp>
        <tr r="G129" s="1"/>
      </tp>
      <tp t="s">
        <v>USD</v>
        <stp/>
        <stp>##V3_BDPV12</stp>
        <stp>912833MX Govt</stp>
        <stp>CRNCY</stp>
        <stp>[STRIPS.xlsx]Sheet1!R627C7</stp>
        <tr r="G627" s="1"/>
      </tp>
      <tp t="s">
        <v>USD</v>
        <stp/>
        <stp>##V3_BDPV12</stp>
        <stp>9128335X Govt</stp>
        <stp>CRNCY</stp>
        <stp>[STRIPS.xlsx]Sheet1!R747C7</stp>
        <tr r="G747" s="1"/>
      </tp>
      <tp t="s">
        <v>USD</v>
        <stp/>
        <stp>##V3_BDPV12</stp>
        <stp>9128335Y Govt</stp>
        <stp>CRNCY</stp>
        <stp>[STRIPS.xlsx]Sheet1!R726C7</stp>
        <tr r="G726" s="1"/>
      </tp>
      <tp t="s">
        <v>#N/A Field Not Applicable</v>
        <stp/>
        <stp>##V3_BDPV12</stp>
        <stp>912834XF Govt</stp>
        <stp>FIRST_CPN_DT</stp>
        <stp>[STRIPS.xlsx]Sheet1!R187C9</stp>
        <tr r="I187" s="1"/>
      </tp>
      <tp t="s">
        <v>#N/A Field Not Applicable</v>
        <stp/>
        <stp>##V3_BDPV12</stp>
        <stp>912834VF Govt</stp>
        <stp>FIRST_CPN_DT</stp>
        <stp>[STRIPS.xlsx]Sheet1!R219C9</stp>
        <tr r="I219" s="1"/>
      </tp>
      <tp t="s">
        <v>#N/A Field Not Applicable</v>
        <stp/>
        <stp>##V3_BDPV12</stp>
        <stp>912833LZ Govt</stp>
        <stp>FIRST_CPN_DT</stp>
        <stp>[STRIPS.xlsx]Sheet1!R9C9</stp>
        <tr r="I9" s="1"/>
      </tp>
      <tp t="s">
        <v>912833A34</v>
        <stp/>
        <stp>##V3_BDPV12</stp>
        <stp>912833A3 Govt</stp>
        <stp>ID_CUSIP</stp>
        <stp>[STRIPS.xlsx]Sheet1!R731C19</stp>
        <tr r="S731" s="1"/>
      </tp>
      <tp t="s">
        <v>912833B33</v>
        <stp/>
        <stp>##V3_BDPV12</stp>
        <stp>912833B3 Govt</stp>
        <stp>ID_CUSIP</stp>
        <stp>[STRIPS.xlsx]Sheet1!R732C19</stp>
        <tr r="S732" s="1"/>
      </tp>
      <tp t="s">
        <v>912833C32</v>
        <stp/>
        <stp>##V3_BDPV12</stp>
        <stp>912833C3 Govt</stp>
        <stp>ID_CUSIP</stp>
        <stp>[STRIPS.xlsx]Sheet1!R362C19</stp>
        <tr r="S362" s="1"/>
      </tp>
      <tp t="s">
        <v>912834A32</v>
        <stp/>
        <stp>##V3_BDPV12</stp>
        <stp>912834A3 Govt</stp>
        <stp>ID_CUSIP</stp>
        <stp>[STRIPS.xlsx]Sheet1!R119C19</stp>
        <tr r="S119" s="1"/>
      </tp>
      <tp t="s">
        <v>912833Y38</v>
        <stp/>
        <stp>##V3_BDPV12</stp>
        <stp>912833Y3 Govt</stp>
        <stp>ID_CUSIP</stp>
        <stp>[STRIPS.xlsx]Sheet1!R103C19</stp>
        <tr r="S103" s="1"/>
      </tp>
      <tp t="s">
        <v>#N/A Field Not Applicable</v>
        <stp/>
        <stp>##V3_BDPV12</stp>
        <stp>912834WY Govt</stp>
        <stp>FIRST_CPN_DT</stp>
        <stp>[STRIPS.xlsx]Sheet1!R189C9</stp>
        <tr r="I189" s="1"/>
      </tp>
      <tp t="s">
        <v>#N/A Field Not Applicable</v>
        <stp/>
        <stp>##V3_BDPV12</stp>
        <stp>912834VY Govt</stp>
        <stp>FIRST_CPN_DT</stp>
        <stp>[STRIPS.xlsx]Sheet1!R218C9</stp>
        <tr r="I218" s="1"/>
      </tp>
      <tp t="s">
        <v>UNITED STATES</v>
        <stp/>
        <stp>##V3_BDPV12</stp>
        <stp>9128337N Govt</stp>
        <stp>COUNTRY_FULL_NAME</stp>
        <stp>[STRIPS.xlsx]Sheet1!R49C8</stp>
        <tr r="H49" s="1"/>
      </tp>
      <tp t="s">
        <v>UNITED STATES</v>
        <stp/>
        <stp>##V3_BDPV12</stp>
        <stp>9128337F Govt</stp>
        <stp>COUNTRY_FULL_NAME</stp>
        <stp>[STRIPS.xlsx]Sheet1!R99C8</stp>
        <tr r="H99" s="1"/>
      </tp>
      <tp t="s">
        <v>#N/A Field Not Applicable</v>
        <stp/>
        <stp>##V3_BDPV12</stp>
        <stp>912834WV Govt</stp>
        <stp>FIRST_CPN_DT</stp>
        <stp>[STRIPS.xlsx]Sheet1!R129C9</stp>
        <tr r="I129" s="1"/>
      </tp>
      <tp t="s">
        <v>#N/A Field Not Applicable</v>
        <stp/>
        <stp>##V3_BDPV12</stp>
        <stp>912833ZV Govt</stp>
        <stp>FIRST_CPN_DT</stp>
        <stp>[STRIPS.xlsx]Sheet1!R254C9</stp>
        <tr r="I254" s="1"/>
      </tp>
      <tp t="s">
        <v>#N/A Field Not Applicable</v>
        <stp/>
        <stp>##V3_BDPV12</stp>
        <stp>912834VL Govt</stp>
        <stp>FIRST_CPN_DT</stp>
        <stp>[STRIPS.xlsx]Sheet1!R138C9</stp>
        <tr r="I138" s="1"/>
      </tp>
      <tp t="s">
        <v>#N/A Field Not Applicable</v>
        <stp/>
        <stp>##V3_BDPV12</stp>
        <stp>912834VA Govt</stp>
        <stp>FIRST_CPN_DT</stp>
        <stp>[STRIPS.xlsx]Sheet1!R178C9</stp>
        <tr r="I178" s="1"/>
      </tp>
      <tp t="s">
        <v>UNITED STATES</v>
        <stp/>
        <stp>##V3_BDPV12</stp>
        <stp>9128337W Govt</stp>
        <stp>COUNTRY_FULL_NAME</stp>
        <stp>[STRIPS.xlsx]Sheet1!R79C8</stp>
        <tr r="H79" s="1"/>
      </tp>
      <tp t="s">
        <v>#N/A Field Not Applicable</v>
        <stp/>
        <stp>##V3_BDPV12</stp>
        <stp>912833ZB Govt</stp>
        <stp>FIRST_CPN_DT</stp>
        <stp>[STRIPS.xlsx]Sheet1!R454C9</stp>
        <tr r="I454" s="1"/>
      </tp>
      <tp t="s">
        <v>USD</v>
        <stp/>
        <stp>##V3_BDPV12</stp>
        <stp>912834WX Govt</stp>
        <stp>CRNCY</stp>
        <stp>[STRIPS.xlsx]Sheet1!R776C7</stp>
        <tr r="G776" s="1"/>
      </tp>
      <tp t="s">
        <v>USD</v>
        <stp/>
        <stp>##V3_BDPV12</stp>
        <stp>912833PW Govt</stp>
        <stp>CRNCY</stp>
        <stp>[STRIPS.xlsx]Sheet1!R239C7</stp>
        <tr r="G239" s="1"/>
      </tp>
      <tp t="s">
        <v>USD</v>
        <stp/>
        <stp>##V3_BDPV12</stp>
        <stp>912833PV Govt</stp>
        <stp>CRNCY</stp>
        <stp>[STRIPS.xlsx]Sheet1!R338C7</stp>
        <tr r="G338" s="1"/>
      </tp>
      <tp t="s">
        <v>USD</v>
        <stp/>
        <stp>##V3_BDPV12</stp>
        <stp>912834EZ Govt</stp>
        <stp>CRNCY</stp>
        <stp>[STRIPS.xlsx]Sheet1!R394C7</stp>
        <tr r="G394" s="1"/>
      </tp>
      <tp t="s">
        <v>USD</v>
        <stp/>
        <stp>##V3_BDPV12</stp>
        <stp>912834HX Govt</stp>
        <stp>CRNCY</stp>
        <stp>[STRIPS.xlsx]Sheet1!R356C7</stp>
        <tr r="G356" s="1"/>
      </tp>
      <tp t="s">
        <v>USD</v>
        <stp/>
        <stp>##V3_BDPV12</stp>
        <stp>912834UV Govt</stp>
        <stp>CRNCY</stp>
        <stp>[STRIPS.xlsx]Sheet1!R208C7</stp>
        <tr r="G208" s="1"/>
      </tp>
      <tp t="s">
        <v>USD</v>
        <stp/>
        <stp>##V3_BDPV12</stp>
        <stp>912833JV Govt</stp>
        <stp>CRNCY</stp>
        <stp>[STRIPS.xlsx]Sheet1!R668C7</stp>
        <tr r="G668" s="1"/>
      </tp>
      <tp t="s">
        <v>USD</v>
        <stp/>
        <stp>##V3_BDPV12</stp>
        <stp>912833CV Govt</stp>
        <stp>CRNCY</stp>
        <stp>[STRIPS.xlsx]Sheet1!R658C7</stp>
        <tr r="G658" s="1"/>
      </tp>
      <tp t="s">
        <v>USD</v>
        <stp/>
        <stp>##V3_BDPV12</stp>
        <stp>912833FW Govt</stp>
        <stp>CRNCY</stp>
        <stp>[STRIPS.xlsx]Sheet1!R739C7</stp>
        <tr r="G739" s="1"/>
      </tp>
      <tp t="s">
        <v>UNITED STATES</v>
        <stp/>
        <stp>##V3_BDPV12</stp>
        <stp>9128337Q Govt</stp>
        <stp>COUNTRY_FULL_NAME</stp>
        <stp>[STRIPS.xlsx]Sheet1!R29C8</stp>
        <tr r="H29" s="1"/>
      </tp>
      <tp t="s">
        <v>#N/A Field Not Applicable</v>
        <stp/>
        <stp>##V3_BDPV12</stp>
        <stp>912834KP Govt</stp>
        <stp>FIRST_CPN_DT</stp>
        <stp>[STRIPS.xlsx]Sheet1!R8C9</stp>
        <tr r="I8" s="1"/>
      </tp>
      <tp t="s">
        <v>912833A26</v>
        <stp/>
        <stp>##V3_BDPV12</stp>
        <stp>912833A2 Govt</stp>
        <stp>ID_CUSIP</stp>
        <stp>[STRIPS.xlsx]Sheet1!R608C19</stp>
        <tr r="S608" s="1"/>
      </tp>
      <tp t="s">
        <v>912833C24</v>
        <stp/>
        <stp>##V3_BDPV12</stp>
        <stp>912833C2 Govt</stp>
        <stp>ID_CUSIP</stp>
        <stp>[STRIPS.xlsx]Sheet1!R611C19</stp>
        <tr r="S611" s="1"/>
      </tp>
      <tp t="s">
        <v>912833B25</v>
        <stp/>
        <stp>##V3_BDPV12</stp>
        <stp>912833B2 Govt</stp>
        <stp>ID_CUSIP</stp>
        <stp>[STRIPS.xlsx]Sheet1!R561C19</stp>
        <tr r="S561" s="1"/>
      </tp>
      <tp t="s">
        <v>912834A24</v>
        <stp/>
        <stp>##V3_BDPV12</stp>
        <stp>912834A2 Govt</stp>
        <stp>ID_CUSIP</stp>
        <stp>[STRIPS.xlsx]Sheet1!R122C19</stp>
        <tr r="S122" s="1"/>
      </tp>
      <tp t="s">
        <v>#N/A Field Not Applicable</v>
        <stp/>
        <stp>##V3_BDPV12</stp>
        <stp>912833Y6 Govt</stp>
        <stp>FIRST_CPN_DT</stp>
        <stp>[STRIPS.xlsx]Sheet1!R247C9</stp>
        <tr r="I247" s="1"/>
      </tp>
      <tp t="s">
        <v>#N/A Field Not Applicable</v>
        <stp/>
        <stp>##V3_BDPV12</stp>
        <stp>912834TY Govt</stp>
        <stp>FIRST_CPN_DT</stp>
        <stp>[STRIPS.xlsx]Sheet1!R199C9</stp>
        <tr r="I199" s="1"/>
      </tp>
      <tp t="s">
        <v>#N/A Field Not Applicable</v>
        <stp/>
        <stp>##V3_BDPV12</stp>
        <stp>912834TZ Govt</stp>
        <stp>FIRST_CPN_DT</stp>
        <stp>[STRIPS.xlsx]Sheet1!R139C9</stp>
        <tr r="I139" s="1"/>
      </tp>
      <tp t="s">
        <v>#N/A Field Not Applicable</v>
        <stp/>
        <stp>##V3_BDPV12</stp>
        <stp>912833YQ Govt</stp>
        <stp>FIRST_CPN_DT</stp>
        <stp>[STRIPS.xlsx]Sheet1!R344C9</stp>
        <tr r="I344" s="1"/>
      </tp>
      <tp t="s">
        <v>#N/A Field Not Applicable</v>
        <stp/>
        <stp>##V3_BDPV12</stp>
        <stp>912833ZT Govt</stp>
        <stp>FIRST_CPN_DT</stp>
        <stp>[STRIPS.xlsx]Sheet1!R347C9</stp>
        <tr r="I347" s="1"/>
      </tp>
      <tp t="s">
        <v>#N/A Field Not Applicable</v>
        <stp/>
        <stp>##V3_BDPV12</stp>
        <stp>912834UV Govt</stp>
        <stp>FIRST_CPN_DT</stp>
        <stp>[STRIPS.xlsx]Sheet1!R208C9</stp>
        <tr r="I208" s="1"/>
      </tp>
      <tp t="s">
        <v>#N/A Field Not Applicable</v>
        <stp/>
        <stp>##V3_BDPV12</stp>
        <stp>912833YK Govt</stp>
        <stp>FIRST_CPN_DT</stp>
        <stp>[STRIPS.xlsx]Sheet1!R584C9</stp>
        <tr r="I584" s="1"/>
      </tp>
      <tp t="s">
        <v>#N/A Field Not Applicable</v>
        <stp/>
        <stp>##V3_BDPV12</stp>
        <stp>912833ZJ Govt</stp>
        <stp>FIRST_CPN_DT</stp>
        <stp>[STRIPS.xlsx]Sheet1!R527C9</stp>
        <tr r="I527" s="1"/>
      </tp>
      <tp t="s">
        <v>#N/A Field Not Applicable</v>
        <stp/>
        <stp>##V3_BDPV12</stp>
        <stp>912833YA Govt</stp>
        <stp>FIRST_CPN_DT</stp>
        <stp>[STRIPS.xlsx]Sheet1!R694C9</stp>
        <tr r="I694" s="1"/>
      </tp>
      <tp t="s">
        <v>UNITED STATES</v>
        <stp/>
        <stp>##V3_BDPV12</stp>
        <stp>9128334V Govt</stp>
        <stp>COUNTRY_FULL_NAME</stp>
        <stp>[STRIPS.xlsx]Sheet1!R69C8</stp>
        <tr r="H69" s="1"/>
      </tp>
      <tp t="s">
        <v>#N/A Field Not Applicable</v>
        <stp/>
        <stp>##V3_BDPV12</stp>
        <stp>912833ZD Govt</stp>
        <stp>FIRST_CPN_DT</stp>
        <stp>[STRIPS.xlsx]Sheet1!R637C9</stp>
        <tr r="I637" s="1"/>
      </tp>
      <tp t="s">
        <v>USD</v>
        <stp/>
        <stp>##V3_BDPV12</stp>
        <stp>912833YT Govt</stp>
        <stp>CRNCY</stp>
        <stp>[STRIPS.xlsx]Sheet1!R249C7</stp>
        <tr r="G249" s="1"/>
      </tp>
      <tp t="s">
        <v>USD</v>
        <stp/>
        <stp>##V3_BDPV12</stp>
        <stp>912833ZU Govt</stp>
        <stp>CRNCY</stp>
        <stp>[STRIPS.xlsx]Sheet1!R348C7</stp>
        <tr r="G348" s="1"/>
      </tp>
      <tp t="s">
        <v>USD</v>
        <stp/>
        <stp>##V3_BDPV12</stp>
        <stp>912834KT Govt</stp>
        <stp>CRNCY</stp>
        <stp>[STRIPS.xlsx]Sheet1!R319C7</stp>
        <tr r="G319" s="1"/>
      </tp>
      <tp t="s">
        <v>USD</v>
        <stp/>
        <stp>##V3_BDPV12</stp>
        <stp>912834DY Govt</stp>
        <stp>CRNCY</stp>
        <stp>[STRIPS.xlsx]Sheet1!R264C7</stp>
        <tr r="G264" s="1"/>
      </tp>
      <tp t="s">
        <v>USD</v>
        <stp/>
        <stp>##V3_BDPV12</stp>
        <stp>912833QU Govt</stp>
        <stp>CRNCY</stp>
        <stp>[STRIPS.xlsx]Sheet1!R688C7</stp>
        <tr r="G688" s="1"/>
      </tp>
      <tp t="s">
        <v>USD</v>
        <stp/>
        <stp>##V3_BDPV12</stp>
        <stp>912834QY Govt</stp>
        <stp>CRNCY</stp>
        <stp>[STRIPS.xlsx]Sheet1!R134C7</stp>
        <tr r="G134" s="1"/>
      </tp>
      <tp t="s">
        <v>USD</v>
        <stp/>
        <stp>##V3_BDPV12</stp>
        <stp>912834TX Govt</stp>
        <stp>CRNCY</stp>
        <stp>[STRIPS.xlsx]Sheet1!R145C7</stp>
        <tr r="G145" s="1"/>
      </tp>
      <tp t="s">
        <v>#N/A Field Not Applicable</v>
        <stp/>
        <stp>##V3_BDPV12</stp>
        <stp>912833ZF Govt</stp>
        <stp>FIRST_CPN_DT</stp>
        <stp>[STRIPS.xlsx]Sheet1!R587C9</stp>
        <tr r="I587" s="1"/>
      </tp>
      <tp t="s">
        <v>US9128332A70</v>
        <stp/>
        <stp>##V3_BDPV12</stp>
        <stp>9128332A Govt</stp>
        <stp>ID_ISIN</stp>
        <stp>[STRIPS.xlsx]Sheet1!R700C12</stp>
        <tr r="L700" s="1"/>
      </tp>
      <tp t="s">
        <v>US9128332B53</v>
        <stp/>
        <stp>##V3_BDPV12</stp>
        <stp>9128332B Govt</stp>
        <stp>ID_ISIN</stp>
        <stp>[STRIPS.xlsx]Sheet1!R717C12</stp>
        <tr r="L717" s="1"/>
      </tp>
      <tp t="s">
        <v>US9128332C37</v>
        <stp/>
        <stp>##V3_BDPV12</stp>
        <stp>9128332C Govt</stp>
        <stp>ID_ISIN</stp>
        <stp>[STRIPS.xlsx]Sheet1!R701C12</stp>
        <tr r="L701" s="1"/>
      </tp>
      <tp t="s">
        <v>US9128332D10</v>
        <stp/>
        <stp>##V3_BDPV12</stp>
        <stp>9128332D Govt</stp>
        <stp>ID_ISIN</stp>
        <stp>[STRIPS.xlsx]Sheet1!R648C12</stp>
        <tr r="L648" s="1"/>
      </tp>
      <tp t="s">
        <v>US9128332F67</v>
        <stp/>
        <stp>##V3_BDPV12</stp>
        <stp>9128332F Govt</stp>
        <stp>ID_ISIN</stp>
        <stp>[STRIPS.xlsx]Sheet1!R702C12</stp>
        <tr r="L702" s="1"/>
      </tp>
      <tp t="s">
        <v>US9128332E92</v>
        <stp/>
        <stp>##V3_BDPV12</stp>
        <stp>9128332E Govt</stp>
        <stp>ID_ISIN</stp>
        <stp>[STRIPS.xlsx]Sheet1!R597C12</stp>
        <tr r="L597" s="1"/>
      </tp>
      <tp t="s">
        <v>US9128332G41</v>
        <stp/>
        <stp>##V3_BDPV12</stp>
        <stp>9128332G Govt</stp>
        <stp>ID_ISIN</stp>
        <stp>[STRIPS.xlsx]Sheet1!R703C12</stp>
        <tr r="L703" s="1"/>
      </tp>
      <tp t="s">
        <v>US9128332J89</v>
        <stp/>
        <stp>##V3_BDPV12</stp>
        <stp>9128332J Govt</stp>
        <stp>ID_ISIN</stp>
        <stp>[STRIPS.xlsx]Sheet1!R598C12</stp>
        <tr r="L598" s="1"/>
      </tp>
      <tp t="s">
        <v>US9128332H24</v>
        <stp/>
        <stp>##V3_BDPV12</stp>
        <stp>9128332H Govt</stp>
        <stp>ID_ISIN</stp>
        <stp>[STRIPS.xlsx]Sheet1!R718C12</stp>
        <tr r="L718" s="1"/>
      </tp>
      <tp t="s">
        <v>#N/A Field Not Applicable</v>
        <stp/>
        <stp>##V3_BDPV12</stp>
        <stp>912833Z8 Govt</stp>
        <stp>FIRST_CPN_DT</stp>
        <stp>[STRIPS.xlsx]Sheet1!R697C9</stp>
        <tr r="I697" s="1"/>
      </tp>
      <tp t="s">
        <v>#N/A Field Not Applicable</v>
        <stp/>
        <stp>##V3_BDPV12</stp>
        <stp>912833YZ Govt</stp>
        <stp>FIRST_CPN_DT</stp>
        <stp>[STRIPS.xlsx]Sheet1!R695C9</stp>
        <tr r="I695" s="1"/>
      </tp>
      <tp t="s">
        <v>#N/A Field Not Applicable</v>
        <stp/>
        <stp>##V3_BDPV12</stp>
        <stp>912834TQ Govt</stp>
        <stp>FIRST_CPN_DT</stp>
        <stp>[STRIPS.xlsx]Sheet1!R758C9</stp>
        <tr r="I758" s="1"/>
      </tp>
      <tp t="s">
        <v>#N/A Field Not Applicable</v>
        <stp/>
        <stp>##V3_BDPV12</stp>
        <stp>912833YS Govt</stp>
        <stp>FIRST_CPN_DT</stp>
        <stp>[STRIPS.xlsx]Sheet1!R585C9</stp>
        <tr r="I585" s="1"/>
      </tp>
      <tp t="s">
        <v>#N/A Field Not Applicable</v>
        <stp/>
        <stp>##V3_BDPV12</stp>
        <stp>912833YR Govt</stp>
        <stp>FIRST_CPN_DT</stp>
        <stp>[STRIPS.xlsx]Sheet1!R345C9</stp>
        <tr r="I345" s="1"/>
      </tp>
      <tp t="s">
        <v>#N/A Field Not Applicable</v>
        <stp/>
        <stp>##V3_BDPV12</stp>
        <stp>912834TN Govt</stp>
        <stp>FIRST_CPN_DT</stp>
        <stp>[STRIPS.xlsx]Sheet1!R158C9</stp>
        <tr r="I158" s="1"/>
      </tp>
      <tp t="s">
        <v>#N/A Field Not Applicable</v>
        <stp/>
        <stp>##V3_BDPV12</stp>
        <stp>912834XC Govt</stp>
        <stp>FIRST_CPN_DT</stp>
        <stp>[STRIPS.xlsx]Sheet1!R214C9</stp>
        <tr r="I214" s="1"/>
      </tp>
      <tp t="s">
        <v>#N/A Field Not Applicable</v>
        <stp/>
        <stp>##V3_BDPV12</stp>
        <stp>912833ZC Govt</stp>
        <stp>FIRST_CPN_DT</stp>
        <stp>[STRIPS.xlsx]Sheet1!R346C9</stp>
        <tr r="I346" s="1"/>
      </tp>
      <tp t="s">
        <v>UNITED STATES</v>
        <stp/>
        <stp>##V3_BDPV12</stp>
        <stp>9128334T Govt</stp>
        <stp>COUNTRY_FULL_NAME</stp>
        <stp>[STRIPS.xlsx]Sheet1!R48C8</stp>
        <tr r="H48" s="1"/>
      </tp>
      <tp t="s">
        <v>#N/A Field Not Applicable</v>
        <stp/>
        <stp>##V3_BDPV12</stp>
        <stp>912834XD Govt</stp>
        <stp>FIRST_CPN_DT</stp>
        <stp>[STRIPS.xlsx]Sheet1!R764C9</stp>
        <tr r="I764" s="1"/>
      </tp>
      <tp t="s">
        <v>USD</v>
        <stp/>
        <stp>##V3_BDPV12</stp>
        <stp>912834VU Govt</stp>
        <stp>CRNCY</stp>
        <stp>[STRIPS.xlsx]Sheet1!R769C7</stp>
        <tr r="G769" s="1"/>
      </tp>
      <tp t="s">
        <v>USD</v>
        <stp/>
        <stp>##V3_BDPV12</stp>
        <stp>912834VZ Govt</stp>
        <stp>CRNCY</stp>
        <stp>[STRIPS.xlsx]Sheet1!R766C7</stp>
        <tr r="G766" s="1"/>
      </tp>
      <tp t="s">
        <v>USD</v>
        <stp/>
        <stp>##V3_BDPV12</stp>
        <stp>912834RU Govt</stp>
        <stp>CRNCY</stp>
        <stp>[STRIPS.xlsx]Sheet1!R759C7</stp>
        <tr r="G759" s="1"/>
      </tp>
      <tp t="s">
        <v>USD</v>
        <stp/>
        <stp>##V3_BDPV12</stp>
        <stp>912833ZY Govt</stp>
        <stp>CRNCY</stp>
        <stp>[STRIPS.xlsx]Sheet1!R255C7</stp>
        <tr r="G255" s="1"/>
      </tp>
      <tp t="s">
        <v>USD</v>
        <stp/>
        <stp>##V3_BDPV12</stp>
        <stp>912833CU Govt</stp>
        <stp>CRNCY</stp>
        <stp>[STRIPS.xlsx]Sheet1!R299C7</stp>
        <tr r="G299" s="1"/>
      </tp>
      <tp t="s">
        <v>USD</v>
        <stp/>
        <stp>##V3_BDPV12</stp>
        <stp>912834MU Govt</stp>
        <stp>CRNCY</stp>
        <stp>[STRIPS.xlsx]Sheet1!R419C7</stp>
        <tr r="G419" s="1"/>
      </tp>
      <tp t="s">
        <v>USD</v>
        <stp/>
        <stp>##V3_BDPV12</stp>
        <stp>912834LT Govt</stp>
        <stp>CRNCY</stp>
        <stp>[STRIPS.xlsx]Sheet1!R358C7</stp>
        <tr r="G358" s="1"/>
      </tp>
      <tp t="s">
        <v>USD</v>
        <stp/>
        <stp>##V3_BDPV12</stp>
        <stp>912834LU Govt</stp>
        <stp>CRNCY</stp>
        <stp>[STRIPS.xlsx]Sheet1!R359C7</stp>
        <tr r="G359" s="1"/>
      </tp>
      <tp t="s">
        <v>USD</v>
        <stp/>
        <stp>##V3_BDPV12</stp>
        <stp>912834EX Govt</stp>
        <stp>CRNCY</stp>
        <stp>[STRIPS.xlsx]Sheet1!R354C7</stp>
        <tr r="G354" s="1"/>
      </tp>
      <tp t="s">
        <v>USD</v>
        <stp/>
        <stp>##V3_BDPV12</stp>
        <stp>912834JZ Govt</stp>
        <stp>CRNCY</stp>
        <stp>[STRIPS.xlsx]Sheet1!R266C7</stp>
        <tr r="G266" s="1"/>
      </tp>
      <tp t="s">
        <v>USD</v>
        <stp/>
        <stp>##V3_BDPV12</stp>
        <stp>912833FU Govt</stp>
        <stp>CRNCY</stp>
        <stp>[STRIPS.xlsx]Sheet1!R509C7</stp>
        <tr r="G509" s="1"/>
      </tp>
      <tp t="s">
        <v>USD</v>
        <stp/>
        <stp>##V3_BDPV12</stp>
        <stp>912834PZ Govt</stp>
        <stp>CRNCY</stp>
        <stp>[STRIPS.xlsx]Sheet1!R126C7</stp>
        <tr r="G126" s="1"/>
      </tp>
      <tp t="s">
        <v>USD</v>
        <stp/>
        <stp>##V3_BDPV12</stp>
        <stp>912833FY Govt</stp>
        <stp>CRNCY</stp>
        <stp>[STRIPS.xlsx]Sheet1!R665C7</stp>
        <tr r="G665" s="1"/>
      </tp>
      <tp t="s">
        <v>US9128333P31</v>
        <stp/>
        <stp>##V3_BDPV12</stp>
        <stp>9128333P Govt</stp>
        <stp>ID_ISIN</stp>
        <stp>[STRIPS.xlsx]Sheet1!R704C12</stp>
        <tr r="L704" s="1"/>
      </tp>
      <tp t="s">
        <v>US9128333S79</v>
        <stp/>
        <stp>##V3_BDPV12</stp>
        <stp>9128333S Govt</stp>
        <stp>ID_ISIN</stp>
        <stp>[STRIPS.xlsx]Sheet1!R553C12</stp>
        <tr r="L553" s="1"/>
      </tp>
      <tp t="s">
        <v>US9128333Q14</v>
        <stp/>
        <stp>##V3_BDPV12</stp>
        <stp>9128333Q Govt</stp>
        <stp>ID_ISIN</stp>
        <stp>[STRIPS.xlsx]Sheet1!R719C12</stp>
        <tr r="L719" s="1"/>
      </tp>
      <tp t="s">
        <v>US9128333R96</v>
        <stp/>
        <stp>##V3_BDPV12</stp>
        <stp>9128333R Govt</stp>
        <stp>ID_ISIN</stp>
        <stp>[STRIPS.xlsx]Sheet1!R705C12</stp>
        <tr r="L705" s="1"/>
      </tp>
      <tp t="s">
        <v>US9128333W81</v>
        <stp/>
        <stp>##V3_BDPV12</stp>
        <stp>9128333W Govt</stp>
        <stp>ID_ISIN</stp>
        <stp>[STRIPS.xlsx]Sheet1!R485C12</stp>
        <tr r="L485" s="1"/>
      </tp>
      <tp t="s">
        <v>US9128333V09</v>
        <stp/>
        <stp>##V3_BDPV12</stp>
        <stp>9128333V Govt</stp>
        <stp>ID_ISIN</stp>
        <stp>[STRIPS.xlsx]Sheet1!R484C12</stp>
        <tr r="L484" s="1"/>
      </tp>
      <tp t="s">
        <v>US9128333U26</v>
        <stp/>
        <stp>##V3_BDPV12</stp>
        <stp>9128333U Govt</stp>
        <stp>ID_ISIN</stp>
        <stp>[STRIPS.xlsx]Sheet1!R706C12</stp>
        <tr r="L706" s="1"/>
      </tp>
      <tp t="s">
        <v>US9128333T52</v>
        <stp/>
        <stp>##V3_BDPV12</stp>
        <stp>9128333T Govt</stp>
        <stp>ID_ISIN</stp>
        <stp>[STRIPS.xlsx]Sheet1!R483C12</stp>
        <tr r="L483" s="1"/>
      </tp>
      <tp t="s">
        <v>US9128333X64</v>
        <stp/>
        <stp>##V3_BDPV12</stp>
        <stp>9128333X Govt</stp>
        <stp>ID_ISIN</stp>
        <stp>[STRIPS.xlsx]Sheet1!R601C12</stp>
        <tr r="L601" s="1"/>
      </tp>
      <tp t="s">
        <v>US9128333Y48</v>
        <stp/>
        <stp>##V3_BDPV12</stp>
        <stp>9128333Y Govt</stp>
        <stp>ID_ISIN</stp>
        <stp>[STRIPS.xlsx]Sheet1!R486C12</stp>
        <tr r="L486" s="1"/>
      </tp>
      <tp t="s">
        <v>US9128333Z13</v>
        <stp/>
        <stp>##V3_BDPV12</stp>
        <stp>9128333Z Govt</stp>
        <stp>ID_ISIN</stp>
        <stp>[STRIPS.xlsx]Sheet1!R602C12</stp>
        <tr r="L602" s="1"/>
      </tp>
      <tp t="s">
        <v>US9128333J70</v>
        <stp/>
        <stp>##V3_BDPV12</stp>
        <stp>9128333J Govt</stp>
        <stp>ID_ISIN</stp>
        <stp>[STRIPS.xlsx]Sheet1!R427C12</stp>
        <tr r="L427" s="1"/>
      </tp>
      <tp t="s">
        <v>US9128333H15</v>
        <stp/>
        <stp>##V3_BDPV12</stp>
        <stp>9128333H Govt</stp>
        <stp>ID_ISIN</stp>
        <stp>[STRIPS.xlsx]Sheet1!R600C12</stp>
        <tr r="L600" s="1"/>
      </tp>
      <tp t="s">
        <v>US9128333K44</v>
        <stp/>
        <stp>##V3_BDPV12</stp>
        <stp>9128333K Govt</stp>
        <stp>ID_ISIN</stp>
        <stp>[STRIPS.xlsx]Sheet1!R743C12</stp>
        <tr r="L743" s="1"/>
      </tp>
      <tp t="s">
        <v>US9128333N82</v>
        <stp/>
        <stp>##V3_BDPV12</stp>
        <stp>9128333N Govt</stp>
        <stp>ID_ISIN</stp>
        <stp>[STRIPS.xlsx]Sheet1!R428C12</stp>
        <tr r="L428" s="1"/>
      </tp>
      <tp t="s">
        <v>US9128333L27</v>
        <stp/>
        <stp>##V3_BDPV12</stp>
        <stp>9128333L Govt</stp>
        <stp>ID_ISIN</stp>
        <stp>[STRIPS.xlsx]Sheet1!R552C12</stp>
        <tr r="L552" s="1"/>
      </tp>
      <tp t="s">
        <v>US9128333M00</v>
        <stp/>
        <stp>##V3_BDPV12</stp>
        <stp>9128333M Govt</stp>
        <stp>ID_ISIN</stp>
        <stp>[STRIPS.xlsx]Sheet1!R599C12</stp>
        <tr r="L599" s="1"/>
      </tp>
      <tp t="s">
        <v>#N/A Field Not Applicable</v>
        <stp/>
        <stp>##V3_BDPV12</stp>
        <stp>912833Z9 Govt</stp>
        <stp>FIRST_CPN_DT</stp>
        <stp>[STRIPS.xlsx]Sheet1!R526C9</stp>
        <tr r="I526" s="1"/>
      </tp>
      <tp t="s">
        <v>#N/A Field Not Applicable</v>
        <stp/>
        <stp>##V3_BDPV12</stp>
        <stp>912833Z7 Govt</stp>
        <stp>FIRST_CPN_DT</stp>
        <stp>[STRIPS.xlsx]Sheet1!R696C9</stp>
        <tr r="I696" s="1"/>
      </tp>
      <tp t="s">
        <v>#N/A Field Not Applicable</v>
        <stp/>
        <stp>##V3_BDPV12</stp>
        <stp>912833PA Govt</stp>
        <stp>IDX_RATIO</stp>
        <stp>[STRIPS.xlsx]Sheet1!R4C20</stp>
        <tr r="T4" s="1"/>
      </tp>
      <tp t="s">
        <v>#N/A Field Not Applicable</v>
        <stp/>
        <stp>##V3_BDPV12</stp>
        <stp>912833PB Govt</stp>
        <stp>IDX_RATIO</stp>
        <stp>[STRIPS.xlsx]Sheet1!R3C20</stp>
        <tr r="T3" s="1"/>
      </tp>
      <tp t="s">
        <v>#N/A Field Not Applicable</v>
        <stp/>
        <stp>##V3_BDPV12</stp>
        <stp>912833ZQ Govt</stp>
        <stp>FIRST_CPN_DT</stp>
        <stp>[STRIPS.xlsx]Sheet1!R639C9</stp>
        <tr r="I639" s="1"/>
      </tp>
      <tp t="s">
        <v>#N/A Field Not Applicable</v>
        <stp/>
        <stp>##V3_BDPV12</stp>
        <stp>912834TP Govt</stp>
        <stp>FIRST_CPN_DT</stp>
        <stp>[STRIPS.xlsx]Sheet1!R117C9</stp>
        <tr r="I117" s="1"/>
      </tp>
      <tp t="s">
        <v>#N/A Field Not Applicable</v>
        <stp/>
        <stp>##V3_BDPV12</stp>
        <stp>912833QS Govt</stp>
        <stp>FIRST_CPN_DT</stp>
        <stp>[STRIPS.xlsx]Sheet1!R632C9</stp>
        <tr r="I632" s="1"/>
      </tp>
      <tp t="s">
        <v>#N/A Field Not Applicable</v>
        <stp/>
        <stp>##V3_BDPV12</stp>
        <stp>912833PU Govt</stp>
        <stp>FIRST_CPN_DT</stp>
        <stp>[STRIPS.xlsx]Sheet1!R683C9</stp>
        <tr r="I683" s="1"/>
      </tp>
      <tp t="s">
        <v>#N/A Field Not Applicable</v>
        <stp/>
        <stp>##V3_BDPV12</stp>
        <stp>912833RV Govt</stp>
        <stp>FIRST_CPN_DT</stp>
        <stp>[STRIPS.xlsx]Sheet1!R581C9</stp>
        <tr r="I581" s="1"/>
      </tp>
      <tp t="s">
        <v>#N/A Field Not Applicable</v>
        <stp/>
        <stp>##V3_BDPV12</stp>
        <stp>912833QV Govt</stp>
        <stp>FIRST_CPN_DT</stp>
        <stp>[STRIPS.xlsx]Sheet1!R242C9</stp>
        <tr r="I242" s="1"/>
      </tp>
      <tp t="s">
        <v>S</v>
        <stp/>
        <stp>##V3_BDPV12</stp>
        <stp>912834EQ Govt</stp>
        <stp>TICKER</stp>
        <stp>[STRIPS.xlsx]Sheet1!R311C2</stp>
        <tr r="B311" s="1"/>
      </tp>
      <tp t="s">
        <v>S</v>
        <stp/>
        <stp>##V3_BDPV12</stp>
        <stp>912834BR Govt</stp>
        <stp>TICKER</stp>
        <stp>[STRIPS.xlsx]Sheet1!R531C2</stp>
        <tr r="B531" s="1"/>
      </tp>
      <tp t="s">
        <v>S</v>
        <stp/>
        <stp>##V3_BDPV12</stp>
        <stp>912834DX Govt</stp>
        <stp>TICKER</stp>
        <stp>[STRIPS.xlsx]Sheet1!R391C2</stp>
        <tr r="B391" s="1"/>
      </tp>
      <tp t="s">
        <v>S</v>
        <stp/>
        <stp>##V3_BDPV12</stp>
        <stp>912834AW Govt</stp>
        <stp>TICKER</stp>
        <stp>[STRIPS.xlsx]Sheet1!R641C2</stp>
        <tr r="B641" s="1"/>
      </tp>
      <tp t="s">
        <v>S</v>
        <stp/>
        <stp>##V3_BDPV12</stp>
        <stp>912834EV Govt</stp>
        <stp>TICKER</stp>
        <stp>[STRIPS.xlsx]Sheet1!R101C2</stp>
        <tr r="B101" s="1"/>
      </tp>
      <tp t="s">
        <v>S</v>
        <stp/>
        <stp>##V3_BDPV12</stp>
        <stp>912834AJ Govt</stp>
        <stp>TICKER</stp>
        <stp>[STRIPS.xlsx]Sheet1!R591C2</stp>
        <tr r="B591" s="1"/>
      </tp>
      <tp t="s">
        <v>S</v>
        <stp/>
        <stp>##V3_BDPV12</stp>
        <stp>912834AZ Govt</stp>
        <stp>TICKER</stp>
        <stp>[STRIPS.xlsx]Sheet1!R261C2</stp>
        <tr r="B261" s="1"/>
      </tp>
      <tp t="s">
        <v>S</v>
        <stp/>
        <stp>##V3_BDPV12</stp>
        <stp>912834EC Govt</stp>
        <stp>TICKER</stp>
        <stp>[STRIPS.xlsx]Sheet1!R461C2</stp>
        <tr r="B461" s="1"/>
      </tp>
      <tp t="s">
        <v>S</v>
        <stp/>
        <stp>##V3_BDPV12</stp>
        <stp>912834BH Govt</stp>
        <stp>TICKER</stp>
        <stp>[STRIPS.xlsx]Sheet1!R351C2</stp>
        <tr r="B351" s="1"/>
      </tp>
      <tp t="s">
        <v>S</v>
        <stp/>
        <stp>##V3_BDPV12</stp>
        <stp>912834LN Govt</stp>
        <stp>TICKER</stp>
        <stp>[STRIPS.xlsx]Sheet1!R231C2</stp>
        <tr r="B231" s="1"/>
      </tp>
      <tp t="s">
        <v>S</v>
        <stp/>
        <stp>##V3_BDPV12</stp>
        <stp>912834KU Govt</stp>
        <stp>TICKER</stp>
        <stp>[STRIPS.xlsx]Sheet1!R401C2</stp>
        <tr r="B401" s="1"/>
      </tp>
      <tp t="s">
        <v>S</v>
        <stp/>
        <stp>##V3_BDPV12</stp>
        <stp>912834KX Govt</stp>
        <stp>TICKER</stp>
        <stp>[STRIPS.xlsx]Sheet1!R471C2</stp>
        <tr r="B471" s="1"/>
      </tp>
      <tp t="s">
        <v>S</v>
        <stp/>
        <stp>##V3_BDPV12</stp>
        <stp>912834LG Govt</stp>
        <stp>TICKER</stp>
        <stp>[STRIPS.xlsx]Sheet1!R321C2</stp>
        <tr r="B321" s="1"/>
      </tp>
      <tp t="s">
        <v>S</v>
        <stp/>
        <stp>##V3_BDPV12</stp>
        <stp>912834MG Govt</stp>
        <stp>TICKER</stp>
        <stp>[STRIPS.xlsx]Sheet1!R271C2</stp>
        <tr r="B271" s="1"/>
      </tp>
      <tp t="s">
        <v>S</v>
        <stp/>
        <stp>##V3_BDPV12</stp>
        <stp>912834NN Govt</stp>
        <stp>TICKER</stp>
        <stp>[STRIPS.xlsx]Sheet1!R421C2</stp>
        <tr r="B421" s="1"/>
      </tp>
      <tp t="s">
        <v>S</v>
        <stp/>
        <stp>##V3_BDPV12</stp>
        <stp>912834JX Govt</stp>
        <stp>TICKER</stp>
        <stp>[STRIPS.xlsx]Sheet1!R221C2</stp>
        <tr r="B221" s="1"/>
      </tp>
      <tp t="s">
        <v>S</v>
        <stp/>
        <stp>##V3_BDPV12</stp>
        <stp>912834MC Govt</stp>
        <stp>TICKER</stp>
        <stp>[STRIPS.xlsx]Sheet1!R541C2</stp>
        <tr r="B541" s="1"/>
      </tp>
      <tp t="s">
        <v>S</v>
        <stp/>
        <stp>##V3_BDPV12</stp>
        <stp>912834WN Govt</stp>
        <stp>TICKER</stp>
        <stp>[STRIPS.xlsx]Sheet1!R191C2</stp>
        <tr r="B191" s="1"/>
      </tp>
      <tp t="s">
        <v>S</v>
        <stp/>
        <stp>##V3_BDPV12</stp>
        <stp>912834RH Govt</stp>
        <stp>TICKER</stp>
        <stp>[STRIPS.xlsx]Sheet1!R481C2</stp>
        <tr r="B481" s="1"/>
      </tp>
      <tp t="s">
        <v>S</v>
        <stp/>
        <stp>##V3_BDPV12</stp>
        <stp>912834TD Govt</stp>
        <stp>TICKER</stp>
        <stp>[STRIPS.xlsx]Sheet1!R281C2</stp>
        <tr r="B281" s="1"/>
      </tp>
      <tp t="s">
        <v>S</v>
        <stp/>
        <stp>##V3_BDPV12</stp>
        <stp>912834VW Govt</stp>
        <stp>TICKER</stp>
        <stp>[STRIPS.xlsx]Sheet1!R131C2</stp>
        <tr r="B131" s="1"/>
      </tp>
      <tp t="s">
        <v>S</v>
        <stp/>
        <stp>##V3_BDPV12</stp>
        <stp>912834RF Govt</stp>
        <stp>TICKER</stp>
        <stp>[STRIPS.xlsx]Sheet1!R551C2</stp>
        <tr r="B551" s="1"/>
      </tp>
      <tp t="s">
        <v>S</v>
        <stp/>
        <stp>##V3_BDPV12</stp>
        <stp>912834UZ Govt</stp>
        <stp>TICKER</stp>
        <stp>[STRIPS.xlsx]Sheet1!R181C2</stp>
        <tr r="B181" s="1"/>
      </tp>
      <tp t="s">
        <v>S</v>
        <stp/>
        <stp>##V3_BDPV12</stp>
        <stp>912834PF Govt</stp>
        <stp>TICKER</stp>
        <stp>[STRIPS.xlsx]Sheet1!R411C2</stp>
        <tr r="B411" s="1"/>
      </tp>
      <tp t="s">
        <v>S</v>
        <stp/>
        <stp>##V3_BDPV12</stp>
        <stp>912834UC Govt</stp>
        <stp>TICKER</stp>
        <stp>[STRIPS.xlsx]Sheet1!R761C2</stp>
        <tr r="B761" s="1"/>
      </tp>
      <tp t="s">
        <v>S</v>
        <stp/>
        <stp>##V3_BDPV12</stp>
        <stp>912834QU Govt</stp>
        <stp>TICKER</stp>
        <stp>[STRIPS.xlsx]Sheet1!R201C2</stp>
        <tr r="B201" s="1"/>
      </tp>
      <tp t="s">
        <v>S</v>
        <stp/>
        <stp>##V3_BDPV12</stp>
        <stp>912834QG Govt</stp>
        <stp>TICKER</stp>
        <stp>[STRIPS.xlsx]Sheet1!R211C2</stp>
        <tr r="B211" s="1"/>
      </tp>
      <tp t="s">
        <v>S</v>
        <stp/>
        <stp>##V3_BDPV12</stp>
        <stp>912834QW Govt</stp>
        <stp>TICKER</stp>
        <stp>[STRIPS.xlsx]Sheet1!R171C2</stp>
        <tr r="B171" s="1"/>
      </tp>
      <tp t="s">
        <v>S</v>
        <stp/>
        <stp>##V3_BDPV12</stp>
        <stp>912834WB Govt</stp>
        <stp>TICKER</stp>
        <stp>[STRIPS.xlsx]Sheet1!R771C2</stp>
        <tr r="B771" s="1"/>
      </tp>
      <tp t="s">
        <v>S</v>
        <stp/>
        <stp>##V3_BDPV12</stp>
        <stp>912834QC Govt</stp>
        <stp>TICKER</stp>
        <stp>[STRIPS.xlsx]Sheet1!R141C2</stp>
        <tr r="B141" s="1"/>
      </tp>
      <tp t="s">
        <v>#N/A Field Not Applicable</v>
        <stp/>
        <stp>##V3_BDPV12</stp>
        <stp>912834RH Govt</stp>
        <stp>FIRST_CPN_DT</stp>
        <stp>[STRIPS.xlsx]Sheet1!R481C9</stp>
        <tr r="I481" s="1"/>
      </tp>
      <tp t="s">
        <v>#N/A Field Not Applicable</v>
        <stp/>
        <stp>##V3_BDPV12</stp>
        <stp>912833PK Govt</stp>
        <stp>FIRST_CPN_DT</stp>
        <stp>[STRIPS.xlsx]Sheet1!R573C9</stp>
        <tr r="I573" s="1"/>
      </tp>
      <tp t="s">
        <v>#N/A Field Not Applicable</v>
        <stp/>
        <stp>##V3_BDPV12</stp>
        <stp>912834TJ Govt</stp>
        <stp>FIRST_CPN_DT</stp>
        <stp>[STRIPS.xlsx]Sheet1!R757C9</stp>
        <tr r="I757" s="1"/>
      </tp>
      <tp t="s">
        <v>#N/A Field Not Applicable</v>
        <stp/>
        <stp>##V3_BDPV12</stp>
        <stp>912833ZM Govt</stp>
        <stp>FIRST_CPN_DT</stp>
        <stp>[STRIPS.xlsx]Sheet1!R699C9</stp>
        <tr r="I699" s="1"/>
      </tp>
      <tp t="s">
        <v>#N/A Field Not Applicable</v>
        <stp/>
        <stp>##V3_BDPV12</stp>
        <stp>912834QL Govt</stp>
        <stp>FIRST_CPN_DT</stp>
        <stp>[STRIPS.xlsx]Sheet1!R142C9</stp>
        <tr r="I142" s="1"/>
      </tp>
      <tp t="s">
        <v>UNITED STATES</v>
        <stp/>
        <stp>##V3_BDPV12</stp>
        <stp>9128334Y Govt</stp>
        <stp>COUNTRY_FULL_NAME</stp>
        <stp>[STRIPS.xlsx]Sheet1!R67C8</stp>
        <tr r="H67" s="1"/>
      </tp>
      <tp t="s">
        <v>#N/A Field Not Applicable</v>
        <stp/>
        <stp>##V3_BDPV12</stp>
        <stp>912834UN Govt</stp>
        <stp>FIRST_CPN_DT</stp>
        <stp>[STRIPS.xlsx]Sheet1!R206C9</stp>
        <tr r="I206" s="1"/>
      </tp>
      <tp t="s">
        <v>S</v>
        <stp/>
        <stp>##V3_BDPV12</stp>
        <stp>9128337T Govt</stp>
        <stp>TICKER</stp>
        <stp>[STRIPS.xlsx]Sheet1!R121C2</stp>
        <tr r="B121" s="1"/>
      </tp>
      <tp t="s">
        <v>S</v>
        <stp/>
        <stp>##V3_BDPV12</stp>
        <stp>9128333X Govt</stp>
        <stp>TICKER</stp>
        <stp>[STRIPS.xlsx]Sheet1!R601C2</stp>
        <tr r="B601" s="1"/>
      </tp>
      <tp t="s">
        <v>S</v>
        <stp/>
        <stp>##V3_BDPV12</stp>
        <stp>9128332C Govt</stp>
        <stp>TICKER</stp>
        <stp>[STRIPS.xlsx]Sheet1!R701C2</stp>
        <tr r="B701" s="1"/>
      </tp>
      <tp t="s">
        <v>S</v>
        <stp/>
        <stp>##V3_BDPV12</stp>
        <stp>9128337D Govt</stp>
        <stp>TICKER</stp>
        <stp>[STRIPS.xlsx]Sheet1!R291C2</stp>
        <tr r="B291" s="1"/>
      </tp>
      <tp t="s">
        <v>S</v>
        <stp/>
        <stp>##V3_BDPV12</stp>
        <stp>9128335Q Govt</stp>
        <stp>TICKER</stp>
        <stp>[STRIPS.xlsx]Sheet1!R711C2</stp>
        <tr r="B711" s="1"/>
      </tp>
      <tp t="s">
        <v>S</v>
        <stp/>
        <stp>##V3_BDPV12</stp>
        <stp>9128335F Govt</stp>
        <stp>TICKER</stp>
        <stp>[STRIPS.xlsx]Sheet1!R721C2</stp>
        <tr r="B721" s="1"/>
      </tp>
      <tp t="s">
        <v>S</v>
        <stp/>
        <stp>##V3_BDPV12</stp>
        <stp>9128337H Govt</stp>
        <stp>TICKER</stp>
        <stp>[STRIPS.xlsx]Sheet1!R431C2</stp>
        <tr r="B431" s="1"/>
      </tp>
      <tp t="s">
        <v>S</v>
        <stp/>
        <stp>##V3_BDPV12</stp>
        <stp>9128334M Govt</stp>
        <stp>TICKER</stp>
        <stp>[STRIPS.xlsx]Sheet1!R491C2</stp>
        <tr r="B491" s="1"/>
      </tp>
      <tp t="s">
        <v>S</v>
        <stp/>
        <stp>##V3_BDPV12</stp>
        <stp>9128336S Govt</stp>
        <stp>TICKER</stp>
        <stp>[STRIPS.xlsx]Sheet1!R751C2</stp>
        <tr r="B751" s="1"/>
      </tp>
      <tp t="s">
        <v>S</v>
        <stp/>
        <stp>##V3_BDPV12</stp>
        <stp>9128337L Govt</stp>
        <stp>TICKER</stp>
        <stp>[STRIPS.xlsx]Sheet1!R651C2</stp>
        <tr r="B651" s="1"/>
      </tp>
      <tp t="s">
        <v>S</v>
        <stp/>
        <stp>##V3_BDPV12</stp>
        <stp>912833A3 Govt</stp>
        <stp>TICKER</stp>
        <stp>[STRIPS.xlsx]Sheet1!R731C2</stp>
        <tr r="B731" s="1"/>
      </tp>
      <tp t="s">
        <v>S</v>
        <stp/>
        <stp>##V3_BDPV12</stp>
        <stp>912833BY Govt</stp>
        <stp>TICKER</stp>
        <stp>[STRIPS.xlsx]Sheet1!R501C2</stp>
        <tr r="B501" s="1"/>
      </tp>
      <tp t="s">
        <v>S</v>
        <stp/>
        <stp>##V3_BDPV12</stp>
        <stp>912833B2 Govt</stp>
        <stp>TICKER</stp>
        <stp>[STRIPS.xlsx]Sheet1!R561C2</stp>
        <tr r="B561" s="1"/>
      </tp>
      <tp t="s">
        <v>S</v>
        <stp/>
        <stp>##V3_BDPV12</stp>
        <stp>912833C2 Govt</stp>
        <stp>TICKER</stp>
        <stp>[STRIPS.xlsx]Sheet1!R611C2</stp>
        <tr r="B611" s="1"/>
      </tp>
      <tp t="s">
        <v>S</v>
        <stp/>
        <stp>##V3_BDPV12</stp>
        <stp>912833FZ Govt</stp>
        <stp>TICKER</stp>
        <stp>[STRIPS.xlsx]Sheet1!R511C2</stp>
        <tr r="B511" s="1"/>
      </tp>
      <tp t="s">
        <v>S</v>
        <stp/>
        <stp>##V3_BDPV12</stp>
        <stp>912833GE Govt</stp>
        <stp>TICKER</stp>
        <stp>[STRIPS.xlsx]Sheet1!R441C2</stp>
        <tr r="B441" s="1"/>
      </tp>
      <tp t="s">
        <v>S</v>
        <stp/>
        <stp>##V3_BDPV12</stp>
        <stp>912833FT Govt</stp>
        <stp>TICKER</stp>
        <stp>[STRIPS.xlsx]Sheet1!R621C2</stp>
        <tr r="B621" s="1"/>
      </tp>
      <tp t="s">
        <v>S</v>
        <stp/>
        <stp>##V3_BDPV12</stp>
        <stp>912833FG Govt</stp>
        <stp>TICKER</stp>
        <stp>[STRIPS.xlsx]Sheet1!R661C2</stp>
        <tr r="B661" s="1"/>
      </tp>
      <tp t="s">
        <v>S</v>
        <stp/>
        <stp>##V3_BDPV12</stp>
        <stp>912833BX Govt</stp>
        <stp>TICKER</stp>
        <stp>[STRIPS.xlsx]Sheet1!R361C2</stp>
        <tr r="B361" s="1"/>
      </tp>
      <tp t="s">
        <v>S</v>
        <stp/>
        <stp>##V3_BDPV12</stp>
        <stp>912833B5 Govt</stp>
        <stp>TICKER</stp>
        <stp>[STRIPS.xlsx]Sheet1!R331C2</stp>
        <tr r="B331" s="1"/>
      </tp>
      <tp t="s">
        <v>S</v>
        <stp/>
        <stp>##V3_BDPV12</stp>
        <stp>912833MM Govt</stp>
        <stp>TICKER</stp>
        <stp>[STRIPS.xlsx]Sheet1!R371C2</stp>
        <tr r="B371" s="1"/>
      </tp>
      <tp t="s">
        <v>S</v>
        <stp/>
        <stp>##V3_BDPV12</stp>
        <stp>912833JZ Govt</stp>
        <stp>TICKER</stp>
        <stp>[STRIPS.xlsx]Sheet1!R741C2</stp>
        <tr r="B741" s="1"/>
      </tp>
      <tp t="s">
        <v>S</v>
        <stp/>
        <stp>##V3_BDPV12</stp>
        <stp>912833LD Govt</stp>
        <stp>TICKER</stp>
        <stp>[STRIPS.xlsx]Sheet1!R151C2</stp>
        <tr r="B151" s="1"/>
      </tp>
      <tp t="s">
        <v>S</v>
        <stp/>
        <stp>##V3_BDPV12</stp>
        <stp>912833KG Govt</stp>
        <stp>TICKER</stp>
        <stp>[STRIPS.xlsx]Sheet1!R671C2</stp>
        <tr r="B671" s="1"/>
      </tp>
      <tp t="s">
        <v>S</v>
        <stp/>
        <stp>##V3_BDPV12</stp>
        <stp>912833KT Govt</stp>
        <stp>TICKER</stp>
        <stp>[STRIPS.xlsx]Sheet1!R161C2</stp>
        <tr r="B161" s="1"/>
      </tp>
      <tp t="s">
        <v>S</v>
        <stp/>
        <stp>##V3_BDPV12</stp>
        <stp>912833NE Govt</stp>
        <stp>TICKER</stp>
        <stp>[STRIPS.xlsx]Sheet1!R571C2</stp>
        <tr r="B571" s="1"/>
      </tp>
      <tp t="s">
        <v>S</v>
        <stp/>
        <stp>##V3_BDPV12</stp>
        <stp>912833KK Govt</stp>
        <stp>TICKER</stp>
        <stp>[STRIPS.xlsx]Sheet1!R301C2</stp>
        <tr r="B301" s="1"/>
      </tp>
      <tp t="s">
        <v>S</v>
        <stp/>
        <stp>##V3_BDPV12</stp>
        <stp>912833PN Govt</stp>
        <stp>TICKER</stp>
        <stp>[STRIPS.xlsx]Sheet1!R681C2</stp>
        <tr r="B681" s="1"/>
      </tp>
      <tp t="s">
        <v>S</v>
        <stp/>
        <stp>##V3_BDPV12</stp>
        <stp>912833RV Govt</stp>
        <stp>TICKER</stp>
        <stp>[STRIPS.xlsx]Sheet1!R581C2</stp>
        <tr r="B581" s="1"/>
      </tp>
      <tp t="s">
        <v>S</v>
        <stp/>
        <stp>##V3_BDPV12</stp>
        <stp>912833QL Govt</stp>
        <stp>TICKER</stp>
        <stp>[STRIPS.xlsx]Sheet1!R631C2</stp>
        <tr r="B631" s="1"/>
      </tp>
      <tp t="s">
        <v>S</v>
        <stp/>
        <stp>##V3_BDPV12</stp>
        <stp>912833QR Govt</stp>
        <stp>TICKER</stp>
        <stp>[STRIPS.xlsx]Sheet1!R521C2</stp>
        <tr r="B521" s="1"/>
      </tp>
      <tp t="s">
        <v>S</v>
        <stp/>
        <stp>##V3_BDPV12</stp>
        <stp>912833RE Govt</stp>
        <stp>TICKER</stp>
        <stp>[STRIPS.xlsx]Sheet1!R691C2</stp>
        <tr r="B691" s="1"/>
      </tp>
      <tp t="s">
        <v>S</v>
        <stp/>
        <stp>##V3_BDPV12</stp>
        <stp>912833QC Govt</stp>
        <stp>TICKER</stp>
        <stp>[STRIPS.xlsx]Sheet1!R341C2</stp>
        <tr r="B341" s="1"/>
      </tp>
      <tp t="s">
        <v>S</v>
        <stp/>
        <stp>##V3_BDPV12</stp>
        <stp>912833QE Govt</stp>
        <stp>TICKER</stp>
        <stp>[STRIPS.xlsx]Sheet1!R241C2</stp>
        <tr r="B241" s="1"/>
      </tp>
      <tp t="s">
        <v>S</v>
        <stp/>
        <stp>##V3_BDPV12</stp>
        <stp>912833YB Govt</stp>
        <stp>TICKER</stp>
        <stp>[STRIPS.xlsx]Sheet1!R451C2</stp>
        <tr r="B451" s="1"/>
      </tp>
      <tp t="s">
        <v>S</v>
        <stp/>
        <stp>##V3_BDPV12</stp>
        <stp>912833YX Govt</stp>
        <stp>TICKER</stp>
        <stp>[STRIPS.xlsx]Sheet1!R381C2</stp>
        <tr r="B381" s="1"/>
      </tp>
      <tp t="s">
        <v>S</v>
        <stp/>
        <stp>##V3_BDPV12</stp>
        <stp>912833Z6 Govt</stp>
        <stp>TICKER</stp>
        <stp>[STRIPS.xlsx]Sheet1!R111C2</stp>
        <tr r="B111" s="1"/>
      </tp>
      <tp t="s">
        <v>S</v>
        <stp/>
        <stp>##V3_BDPV12</stp>
        <stp>912833ZA Govt</stp>
        <stp>TICKER</stp>
        <stp>[STRIPS.xlsx]Sheet1!R251C2</stp>
        <tr r="B251" s="1"/>
      </tp>
      <tp t="s">
        <v>#N/A Field Not Applicable</v>
        <stp/>
        <stp>##V3_BDPV12</stp>
        <stp>912834PA Govt</stp>
        <stp>FIRST_CPN_DT</stp>
        <stp>[STRIPS.xlsx]Sheet1!R123C9</stp>
        <tr r="I123" s="1"/>
      </tp>
      <tp t="s">
        <v>#N/A Field Not Applicable</v>
        <stp/>
        <stp>##V3_BDPV12</stp>
        <stp>912833RE Govt</stp>
        <stp>FIRST_CPN_DT</stp>
        <stp>[STRIPS.xlsx]Sheet1!R691C9</stp>
        <tr r="I691" s="1"/>
      </tp>
      <tp t="s">
        <v>#N/A Field Not Applicable</v>
        <stp/>
        <stp>##V3_BDPV12</stp>
        <stp>912834VD Govt</stp>
        <stp>FIRST_CPN_DT</stp>
        <stp>[STRIPS.xlsx]Sheet1!R765C9</stp>
        <tr r="I765" s="1"/>
      </tp>
      <tp t="s">
        <v>USD</v>
        <stp/>
        <stp>##V3_BDPV12</stp>
        <stp>912834BR Govt</stp>
        <stp>CRNCY</stp>
        <stp>[STRIPS.xlsx]Sheet1!R531C7</stp>
        <tr r="G531" s="1"/>
      </tp>
      <tp t="s">
        <v>USD</v>
        <stp/>
        <stp>##V3_BDPV12</stp>
        <stp>912833ZT Govt</stp>
        <stp>CRNCY</stp>
        <stp>[STRIPS.xlsx]Sheet1!R347C7</stp>
        <tr r="G347" s="1"/>
      </tp>
      <tp t="s">
        <v>USD</v>
        <stp/>
        <stp>##V3_BDPV12</stp>
        <stp>912833QT Govt</stp>
        <stp>CRNCY</stp>
        <stp>[STRIPS.xlsx]Sheet1!R307C7</stp>
        <tr r="G307" s="1"/>
      </tp>
      <tp t="s">
        <v>USD</v>
        <stp/>
        <stp>##V3_BDPV12</stp>
        <stp>912833QZ Govt</stp>
        <stp>CRNCY</stp>
        <stp>[STRIPS.xlsx]Sheet1!R379C7</stp>
        <tr r="G379" s="1"/>
      </tp>
      <tp t="s">
        <v>USD</v>
        <stp/>
        <stp>##V3_BDPV12</stp>
        <stp>912833NP Govt</stp>
        <stp>CRNCY</stp>
        <stp>[STRIPS.xlsx]Sheet1!R373C7</stp>
        <tr r="G373" s="1"/>
      </tp>
      <tp t="s">
        <v>USD</v>
        <stp/>
        <stp>##V3_BDPV12</stp>
        <stp>912833JU Govt</stp>
        <stp>CRNCY</stp>
        <stp>[STRIPS.xlsx]Sheet1!R366C7</stp>
        <tr r="G366" s="1"/>
      </tp>
      <tp t="s">
        <v>USD</v>
        <stp/>
        <stp>##V3_BDPV12</stp>
        <stp>912834JT Govt</stp>
        <stp>CRNCY</stp>
        <stp>[STRIPS.xlsx]Sheet1!R467C7</stp>
        <tr r="G467" s="1"/>
      </tp>
      <tp t="s">
        <v>USD</v>
        <stp/>
        <stp>##V3_BDPV12</stp>
        <stp>912833QR Govt</stp>
        <stp>CRNCY</stp>
        <stp>[STRIPS.xlsx]Sheet1!R521C7</stp>
        <tr r="G521" s="1"/>
      </tp>
      <tp t="s">
        <v>USD</v>
        <stp/>
        <stp>##V3_BDPV12</stp>
        <stp>912833YU Govt</stp>
        <stp>CRNCY</stp>
        <stp>[STRIPS.xlsx]Sheet1!R586C7</stp>
        <tr r="G586" s="1"/>
      </tp>
      <tp t="s">
        <v>USD</v>
        <stp/>
        <stp>##V3_BDPV12</stp>
        <stp>912834QZ Govt</stp>
        <stp>CRNCY</stp>
        <stp>[STRIPS.xlsx]Sheet1!R279C7</stp>
        <tr r="G279" s="1"/>
      </tp>
      <tp t="s">
        <v>USD</v>
        <stp/>
        <stp>##V3_BDPV12</stp>
        <stp>912834VQ Govt</stp>
        <stp>CRNCY</stp>
        <stp>[STRIPS.xlsx]Sheet1!R222C7</stp>
        <tr r="G222" s="1"/>
      </tp>
      <tp t="s">
        <v>USD</v>
        <stp/>
        <stp>##V3_BDPV12</stp>
        <stp>912834LS Govt</stp>
        <stp>CRNCY</stp>
        <stp>[STRIPS.xlsx]Sheet1!R270C7</stp>
        <tr r="G270" s="1"/>
      </tp>
      <tp t="s">
        <v>USD</v>
        <stp/>
        <stp>##V3_BDPV12</stp>
        <stp>912834MW Govt</stp>
        <stp>CRNCY</stp>
        <stp>[STRIPS.xlsx]Sheet1!R234C7</stp>
        <tr r="G234" s="1"/>
      </tp>
      <tp t="s">
        <v>USD</v>
        <stp/>
        <stp>##V3_BDPV12</stp>
        <stp>912834KZ Govt</stp>
        <stp>CRNCY</stp>
        <stp>[STRIPS.xlsx]Sheet1!R269C7</stp>
        <tr r="G269" s="1"/>
      </tp>
      <tp t="s">
        <v>USD</v>
        <stp/>
        <stp>##V3_BDPV12</stp>
        <stp>912833RQ Govt</stp>
        <stp>CRNCY</stp>
        <stp>[STRIPS.xlsx]Sheet1!R692C7</stp>
        <tr r="G692" s="1"/>
      </tp>
      <tp t="s">
        <v>USD</v>
        <stp/>
        <stp>##V3_BDPV12</stp>
        <stp>912833PQ Govt</stp>
        <stp>CRNCY</stp>
        <stp>[STRIPS.xlsx]Sheet1!R682C7</stp>
        <tr r="G682" s="1"/>
      </tp>
      <tp t="s">
        <v>USD</v>
        <stp/>
        <stp>##V3_BDPV12</stp>
        <stp>912834VS Govt</stp>
        <stp>CRNCY</stp>
        <stp>[STRIPS.xlsx]Sheet1!R170C7</stp>
        <tr r="G170" s="1"/>
      </tp>
      <tp t="s">
        <v>USD</v>
        <stp/>
        <stp>##V3_BDPV12</stp>
        <stp>912834WU Govt</stp>
        <stp>CRNCY</stp>
        <stp>[STRIPS.xlsx]Sheet1!R166C7</stp>
        <tr r="G166" s="1"/>
      </tp>
      <tp t="s">
        <v>USD</v>
        <stp/>
        <stp>##V3_BDPV12</stp>
        <stp>912834TZ Govt</stp>
        <stp>CRNCY</stp>
        <stp>[STRIPS.xlsx]Sheet1!R139C7</stp>
        <tr r="G139" s="1"/>
      </tp>
      <tp t="s">
        <v>USD</v>
        <stp/>
        <stp>##V3_BDPV12</stp>
        <stp>912834PW Govt</stp>
        <stp>CRNCY</stp>
        <stp>[STRIPS.xlsx]Sheet1!R154C7</stp>
        <tr r="G154" s="1"/>
      </tp>
      <tp t="s">
        <v>USD</v>
        <stp/>
        <stp>##V3_BDPV12</stp>
        <stp>912833KP Govt</stp>
        <stp>CRNCY</stp>
        <stp>[STRIPS.xlsx]Sheet1!R623C7</stp>
        <tr r="G623" s="1"/>
      </tp>
      <tp t="s">
        <v>USD</v>
        <stp/>
        <stp>##V3_BDPV12</stp>
        <stp>912834NV Govt</stp>
        <stp>CRNCY</stp>
        <stp>[STRIPS.xlsx]Sheet1!R115C7</stp>
        <tr r="G115" s="1"/>
      </tp>
      <tp t="s">
        <v>USD</v>
        <stp/>
        <stp>##V3_BDPV12</stp>
        <stp>912833CT Govt</stp>
        <stp>CRNCY</stp>
        <stp>[STRIPS.xlsx]Sheet1!R657C7</stp>
        <tr r="G657" s="1"/>
      </tp>
      <tp t="s">
        <v>USD</v>
        <stp/>
        <stp>##V3_BDPV12</stp>
        <stp>9128336U Govt</stp>
        <stp>CRNCY</stp>
        <stp>[STRIPS.xlsx]Sheet1!R606C7</stp>
        <tr r="G606" s="1"/>
      </tp>
      <tp t="s">
        <v>USD</v>
        <stp/>
        <stp>##V3_BDPV12</stp>
        <stp>9128333U Govt</stp>
        <stp>CRNCY</stp>
        <stp>[STRIPS.xlsx]Sheet1!R706C7</stp>
        <tr r="G706" s="1"/>
      </tp>
      <tp t="s">
        <v>USD</v>
        <stp/>
        <stp>##V3_BDPV12</stp>
        <stp>9128335P Govt</stp>
        <stp>CRNCY</stp>
        <stp>[STRIPS.xlsx]Sheet1!R723C7</stp>
        <tr r="G723" s="1"/>
      </tp>
      <tp t="s">
        <v>USD</v>
        <stp/>
        <stp>##V3_BDPV12</stp>
        <stp>9128336V Govt</stp>
        <stp>CRNCY</stp>
        <stp>[STRIPS.xlsx]Sheet1!R715C7</stp>
        <tr r="G715" s="1"/>
      </tp>
      <tp t="s">
        <v>#N/A Field Not Applicable</v>
        <stp/>
        <stp>##V3_BDPV12</stp>
        <stp>912834RF Govt</stp>
        <stp>FIRST_CPN_DT</stp>
        <stp>[STRIPS.xlsx]Sheet1!R551C9</stp>
        <tr r="I551" s="1"/>
      </tp>
      <tp t="s">
        <v>#N/A Field Not Applicable</v>
        <stp/>
        <stp>##V3_BDPV12</stp>
        <stp>9128334S Govt</stp>
        <stp>FIRST_CPN_DT</stp>
        <stp>[STRIPS.xlsx]Sheet1!R5C9</stp>
        <tr r="I5" s="1"/>
      </tp>
      <tp t="s">
        <v>#N/A Field Not Applicable</v>
        <stp/>
        <stp>##V3_BDPV12</stp>
        <stp>912833QY Govt</stp>
        <stp>FIRST_CPN_DT</stp>
        <stp>[STRIPS.xlsx]Sheet1!R633C9</stp>
        <tr r="I633" s="1"/>
      </tp>
      <tp t="s">
        <v>#N/A Field Not Applicable</v>
        <stp/>
        <stp>##V3_BDPV12</stp>
        <stp>912834PY Govt</stp>
        <stp>FIRST_CPN_DT</stp>
        <stp>[STRIPS.xlsx]Sheet1!R202C9</stp>
        <tr r="I202" s="1"/>
      </tp>
      <tp t="s">
        <v>#N/A Field Not Applicable</v>
        <stp/>
        <stp>##V3_BDPV12</stp>
        <stp>912834PX Govt</stp>
        <stp>FIRST_CPN_DT</stp>
        <stp>[STRIPS.xlsx]Sheet1!R412C9</stp>
        <tr r="I412" s="1"/>
      </tp>
      <tp t="s">
        <v>#N/A Field Not Applicable</v>
        <stp/>
        <stp>##V3_BDPV12</stp>
        <stp>912834QX Govt</stp>
        <stp>FIRST_CPN_DT</stp>
        <stp>[STRIPS.xlsx]Sheet1!R423C9</stp>
        <tr r="I423" s="1"/>
      </tp>
      <tp t="s">
        <v>#N/A Field Not Applicable</v>
        <stp/>
        <stp>##V3_BDPV12</stp>
        <stp>912833ZX Govt</stp>
        <stp>FIRST_CPN_DT</stp>
        <stp>[STRIPS.xlsx]Sheet1!R588C9</stp>
        <tr r="I588" s="1"/>
      </tp>
      <tp t="s">
        <v>#N/A Field Not Applicable</v>
        <stp/>
        <stp>##V3_BDPV12</stp>
        <stp>912833QX Govt</stp>
        <stp>FIRST_CPN_DT</stp>
        <stp>[STRIPS.xlsx]Sheet1!R243C9</stp>
        <tr r="I243" s="1"/>
      </tp>
      <tp t="s">
        <v>#N/A Field Not Applicable</v>
        <stp/>
        <stp>##V3_BDPV12</stp>
        <stp>912833ZZ Govt</stp>
        <stp>FIRST_CPN_DT</stp>
        <stp>[STRIPS.xlsx]Sheet1!R528C9</stp>
        <tr r="I528" s="1"/>
      </tp>
      <tp t="s">
        <v>#N/A Field Not Applicable</v>
        <stp/>
        <stp>##V3_BDPV12</stp>
        <stp>912833PQ Govt</stp>
        <stp>FIRST_CPN_DT</stp>
        <stp>[STRIPS.xlsx]Sheet1!R682C9</stp>
        <tr r="I682" s="1"/>
      </tp>
      <tp t="s">
        <v>#N/A Field Not Applicable</v>
        <stp/>
        <stp>##V3_BDPV12</stp>
        <stp>912834TS Govt</stp>
        <stp>FIRST_CPN_DT</stp>
        <stp>[STRIPS.xlsx]Sheet1!R196C9</stp>
        <tr r="I196" s="1"/>
      </tp>
      <tp t="s">
        <v>#N/A Field Not Applicable</v>
        <stp/>
        <stp>##V3_BDPV12</stp>
        <stp>912834TR Govt</stp>
        <stp>FIRST_CPN_DT</stp>
        <stp>[STRIPS.xlsx]Sheet1!R426C9</stp>
        <tr r="I426" s="1"/>
      </tp>
      <tp t="s">
        <v>#N/A Field Not Applicable</v>
        <stp/>
        <stp>##V3_BDPV12</stp>
        <stp>912834VR Govt</stp>
        <stp>FIRST_CPN_DT</stp>
        <stp>[STRIPS.xlsx]Sheet1!R224C9</stp>
        <tr r="I224" s="1"/>
      </tp>
      <tp t="s">
        <v>#N/A Field Not Applicable</v>
        <stp/>
        <stp>##V3_BDPV12</stp>
        <stp>912834PU Govt</stp>
        <stp>FIRST_CPN_DT</stp>
        <stp>[STRIPS.xlsx]Sheet1!R212C9</stp>
        <tr r="I212" s="1"/>
      </tp>
      <tp t="s">
        <v>#N/A Field Not Applicable</v>
        <stp/>
        <stp>##V3_BDPV12</stp>
        <stp>912833ZU Govt</stp>
        <stp>FIRST_CPN_DT</stp>
        <stp>[STRIPS.xlsx]Sheet1!R348C9</stp>
        <tr r="I348" s="1"/>
      </tp>
      <tp t="s">
        <v>#N/A Field Not Applicable</v>
        <stp/>
        <stp>##V3_BDPV12</stp>
        <stp>912833RT Govt</stp>
        <stp>FIRST_CPN_DT</stp>
        <stp>[STRIPS.xlsx]Sheet1!R580C9</stp>
        <tr r="I580" s="1"/>
      </tp>
      <tp t="s">
        <v>#N/A Field Not Applicable</v>
        <stp/>
        <stp>##V3_BDPV12</stp>
        <stp>912834RT Govt</stp>
        <stp>FIRST_CPN_DT</stp>
        <stp>[STRIPS.xlsx]Sheet1!R280C9</stp>
        <tr r="I280" s="1"/>
      </tp>
      <tp t="s">
        <v>#N/A Field Not Applicable</v>
        <stp/>
        <stp>##V3_BDPV12</stp>
        <stp>912834WW Govt</stp>
        <stp>FIRST_CPN_DT</stp>
        <stp>[STRIPS.xlsx]Sheet1!R185C9</stp>
        <tr r="I185" s="1"/>
      </tp>
      <tp t="s">
        <v>S</v>
        <stp/>
        <stp>##V3_BDPV12</stp>
        <stp>912834EN Govt</stp>
        <stp>TICKER</stp>
        <stp>[STRIPS.xlsx]Sheet1!R310C2</stp>
        <tr r="B310" s="1"/>
      </tp>
      <tp t="s">
        <v>S</v>
        <stp/>
        <stp>##V3_BDPV12</stp>
        <stp>912834DW Govt</stp>
        <stp>TICKER</stp>
        <stp>[STRIPS.xlsx]Sheet1!R390C2</stp>
        <tr r="B390" s="1"/>
      </tp>
      <tp t="s">
        <v>S</v>
        <stp/>
        <stp>##V3_BDPV12</stp>
        <stp>912834BE Govt</stp>
        <stp>TICKER</stp>
        <stp>[STRIPS.xlsx]Sheet1!R530C2</stp>
        <tr r="B530" s="1"/>
      </tp>
      <tp t="s">
        <v>S</v>
        <stp/>
        <stp>##V3_BDPV12</stp>
        <stp>912834FB Govt</stp>
        <stp>TICKER</stp>
        <stp>[STRIPS.xlsx]Sheet1!R120C2</stp>
        <tr r="B120" s="1"/>
      </tp>
      <tp t="s">
        <v>S</v>
        <stp/>
        <stp>##V3_BDPV12</stp>
        <stp>912834AG Govt</stp>
        <stp>TICKER</stp>
        <stp>[STRIPS.xlsx]Sheet1!R590C2</stp>
        <tr r="B590" s="1"/>
      </tp>
      <tp t="s">
        <v>S</v>
        <stp/>
        <stp>##V3_BDPV12</stp>
        <stp>912834AQ Govt</stp>
        <stp>TICKER</stp>
        <stp>[STRIPS.xlsx]Sheet1!R260C2</stp>
        <tr r="B260" s="1"/>
      </tp>
      <tp t="s">
        <v>S</v>
        <stp/>
        <stp>##V3_BDPV12</stp>
        <stp>912834DZ Govt</stp>
        <stp>TICKER</stp>
        <stp>[STRIPS.xlsx]Sheet1!R460C2</stp>
        <tr r="B460" s="1"/>
      </tp>
      <tp t="s">
        <v>S</v>
        <stp/>
        <stp>##V3_BDPV12</stp>
        <stp>912834BF Govt</stp>
        <stp>TICKER</stp>
        <stp>[STRIPS.xlsx]Sheet1!R350C2</stp>
        <tr r="B350" s="1"/>
      </tp>
      <tp t="s">
        <v>S</v>
        <stp/>
        <stp>##V3_BDPV12</stp>
        <stp>912834LS Govt</stp>
        <stp>TICKER</stp>
        <stp>[STRIPS.xlsx]Sheet1!R270C2</stp>
        <tr r="B270" s="1"/>
      </tp>
      <tp t="s">
        <v>S</v>
        <stp/>
        <stp>##V3_BDPV12</stp>
        <stp>912834LW Govt</stp>
        <stp>TICKER</stp>
        <stp>[STRIPS.xlsx]Sheet1!R360C2</stp>
        <tr r="B360" s="1"/>
      </tp>
      <tp t="s">
        <v>S</v>
        <stp/>
        <stp>##V3_BDPV12</stp>
        <stp>912834KW Govt</stp>
        <stp>TICKER</stp>
        <stp>[STRIPS.xlsx]Sheet1!R470C2</stp>
        <tr r="B470" s="1"/>
      </tp>
      <tp t="s">
        <v>S</v>
        <stp/>
        <stp>##V3_BDPV12</stp>
        <stp>912834NP Govt</stp>
        <stp>TICKER</stp>
        <stp>[STRIPS.xlsx]Sheet1!R130C2</stp>
        <tr r="B130" s="1"/>
      </tp>
      <tp t="s">
        <v>S</v>
        <stp/>
        <stp>##V3_BDPV12</stp>
        <stp>912834KR Govt</stp>
        <stp>TICKER</stp>
        <stp>[STRIPS.xlsx]Sheet1!R400C2</stp>
        <tr r="B400" s="1"/>
      </tp>
      <tp t="s">
        <v>S</v>
        <stp/>
        <stp>##V3_BDPV12</stp>
        <stp>912834LF Govt</stp>
        <stp>TICKER</stp>
        <stp>[STRIPS.xlsx]Sheet1!R320C2</stp>
        <tr r="B320" s="1"/>
      </tp>
      <tp t="s">
        <v>S</v>
        <stp/>
        <stp>##V3_BDPV12</stp>
        <stp>912834NX Govt</stp>
        <stp>TICKER</stp>
        <stp>[STRIPS.xlsx]Sheet1!R410C2</stp>
        <tr r="B410" s="1"/>
      </tp>
      <tp t="s">
        <v>S</v>
        <stp/>
        <stp>##V3_BDPV12</stp>
        <stp>912834KB Govt</stp>
        <stp>TICKER</stp>
        <stp>[STRIPS.xlsx]Sheet1!R110C2</stp>
        <tr r="B110" s="1"/>
      </tp>
      <tp t="s">
        <v>S</v>
        <stp/>
        <stp>##V3_BDPV12</stp>
        <stp>912834NJ Govt</stp>
        <stp>TICKER</stp>
        <stp>[STRIPS.xlsx]Sheet1!R420C2</stp>
        <tr r="B420" s="1"/>
      </tp>
      <tp t="s">
        <v>S</v>
        <stp/>
        <stp>##V3_BDPV12</stp>
        <stp>912834JW Govt</stp>
        <stp>TICKER</stp>
        <stp>[STRIPS.xlsx]Sheet1!R210C2</stp>
        <tr r="B210" s="1"/>
      </tp>
      <tp t="s">
        <v>S</v>
        <stp/>
        <stp>##V3_BDPV12</stp>
        <stp>912834MB Govt</stp>
        <stp>TICKER</stp>
        <stp>[STRIPS.xlsx]Sheet1!R540C2</stp>
        <tr r="B540" s="1"/>
      </tp>
      <tp t="s">
        <v>S</v>
        <stp/>
        <stp>##V3_BDPV12</stp>
        <stp>912834KG Govt</stp>
        <stp>TICKER</stp>
        <stp>[STRIPS.xlsx]Sheet1!R230C2</stp>
        <tr r="B230" s="1"/>
      </tp>
      <tp t="s">
        <v>S</v>
        <stp/>
        <stp>##V3_BDPV12</stp>
        <stp>912834VS Govt</stp>
        <stp>TICKER</stp>
        <stp>[STRIPS.xlsx]Sheet1!R170C2</stp>
        <tr r="B170" s="1"/>
      </tp>
      <tp t="s">
        <v>S</v>
        <stp/>
        <stp>##V3_BDPV12</stp>
        <stp>912834UA Govt</stp>
        <stp>TICKER</stp>
        <stp>[STRIPS.xlsx]Sheet1!R200C2</stp>
        <tr r="B200" s="1"/>
      </tp>
      <tp t="s">
        <v>S</v>
        <stp/>
        <stp>##V3_BDPV12</stp>
        <stp>912834VG Govt</stp>
        <stp>TICKER</stp>
        <stp>[STRIPS.xlsx]Sheet1!R160C2</stp>
        <tr r="B160" s="1"/>
      </tp>
      <tp t="s">
        <v>S</v>
        <stp/>
        <stp>##V3_BDPV12</stp>
        <stp>912834UM Govt</stp>
        <stp>TICKER</stp>
        <stp>[STRIPS.xlsx]Sheet1!R180C2</stp>
        <tr r="B180" s="1"/>
      </tp>
      <tp t="s">
        <v>S</v>
        <stp/>
        <stp>##V3_BDPV12</stp>
        <stp>912834QD Govt</stp>
        <stp>TICKER</stp>
        <stp>[STRIPS.xlsx]Sheet1!R550C2</stp>
        <tr r="B550" s="1"/>
      </tp>
      <tp t="s">
        <v>S</v>
        <stp/>
        <stp>##V3_BDPV12</stp>
        <stp>912834QR Govt</stp>
        <stp>TICKER</stp>
        <stp>[STRIPS.xlsx]Sheet1!R480C2</stp>
        <tr r="B480" s="1"/>
      </tp>
      <tp t="s">
        <v>S</v>
        <stp/>
        <stp>##V3_BDPV12</stp>
        <stp>912834TW Govt</stp>
        <stp>TICKER</stp>
        <stp>[STRIPS.xlsx]Sheet1!R760C2</stp>
        <tr r="B760" s="1"/>
      </tp>
      <tp t="s">
        <v>S</v>
        <stp/>
        <stp>##V3_BDPV12</stp>
        <stp>912834RT Govt</stp>
        <stp>TICKER</stp>
        <stp>[STRIPS.xlsx]Sheet1!R280C2</stp>
        <tr r="B280" s="1"/>
      </tp>
      <tp t="s">
        <v>S</v>
        <stp/>
        <stp>##V3_BDPV12</stp>
        <stp>912834WF Govt</stp>
        <stp>TICKER</stp>
        <stp>[STRIPS.xlsx]Sheet1!R770C2</stp>
        <tr r="B770" s="1"/>
      </tp>
      <tp t="s">
        <v>S</v>
        <stp/>
        <stp>##V3_BDPV12</stp>
        <stp>912834PQ Govt</stp>
        <stp>TICKER</stp>
        <stp>[STRIPS.xlsx]Sheet1!R140C2</stp>
        <tr r="B140" s="1"/>
      </tp>
      <tp t="s">
        <v>S</v>
        <stp/>
        <stp>##V3_BDPV12</stp>
        <stp>912834XH Govt</stp>
        <stp>TICKER</stp>
        <stp>[STRIPS.xlsx]Sheet1!R150C2</stp>
        <tr r="B150" s="1"/>
      </tp>
      <tp t="s">
        <v>S</v>
        <stp/>
        <stp>##V3_BDPV12</stp>
        <stp>912834XA Govt</stp>
        <stp>TICKER</stp>
        <stp>[STRIPS.xlsx]Sheet1!R190C2</stp>
        <tr r="B190" s="1"/>
      </tp>
      <tp t="s">
        <v>#N/A Field Not Applicable</v>
        <stp/>
        <stp>##V3_BDPV12</stp>
        <stp>912833ZH Govt</stp>
        <stp>FIRST_CPN_DT</stp>
        <stp>[STRIPS.xlsx]Sheet1!R698C9</stp>
        <tr r="I698" s="1"/>
      </tp>
      <tp t="s">
        <v>#N/A Field Not Applicable</v>
        <stp/>
        <stp>##V3_BDPV12</stp>
        <stp>912834WH Govt</stp>
        <stp>FIRST_CPN_DT</stp>
        <stp>[STRIPS.xlsx]Sheet1!R215C9</stp>
        <tr r="I215" s="1"/>
      </tp>
      <tp t="s">
        <v>#N/A Field Not Applicable</v>
        <stp/>
        <stp>##V3_BDPV12</stp>
        <stp>912834WK Govt</stp>
        <stp>FIRST_CPN_DT</stp>
        <stp>[STRIPS.xlsx]Sheet1!R775C9</stp>
        <tr r="I775" s="1"/>
      </tp>
      <tp t="s">
        <v>#N/A Field Not Applicable</v>
        <stp/>
        <stp>##V3_BDPV12</stp>
        <stp>912834VJ Govt</stp>
        <stp>FIRST_CPN_DT</stp>
        <stp>[STRIPS.xlsx]Sheet1!R774C9</stp>
        <tr r="I774" s="1"/>
      </tp>
      <tp t="s">
        <v>#N/A Field Not Applicable</v>
        <stp/>
        <stp>##V3_BDPV12</stp>
        <stp>912834QJ Govt</stp>
        <stp>FIRST_CPN_DT</stp>
        <stp>[STRIPS.xlsx]Sheet1!R213C9</stp>
        <tr r="I213" s="1"/>
      </tp>
      <tp t="s">
        <v>#N/A Field Not Applicable</v>
        <stp/>
        <stp>##V3_BDPV12</stp>
        <stp>912834QM Govt</stp>
        <stp>FIRST_CPN_DT</stp>
        <stp>[STRIPS.xlsx]Sheet1!R413C9</stp>
        <tr r="I413" s="1"/>
      </tp>
      <tp t="s">
        <v>#N/A Field Not Applicable</v>
        <stp/>
        <stp>##V3_BDPV12</stp>
        <stp>912833ZN Govt</stp>
        <stp>FIRST_CPN_DT</stp>
        <stp>[STRIPS.xlsx]Sheet1!R638C9</stp>
        <tr r="I638" s="1"/>
      </tp>
      <tp t="s">
        <v>S</v>
        <stp/>
        <stp>##V3_BDPV12</stp>
        <stp>9128337V Govt</stp>
        <stp>TICKER</stp>
        <stp>[STRIPS.xlsx]Sheet1!R100C2</stp>
        <tr r="B100" s="1"/>
      </tp>
      <tp t="s">
        <v>S</v>
        <stp/>
        <stp>##V3_BDPV12</stp>
        <stp>9128336X Govt</stp>
        <stp>TICKER</stp>
        <stp>[STRIPS.xlsx]Sheet1!R290C2</stp>
        <tr r="B290" s="1"/>
      </tp>
      <tp t="s">
        <v>S</v>
        <stp/>
        <stp>##V3_BDPV12</stp>
        <stp>9128332A Govt</stp>
        <stp>TICKER</stp>
        <stp>[STRIPS.xlsx]Sheet1!R700C2</stp>
        <tr r="B700" s="1"/>
      </tp>
      <tp t="s">
        <v>S</v>
        <stp/>
        <stp>##V3_BDPV12</stp>
        <stp>9128333H Govt</stp>
        <stp>TICKER</stp>
        <stp>[STRIPS.xlsx]Sheet1!R600C2</stp>
        <tr r="B600" s="1"/>
      </tp>
      <tp t="s">
        <v>S</v>
        <stp/>
        <stp>##V3_BDPV12</stp>
        <stp>9128336Z Govt</stp>
        <stp>TICKER</stp>
        <stp>[STRIPS.xlsx]Sheet1!R430C2</stp>
        <tr r="B430" s="1"/>
      </tp>
      <tp t="s">
        <v>S</v>
        <stp/>
        <stp>##V3_BDPV12</stp>
        <stp>9128335C Govt</stp>
        <stp>TICKER</stp>
        <stp>[STRIPS.xlsx]Sheet1!R720C2</stp>
        <tr r="B720" s="1"/>
      </tp>
      <tp t="s">
        <v>S</v>
        <stp/>
        <stp>##V3_BDPV12</stp>
        <stp>9128335M Govt</stp>
        <stp>TICKER</stp>
        <stp>[STRIPS.xlsx]Sheet1!R710C2</stp>
        <tr r="B710" s="1"/>
      </tp>
      <tp t="s">
        <v>S</v>
        <stp/>
        <stp>##V3_BDPV12</stp>
        <stp>9128335Z Govt</stp>
        <stp>TICKER</stp>
        <stp>[STRIPS.xlsx]Sheet1!R650C2</stp>
        <tr r="B650" s="1"/>
      </tp>
      <tp t="s">
        <v>S</v>
        <stp/>
        <stp>##V3_BDPV12</stp>
        <stp>9128334K Govt</stp>
        <stp>TICKER</stp>
        <stp>[STRIPS.xlsx]Sheet1!R490C2</stp>
        <tr r="B490" s="1"/>
      </tp>
      <tp t="s">
        <v>S</v>
        <stp/>
        <stp>##V3_BDPV12</stp>
        <stp>9128337J Govt</stp>
        <stp>TICKER</stp>
        <stp>[STRIPS.xlsx]Sheet1!R730C2</stp>
        <tr r="B730" s="1"/>
      </tp>
      <tp t="s">
        <v>S</v>
        <stp/>
        <stp>##V3_BDPV12</stp>
        <stp>9128336Q Govt</stp>
        <stp>TICKER</stp>
        <stp>[STRIPS.xlsx]Sheet1!R750C2</stp>
        <tr r="B750" s="1"/>
      </tp>
      <tp t="s">
        <v>S</v>
        <stp/>
        <stp>##V3_BDPV12</stp>
        <stp>912833B6 Govt</stp>
        <stp>TICKER</stp>
        <stp>[STRIPS.xlsx]Sheet1!R500C2</stp>
        <tr r="B500" s="1"/>
      </tp>
      <tp t="s">
        <v>S</v>
        <stp/>
        <stp>##V3_BDPV12</stp>
        <stp>912833BW Govt</stp>
        <stp>TICKER</stp>
        <stp>[STRIPS.xlsx]Sheet1!R610C2</stp>
        <tr r="B610" s="1"/>
      </tp>
      <tp t="s">
        <v>S</v>
        <stp/>
        <stp>##V3_BDPV12</stp>
        <stp>912833A8 Govt</stp>
        <stp>TICKER</stp>
        <stp>[STRIPS.xlsx]Sheet1!R560C2</stp>
        <tr r="B560" s="1"/>
      </tp>
      <tp t="s">
        <v>S</v>
        <stp/>
        <stp>##V3_BDPV12</stp>
        <stp>912833DF Govt</stp>
        <stp>TICKER</stp>
        <stp>[STRIPS.xlsx]Sheet1!R660C2</stp>
        <tr r="B660" s="1"/>
      </tp>
      <tp t="s">
        <v>S</v>
        <stp/>
        <stp>##V3_BDPV12</stp>
        <stp>912833A4 Govt</stp>
        <stp>TICKER</stp>
        <stp>[STRIPS.xlsx]Sheet1!R330C2</stp>
        <tr r="B330" s="1"/>
      </tp>
      <tp t="s">
        <v>S</v>
        <stp/>
        <stp>##V3_BDPV12</stp>
        <stp>912833FV Govt</stp>
        <stp>TICKER</stp>
        <stp>[STRIPS.xlsx]Sheet1!R510C2</stp>
        <tr r="B510" s="1"/>
      </tp>
      <tp t="s">
        <v>S</v>
        <stp/>
        <stp>##V3_BDPV12</stp>
        <stp>912833GC Govt</stp>
        <stp>TICKER</stp>
        <stp>[STRIPS.xlsx]Sheet1!R440C2</stp>
        <tr r="B440" s="1"/>
      </tp>
      <tp t="s">
        <v>S</v>
        <stp/>
        <stp>##V3_BDPV12</stp>
        <stp>912833FQ Govt</stp>
        <stp>TICKER</stp>
        <stp>[STRIPS.xlsx]Sheet1!R620C2</stp>
        <tr r="B620" s="1"/>
      </tp>
      <tp t="s">
        <v>S</v>
        <stp/>
        <stp>##V3_BDPV12</stp>
        <stp>912833CZ Govt</stp>
        <stp>TICKER</stp>
        <stp>[STRIPS.xlsx]Sheet1!R220C2</stp>
        <tr r="B220" s="1"/>
      </tp>
      <tp t="s">
        <v>S</v>
        <stp/>
        <stp>##V3_BDPV12</stp>
        <stp>912833MJ Govt</stp>
        <stp>TICKER</stp>
        <stp>[STRIPS.xlsx]Sheet1!R370C2</stp>
        <tr r="B370" s="1"/>
      </tp>
      <tp t="s">
        <v>S</v>
        <stp/>
        <stp>##V3_BDPV12</stp>
        <stp>912833JW Govt</stp>
        <stp>TICKER</stp>
        <stp>[STRIPS.xlsx]Sheet1!R740C2</stp>
        <tr r="B740" s="1"/>
      </tp>
      <tp t="s">
        <v>S</v>
        <stp/>
        <stp>##V3_BDPV12</stp>
        <stp>912833KE Govt</stp>
        <stp>TICKER</stp>
        <stp>[STRIPS.xlsx]Sheet1!R670C2</stp>
        <tr r="B670" s="1"/>
      </tp>
      <tp t="s">
        <v>S</v>
        <stp/>
        <stp>##V3_BDPV12</stp>
        <stp>912833NC Govt</stp>
        <stp>TICKER</stp>
        <stp>[STRIPS.xlsx]Sheet1!R570C2</stp>
        <tr r="B570" s="1"/>
      </tp>
      <tp t="s">
        <v>S</v>
        <stp/>
        <stp>##V3_BDPV12</stp>
        <stp>912833KD Govt</stp>
        <stp>TICKER</stp>
        <stp>[STRIPS.xlsx]Sheet1!R300C2</stp>
        <tr r="B300" s="1"/>
      </tp>
      <tp t="s">
        <v>S</v>
        <stp/>
        <stp>##V3_BDPV12</stp>
        <stp>912833PJ Govt</stp>
        <stp>TICKER</stp>
        <stp>[STRIPS.xlsx]Sheet1!R680C2</stp>
        <tr r="B680" s="1"/>
      </tp>
      <tp t="s">
        <v>S</v>
        <stp/>
        <stp>##V3_BDPV12</stp>
        <stp>912833RT Govt</stp>
        <stp>TICKER</stp>
        <stp>[STRIPS.xlsx]Sheet1!R580C2</stp>
        <tr r="B580" s="1"/>
      </tp>
      <tp t="s">
        <v>S</v>
        <stp/>
        <stp>##V3_BDPV12</stp>
        <stp>912833QH Govt</stp>
        <stp>TICKER</stp>
        <stp>[STRIPS.xlsx]Sheet1!R630C2</stp>
        <tr r="B630" s="1"/>
      </tp>
      <tp t="s">
        <v>S</v>
        <stp/>
        <stp>##V3_BDPV12</stp>
        <stp>912833QM Govt</stp>
        <stp>TICKER</stp>
        <stp>[STRIPS.xlsx]Sheet1!R520C2</stp>
        <tr r="B520" s="1"/>
      </tp>
      <tp t="s">
        <v>S</v>
        <stp/>
        <stp>##V3_BDPV12</stp>
        <stp>912833RC Govt</stp>
        <stp>TICKER</stp>
        <stp>[STRIPS.xlsx]Sheet1!R690C2</stp>
        <tr r="B690" s="1"/>
      </tp>
      <tp t="s">
        <v>S</v>
        <stp/>
        <stp>##V3_BDPV12</stp>
        <stp>912833PZ Govt</stp>
        <stp>TICKER</stp>
        <stp>[STRIPS.xlsx]Sheet1!R240C2</stp>
        <tr r="B240" s="1"/>
      </tp>
      <tp t="s">
        <v>S</v>
        <stp/>
        <stp>##V3_BDPV12</stp>
        <stp>912833PY Govt</stp>
        <stp>TICKER</stp>
        <stp>[STRIPS.xlsx]Sheet1!R340C2</stp>
        <tr r="B340" s="1"/>
      </tp>
      <tp t="s">
        <v>S</v>
        <stp/>
        <stp>##V3_BDPV12</stp>
        <stp>912833RD Govt</stp>
        <stp>TICKER</stp>
        <stp>[STRIPS.xlsx]Sheet1!R380C2</stp>
        <tr r="B380" s="1"/>
      </tp>
      <tp t="s">
        <v>S</v>
        <stp/>
        <stp>##V3_BDPV12</stp>
        <stp>912833ZW Govt</stp>
        <stp>TICKER</stp>
        <stp>[STRIPS.xlsx]Sheet1!R640C2</stp>
        <tr r="B640" s="1"/>
      </tp>
      <tp t="s">
        <v>S</v>
        <stp/>
        <stp>##V3_BDPV12</stp>
        <stp>912833Y9 Govt</stp>
        <stp>TICKER</stp>
        <stp>[STRIPS.xlsx]Sheet1!R450C2</stp>
        <tr r="B450" s="1"/>
      </tp>
      <tp t="s">
        <v>S</v>
        <stp/>
        <stp>##V3_BDPV12</stp>
        <stp>912833YV Govt</stp>
        <stp>TICKER</stp>
        <stp>[STRIPS.xlsx]Sheet1!R250C2</stp>
        <tr r="B250" s="1"/>
      </tp>
      <tp t="s">
        <v>#N/A Field Not Applicable</v>
        <stp/>
        <stp>##V3_BDPV12</stp>
        <stp>912834TA Govt</stp>
        <stp>FIRST_CPN_DT</stp>
        <stp>[STRIPS.xlsx]Sheet1!R756C9</stp>
        <tr r="I756" s="1"/>
      </tp>
      <tp t="s">
        <v>#N/A Field Not Applicable</v>
        <stp/>
        <stp>##V3_BDPV12</stp>
        <stp>912833RC Govt</stp>
        <stp>FIRST_CPN_DT</stp>
        <stp>[STRIPS.xlsx]Sheet1!R690C9</stp>
        <tr r="I690" s="1"/>
      </tp>
      <tp t="s">
        <v>#N/A Field Not Applicable</v>
        <stp/>
        <stp>##V3_BDPV12</stp>
        <stp>912834PE Govt</stp>
        <stp>FIRST_CPN_DT</stp>
        <stp>[STRIPS.xlsx]Sheet1!R132C9</stp>
        <tr r="I132" s="1"/>
      </tp>
      <tp t="s">
        <v>#N/A Field Not Applicable</v>
        <stp/>
        <stp>##V3_BDPV12</stp>
        <stp>912834UE Govt</stp>
        <stp>FIRST_CPN_DT</stp>
        <stp>[STRIPS.xlsx]Sheet1!R207C9</stp>
        <tr r="I207" s="1"/>
      </tp>
      <tp t="s">
        <v>UNITED STATES</v>
        <stp/>
        <stp>##V3_BDPV12</stp>
        <stp>9128337S Govt</stp>
        <stp>COUNTRY_FULL_NAME</stp>
        <stp>[STRIPS.xlsx]Sheet1!R35C8</stp>
        <tr r="H35" s="1"/>
      </tp>
      <tp t="s">
        <v>#N/A Field Not Applicable</v>
        <stp/>
        <stp>##V3_BDPV12</stp>
        <stp>912834UD Govt</stp>
        <stp>FIRST_CPN_DT</stp>
        <stp>[STRIPS.xlsx]Sheet1!R197C9</stp>
        <tr r="I197" s="1"/>
      </tp>
      <tp t="s">
        <v>#N/A Field Not Applicable</v>
        <stp/>
        <stp>##V3_BDPV12</stp>
        <stp>912833RD Govt</stp>
        <stp>FIRST_CPN_DT</stp>
        <stp>[STRIPS.xlsx]Sheet1!R380C9</stp>
        <tr r="I380" s="1"/>
      </tp>
      <tp t="s">
        <v>USD</v>
        <stp/>
        <stp>##V3_BDPV12</stp>
        <stp>912833ZP Govt</stp>
        <stp>CRNCY</stp>
        <stp>[STRIPS.xlsx]Sheet1!R192C7</stp>
        <tr r="G192" s="1"/>
      </tp>
      <tp t="s">
        <v>USD</v>
        <stp/>
        <stp>##V3_BDPV12</stp>
        <stp>912833JT Govt</stp>
        <stp>CRNCY</stp>
        <stp>[STRIPS.xlsx]Sheet1!R156C7</stp>
        <tr r="G156" s="1"/>
      </tp>
      <tp t="s">
        <v>USD</v>
        <stp/>
        <stp>##V3_BDPV12</stp>
        <stp>912833ZV Govt</stp>
        <stp>CRNCY</stp>
        <stp>[STRIPS.xlsx]Sheet1!R254C7</stp>
        <tr r="G254" s="1"/>
      </tp>
      <tp t="s">
        <v>USD</v>
        <stp/>
        <stp>##V3_BDPV12</stp>
        <stp>912834MP Govt</stp>
        <stp>CRNCY</stp>
        <stp>[STRIPS.xlsx]Sheet1!R542C7</stp>
        <tr r="G542" s="1"/>
      </tp>
      <tp t="s">
        <v>USD</v>
        <stp/>
        <stp>##V3_BDPV12</stp>
        <stp>912834QR Govt</stp>
        <stp>CRNCY</stp>
        <stp>[STRIPS.xlsx]Sheet1!R480C7</stp>
        <tr r="G480" s="1"/>
      </tp>
      <tp t="s">
        <v>USD</v>
        <stp/>
        <stp>##V3_BDPV12</stp>
        <stp>912834KR Govt</stp>
        <stp>CRNCY</stp>
        <stp>[STRIPS.xlsx]Sheet1!R400C7</stp>
        <tr r="G400" s="1"/>
      </tp>
      <tp t="s">
        <v>USD</v>
        <stp/>
        <stp>##V3_BDPV12</stp>
        <stp>9128333V Govt</stp>
        <stp>CRNCY</stp>
        <stp>[STRIPS.xlsx]Sheet1!R484C7</stp>
        <tr r="G484" s="1"/>
      </tp>
      <tp t="s">
        <v>USD</v>
        <stp/>
        <stp>##V3_BDPV12</stp>
        <stp>9128333W Govt</stp>
        <stp>CRNCY</stp>
        <stp>[STRIPS.xlsx]Sheet1!R485C7</stp>
        <tr r="G485" s="1"/>
      </tp>
      <tp t="s">
        <v>USD</v>
        <stp/>
        <stp>##V3_BDPV12</stp>
        <stp>912833ZZ Govt</stp>
        <stp>CRNCY</stp>
        <stp>[STRIPS.xlsx]Sheet1!R528C7</stp>
        <tr r="G528" s="1"/>
      </tp>
      <tp t="s">
        <v>USD</v>
        <stp/>
        <stp>##V3_BDPV12</stp>
        <stp>912834NQ Govt</stp>
        <stp>CRNCY</stp>
        <stp>[STRIPS.xlsx]Sheet1!R273C7</stp>
        <tr r="G273" s="1"/>
      </tp>
      <tp t="s">
        <v>USD</v>
        <stp/>
        <stp>##V3_BDPV12</stp>
        <stp>9128335T Govt</stp>
        <stp>CRNCY</stp>
        <stp>[STRIPS.xlsx]Sheet1!R556C7</stp>
        <tr r="G556" s="1"/>
      </tp>
      <tp t="s">
        <v>USD</v>
        <stp/>
        <stp>##V3_BDPV12</stp>
        <stp>912834WW Govt</stp>
        <stp>CRNCY</stp>
        <stp>[STRIPS.xlsx]Sheet1!R185C7</stp>
        <tr r="G185" s="1"/>
      </tp>
      <tp t="s">
        <v>USD</v>
        <stp/>
        <stp>##V3_BDPV12</stp>
        <stp>912834PT Govt</stp>
        <stp>CRNCY</stp>
        <stp>[STRIPS.xlsx]Sheet1!R106C7</stp>
        <tr r="G106" s="1"/>
      </tp>
      <tp t="s">
        <v>USD</v>
        <stp/>
        <stp>##V3_BDPV12</stp>
        <stp>912834QV Govt</stp>
        <stp>CRNCY</stp>
        <stp>[STRIPS.xlsx]Sheet1!R104C7</stp>
        <tr r="G104" s="1"/>
      </tp>
      <tp t="s">
        <v>USD</v>
        <stp/>
        <stp>##V3_BDPV12</stp>
        <stp>912833MW Govt</stp>
        <stp>CRNCY</stp>
        <stp>[STRIPS.xlsx]Sheet1!R675C7</stp>
        <tr r="G675" s="1"/>
      </tp>
      <tp t="s">
        <v>USD</v>
        <stp/>
        <stp>##V3_BDPV12</stp>
        <stp>912833MZ Govt</stp>
        <stp>CRNCY</stp>
        <stp>[STRIPS.xlsx]Sheet1!R628C7</stp>
        <tr r="G628" s="1"/>
      </tp>
      <tp t="s">
        <v>USD</v>
        <stp/>
        <stp>##V3_BDPV12</stp>
        <stp>912833CW Govt</stp>
        <stp>CRNCY</stp>
        <stp>[STRIPS.xlsx]Sheet1!R735C7</stp>
        <tr r="G735" s="1"/>
      </tp>
      <tp t="s">
        <v>USD</v>
        <stp/>
        <stp>##V3_BDPV12</stp>
        <stp>9128336S Govt</stp>
        <stp>CRNCY</stp>
        <stp>[STRIPS.xlsx]Sheet1!R751C7</stp>
        <tr r="G751" s="1"/>
      </tp>
      <tp t="s">
        <v>USD</v>
        <stp/>
        <stp>##V3_BDPV12</stp>
        <stp>9128335V Govt</stp>
        <stp>CRNCY</stp>
        <stp>[STRIPS.xlsx]Sheet1!R724C7</stp>
        <tr r="G724" s="1"/>
      </tp>
      <tp t="s">
        <v>USD</v>
        <stp/>
        <stp>##V3_BDPV12</stp>
        <stp>9128335W Govt</stp>
        <stp>CRNCY</stp>
        <stp>[STRIPS.xlsx]Sheet1!R725C7</stp>
        <tr r="G725" s="1"/>
      </tp>
      <tp t="s">
        <v>#N/A Field Not Applicable</v>
        <stp/>
        <stp>##V3_BDPV12</stp>
        <stp>912834UG Govt</stp>
        <stp>FIRST_CPN_DT</stp>
        <stp>[STRIPS.xlsx]Sheet1!R137C9</stp>
        <tr r="I137" s="1"/>
      </tp>
      <tp t="s">
        <v>#N/A Field Not Applicable</v>
        <stp/>
        <stp>##V3_BDPV12</stp>
        <stp>912834UF Govt</stp>
        <stp>FIRST_CPN_DT</stp>
        <stp>[STRIPS.xlsx]Sheet1!R147C9</stp>
        <tr r="I147" s="1"/>
      </tp>
      <tp t="s">
        <v>UNITED STATES</v>
        <stp/>
        <stp>##V3_BDPV12</stp>
        <stp>9128337P Govt</stp>
        <stp>COUNTRY_FULL_NAME</stp>
        <stp>[STRIPS.xlsx]Sheet1!R25C8</stp>
        <tr r="H25" s="1"/>
      </tp>
      <tp t="s">
        <v>#N/A Field Not Applicable</v>
        <stp/>
        <stp>##V3_BDPV12</stp>
        <stp>912833PA Govt</stp>
        <stp>FIRST_CPN_DT</stp>
        <stp>[STRIPS.xlsx]Sheet1!R4C9</stp>
        <tr r="I4" s="1"/>
      </tp>
      <tp t="s">
        <v>#N/A Field Not Applicable</v>
        <stp/>
        <stp>##V3_BDPV12</stp>
        <stp>912834VX Govt</stp>
        <stp>FIRST_CPN_DT</stp>
        <stp>[STRIPS.xlsx]Sheet1!R767C9</stp>
        <tr r="I767" s="1"/>
      </tp>
      <tp t="s">
        <v>#N/A Field Not Applicable</v>
        <stp/>
        <stp>##V3_BDPV12</stp>
        <stp>912834WX Govt</stp>
        <stp>FIRST_CPN_DT</stp>
        <stp>[STRIPS.xlsx]Sheet1!R776C9</stp>
        <tr r="I776" s="1"/>
      </tp>
      <tp t="s">
        <v>#N/A Field Not Applicable</v>
        <stp/>
        <stp>##V3_BDPV12</stp>
        <stp>912834TX Govt</stp>
        <stp>FIRST_CPN_DT</stp>
        <stp>[STRIPS.xlsx]Sheet1!R145C9</stp>
        <tr r="I145" s="1"/>
      </tp>
      <tp t="s">
        <v>#N/A Field Not Applicable</v>
        <stp/>
        <stp>##V3_BDPV12</stp>
        <stp>912834WQ Govt</stp>
        <stp>FIRST_CPN_DT</stp>
        <stp>[STRIPS.xlsx]Sheet1!R136C9</stp>
        <tr r="I136" s="1"/>
      </tp>
      <tp t="s">
        <v>#N/A Field Not Applicable</v>
        <stp/>
        <stp>##V3_BDPV12</stp>
        <stp>912834UP Govt</stp>
        <stp>FIRST_CPN_DT</stp>
        <stp>[STRIPS.xlsx]Sheet1!R754C9</stp>
        <tr r="I754" s="1"/>
      </tp>
      <tp t="s">
        <v>#N/A Field Not Applicable</v>
        <stp/>
        <stp>##V3_BDPV12</stp>
        <stp>912834QR Govt</stp>
        <stp>FIRST_CPN_DT</stp>
        <stp>[STRIPS.xlsx]Sheet1!R480C9</stp>
        <tr r="I480" s="1"/>
      </tp>
      <tp t="s">
        <v>#N/A Field Not Applicable</v>
        <stp/>
        <stp>##V3_BDPV12</stp>
        <stp>912833RR Govt</stp>
        <stp>FIRST_CPN_DT</stp>
        <stp>[STRIPS.xlsx]Sheet1!R693C9</stp>
        <tr r="I693" s="1"/>
      </tp>
      <tp t="s">
        <v>#N/A Field Not Applicable</v>
        <stp/>
        <stp>##V3_BDPV12</stp>
        <stp>912834WU Govt</stp>
        <stp>FIRST_CPN_DT</stp>
        <stp>[STRIPS.xlsx]Sheet1!R166C9</stp>
        <tr r="I166" s="1"/>
      </tp>
      <tp t="s">
        <v>#N/A Field Not Applicable</v>
        <stp/>
        <stp>##V3_BDPV12</stp>
        <stp>912834UT Govt</stp>
        <stp>FIRST_CPN_DT</stp>
        <stp>[STRIPS.xlsx]Sheet1!R184C9</stp>
        <tr r="I184" s="1"/>
      </tp>
      <tp t="s">
        <v>#N/A Field Not Applicable</v>
        <stp/>
        <stp>##V3_BDPV12</stp>
        <stp>912834RW Govt</stp>
        <stp>FIRST_CPN_DT</stp>
        <stp>[STRIPS.xlsx]Sheet1!R753C9</stp>
        <tr r="I753" s="1"/>
      </tp>
      <tp t="s">
        <v>S</v>
        <stp/>
        <stp>##V3_BDPV12</stp>
        <stp>912834ET Govt</stp>
        <stp>TICKER</stp>
        <stp>[STRIPS.xlsx]Sheet1!R393C2</stp>
        <tr r="B393" s="1"/>
      </tp>
      <tp t="s">
        <v>S</v>
        <stp/>
        <stp>##V3_BDPV12</stp>
        <stp>912834EY Govt</stp>
        <stp>TICKER</stp>
        <stp>[STRIPS.xlsx]Sheet1!R313C2</stp>
        <tr r="B313" s="1"/>
      </tp>
      <tp t="s">
        <v>S</v>
        <stp/>
        <stp>##V3_BDPV12</stp>
        <stp>912834BD Govt</stp>
        <stp>TICKER</stp>
        <stp>[STRIPS.xlsx]Sheet1!R643C2</stp>
        <tr r="B643" s="1"/>
      </tp>
      <tp t="s">
        <v>S</v>
        <stp/>
        <stp>##V3_BDPV12</stp>
        <stp>912834EG Govt</stp>
        <stp>TICKER</stp>
        <stp>[STRIPS.xlsx]Sheet1!R533C2</stp>
        <tr r="B533" s="1"/>
      </tp>
      <tp t="s">
        <v>S</v>
        <stp/>
        <stp>##V3_BDPV12</stp>
        <stp>912834BN Govt</stp>
        <stp>TICKER</stp>
        <stp>[STRIPS.xlsx]Sheet1!R263C2</stp>
        <tr r="B263" s="1"/>
      </tp>
      <tp t="s">
        <v>S</v>
        <stp/>
        <stp>##V3_BDPV12</stp>
        <stp>912834EA Govt</stp>
        <stp>TICKER</stp>
        <stp>[STRIPS.xlsx]Sheet1!R593C2</stp>
        <tr r="B593" s="1"/>
      </tp>
      <tp t="s">
        <v>S</v>
        <stp/>
        <stp>##V3_BDPV12</stp>
        <stp>912834BM Govt</stp>
        <stp>TICKER</stp>
        <stp>[STRIPS.xlsx]Sheet1!R353C2</stp>
        <tr r="B353" s="1"/>
      </tp>
      <tp t="s">
        <v>S</v>
        <stp/>
        <stp>##V3_BDPV12</stp>
        <stp>912834EM Govt</stp>
        <stp>TICKER</stp>
        <stp>[STRIPS.xlsx]Sheet1!R463C2</stp>
        <tr r="B463" s="1"/>
      </tp>
      <tp t="s">
        <v>S</v>
        <stp/>
        <stp>##V3_BDPV12</stp>
        <stp>912834NY Govt</stp>
        <stp>TICKER</stp>
        <stp>[STRIPS.xlsx]Sheet1!R143C2</stp>
        <tr r="B143" s="1"/>
      </tp>
      <tp t="s">
        <v>S</v>
        <stp/>
        <stp>##V3_BDPV12</stp>
        <stp>912834LL Govt</stp>
        <stp>TICKER</stp>
        <stp>[STRIPS.xlsx]Sheet1!R323C2</stp>
        <tr r="B323" s="1"/>
      </tp>
      <tp t="s">
        <v>S</v>
        <stp/>
        <stp>##V3_BDPV12</stp>
        <stp>912834MJ Govt</stp>
        <stp>TICKER</stp>
        <stp>[STRIPS.xlsx]Sheet1!R233C2</stp>
        <tr r="B233" s="1"/>
      </tp>
      <tp t="s">
        <v>S</v>
        <stp/>
        <stp>##V3_BDPV12</stp>
        <stp>912834NQ Govt</stp>
        <stp>TICKER</stp>
        <stp>[STRIPS.xlsx]Sheet1!R273C2</stp>
        <tr r="B273" s="1"/>
      </tp>
      <tp t="s">
        <v>S</v>
        <stp/>
        <stp>##V3_BDPV12</stp>
        <stp>912834KC Govt</stp>
        <stp>TICKER</stp>
        <stp>[STRIPS.xlsx]Sheet1!R133C2</stp>
        <tr r="B133" s="1"/>
      </tp>
      <tp t="s">
        <v>S</v>
        <stp/>
        <stp>##V3_BDPV12</stp>
        <stp>912834MV Govt</stp>
        <stp>TICKER</stp>
        <stp>[STRIPS.xlsx]Sheet1!R543C2</stp>
        <tr r="B543" s="1"/>
      </tp>
      <tp t="s">
        <v>S</v>
        <stp/>
        <stp>##V3_BDPV12</stp>
        <stp>912834LE Govt</stp>
        <stp>TICKER</stp>
        <stp>[STRIPS.xlsx]Sheet1!R473C2</stp>
        <tr r="B473" s="1"/>
      </tp>
      <tp t="s">
        <v>S</v>
        <stp/>
        <stp>##V3_BDPV12</stp>
        <stp>912834LJ Govt</stp>
        <stp>TICKER</stp>
        <stp>[STRIPS.xlsx]Sheet1!R403C2</stp>
        <tr r="B403" s="1"/>
      </tp>
      <tp t="s">
        <v>S</v>
        <stp/>
        <stp>##V3_BDPV12</stp>
        <stp>912834TT Govt</stp>
        <stp>TICKER</stp>
        <stp>[STRIPS.xlsx]Sheet1!R283C2</stp>
        <tr r="B283" s="1"/>
      </tp>
      <tp t="s">
        <v>S</v>
        <stp/>
        <stp>##V3_BDPV12</stp>
        <stp>912834UB Govt</stp>
        <stp>TICKER</stp>
        <stp>[STRIPS.xlsx]Sheet1!R113C2</stp>
        <tr r="B113" s="1"/>
      </tp>
      <tp t="s">
        <v>S</v>
        <stp/>
        <stp>##V3_BDPV12</stp>
        <stp>912834RW Govt</stp>
        <stp>TICKER</stp>
        <stp>[STRIPS.xlsx]Sheet1!R753C2</stp>
        <tr r="B753" s="1"/>
      </tp>
      <tp t="s">
        <v>S</v>
        <stp/>
        <stp>##V3_BDPV12</stp>
        <stp>912834QX Govt</stp>
        <stp>TICKER</stp>
        <stp>[STRIPS.xlsx]Sheet1!R423C2</stp>
        <tr r="B423" s="1"/>
      </tp>
      <tp t="s">
        <v>S</v>
        <stp/>
        <stp>##V3_BDPV12</stp>
        <stp>912834TC Govt</stp>
        <stp>TICKER</stp>
        <stp>[STRIPS.xlsx]Sheet1!R163C2</stp>
        <tr r="B163" s="1"/>
      </tp>
      <tp t="s">
        <v>S</v>
        <stp/>
        <stp>##V3_BDPV12</stp>
        <stp>912834WE Govt</stp>
        <stp>TICKER</stp>
        <stp>[STRIPS.xlsx]Sheet1!R223C2</stp>
        <tr r="B223" s="1"/>
      </tp>
      <tp t="s">
        <v>S</v>
        <stp/>
        <stp>##V3_BDPV12</stp>
        <stp>912834QM Govt</stp>
        <stp>TICKER</stp>
        <stp>[STRIPS.xlsx]Sheet1!R413C2</stp>
        <tr r="B413" s="1"/>
      </tp>
      <tp t="s">
        <v>S</v>
        <stp/>
        <stp>##V3_BDPV12</stp>
        <stp>912834QJ Govt</stp>
        <stp>TICKER</stp>
        <stp>[STRIPS.xlsx]Sheet1!R213C2</stp>
        <tr r="B213" s="1"/>
      </tp>
      <tp t="s">
        <v>S</v>
        <stp/>
        <stp>##V3_BDPV12</stp>
        <stp>912834RJ Govt</stp>
        <stp>TICKER</stp>
        <stp>[STRIPS.xlsx]Sheet1!R203C2</stp>
        <tr r="B203" s="1"/>
      </tp>
      <tp t="s">
        <v>S</v>
        <stp/>
        <stp>##V3_BDPV12</stp>
        <stp>912834VT Govt</stp>
        <stp>TICKER</stp>
        <stp>[STRIPS.xlsx]Sheet1!R773C2</stp>
        <tr r="B773" s="1"/>
      </tp>
      <tp t="s">
        <v>S</v>
        <stp/>
        <stp>##V3_BDPV12</stp>
        <stp>912834VC Govt</stp>
        <stp>TICKER</stp>
        <stp>[STRIPS.xlsx]Sheet1!R763C2</stp>
        <tr r="B763" s="1"/>
      </tp>
      <tp t="s">
        <v>S</v>
        <stp/>
        <stp>##V3_BDPV12</stp>
        <stp>912834PA Govt</stp>
        <stp>TICKER</stp>
        <stp>[STRIPS.xlsx]Sheet1!R123C2</stp>
        <tr r="B123" s="1"/>
      </tp>
      <tp t="s">
        <v>S</v>
        <stp/>
        <stp>##V3_BDPV12</stp>
        <stp>912834XB Govt</stp>
        <stp>TICKER</stp>
        <stp>[STRIPS.xlsx]Sheet1!R183C2</stp>
        <tr r="B183" s="1"/>
      </tp>
      <tp t="s">
        <v>#N/A Field Not Applicable</v>
        <stp/>
        <stp>##V3_BDPV12</stp>
        <stp>912833QH Govt</stp>
        <stp>FIRST_CPN_DT</stp>
        <stp>[STRIPS.xlsx]Sheet1!R630C9</stp>
        <tr r="I630" s="1"/>
      </tp>
      <tp t="s">
        <v>#N/A Field Not Applicable</v>
        <stp/>
        <stp>##V3_BDPV12</stp>
        <stp>912834TK Govt</stp>
        <stp>FIRST_CPN_DT</stp>
        <stp>[STRIPS.xlsx]Sheet1!R425C9</stp>
        <tr r="I425" s="1"/>
      </tp>
      <tp t="s">
        <v>#N/A Field Not Applicable</v>
        <stp/>
        <stp>##V3_BDPV12</stp>
        <stp>912834RJ Govt</stp>
        <stp>FIRST_CPN_DT</stp>
        <stp>[STRIPS.xlsx]Sheet1!R203C9</stp>
        <tr r="I203" s="1"/>
      </tp>
      <tp t="s">
        <v>#N/A Field Not Applicable</v>
        <stp/>
        <stp>##V3_BDPV12</stp>
        <stp>912833QM Govt</stp>
        <stp>FIRST_CPN_DT</stp>
        <stp>[STRIPS.xlsx]Sheet1!R520C9</stp>
        <tr r="I520" s="1"/>
      </tp>
      <tp t="s">
        <v>#N/A Field Not Applicable</v>
        <stp/>
        <stp>##V3_BDPV12</stp>
        <stp>912833RL Govt</stp>
        <stp>FIRST_CPN_DT</stp>
        <stp>[STRIPS.xlsx]Sheet1!R523C9</stp>
        <tr r="I523" s="1"/>
      </tp>
      <tp t="s">
        <v>#N/A Field Not Applicable</v>
        <stp/>
        <stp>##V3_BDPV12</stp>
        <stp>912834TL Govt</stp>
        <stp>FIRST_CPN_DT</stp>
        <stp>[STRIPS.xlsx]Sheet1!R195C9</stp>
        <tr r="I195" s="1"/>
      </tp>
      <tp t="s">
        <v>UNITED STATES</v>
        <stp/>
        <stp>##V3_BDPV12</stp>
        <stp>9128334Z Govt</stp>
        <stp>COUNTRY_FULL_NAME</stp>
        <stp>[STRIPS.xlsx]Sheet1!R45C8</stp>
        <tr r="H45" s="1"/>
      </tp>
      <tp t="s">
        <v>#N/A Field Not Applicable</v>
        <stp/>
        <stp>##V3_BDPV12</stp>
        <stp>912833PN Govt</stp>
        <stp>FIRST_CPN_DT</stp>
        <stp>[STRIPS.xlsx]Sheet1!R681C9</stp>
        <tr r="I681" s="1"/>
      </tp>
      <tp t="s">
        <v>S</v>
        <stp/>
        <stp>##V3_BDPV12</stp>
        <stp>9128333S Govt</stp>
        <stp>TICKER</stp>
        <stp>[STRIPS.xlsx]Sheet1!R553C2</stp>
        <tr r="B553" s="1"/>
      </tp>
      <tp t="s">
        <v>S</v>
        <stp/>
        <stp>##V3_BDPV12</stp>
        <stp>9128333T Govt</stp>
        <stp>TICKER</stp>
        <stp>[STRIPS.xlsx]Sheet1!R483C2</stp>
        <tr r="B483" s="1"/>
      </tp>
      <tp t="s">
        <v>S</v>
        <stp/>
        <stp>##V3_BDPV12</stp>
        <stp>9128333K Govt</stp>
        <stp>TICKER</stp>
        <stp>[STRIPS.xlsx]Sheet1!R743C2</stp>
        <tr r="B743" s="1"/>
      </tp>
      <tp t="s">
        <v>S</v>
        <stp/>
        <stp>##V3_BDPV12</stp>
        <stp>9128332G Govt</stp>
        <stp>TICKER</stp>
        <stp>[STRIPS.xlsx]Sheet1!R703C2</stp>
        <tr r="B703" s="1"/>
      </tp>
      <tp t="s">
        <v>S</v>
        <stp/>
        <stp>##V3_BDPV12</stp>
        <stp>9128335P Govt</stp>
        <stp>TICKER</stp>
        <stp>[STRIPS.xlsx]Sheet1!R723C2</stp>
        <tr r="B723" s="1"/>
      </tp>
      <tp t="s">
        <v>S</v>
        <stp/>
        <stp>##V3_BDPV12</stp>
        <stp>9128334B Govt</stp>
        <stp>TICKER</stp>
        <stp>[STRIPS.xlsx]Sheet1!R603C2</stp>
        <tr r="B603" s="1"/>
      </tp>
      <tp t="s">
        <v>S</v>
        <stp/>
        <stp>##V3_BDPV12</stp>
        <stp>9128335K Govt</stp>
        <stp>TICKER</stp>
        <stp>[STRIPS.xlsx]Sheet1!R493C2</stp>
        <tr r="B493" s="1"/>
      </tp>
      <tp t="s">
        <v>S</v>
        <stp/>
        <stp>##V3_BDPV12</stp>
        <stp>9128336C Govt</stp>
        <stp>TICKER</stp>
        <stp>[STRIPS.xlsx]Sheet1!R713C2</stp>
        <tr r="B713" s="1"/>
      </tp>
      <tp t="s">
        <v>S</v>
        <stp/>
        <stp>##V3_BDPV12</stp>
        <stp>912833CX Govt</stp>
        <stp>TICKER</stp>
        <stp>[STRIPS.xlsx]Sheet1!R503C2</stp>
        <tr r="B503" s="1"/>
      </tp>
      <tp t="s">
        <v>S</v>
        <stp/>
        <stp>##V3_BDPV12</stp>
        <stp>912833B7 Govt</stp>
        <stp>TICKER</stp>
        <stp>[STRIPS.xlsx]Sheet1!R433C2</stp>
        <tr r="B433" s="1"/>
      </tp>
      <tp t="s">
        <v>S</v>
        <stp/>
        <stp>##V3_BDPV12</stp>
        <stp>912833C6 Govt</stp>
        <stp>TICKER</stp>
        <stp>[STRIPS.xlsx]Sheet1!R563C2</stp>
        <tr r="B563" s="1"/>
      </tp>
      <tp t="s">
        <v>S</v>
        <stp/>
        <stp>##V3_BDPV12</stp>
        <stp>912833A7 Govt</stp>
        <stp>TICKER</stp>
        <stp>[STRIPS.xlsx]Sheet1!R653C2</stp>
        <tr r="B653" s="1"/>
      </tp>
      <tp t="s">
        <v>S</v>
        <stp/>
        <stp>##V3_BDPV12</stp>
        <stp>912833CK Govt</stp>
        <stp>TICKER</stp>
        <stp>[STRIPS.xlsx]Sheet1!R733C2</stp>
        <tr r="B733" s="1"/>
      </tp>
      <tp t="s">
        <v>S</v>
        <stp/>
        <stp>##V3_BDPV12</stp>
        <stp>912833C9 Govt</stp>
        <stp>TICKER</stp>
        <stp>[STRIPS.xlsx]Sheet1!R613C2</stp>
        <tr r="B613" s="1"/>
      </tp>
      <tp t="s">
        <v>S</v>
        <stp/>
        <stp>##V3_BDPV12</stp>
        <stp>912833CY Govt</stp>
        <stp>TICKER</stp>
        <stp>[STRIPS.xlsx]Sheet1!R363C2</stp>
        <tr r="B363" s="1"/>
      </tp>
      <tp t="s">
        <v>S</v>
        <stp/>
        <stp>##V3_BDPV12</stp>
        <stp>912833FL Govt</stp>
        <stp>TICKER</stp>
        <stp>[STRIPS.xlsx]Sheet1!R663C2</stp>
        <tr r="B663" s="1"/>
      </tp>
      <tp t="s">
        <v>S</v>
        <stp/>
        <stp>##V3_BDPV12</stp>
        <stp>912833B8 Govt</stp>
        <stp>TICKER</stp>
        <stp>[STRIPS.xlsx]Sheet1!R293C2</stp>
        <tr r="B293" s="1"/>
      </tp>
      <tp t="s">
        <v>S</v>
        <stp/>
        <stp>##V3_BDPV12</stp>
        <stp>912833MR Govt</stp>
        <stp>TICKER</stp>
        <stp>[STRIPS.xlsx]Sheet1!R333C2</stp>
        <tr r="B333" s="1"/>
      </tp>
      <tp t="s">
        <v>S</v>
        <stp/>
        <stp>##V3_BDPV12</stp>
        <stp>912833KY Govt</stp>
        <stp>TICKER</stp>
        <stp>[STRIPS.xlsx]Sheet1!R513C2</stp>
        <tr r="B513" s="1"/>
      </tp>
      <tp t="s">
        <v>S</v>
        <stp/>
        <stp>##V3_BDPV12</stp>
        <stp>912833KR Govt</stp>
        <stp>TICKER</stp>
        <stp>[STRIPS.xlsx]Sheet1!R443C2</stp>
        <tr r="B443" s="1"/>
      </tp>
      <tp t="s">
        <v>S</v>
        <stp/>
        <stp>##V3_BDPV12</stp>
        <stp>912833NP Govt</stp>
        <stp>TICKER</stp>
        <stp>[STRIPS.xlsx]Sheet1!R373C2</stp>
        <tr r="B373" s="1"/>
      </tp>
      <tp t="s">
        <v>S</v>
        <stp/>
        <stp>##V3_BDPV12</stp>
        <stp>912833KP Govt</stp>
        <stp>TICKER</stp>
        <stp>[STRIPS.xlsx]Sheet1!R623C2</stp>
        <tr r="B623" s="1"/>
      </tp>
      <tp t="s">
        <v>S</v>
        <stp/>
        <stp>##V3_BDPV12</stp>
        <stp>912833LE Govt</stp>
        <stp>TICKER</stp>
        <stp>[STRIPS.xlsx]Sheet1!R153C2</stp>
        <tr r="B153" s="1"/>
      </tp>
      <tp t="s">
        <v>S</v>
        <stp/>
        <stp>##V3_BDPV12</stp>
        <stp>912833LC Govt</stp>
        <stp>TICKER</stp>
        <stp>[STRIPS.xlsx]Sheet1!R673C2</stp>
        <tr r="B673" s="1"/>
      </tp>
      <tp t="s">
        <v>S</v>
        <stp/>
        <stp>##V3_BDPV12</stp>
        <stp>912833KA Govt</stp>
        <stp>TICKER</stp>
        <stp>[STRIPS.xlsx]Sheet1!R193C2</stp>
        <tr r="B193" s="1"/>
      </tp>
      <tp t="s">
        <v>S</v>
        <stp/>
        <stp>##V3_BDPV12</stp>
        <stp>912833JY Govt</stp>
        <stp>TICKER</stp>
        <stp>[STRIPS.xlsx]Sheet1!R173C2</stp>
        <tr r="B173" s="1"/>
      </tp>
      <tp t="s">
        <v>S</v>
        <stp/>
        <stp>##V3_BDPV12</stp>
        <stp>912833KM Govt</stp>
        <stp>TICKER</stp>
        <stp>[STRIPS.xlsx]Sheet1!R303C2</stp>
        <tr r="B303" s="1"/>
      </tp>
      <tp t="s">
        <v>S</v>
        <stp/>
        <stp>##V3_BDPV12</stp>
        <stp>912833PU Govt</stp>
        <stp>TICKER</stp>
        <stp>[STRIPS.xlsx]Sheet1!R683C2</stp>
        <tr r="B683" s="1"/>
      </tp>
      <tp t="s">
        <v>S</v>
        <stp/>
        <stp>##V3_BDPV12</stp>
        <stp>912833QY Govt</stp>
        <stp>TICKER</stp>
        <stp>[STRIPS.xlsx]Sheet1!R633C2</stp>
        <tr r="B633" s="1"/>
      </tp>
      <tp t="s">
        <v>S</v>
        <stp/>
        <stp>##V3_BDPV12</stp>
        <stp>912833RL Govt</stp>
        <stp>TICKER</stp>
        <stp>[STRIPS.xlsx]Sheet1!R523C2</stp>
        <tr r="B523" s="1"/>
      </tp>
      <tp t="s">
        <v>S</v>
        <stp/>
        <stp>##V3_BDPV12</stp>
        <stp>912833RR Govt</stp>
        <stp>TICKER</stp>
        <stp>[STRIPS.xlsx]Sheet1!R693C2</stp>
        <tr r="B693" s="1"/>
      </tp>
      <tp t="s">
        <v>S</v>
        <stp/>
        <stp>##V3_BDPV12</stp>
        <stp>912833PK Govt</stp>
        <stp>TICKER</stp>
        <stp>[STRIPS.xlsx]Sheet1!R573C2</stp>
        <tr r="B573" s="1"/>
      </tp>
      <tp t="s">
        <v>S</v>
        <stp/>
        <stp>##V3_BDPV12</stp>
        <stp>912833QX Govt</stp>
        <stp>TICKER</stp>
        <stp>[STRIPS.xlsx]Sheet1!R243C2</stp>
        <tr r="B243" s="1"/>
      </tp>
      <tp t="s">
        <v>S</v>
        <stp/>
        <stp>##V3_BDPV12</stp>
        <stp>912833Y7 Govt</stp>
        <stp>TICKER</stp>
        <stp>[STRIPS.xlsx]Sheet1!R583C2</stp>
        <tr r="B583" s="1"/>
      </tp>
      <tp t="s">
        <v>S</v>
        <stp/>
        <stp>##V3_BDPV12</stp>
        <stp>912833YY Govt</stp>
        <stp>TICKER</stp>
        <stp>[STRIPS.xlsx]Sheet1!R453C2</stp>
        <tr r="B453" s="1"/>
      </tp>
      <tp t="s">
        <v>S</v>
        <stp/>
        <stp>##V3_BDPV12</stp>
        <stp>912833YL Govt</stp>
        <stp>TICKER</stp>
        <stp>[STRIPS.xlsx]Sheet1!R343C2</stp>
        <tr r="B343" s="1"/>
      </tp>
      <tp t="s">
        <v>S</v>
        <stp/>
        <stp>##V3_BDPV12</stp>
        <stp>912833ZG Govt</stp>
        <stp>TICKER</stp>
        <stp>[STRIPS.xlsx]Sheet1!R253C2</stp>
        <tr r="B253" s="1"/>
      </tp>
      <tp t="s">
        <v>S</v>
        <stp/>
        <stp>##V3_BDPV12</stp>
        <stp>912833Y3 Govt</stp>
        <stp>TICKER</stp>
        <stp>[STRIPS.xlsx]Sheet1!R103C2</stp>
        <tr r="B103" s="1"/>
      </tp>
      <tp t="s">
        <v>S</v>
        <stp/>
        <stp>##V3_BDPV12</stp>
        <stp>912833ZR Govt</stp>
        <stp>TICKER</stp>
        <stp>[STRIPS.xlsx]Sheet1!R383C2</stp>
        <tr r="B383" s="1"/>
      </tp>
      <tp t="s">
        <v>UNITED STATES</v>
        <stp/>
        <stp>##V3_BDPV12</stp>
        <stp>9128337U Govt</stp>
        <stp>COUNTRY_FULL_NAME</stp>
        <stp>[STRIPS.xlsx]Sheet1!R46C8</stp>
        <tr r="H46" s="1"/>
      </tp>
      <tp t="s">
        <v>#N/A Field Not Applicable</v>
        <stp/>
        <stp>##V3_BDPV12</stp>
        <stp>912834TE Govt</stp>
        <stp>FIRST_CPN_DT</stp>
        <stp>[STRIPS.xlsx]Sheet1!R155C9</stp>
        <tr r="I155" s="1"/>
      </tp>
      <tp t="s">
        <v>#N/A Field Not Applicable</v>
        <stp/>
        <stp>##V3_BDPV12</stp>
        <stp>912834QD Govt</stp>
        <stp>FIRST_CPN_DT</stp>
        <stp>[STRIPS.xlsx]Sheet1!R550C9</stp>
        <tr r="I550" s="1"/>
      </tp>
      <tp t="s">
        <v>#N/A Field Not Applicable</v>
        <stp/>
        <stp>##V3_BDPV12</stp>
        <stp>912834WD Govt</stp>
        <stp>FIRST_CPN_DT</stp>
        <stp>[STRIPS.xlsx]Sheet1!R186C9</stp>
        <tr r="I186" s="1"/>
      </tp>
      <tp t="s">
        <v>USD</v>
        <stp/>
        <stp>##V3_BDPV12</stp>
        <stp>912834US Govt</stp>
        <stp>CRNCY</stp>
        <stp>[STRIPS.xlsx]Sheet1!R762C7</stp>
        <tr r="G762" s="1"/>
      </tp>
      <tp t="s">
        <v>USD</v>
        <stp/>
        <stp>##V3_BDPV12</stp>
        <stp>912833RW Govt</stp>
        <stp>CRNCY</stp>
        <stp>[STRIPS.xlsx]Sheet1!R246C7</stp>
        <tr r="G246" s="1"/>
      </tp>
      <tp t="s">
        <v>USD</v>
        <stp/>
        <stp>##V3_BDPV12</stp>
        <stp>912834HW Govt</stp>
        <stp>CRNCY</stp>
        <stp>[STRIPS.xlsx]Sheet1!R536C7</stp>
        <tr r="G536" s="1"/>
      </tp>
      <tp t="s">
        <v>USD</v>
        <stp/>
        <stp>##V3_BDPV12</stp>
        <stp>912833ZR Govt</stp>
        <stp>CRNCY</stp>
        <stp>[STRIPS.xlsx]Sheet1!R383C7</stp>
        <tr r="G383" s="1"/>
      </tp>
      <tp t="s">
        <v>USD</v>
        <stp/>
        <stp>##V3_BDPV12</stp>
        <stp>912833PX Govt</stp>
        <stp>CRNCY</stp>
        <stp>[STRIPS.xlsx]Sheet1!R339C7</stp>
        <tr r="G339" s="1"/>
      </tp>
      <tp t="s">
        <v>USD</v>
        <stp/>
        <stp>##V3_BDPV12</stp>
        <stp>912833MR Govt</stp>
        <stp>CRNCY</stp>
        <stp>[STRIPS.xlsx]Sheet1!R333C7</stp>
        <tr r="G333" s="1"/>
      </tp>
      <tp t="s">
        <v>USD</v>
        <stp/>
        <stp>##V3_BDPV12</stp>
        <stp>912833RX Govt</stp>
        <stp>CRNCY</stp>
        <stp>[STRIPS.xlsx]Sheet1!R449C7</stp>
        <tr r="G449" s="1"/>
      </tp>
      <tp t="s">
        <v>USD</v>
        <stp/>
        <stp>##V3_BDPV12</stp>
        <stp>912834AV Govt</stp>
        <stp>CRNCY</stp>
        <stp>[STRIPS.xlsx]Sheet1!R387C7</stp>
        <tr r="G387" s="1"/>
      </tp>
      <tp t="s">
        <v>USD</v>
        <stp/>
        <stp>##V3_BDPV12</stp>
        <stp>912833KR Govt</stp>
        <stp>CRNCY</stp>
        <stp>[STRIPS.xlsx]Sheet1!R443C7</stp>
        <tr r="G443" s="1"/>
      </tp>
      <tp t="s">
        <v>USD</v>
        <stp/>
        <stp>##V3_BDPV12</stp>
        <stp>912833KU Govt</stp>
        <stp>CRNCY</stp>
        <stp>[STRIPS.xlsx]Sheet1!R444C7</stp>
        <tr r="G444" s="1"/>
      </tp>
      <tp t="s">
        <v>USD</v>
        <stp/>
        <stp>##V3_BDPV12</stp>
        <stp>912834MY Govt</stp>
        <stp>CRNCY</stp>
        <stp>[STRIPS.xlsx]Sheet1!R328C7</stp>
        <tr r="G328" s="1"/>
      </tp>
      <tp t="s">
        <v>USD</v>
        <stp/>
        <stp>##V3_BDPV12</stp>
        <stp>912834HT Govt</stp>
        <stp>CRNCY</stp>
        <stp>[STRIPS.xlsx]Sheet1!R355C7</stp>
        <tr r="G355" s="1"/>
      </tp>
      <tp t="s">
        <v>USD</v>
        <stp/>
        <stp>##V3_BDPV12</stp>
        <stp>912833PT Govt</stp>
        <stp>CRNCY</stp>
        <stp>[STRIPS.xlsx]Sheet1!R575C7</stp>
        <tr r="G575" s="1"/>
      </tp>
      <tp t="s">
        <v>USD</v>
        <stp/>
        <stp>##V3_BDPV12</stp>
        <stp>912834VY Govt</stp>
        <stp>CRNCY</stp>
        <stp>[STRIPS.xlsx]Sheet1!R218C7</stp>
        <tr r="G218" s="1"/>
      </tp>
      <tp t="s">
        <v>USD</v>
        <stp/>
        <stp>##V3_BDPV12</stp>
        <stp>912834NU Govt</stp>
        <stp>CRNCY</stp>
        <stp>[STRIPS.xlsx]Sheet1!R274C7</stp>
        <tr r="G274" s="1"/>
      </tp>
      <tp t="s">
        <v>USD</v>
        <stp/>
        <stp>##V3_BDPV12</stp>
        <stp>912834AQ Govt</stp>
        <stp>CRNCY</stp>
        <stp>[STRIPS.xlsx]Sheet1!R260C7</stp>
        <tr r="G260" s="1"/>
      </tp>
      <tp t="s">
        <v>USD</v>
        <stp/>
        <stp>##V3_BDPV12</stp>
        <stp>912833RR Govt</stp>
        <stp>CRNCY</stp>
        <stp>[STRIPS.xlsx]Sheet1!R693C7</stp>
        <tr r="G693" s="1"/>
      </tp>
      <tp t="s">
        <v>USD</v>
        <stp/>
        <stp>##V3_BDPV12</stp>
        <stp>912833QS Govt</stp>
        <stp>CRNCY</stp>
        <stp>[STRIPS.xlsx]Sheet1!R632C7</stp>
        <tr r="G632" s="1"/>
      </tp>
      <tp t="s">
        <v>USD</v>
        <stp/>
        <stp>##V3_BDPV12</stp>
        <stp>912834PQ Govt</stp>
        <stp>CRNCY</stp>
        <stp>[STRIPS.xlsx]Sheet1!R140C7</stp>
        <tr r="G140" s="1"/>
      </tp>
      <tp t="s">
        <v>USD</v>
        <stp/>
        <stp>##V3_BDPV12</stp>
        <stp>912833JX Govt</stp>
        <stp>CRNCY</stp>
        <stp>[STRIPS.xlsx]Sheet1!R669C7</stp>
        <tr r="G669" s="1"/>
      </tp>
      <tp t="s">
        <v>USD</v>
        <stp/>
        <stp>##V3_BDPV12</stp>
        <stp>912834DV Govt</stp>
        <stp>CRNCY</stp>
        <stp>[STRIPS.xlsx]Sheet1!R127C7</stp>
        <tr r="G127" s="1"/>
      </tp>
      <tp t="s">
        <v>USD</v>
        <stp/>
        <stp>##V3_BDPV12</stp>
        <stp>912833FQ Govt</stp>
        <stp>CRNCY</stp>
        <stp>[STRIPS.xlsx]Sheet1!R620C7</stp>
        <tr r="G620" s="1"/>
      </tp>
      <tp t="s">
        <v>USD</v>
        <stp/>
        <stp>##V3_BDPV12</stp>
        <stp>9128336Q Govt</stp>
        <stp>CRNCY</stp>
        <stp>[STRIPS.xlsx]Sheet1!R750C7</stp>
        <tr r="G750" s="1"/>
      </tp>
      <tp t="s">
        <v>#N/A Field Not Applicable</v>
        <stp/>
        <stp>##V3_BDPV12</stp>
        <stp>912834PF Govt</stp>
        <stp>FIRST_CPN_DT</stp>
        <stp>[STRIPS.xlsx]Sheet1!R411C9</stp>
        <tr r="I411" s="1"/>
      </tp>
      <tp t="s">
        <v>#N/A Field Not Applicable</v>
        <stp/>
        <stp>##V3_BDPV12</stp>
        <stp>912833LF Govt</stp>
        <stp>FIRST_CPN_DT</stp>
        <stp>[STRIPS.xlsx]Sheet1!R7C9</stp>
        <tr r="I7" s="1"/>
      </tp>
      <tp>
        <v>0</v>
        <stp/>
        <stp>##V3_BDPV12</stp>
        <stp>912833PB Govt</stp>
        <stp>CPN</stp>
        <stp>[STRIPS.xlsx]Sheet1!R3C3</stp>
        <tr r="C3" s="1"/>
      </tp>
      <tp>
        <v>0</v>
        <stp/>
        <stp>##V3_BDPV12</stp>
        <stp>912833LF Govt</stp>
        <stp>CPN</stp>
        <stp>[STRIPS.xlsx]Sheet1!R7C3</stp>
        <tr r="C7" s="1"/>
      </tp>
      <tp t="s">
        <v>ZERO</v>
        <stp/>
        <stp>##V3_BDPV12</stp>
        <stp>9128333W Govt</stp>
        <stp>CPN_TYP</stp>
        <stp>[STRIPS.xlsx]Sheet1!R485C11</stp>
        <tr r="K485" s="1"/>
      </tp>
      <tp t="s">
        <v>ZERO</v>
        <stp/>
        <stp>##V3_BDPV12</stp>
        <stp>9128333U Govt</stp>
        <stp>CPN_TYP</stp>
        <stp>[STRIPS.xlsx]Sheet1!R706C11</stp>
        <tr r="K706" s="1"/>
      </tp>
      <tp t="s">
        <v>ZERO</v>
        <stp/>
        <stp>##V3_BDPV12</stp>
        <stp>9128333V Govt</stp>
        <stp>CPN_TYP</stp>
        <stp>[STRIPS.xlsx]Sheet1!R484C11</stp>
        <tr r="K484" s="1"/>
      </tp>
      <tp t="s">
        <v>ZERO</v>
        <stp/>
        <stp>##V3_BDPV12</stp>
        <stp>9128333T Govt</stp>
        <stp>CPN_TYP</stp>
        <stp>[STRIPS.xlsx]Sheet1!R483C11</stp>
        <tr r="K483" s="1"/>
      </tp>
      <tp t="s">
        <v>ZERO</v>
        <stp/>
        <stp>##V3_BDPV12</stp>
        <stp>9128333P Govt</stp>
        <stp>CPN_TYP</stp>
        <stp>[STRIPS.xlsx]Sheet1!R704C11</stp>
        <tr r="K704" s="1"/>
      </tp>
      <tp t="s">
        <v>ZERO</v>
        <stp/>
        <stp>##V3_BDPV12</stp>
        <stp>9128333Q Govt</stp>
        <stp>CPN_TYP</stp>
        <stp>[STRIPS.xlsx]Sheet1!R719C11</stp>
        <tr r="K719" s="1"/>
      </tp>
      <tp t="s">
        <v>ZERO</v>
        <stp/>
        <stp>##V3_BDPV12</stp>
        <stp>9128333S Govt</stp>
        <stp>CPN_TYP</stp>
        <stp>[STRIPS.xlsx]Sheet1!R553C11</stp>
        <tr r="K553" s="1"/>
      </tp>
      <tp t="s">
        <v>ZERO</v>
        <stp/>
        <stp>##V3_BDPV12</stp>
        <stp>9128333R Govt</stp>
        <stp>CPN_TYP</stp>
        <stp>[STRIPS.xlsx]Sheet1!R705C11</stp>
        <tr r="K705" s="1"/>
      </tp>
      <tp t="s">
        <v>ZERO</v>
        <stp/>
        <stp>##V3_BDPV12</stp>
        <stp>9128333X Govt</stp>
        <stp>CPN_TYP</stp>
        <stp>[STRIPS.xlsx]Sheet1!R601C11</stp>
        <tr r="K601" s="1"/>
      </tp>
      <tp t="s">
        <v>ZERO</v>
        <stp/>
        <stp>##V3_BDPV12</stp>
        <stp>9128333Y Govt</stp>
        <stp>CPN_TYP</stp>
        <stp>[STRIPS.xlsx]Sheet1!R486C11</stp>
        <tr r="K486" s="1"/>
      </tp>
      <tp t="s">
        <v>ZERO</v>
        <stp/>
        <stp>##V3_BDPV12</stp>
        <stp>9128333Z Govt</stp>
        <stp>CPN_TYP</stp>
        <stp>[STRIPS.xlsx]Sheet1!R602C11</stp>
        <tr r="K602" s="1"/>
      </tp>
      <tp t="s">
        <v>ZERO</v>
        <stp/>
        <stp>##V3_BDPV12</stp>
        <stp>9128333N Govt</stp>
        <stp>CPN_TYP</stp>
        <stp>[STRIPS.xlsx]Sheet1!R428C11</stp>
        <tr r="K428" s="1"/>
      </tp>
      <tp t="s">
        <v>ZERO</v>
        <stp/>
        <stp>##V3_BDPV12</stp>
        <stp>9128333L Govt</stp>
        <stp>CPN_TYP</stp>
        <stp>[STRIPS.xlsx]Sheet1!R552C11</stp>
        <tr r="K552" s="1"/>
      </tp>
      <tp t="s">
        <v>ZERO</v>
        <stp/>
        <stp>##V3_BDPV12</stp>
        <stp>9128333M Govt</stp>
        <stp>CPN_TYP</stp>
        <stp>[STRIPS.xlsx]Sheet1!R599C11</stp>
        <tr r="K599" s="1"/>
      </tp>
      <tp t="s">
        <v>ZERO</v>
        <stp/>
        <stp>##V3_BDPV12</stp>
        <stp>9128333J Govt</stp>
        <stp>CPN_TYP</stp>
        <stp>[STRIPS.xlsx]Sheet1!R427C11</stp>
        <tr r="K427" s="1"/>
      </tp>
      <tp t="s">
        <v>ZERO</v>
        <stp/>
        <stp>##V3_BDPV12</stp>
        <stp>9128333H Govt</stp>
        <stp>CPN_TYP</stp>
        <stp>[STRIPS.xlsx]Sheet1!R600C11</stp>
        <tr r="K600" s="1"/>
      </tp>
      <tp t="s">
        <v>ZERO</v>
        <stp/>
        <stp>##V3_BDPV12</stp>
        <stp>9128333K Govt</stp>
        <stp>CPN_TYP</stp>
        <stp>[STRIPS.xlsx]Sheet1!R743C11</stp>
        <tr r="K743" s="1"/>
      </tp>
      <tp t="s">
        <v>#N/A Field Not Applicable</v>
        <stp/>
        <stp>##V3_BDPV12</stp>
        <stp>912833Y8 Govt</stp>
        <stp>FIRST_CPN_DT</stp>
        <stp>[STRIPS.xlsx]Sheet1!R248C9</stp>
        <tr r="I248" s="1"/>
      </tp>
      <tp t="s">
        <v>S 0 05/15/36</v>
        <stp/>
        <stp>##V3_BDPV12</stp>
        <stp>912833Y2 Govt</stp>
        <stp>SECURITY_NAME</stp>
        <stp>[STRIPS.xlsx]Sheet1!R27C16</stp>
        <tr r="P27" s="1"/>
      </tp>
      <tp t="s">
        <v>#N/A Field Not Applicable</v>
        <stp/>
        <stp>##V3_BDPV12</stp>
        <stp>912833PY Govt</stp>
        <stp>FIRST_CPN_DT</stp>
        <stp>[STRIPS.xlsx]Sheet1!R340C9</stp>
        <tr r="I340" s="1"/>
      </tp>
      <tp t="s">
        <v>#N/A Field Not Applicable</v>
        <stp/>
        <stp>##V3_BDPV12</stp>
        <stp>912834VZ Govt</stp>
        <stp>FIRST_CPN_DT</stp>
        <stp>[STRIPS.xlsx]Sheet1!R766C9</stp>
        <tr r="I766" s="1"/>
      </tp>
      <tp t="s">
        <v>#N/A Field Not Applicable</v>
        <stp/>
        <stp>##V3_BDPV12</stp>
        <stp>912833PZ Govt</stp>
        <stp>FIRST_CPN_DT</stp>
        <stp>[STRIPS.xlsx]Sheet1!R240C9</stp>
        <tr r="I240" s="1"/>
      </tp>
      <tp t="s">
        <v>#N/A Field Not Applicable</v>
        <stp/>
        <stp>##V3_BDPV12</stp>
        <stp>912833RQ Govt</stp>
        <stp>FIRST_CPN_DT</stp>
        <stp>[STRIPS.xlsx]Sheet1!R692C9</stp>
        <tr r="I692" s="1"/>
      </tp>
      <tp t="s">
        <v>#N/A Field Not Applicable</v>
        <stp/>
        <stp>##V3_BDPV12</stp>
        <stp>912834PQ Govt</stp>
        <stp>FIRST_CPN_DT</stp>
        <stp>[STRIPS.xlsx]Sheet1!R140C9</stp>
        <tr r="I140" s="1"/>
      </tp>
      <tp t="s">
        <v>#N/A Field Not Applicable</v>
        <stp/>
        <stp>##V3_BDPV12</stp>
        <stp>912833QR Govt</stp>
        <stp>FIRST_CPN_DT</stp>
        <stp>[STRIPS.xlsx]Sheet1!R521C9</stp>
        <tr r="I521" s="1"/>
      </tp>
      <tp t="s">
        <v>#N/A Field Not Applicable</v>
        <stp/>
        <stp>##V3_BDPV12</stp>
        <stp>912834UU Govt</stp>
        <stp>FIRST_CPN_DT</stp>
        <stp>[STRIPS.xlsx]Sheet1!R755C9</stp>
        <tr r="I755" s="1"/>
      </tp>
      <tp t="s">
        <v>#N/A Field Not Applicable</v>
        <stp/>
        <stp>##V3_BDPV12</stp>
        <stp>912834QU Govt</stp>
        <stp>FIRST_CPN_DT</stp>
        <stp>[STRIPS.xlsx]Sheet1!R201C9</stp>
        <tr r="I201" s="1"/>
      </tp>
      <tp t="s">
        <v>#N/A Field Not Applicable</v>
        <stp/>
        <stp>##V3_BDPV12</stp>
        <stp>912833YT Govt</stp>
        <stp>FIRST_CPN_DT</stp>
        <stp>[STRIPS.xlsx]Sheet1!R249C9</stp>
        <tr r="I249" s="1"/>
      </tp>
      <tp t="s">
        <v>#N/A Field Not Applicable</v>
        <stp/>
        <stp>##V3_BDPV12</stp>
        <stp>912834QW Govt</stp>
        <stp>FIRST_CPN_DT</stp>
        <stp>[STRIPS.xlsx]Sheet1!R171C9</stp>
        <tr r="I171" s="1"/>
      </tp>
      <tp t="s">
        <v>#N/A Field Not Applicable</v>
        <stp/>
        <stp>##V3_BDPV12</stp>
        <stp>912834RV Govt</stp>
        <stp>FIRST_CPN_DT</stp>
        <stp>[STRIPS.xlsx]Sheet1!R482C9</stp>
        <tr r="I482" s="1"/>
      </tp>
      <tp t="s">
        <v>S</v>
        <stp/>
        <stp>##V3_BDPV12</stp>
        <stp>912834EW Govt</stp>
        <stp>TICKER</stp>
        <stp>[STRIPS.xlsx]Sheet1!R312C2</stp>
        <tr r="B312" s="1"/>
      </tp>
      <tp t="s">
        <v>S</v>
        <stp/>
        <stp>##V3_BDPV12</stp>
        <stp>912834EK Govt</stp>
        <stp>TICKER</stp>
        <stp>[STRIPS.xlsx]Sheet1!R392C2</stp>
        <tr r="B392" s="1"/>
      </tp>
      <tp t="s">
        <v>S</v>
        <stp/>
        <stp>##V3_BDPV12</stp>
        <stp>912834AY Govt</stp>
        <stp>TICKER</stp>
        <stp>[STRIPS.xlsx]Sheet1!R642C2</stp>
        <tr r="B642" s="1"/>
      </tp>
      <tp t="s">
        <v>S</v>
        <stp/>
        <stp>##V3_BDPV12</stp>
        <stp>912834BG Govt</stp>
        <stp>TICKER</stp>
        <stp>[STRIPS.xlsx]Sheet1!R592C2</stp>
        <tr r="B592" s="1"/>
      </tp>
      <tp t="s">
        <v>S</v>
        <stp/>
        <stp>##V3_BDPV12</stp>
        <stp>912834EE Govt</stp>
        <stp>TICKER</stp>
        <stp>[STRIPS.xlsx]Sheet1!R532C2</stp>
        <tr r="B532" s="1"/>
      </tp>
      <tp t="s">
        <v>S</v>
        <stp/>
        <stp>##V3_BDPV12</stp>
        <stp>912834BL Govt</stp>
        <stp>TICKER</stp>
        <stp>[STRIPS.xlsx]Sheet1!R262C2</stp>
        <tr r="B262" s="1"/>
      </tp>
      <tp t="s">
        <v>S</v>
        <stp/>
        <stp>##V3_BDPV12</stp>
        <stp>912834A2 Govt</stp>
        <stp>TICKER</stp>
        <stp>[STRIPS.xlsx]Sheet1!R122C2</stp>
        <tr r="B122" s="1"/>
      </tp>
      <tp t="s">
        <v>S</v>
        <stp/>
        <stp>##V3_BDPV12</stp>
        <stp>912834BJ Govt</stp>
        <stp>TICKER</stp>
        <stp>[STRIPS.xlsx]Sheet1!R352C2</stp>
        <tr r="B352" s="1"/>
      </tp>
      <tp t="s">
        <v>S</v>
        <stp/>
        <stp>##V3_BDPV12</stp>
        <stp>912834EL Govt</stp>
        <stp>TICKER</stp>
        <stp>[STRIPS.xlsx]Sheet1!R462C2</stp>
        <tr r="B462" s="1"/>
      </tp>
      <tp t="s">
        <v>S</v>
        <stp/>
        <stp>##V3_BDPV12</stp>
        <stp>912834LV Govt</stp>
        <stp>TICKER</stp>
        <stp>[STRIPS.xlsx]Sheet1!R232C2</stp>
        <tr r="B232" s="1"/>
      </tp>
      <tp t="s">
        <v>S</v>
        <stp/>
        <stp>##V3_BDPV12</stp>
        <stp>912834MR Govt</stp>
        <stp>TICKER</stp>
        <stp>[STRIPS.xlsx]Sheet1!R272C2</stp>
        <tr r="B272" s="1"/>
      </tp>
      <tp t="s">
        <v>S</v>
        <stp/>
        <stp>##V3_BDPV12</stp>
        <stp>912834KY Govt</stp>
        <stp>TICKER</stp>
        <stp>[STRIPS.xlsx]Sheet1!R472C2</stp>
        <tr r="B472" s="1"/>
      </tp>
      <tp t="s">
        <v>S</v>
        <stp/>
        <stp>##V3_BDPV12</stp>
        <stp>912834LH Govt</stp>
        <stp>TICKER</stp>
        <stp>[STRIPS.xlsx]Sheet1!R322C2</stp>
        <tr r="B322" s="1"/>
      </tp>
      <tp t="s">
        <v>S</v>
        <stp/>
        <stp>##V3_BDPV12</stp>
        <stp>912834MA Govt</stp>
        <stp>TICKER</stp>
        <stp>[STRIPS.xlsx]Sheet1!R172C2</stp>
        <tr r="B172" s="1"/>
      </tp>
      <tp t="s">
        <v>S</v>
        <stp/>
        <stp>##V3_BDPV12</stp>
        <stp>912834NR Govt</stp>
        <stp>TICKER</stp>
        <stp>[STRIPS.xlsx]Sheet1!R422C2</stp>
        <tr r="B422" s="1"/>
      </tp>
      <tp t="s">
        <v>S</v>
        <stp/>
        <stp>##V3_BDPV12</stp>
        <stp>912834MP Govt</stp>
        <stp>TICKER</stp>
        <stp>[STRIPS.xlsx]Sheet1!R542C2</stp>
        <tr r="B542" s="1"/>
      </tp>
      <tp t="s">
        <v>S</v>
        <stp/>
        <stp>##V3_BDPV12</stp>
        <stp>912834LA Govt</stp>
        <stp>TICKER</stp>
        <stp>[STRIPS.xlsx]Sheet1!R402C2</stp>
        <tr r="B402" s="1"/>
      </tp>
      <tp t="s">
        <v>S</v>
        <stp/>
        <stp>##V3_BDPV12</stp>
        <stp>912834RV Govt</stp>
        <stp>TICKER</stp>
        <stp>[STRIPS.xlsx]Sheet1!R482C2</stp>
        <tr r="B482" s="1"/>
      </tp>
      <tp t="s">
        <v>S</v>
        <stp/>
        <stp>##V3_BDPV12</stp>
        <stp>912834TM Govt</stp>
        <stp>TICKER</stp>
        <stp>[STRIPS.xlsx]Sheet1!R282C2</stp>
        <tr r="B282" s="1"/>
      </tp>
      <tp t="s">
        <v>S</v>
        <stp/>
        <stp>##V3_BDPV12</stp>
        <stp>912834UX Govt</stp>
        <stp>TICKER</stp>
        <stp>[STRIPS.xlsx]Sheet1!R182C2</stp>
        <tr r="B182" s="1"/>
      </tp>
      <tp t="s">
        <v>S</v>
        <stp/>
        <stp>##V3_BDPV12</stp>
        <stp>912834VQ Govt</stp>
        <stp>TICKER</stp>
        <stp>[STRIPS.xlsx]Sheet1!R222C2</stp>
        <tr r="B222" s="1"/>
      </tp>
      <tp t="s">
        <v>S</v>
        <stp/>
        <stp>##V3_BDPV12</stp>
        <stp>912834PX Govt</stp>
        <stp>TICKER</stp>
        <stp>[STRIPS.xlsx]Sheet1!R412C2</stp>
        <tr r="B412" s="1"/>
      </tp>
      <tp t="s">
        <v>S</v>
        <stp/>
        <stp>##V3_BDPV12</stp>
        <stp>912834US Govt</stp>
        <stp>TICKER</stp>
        <stp>[STRIPS.xlsx]Sheet1!R762C2</stp>
        <tr r="B762" s="1"/>
      </tp>
      <tp t="s">
        <v>S</v>
        <stp/>
        <stp>##V3_BDPV12</stp>
        <stp>912834PU Govt</stp>
        <stp>TICKER</stp>
        <stp>[STRIPS.xlsx]Sheet1!R212C2</stp>
        <tr r="B212" s="1"/>
      </tp>
      <tp t="s">
        <v>S</v>
        <stp/>
        <stp>##V3_BDPV12</stp>
        <stp>912834PY Govt</stp>
        <stp>TICKER</stp>
        <stp>[STRIPS.xlsx]Sheet1!R202C2</stp>
        <tr r="B202" s="1"/>
      </tp>
      <tp t="s">
        <v>S</v>
        <stp/>
        <stp>##V3_BDPV12</stp>
        <stp>912834TU Govt</stp>
        <stp>TICKER</stp>
        <stp>[STRIPS.xlsx]Sheet1!R752C2</stp>
        <tr r="B752" s="1"/>
      </tp>
      <tp t="s">
        <v>S</v>
        <stp/>
        <stp>##V3_BDPV12</stp>
        <stp>912834RB Govt</stp>
        <stp>TICKER</stp>
        <stp>[STRIPS.xlsx]Sheet1!R112C2</stp>
        <tr r="B112" s="1"/>
      </tp>
      <tp t="s">
        <v>S</v>
        <stp/>
        <stp>##V3_BDPV12</stp>
        <stp>912834WG Govt</stp>
        <stp>TICKER</stp>
        <stp>[STRIPS.xlsx]Sheet1!R772C2</stp>
        <tr r="B772" s="1"/>
      </tp>
      <tp t="s">
        <v>S</v>
        <stp/>
        <stp>##V3_BDPV12</stp>
        <stp>912834QL Govt</stp>
        <stp>TICKER</stp>
        <stp>[STRIPS.xlsx]Sheet1!R142C2</stp>
        <tr r="B142" s="1"/>
      </tp>
      <tp t="s">
        <v>S</v>
        <stp/>
        <stp>##V3_BDPV12</stp>
        <stp>912834PE Govt</stp>
        <stp>TICKER</stp>
        <stp>[STRIPS.xlsx]Sheet1!R132C2</stp>
        <tr r="B132" s="1"/>
      </tp>
      <tp t="s">
        <v>#N/A Field Not Applicable</v>
        <stp/>
        <stp>##V3_BDPV12</stp>
        <stp>912834UH Govt</stp>
        <stp>FIRST_CPN_DT</stp>
        <stp>[STRIPS.xlsx]Sheet1!R105C9</stp>
        <tr r="I105" s="1"/>
      </tp>
      <tp t="s">
        <v>#N/A Field Not Applicable</v>
        <stp/>
        <stp>##V3_BDPV12</stp>
        <stp>912834VH Govt</stp>
        <stp>FIRST_CPN_DT</stp>
        <stp>[STRIPS.xlsx]Sheet1!R146C9</stp>
        <tr r="I146" s="1"/>
      </tp>
      <tp t="s">
        <v>#N/A Field Not Applicable</v>
        <stp/>
        <stp>##V3_BDPV12</stp>
        <stp>912833PJ Govt</stp>
        <stp>FIRST_CPN_DT</stp>
        <stp>[STRIPS.xlsx]Sheet1!R680C9</stp>
        <tr r="I680" s="1"/>
      </tp>
      <tp t="s">
        <v>#N/A Field Not Applicable</v>
        <stp/>
        <stp>##V3_BDPV12</stp>
        <stp>912833QL Govt</stp>
        <stp>FIRST_CPN_DT</stp>
        <stp>[STRIPS.xlsx]Sheet1!R631C9</stp>
        <tr r="I631" s="1"/>
      </tp>
      <tp t="s">
        <v>S</v>
        <stp/>
        <stp>##V3_BDPV12</stp>
        <stp>9128333L Govt</stp>
        <stp>TICKER</stp>
        <stp>[STRIPS.xlsx]Sheet1!R552C2</stp>
        <tr r="B552" s="1"/>
      </tp>
      <tp t="s">
        <v>S</v>
        <stp/>
        <stp>##V3_BDPV12</stp>
        <stp>9128334U Govt</stp>
        <stp>TICKER</stp>
        <stp>[STRIPS.xlsx]Sheet1!R102C2</stp>
        <tr r="B102" s="1"/>
      </tp>
      <tp t="s">
        <v>S</v>
        <stp/>
        <stp>##V3_BDPV12</stp>
        <stp>9128333Z Govt</stp>
        <stp>TICKER</stp>
        <stp>[STRIPS.xlsx]Sheet1!R602C2</stp>
        <tr r="B602" s="1"/>
      </tp>
      <tp t="s">
        <v>S</v>
        <stp/>
        <stp>##V3_BDPV12</stp>
        <stp>9128332F Govt</stp>
        <stp>TICKER</stp>
        <stp>[STRIPS.xlsx]Sheet1!R702C2</stp>
        <tr r="B702" s="1"/>
      </tp>
      <tp t="s">
        <v>S</v>
        <stp/>
        <stp>##V3_BDPV12</stp>
        <stp>9128337K Govt</stp>
        <stp>TICKER</stp>
        <stp>[STRIPS.xlsx]Sheet1!R292C2</stp>
        <tr r="B292" s="1"/>
      </tp>
      <tp t="s">
        <v>S</v>
        <stp/>
        <stp>##V3_BDPV12</stp>
        <stp>9128335U Govt</stp>
        <stp>TICKER</stp>
        <stp>[STRIPS.xlsx]Sheet1!R712C2</stp>
        <tr r="B712" s="1"/>
      </tp>
      <tp t="s">
        <v>S</v>
        <stp/>
        <stp>##V3_BDPV12</stp>
        <stp>9128335H Govt</stp>
        <stp>TICKER</stp>
        <stp>[STRIPS.xlsx]Sheet1!R722C2</stp>
        <tr r="B722" s="1"/>
      </tp>
      <tp t="s">
        <v>S</v>
        <stp/>
        <stp>##V3_BDPV12</stp>
        <stp>9128335J Govt</stp>
        <stp>TICKER</stp>
        <stp>[STRIPS.xlsx]Sheet1!R492C2</stp>
        <tr r="B492" s="1"/>
      </tp>
      <tp t="s">
        <v>S</v>
        <stp/>
        <stp>##V3_BDPV12</stp>
        <stp>912833CA Govt</stp>
        <stp>TICKER</stp>
        <stp>[STRIPS.xlsx]Sheet1!R502C2</stp>
        <tr r="B502" s="1"/>
      </tp>
      <tp t="s">
        <v>S</v>
        <stp/>
        <stp>##V3_BDPV12</stp>
        <stp>912833BZ Govt</stp>
        <stp>TICKER</stp>
        <stp>[STRIPS.xlsx]Sheet1!R562C2</stp>
        <tr r="B562" s="1"/>
      </tp>
      <tp t="s">
        <v>S</v>
        <stp/>
        <stp>##V3_BDPV12</stp>
        <stp>912833A6 Govt</stp>
        <stp>TICKER</stp>
        <stp>[STRIPS.xlsx]Sheet1!R652C2</stp>
        <tr r="B652" s="1"/>
      </tp>
      <tp t="s">
        <v>S</v>
        <stp/>
        <stp>##V3_BDPV12</stp>
        <stp>912833DB Govt</stp>
        <stp>TICKER</stp>
        <stp>[STRIPS.xlsx]Sheet1!R162C2</stp>
        <tr r="B162" s="1"/>
      </tp>
      <tp t="s">
        <v>S</v>
        <stp/>
        <stp>##V3_BDPV12</stp>
        <stp>912833C4 Govt</stp>
        <stp>TICKER</stp>
        <stp>[STRIPS.xlsx]Sheet1!R612C2</stp>
        <tr r="B612" s="1"/>
      </tp>
      <tp t="s">
        <v>S</v>
        <stp/>
        <stp>##V3_BDPV12</stp>
        <stp>912833A5 Govt</stp>
        <stp>TICKER</stp>
        <stp>[STRIPS.xlsx]Sheet1!R432C2</stp>
        <tr r="B432" s="1"/>
      </tp>
      <tp t="s">
        <v>S</v>
        <stp/>
        <stp>##V3_BDPV12</stp>
        <stp>912833B3 Govt</stp>
        <stp>TICKER</stp>
        <stp>[STRIPS.xlsx]Sheet1!R732C2</stp>
        <tr r="B732" s="1"/>
      </tp>
      <tp t="s">
        <v>S</v>
        <stp/>
        <stp>##V3_BDPV12</stp>
        <stp>912833FX Govt</stp>
        <stp>TICKER</stp>
        <stp>[STRIPS.xlsx]Sheet1!R622C2</stp>
        <tr r="B622" s="1"/>
      </tp>
      <tp t="s">
        <v>S</v>
        <stp/>
        <stp>##V3_BDPV12</stp>
        <stp>912833FK Govt</stp>
        <stp>TICKER</stp>
        <stp>[STRIPS.xlsx]Sheet1!R662C2</stp>
        <tr r="B662" s="1"/>
      </tp>
      <tp t="s">
        <v>S</v>
        <stp/>
        <stp>##V3_BDPV12</stp>
        <stp>912833C3 Govt</stp>
        <stp>TICKER</stp>
        <stp>[STRIPS.xlsx]Sheet1!R362C2</stp>
        <tr r="B362" s="1"/>
      </tp>
      <tp t="s">
        <v>S</v>
        <stp/>
        <stp>##V3_BDPV12</stp>
        <stp>912833KJ Govt</stp>
        <stp>TICKER</stp>
        <stp>[STRIPS.xlsx]Sheet1!R512C2</stp>
        <tr r="B512" s="1"/>
      </tp>
      <tp t="s">
        <v>S</v>
        <stp/>
        <stp>##V3_BDPV12</stp>
        <stp>912833KC Govt</stp>
        <stp>TICKER</stp>
        <stp>[STRIPS.xlsx]Sheet1!R442C2</stp>
        <tr r="B442" s="1"/>
      </tp>
      <tp t="s">
        <v>S</v>
        <stp/>
        <stp>##V3_BDPV12</stp>
        <stp>912833LB Govt</stp>
        <stp>TICKER</stp>
        <stp>[STRIPS.xlsx]Sheet1!R332C2</stp>
        <tr r="B332" s="1"/>
      </tp>
      <tp t="s">
        <v>S</v>
        <stp/>
        <stp>##V3_BDPV12</stp>
        <stp>912833KV Govt</stp>
        <stp>TICKER</stp>
        <stp>[STRIPS.xlsx]Sheet1!R742C2</stp>
        <tr r="B742" s="1"/>
      </tp>
      <tp t="s">
        <v>S</v>
        <stp/>
        <stp>##V3_BDPV12</stp>
        <stp>912833NK Govt</stp>
        <stp>TICKER</stp>
        <stp>[STRIPS.xlsx]Sheet1!R372C2</stp>
        <tr r="B372" s="1"/>
      </tp>
      <tp t="s">
        <v>S</v>
        <stp/>
        <stp>##V3_BDPV12</stp>
        <stp>912833KN Govt</stp>
        <stp>TICKER</stp>
        <stp>[STRIPS.xlsx]Sheet1!R672C2</stp>
        <tr r="B672" s="1"/>
      </tp>
      <tp t="s">
        <v>S</v>
        <stp/>
        <stp>##V3_BDPV12</stp>
        <stp>912833KZ Govt</stp>
        <stp>TICKER</stp>
        <stp>[STRIPS.xlsx]Sheet1!R152C2</stp>
        <tr r="B152" s="1"/>
      </tp>
      <tp t="s">
        <v>S</v>
        <stp/>
        <stp>##V3_BDPV12</stp>
        <stp>912833NR Govt</stp>
        <stp>TICKER</stp>
        <stp>[STRIPS.xlsx]Sheet1!R572C2</stp>
        <tr r="B572" s="1"/>
      </tp>
      <tp t="s">
        <v>S</v>
        <stp/>
        <stp>##V3_BDPV12</stp>
        <stp>912833KL Govt</stp>
        <stp>TICKER</stp>
        <stp>[STRIPS.xlsx]Sheet1!R302C2</stp>
        <tr r="B302" s="1"/>
      </tp>
      <tp t="s">
        <v>S</v>
        <stp/>
        <stp>##V3_BDPV12</stp>
        <stp>912833PQ Govt</stp>
        <stp>TICKER</stp>
        <stp>[STRIPS.xlsx]Sheet1!R682C2</stp>
        <tr r="B682" s="1"/>
      </tp>
      <tp t="s">
        <v>S</v>
        <stp/>
        <stp>##V3_BDPV12</stp>
        <stp>912833QS Govt</stp>
        <stp>TICKER</stp>
        <stp>[STRIPS.xlsx]Sheet1!R632C2</stp>
        <tr r="B632" s="1"/>
      </tp>
      <tp t="s">
        <v>S</v>
        <stp/>
        <stp>##V3_BDPV12</stp>
        <stp>912833RF Govt</stp>
        <stp>TICKER</stp>
        <stp>[STRIPS.xlsx]Sheet1!R522C2</stp>
        <tr r="B522" s="1"/>
      </tp>
      <tp t="s">
        <v>S</v>
        <stp/>
        <stp>##V3_BDPV12</stp>
        <stp>912833RQ Govt</stp>
        <stp>TICKER</stp>
        <stp>[STRIPS.xlsx]Sheet1!R692C2</stp>
        <tr r="B692" s="1"/>
      </tp>
      <tp t="s">
        <v>S</v>
        <stp/>
        <stp>##V3_BDPV12</stp>
        <stp>912833QV Govt</stp>
        <stp>TICKER</stp>
        <stp>[STRIPS.xlsx]Sheet1!R242C2</stp>
        <tr r="B242" s="1"/>
      </tp>
      <tp t="s">
        <v>S</v>
        <stp/>
        <stp>##V3_BDPV12</stp>
        <stp>912833RA Govt</stp>
        <stp>TICKER</stp>
        <stp>[STRIPS.xlsx]Sheet1!R342C2</stp>
        <tr r="B342" s="1"/>
      </tp>
      <tp t="s">
        <v>S</v>
        <stp/>
        <stp>##V3_BDPV12</stp>
        <stp>912833Y5 Govt</stp>
        <stp>TICKER</stp>
        <stp>[STRIPS.xlsx]Sheet1!R582C2</stp>
        <tr r="B582" s="1"/>
      </tp>
      <tp t="s">
        <v>S</v>
        <stp/>
        <stp>##V3_BDPV12</stp>
        <stp>912833YM Govt</stp>
        <stp>TICKER</stp>
        <stp>[STRIPS.xlsx]Sheet1!R452C2</stp>
        <tr r="B452" s="1"/>
      </tp>
      <tp t="s">
        <v>S</v>
        <stp/>
        <stp>##V3_BDPV12</stp>
        <stp>912833ZP Govt</stp>
        <stp>TICKER</stp>
        <stp>[STRIPS.xlsx]Sheet1!R192C2</stp>
        <tr r="B192" s="1"/>
      </tp>
      <tp t="s">
        <v>S</v>
        <stp/>
        <stp>##V3_BDPV12</stp>
        <stp>912833ZE Govt</stp>
        <stp>TICKER</stp>
        <stp>[STRIPS.xlsx]Sheet1!R252C2</stp>
        <tr r="B252" s="1"/>
      </tp>
      <tp t="s">
        <v>S</v>
        <stp/>
        <stp>##V3_BDPV12</stp>
        <stp>912833Z4 Govt</stp>
        <stp>TICKER</stp>
        <stp>[STRIPS.xlsx]Sheet1!R382C2</stp>
        <tr r="B382" s="1"/>
      </tp>
      <tp t="s">
        <v>#N/A Field Not Applicable</v>
        <stp/>
        <stp>##V3_BDPV12</stp>
        <stp>912833RA Govt</stp>
        <stp>FIRST_CPN_DT</stp>
        <stp>[STRIPS.xlsx]Sheet1!R342C9</stp>
        <tr r="I342" s="1"/>
      </tp>
      <tp t="s">
        <v>#N/A Field Not Applicable</v>
        <stp/>
        <stp>##V3_BDPV12</stp>
        <stp>912834QC Govt</stp>
        <stp>FIRST_CPN_DT</stp>
        <stp>[STRIPS.xlsx]Sheet1!R141C9</stp>
        <tr r="I141" s="1"/>
      </tp>
      <tp t="s">
        <v>#N/A Field Not Applicable</v>
        <stp/>
        <stp>##V3_BDPV12</stp>
        <stp>912833QC Govt</stp>
        <stp>FIRST_CPN_DT</stp>
        <stp>[STRIPS.xlsx]Sheet1!R341C9</stp>
        <tr r="I341" s="1"/>
      </tp>
      <tp t="s">
        <v>#N/A Field Not Applicable</v>
        <stp/>
        <stp>##V3_BDPV12</stp>
        <stp>912834TB Govt</stp>
        <stp>FIRST_CPN_DT</stp>
        <stp>[STRIPS.xlsx]Sheet1!R424C9</stp>
        <tr r="I424" s="1"/>
      </tp>
      <tp t="s">
        <v>#N/A Field Not Applicable</v>
        <stp/>
        <stp>##V3_BDPV12</stp>
        <stp>912834RB Govt</stp>
        <stp>FIRST_CPN_DT</stp>
        <stp>[STRIPS.xlsx]Sheet1!R112C9</stp>
        <tr r="I112" s="1"/>
      </tp>
      <tp t="s">
        <v>#N/A Field Not Applicable</v>
        <stp/>
        <stp>##V3_BDPV12</stp>
        <stp>912834VE Govt</stp>
        <stp>FIRST_CPN_DT</stp>
        <stp>[STRIPS.xlsx]Sheet1!R116C9</stp>
        <tr r="I116" s="1"/>
      </tp>
      <tp t="s">
        <v>#N/A Field Not Applicable</v>
        <stp/>
        <stp>##V3_BDPV12</stp>
        <stp>912833QE Govt</stp>
        <stp>FIRST_CPN_DT</stp>
        <stp>[STRIPS.xlsx]Sheet1!R241C9</stp>
        <tr r="I241" s="1"/>
      </tp>
      <tp t="s">
        <v>USD</v>
        <stp/>
        <stp>##V3_BDPV12</stp>
        <stp>912834UU Govt</stp>
        <stp>CRNCY</stp>
        <stp>[STRIPS.xlsx]Sheet1!R755C7</stp>
        <tr r="G755" s="1"/>
      </tp>
      <tp t="s">
        <v>USD</v>
        <stp/>
        <stp>##V3_BDPV12</stp>
        <stp>912833KW Govt</stp>
        <stp>CRNCY</stp>
        <stp>[STRIPS.xlsx]Sheet1!R177C7</stp>
        <tr r="G177" s="1"/>
      </tp>
      <tp t="s">
        <v>USD</v>
        <stp/>
        <stp>##V3_BDPV12</stp>
        <stp>912834LY Govt</stp>
        <stp>CRNCY</stp>
        <stp>[STRIPS.xlsx]Sheet1!R539C7</stp>
        <tr r="G539" s="1"/>
      </tp>
      <tp t="s">
        <v>USD</v>
        <stp/>
        <stp>##V3_BDPV12</stp>
        <stp>912834QT Govt</stp>
        <stp>CRNCY</stp>
        <stp>[STRIPS.xlsx]Sheet1!R414C7</stp>
        <tr r="G414" s="1"/>
      </tp>
      <tp t="s">
        <v>USD</v>
        <stp/>
        <stp>##V3_BDPV12</stp>
        <stp>912834NR Govt</stp>
        <stp>CRNCY</stp>
        <stp>[STRIPS.xlsx]Sheet1!R422C7</stp>
        <tr r="G422" s="1"/>
      </tp>
      <tp t="s">
        <v>USD</v>
        <stp/>
        <stp>##V3_BDPV12</stp>
        <stp>912834AX Govt</stp>
        <stp>CRNCY</stp>
        <stp>[STRIPS.xlsx]Sheet1!R388C7</stp>
        <tr r="G388" s="1"/>
      </tp>
      <tp t="s">
        <v>USD</v>
        <stp/>
        <stp>##V3_BDPV12</stp>
        <stp>912834EQ Govt</stp>
        <stp>CRNCY</stp>
        <stp>[STRIPS.xlsx]Sheet1!R311C7</stp>
        <tr r="G311" s="1"/>
      </tp>
      <tp t="s">
        <v>USD</v>
        <stp/>
        <stp>##V3_BDPV12</stp>
        <stp>9128336Y Govt</stp>
        <stp>CRNCY</stp>
        <stp>[STRIPS.xlsx]Sheet1!R429C7</stp>
        <tr r="G429" s="1"/>
      </tp>
      <tp t="s">
        <v>USD</v>
        <stp/>
        <stp>##V3_BDPV12</stp>
        <stp>912833ZX Govt</stp>
        <stp>CRNCY</stp>
        <stp>[STRIPS.xlsx]Sheet1!R588C7</stp>
        <tr r="G588" s="1"/>
      </tp>
      <tp t="s">
        <v>USD</v>
        <stp/>
        <stp>##V3_BDPV12</stp>
        <stp>912834HU Govt</stp>
        <stp>CRNCY</stp>
        <stp>[STRIPS.xlsx]Sheet1!R225C7</stp>
        <tr r="G225" s="1"/>
      </tp>
      <tp t="s">
        <v>USD</v>
        <stp/>
        <stp>##V3_BDPV12</stp>
        <stp>912834MR Govt</stp>
        <stp>CRNCY</stp>
        <stp>[STRIPS.xlsx]Sheet1!R272C7</stp>
        <tr r="G272" s="1"/>
      </tp>
      <tp t="s">
        <v>USD</v>
        <stp/>
        <stp>##V3_BDPV12</stp>
        <stp>912833MY Govt</stp>
        <stp>CRNCY</stp>
        <stp>[STRIPS.xlsx]Sheet1!R569C7</stp>
        <tr r="G569" s="1"/>
      </tp>
      <tp t="s">
        <v>USD</v>
        <stp/>
        <stp>##V3_BDPV12</stp>
        <stp>912833NR Govt</stp>
        <stp>CRNCY</stp>
        <stp>[STRIPS.xlsx]Sheet1!R572C7</stp>
        <tr r="G572" s="1"/>
      </tp>
      <tp t="s">
        <v>USD</v>
        <stp/>
        <stp>##V3_BDPV12</stp>
        <stp>912833MU Govt</stp>
        <stp>CRNCY</stp>
        <stp>[STRIPS.xlsx]Sheet1!R515C7</stp>
        <tr r="G515" s="1"/>
      </tp>
      <tp t="s">
        <v>USD</v>
        <stp/>
        <stp>##V3_BDPV12</stp>
        <stp>9128333S Govt</stp>
        <stp>CRNCY</stp>
        <stp>[STRIPS.xlsx]Sheet1!R553C7</stp>
        <tr r="G553" s="1"/>
      </tp>
      <tp t="s">
        <v>USD</v>
        <stp/>
        <stp>##V3_BDPV12</stp>
        <stp>912834WY Govt</stp>
        <stp>CRNCY</stp>
        <stp>[STRIPS.xlsx]Sheet1!R189C7</stp>
        <tr r="G189" s="1"/>
      </tp>
      <tp t="s">
        <v>USD</v>
        <stp/>
        <stp>##V3_BDPV12</stp>
        <stp>912834TY Govt</stp>
        <stp>CRNCY</stp>
        <stp>[STRIPS.xlsx]Sheet1!R199C7</stp>
        <tr r="G199" s="1"/>
      </tp>
      <tp t="s">
        <v>USD</v>
        <stp/>
        <stp>##V3_BDPV12</stp>
        <stp>912834UT Govt</stp>
        <stp>CRNCY</stp>
        <stp>[STRIPS.xlsx]Sheet1!R184C7</stp>
        <tr r="G184" s="1"/>
      </tp>
      <tp t="s">
        <v>USD</v>
        <stp/>
        <stp>##V3_BDPV12</stp>
        <stp>912833RU Govt</stp>
        <stp>CRNCY</stp>
        <stp>[STRIPS.xlsx]Sheet1!R635C7</stp>
        <tr r="G635" s="1"/>
      </tp>
      <tp t="s">
        <v>USD</v>
        <stp/>
        <stp>##V3_BDPV12</stp>
        <stp>912833MT Govt</stp>
        <stp>CRNCY</stp>
        <stp>[STRIPS.xlsx]Sheet1!R674C7</stp>
        <tr r="G674" s="1"/>
      </tp>
      <tp t="s">
        <v>USD</v>
        <stp/>
        <stp>##V3_BDPV12</stp>
        <stp>912834NT Govt</stp>
        <stp>CRNCY</stp>
        <stp>[STRIPS.xlsx]Sheet1!R174C7</stp>
        <tr r="G174" s="1"/>
      </tp>
      <tp t="s">
        <v>USD</v>
        <stp/>
        <stp>##V3_BDPV12</stp>
        <stp>912833MV Govt</stp>
        <stp>CRNCY</stp>
        <stp>[STRIPS.xlsx]Sheet1!R626C7</stp>
        <tr r="G626" s="1"/>
      </tp>
      <tp t="s">
        <v>USD</v>
        <stp/>
        <stp>##V3_BDPV12</stp>
        <stp>912834NP Govt</stp>
        <stp>CRNCY</stp>
        <stp>[STRIPS.xlsx]Sheet1!R130C7</stp>
        <tr r="G130" s="1"/>
      </tp>
      <tp t="s">
        <v>USD</v>
        <stp/>
        <stp>##V3_BDPV12</stp>
        <stp>912834EU Govt</stp>
        <stp>CRNCY</stp>
        <stp>[STRIPS.xlsx]Sheet1!R175C7</stp>
        <tr r="G175" s="1"/>
      </tp>
      <tp t="s">
        <v>USD</v>
        <stp/>
        <stp>##V3_BDPV12</stp>
        <stp>912834AU Govt</stp>
        <stp>CRNCY</stp>
        <stp>[STRIPS.xlsx]Sheet1!R125C7</stp>
        <tr r="G125" s="1"/>
      </tp>
      <tp t="s">
        <v>USD</v>
        <stp/>
        <stp>##V3_BDPV12</stp>
        <stp>9128336W Govt</stp>
        <stp>CRNCY</stp>
        <stp>[STRIPS.xlsx]Sheet1!R607C7</stp>
        <tr r="G607" s="1"/>
      </tp>
      <tp t="s">
        <v>USD</v>
        <stp/>
        <stp>##V3_BDPV12</stp>
        <stp>9128336T Govt</stp>
        <stp>CRNCY</stp>
        <stp>[STRIPS.xlsx]Sheet1!R714C7</stp>
        <tr r="G714" s="1"/>
      </tp>
      <tp t="s">
        <v>USD</v>
        <stp/>
        <stp>##V3_BDPV12</stp>
        <stp>9128335Q Govt</stp>
        <stp>CRNCY</stp>
        <stp>[STRIPS.xlsx]Sheet1!R711C7</stp>
        <tr r="G711" s="1"/>
      </tp>
      <tp t="s">
        <v>#N/A Field Not Applicable</v>
        <stp/>
        <stp>##V3_BDPV12</stp>
        <stp>912834QG Govt</stp>
        <stp>FIRST_CPN_DT</stp>
        <stp>[STRIPS.xlsx]Sheet1!R211C9</stp>
        <tr r="I211" s="1"/>
      </tp>
      <tp t="s">
        <v>#N/A Field Not Applicable</v>
        <stp/>
        <stp>##V3_BDPV12</stp>
        <stp>912833RF Govt</stp>
        <stp>FIRST_CPN_DT</stp>
        <stp>[STRIPS.xlsx]Sheet1!R522C9</stp>
        <tr r="I522" s="1"/>
      </tp>
      <tp t="s">
        <v>#N/A Field Not Applicable</v>
        <stp/>
        <stp>##V3_BDPV12</stp>
        <stp>912834WZ Govt</stp>
        <stp>FIRST_CPN_DT</stp>
        <stp>[STRIPS.xlsx]Sheet1!R6C9</stp>
        <tr r="I6" s="1"/>
      </tp>
      <tp t="s">
        <v>#N/A Field Not Applicable</v>
        <stp/>
        <stp>##V3_BDPV12</stp>
        <stp>912834KP Govt</stp>
        <stp>COUPON_FREQUENCY_DESCRIPTION</stp>
        <stp>[STRIPS.xlsx]Sheet1!R8C10</stp>
        <tr r="J8" s="1"/>
      </tp>
      <tp t="s">
        <v>#N/A Field Not Applicable</v>
        <stp/>
        <stp>##V3_BDPV12</stp>
        <stp>912834WZ Govt</stp>
        <stp>COUPON_FREQUENCY_DESCRIPTION</stp>
        <stp>[STRIPS.xlsx]Sheet1!R6C10</stp>
        <tr r="J6" s="1"/>
      </tp>
      <tp>
        <v>1.1070000000000135</v>
        <stp/>
        <stp>##V3_BDPV12</stp>
        <stp>912833PB Govt</stp>
        <stp>YLD_YTM_BID</stp>
        <stp>[STRIPS.xlsx]Sheet1!R3C4</stp>
        <tr r="D3" s="1"/>
      </tp>
      <tp>
        <v>8.1999999999728956E-2</v>
        <stp/>
        <stp>##V3_BDPV12</stp>
        <stp>912833LF Govt</stp>
        <stp>YLD_YTM_BID</stp>
        <stp>[STRIPS.xlsx]Sheet1!R7C4</stp>
        <tr r="D7" s="1"/>
      </tp>
      <tp t="s">
        <v>ZERO</v>
        <stp/>
        <stp>##V3_BDPV12</stp>
        <stp>9128332D Govt</stp>
        <stp>CPN_TYP</stp>
        <stp>[STRIPS.xlsx]Sheet1!R648C11</stp>
        <tr r="K648" s="1"/>
      </tp>
      <tp t="s">
        <v>ZERO</v>
        <stp/>
        <stp>##V3_BDPV12</stp>
        <stp>9128332F Govt</stp>
        <stp>CPN_TYP</stp>
        <stp>[STRIPS.xlsx]Sheet1!R702C11</stp>
        <tr r="K702" s="1"/>
      </tp>
      <tp t="s">
        <v>ZERO</v>
        <stp/>
        <stp>##V3_BDPV12</stp>
        <stp>9128332G Govt</stp>
        <stp>CPN_TYP</stp>
        <stp>[STRIPS.xlsx]Sheet1!R703C11</stp>
        <tr r="K703" s="1"/>
      </tp>
      <tp t="s">
        <v>ZERO</v>
        <stp/>
        <stp>##V3_BDPV12</stp>
        <stp>9128332E Govt</stp>
        <stp>CPN_TYP</stp>
        <stp>[STRIPS.xlsx]Sheet1!R597C11</stp>
        <tr r="K597" s="1"/>
      </tp>
      <tp t="s">
        <v>ZERO</v>
        <stp/>
        <stp>##V3_BDPV12</stp>
        <stp>9128332A Govt</stp>
        <stp>CPN_TYP</stp>
        <stp>[STRIPS.xlsx]Sheet1!R700C11</stp>
        <tr r="K700" s="1"/>
      </tp>
      <tp t="s">
        <v>ZERO</v>
        <stp/>
        <stp>##V3_BDPV12</stp>
        <stp>9128332B Govt</stp>
        <stp>CPN_TYP</stp>
        <stp>[STRIPS.xlsx]Sheet1!R717C11</stp>
        <tr r="K717" s="1"/>
      </tp>
      <tp t="s">
        <v>ZERO</v>
        <stp/>
        <stp>##V3_BDPV12</stp>
        <stp>9128332C Govt</stp>
        <stp>CPN_TYP</stp>
        <stp>[STRIPS.xlsx]Sheet1!R701C11</stp>
        <tr r="K701" s="1"/>
      </tp>
      <tp t="s">
        <v>ZERO</v>
        <stp/>
        <stp>##V3_BDPV12</stp>
        <stp>9128332H Govt</stp>
        <stp>CPN_TYP</stp>
        <stp>[STRIPS.xlsx]Sheet1!R718C11</stp>
        <tr r="K718" s="1"/>
      </tp>
      <tp t="s">
        <v>ZERO</v>
        <stp/>
        <stp>##V3_BDPV12</stp>
        <stp>9128332J Govt</stp>
        <stp>CPN_TYP</stp>
        <stp>[STRIPS.xlsx]Sheet1!R598C11</stp>
        <tr r="K598" s="1"/>
      </tp>
      <tp t="s">
        <v>#N/A Field Not Applicable</v>
        <stp/>
        <stp>##V3_BDPV12</stp>
        <stp>912834UX Govt</stp>
        <stp>FIRST_CPN_DT</stp>
        <stp>[STRIPS.xlsx]Sheet1!R182C9</stp>
        <tr r="I182" s="1"/>
      </tp>
      <tp t="s">
        <v>#N/A Field Not Applicable</v>
        <stp/>
        <stp>##V3_BDPV12</stp>
        <stp>912833PP Govt</stp>
        <stp>FIRST_CPN_DT</stp>
        <stp>[STRIPS.xlsx]Sheet1!R337C9</stp>
        <tr r="I337" s="1"/>
      </tp>
      <tp t="s">
        <v>#N/A Field Not Applicable</v>
        <stp/>
        <stp>##V3_BDPV12</stp>
        <stp>912833RS Govt</stp>
        <stp>FIRST_CPN_DT</stp>
        <stp>[STRIPS.xlsx]Sheet1!R525C9</stp>
        <tr r="I525" s="1"/>
      </tp>
      <tp t="s">
        <v>#N/A Field Not Applicable</v>
        <stp/>
        <stp>##V3_BDPV12</stp>
        <stp>912834US Govt</stp>
        <stp>FIRST_CPN_DT</stp>
        <stp>[STRIPS.xlsx]Sheet1!R762C9</stp>
        <tr r="I762" s="1"/>
      </tp>
      <tp t="s">
        <v>#N/A Field Not Applicable</v>
        <stp/>
        <stp>##V3_BDPV12</stp>
        <stp>912833RU Govt</stp>
        <stp>FIRST_CPN_DT</stp>
        <stp>[STRIPS.xlsx]Sheet1!R635C9</stp>
        <tr r="I635" s="1"/>
      </tp>
      <tp t="s">
        <v>#N/A Field Not Applicable</v>
        <stp/>
        <stp>##V3_BDPV12</stp>
        <stp>912834TT Govt</stp>
        <stp>FIRST_CPN_DT</stp>
        <stp>[STRIPS.xlsx]Sheet1!R283C9</stp>
        <tr r="I283" s="1"/>
      </tp>
      <tp t="s">
        <v>#N/A Field Not Applicable</v>
        <stp/>
        <stp>##V3_BDPV12</stp>
        <stp>912834VW Govt</stp>
        <stp>FIRST_CPN_DT</stp>
        <stp>[STRIPS.xlsx]Sheet1!R131C9</stp>
        <tr r="I131" s="1"/>
      </tp>
      <tp t="s">
        <v>UNITED STATES</v>
        <stp/>
        <stp>##V3_BDPV12</stp>
        <stp>9128335A Govt</stp>
        <stp>COUNTRY_FULL_NAME</stp>
        <stp>[STRIPS.xlsx]Sheet1!R42C8</stp>
        <tr r="H42" s="1"/>
      </tp>
      <tp t="s">
        <v>S</v>
        <stp/>
        <stp>##V3_BDPV12</stp>
        <stp>912834EU Govt</stp>
        <stp>TICKER</stp>
        <stp>[STRIPS.xlsx]Sheet1!R175C2</stp>
        <tr r="B175" s="1"/>
      </tp>
      <tp t="s">
        <v>S</v>
        <stp/>
        <stp>##V3_BDPV12</stp>
        <stp>912834FA Govt</stp>
        <stp>TICKER</stp>
        <stp>[STRIPS.xlsx]Sheet1!R395C2</stp>
        <tr r="B395" s="1"/>
      </tp>
      <tp t="s">
        <v>S</v>
        <stp/>
        <stp>##V3_BDPV12</stp>
        <stp>912834AH Govt</stp>
        <stp>TICKER</stp>
        <stp>[STRIPS.xlsx]Sheet1!R385C2</stp>
        <tr r="B385" s="1"/>
      </tp>
      <tp t="s">
        <v>S</v>
        <stp/>
        <stp>##V3_BDPV12</stp>
        <stp>912834ED Govt</stp>
        <stp>TICKER</stp>
        <stp>[STRIPS.xlsx]Sheet1!R645C2</stp>
        <tr r="B645" s="1"/>
      </tp>
      <tp t="s">
        <v>S</v>
        <stp/>
        <stp>##V3_BDPV12</stp>
        <stp>912834AU Govt</stp>
        <stp>TICKER</stp>
        <stp>[STRIPS.xlsx]Sheet1!R125C2</stp>
        <tr r="B125" s="1"/>
      </tp>
      <tp t="s">
        <v>S</v>
        <stp/>
        <stp>##V3_BDPV12</stp>
        <stp>912834EJ Govt</stp>
        <stp>TICKER</stp>
        <stp>[STRIPS.xlsx]Sheet1!R595C2</stp>
        <tr r="B595" s="1"/>
      </tp>
      <tp t="s">
        <v>S</v>
        <stp/>
        <stp>##V3_BDPV12</stp>
        <stp>912834JJ Govt</stp>
        <stp>TICKER</stp>
        <stp>[STRIPS.xlsx]Sheet1!R465C2</stp>
        <tr r="B465" s="1"/>
      </tp>
      <tp t="s">
        <v>S</v>
        <stp/>
        <stp>##V3_BDPV12</stp>
        <stp>912834NV Govt</stp>
        <stp>TICKER</stp>
        <stp>[STRIPS.xlsx]Sheet1!R115C2</stp>
        <tr r="B115" s="1"/>
      </tp>
      <tp t="s">
        <v>S</v>
        <stp/>
        <stp>##V3_BDPV12</stp>
        <stp>912834LZ Govt</stp>
        <stp>TICKER</stp>
        <stp>[STRIPS.xlsx]Sheet1!R325C2</stp>
        <tr r="B325" s="1"/>
      </tp>
      <tp t="s">
        <v>S</v>
        <stp/>
        <stp>##V3_BDPV12</stp>
        <stp>912834NZ Govt</stp>
        <stp>TICKER</stp>
        <stp>[STRIPS.xlsx]Sheet1!R275C2</stp>
        <tr r="B275" s="1"/>
      </tp>
      <tp t="s">
        <v>S</v>
        <stp/>
        <stp>##V3_BDPV12</stp>
        <stp>912834HR Govt</stp>
        <stp>TICKER</stp>
        <stp>[STRIPS.xlsx]Sheet1!R535C2</stp>
        <tr r="B535" s="1"/>
      </tp>
      <tp t="s">
        <v>S</v>
        <stp/>
        <stp>##V3_BDPV12</stp>
        <stp>912834HU Govt</stp>
        <stp>TICKER</stp>
        <stp>[STRIPS.xlsx]Sheet1!R225C2</stp>
        <tr r="B225" s="1"/>
      </tp>
      <tp t="s">
        <v>S</v>
        <stp/>
        <stp>##V3_BDPV12</stp>
        <stp>912834HZ Govt</stp>
        <stp>TICKER</stp>
        <stp>[STRIPS.xlsx]Sheet1!R265C2</stp>
        <tr r="B265" s="1"/>
      </tp>
      <tp t="s">
        <v>S</v>
        <stp/>
        <stp>##V3_BDPV12</stp>
        <stp>912834KA Govt</stp>
        <stp>TICKER</stp>
        <stp>[STRIPS.xlsx]Sheet1!R165C2</stp>
        <tr r="B165" s="1"/>
      </tp>
      <tp t="s">
        <v>S</v>
        <stp/>
        <stp>##V3_BDPV12</stp>
        <stp>912834HT Govt</stp>
        <stp>TICKER</stp>
        <stp>[STRIPS.xlsx]Sheet1!R355C2</stp>
        <tr r="B355" s="1"/>
      </tp>
      <tp t="s">
        <v>S</v>
        <stp/>
        <stp>##V3_BDPV12</stp>
        <stp>912834ND Govt</stp>
        <stp>TICKER</stp>
        <stp>[STRIPS.xlsx]Sheet1!R545C2</stp>
        <tr r="B545" s="1"/>
      </tp>
      <tp t="s">
        <v>S</v>
        <stp/>
        <stp>##V3_BDPV12</stp>
        <stp>912834JS Govt</stp>
        <stp>TICKER</stp>
        <stp>[STRIPS.xlsx]Sheet1!R315C2</stp>
        <tr r="B315" s="1"/>
      </tp>
      <tp t="s">
        <v>S</v>
        <stp/>
        <stp>##V3_BDPV12</stp>
        <stp>912834MK Govt</stp>
        <stp>TICKER</stp>
        <stp>[STRIPS.xlsx]Sheet1!R405C2</stp>
        <tr r="B405" s="1"/>
      </tp>
      <tp t="s">
        <v>S</v>
        <stp/>
        <stp>##V3_BDPV12</stp>
        <stp>912834ML Govt</stp>
        <stp>TICKER</stp>
        <stp>[STRIPS.xlsx]Sheet1!R475C2</stp>
        <tr r="B475" s="1"/>
      </tp>
      <tp t="s">
        <v>S</v>
        <stp/>
        <stp>##V3_BDPV12</stp>
        <stp>912834WW Govt</stp>
        <stp>TICKER</stp>
        <stp>[STRIPS.xlsx]Sheet1!R185C2</stp>
        <tr r="B185" s="1"/>
      </tp>
      <tp t="s">
        <v>S</v>
        <stp/>
        <stp>##V3_BDPV12</stp>
        <stp>912834RM Govt</stp>
        <stp>TICKER</stp>
        <stp>[STRIPS.xlsx]Sheet1!R415C2</stp>
        <tr r="B415" s="1"/>
      </tp>
      <tp t="s">
        <v>S</v>
        <stp/>
        <stp>##V3_BDPV12</stp>
        <stp>912834UH Govt</stp>
        <stp>TICKER</stp>
        <stp>[STRIPS.xlsx]Sheet1!R105C2</stp>
        <tr r="B105" s="1"/>
      </tp>
      <tp t="s">
        <v>S</v>
        <stp/>
        <stp>##V3_BDPV12</stp>
        <stp>912834TX Govt</stp>
        <stp>TICKER</stp>
        <stp>[STRIPS.xlsx]Sheet1!R145C2</stp>
        <tr r="B145" s="1"/>
      </tp>
      <tp t="s">
        <v>S</v>
        <stp/>
        <stp>##V3_BDPV12</stp>
        <stp>912834TL Govt</stp>
        <stp>TICKER</stp>
        <stp>[STRIPS.xlsx]Sheet1!R195C2</stp>
        <tr r="B195" s="1"/>
      </tp>
      <tp t="s">
        <v>S</v>
        <stp/>
        <stp>##V3_BDPV12</stp>
        <stp>912834TE Govt</stp>
        <stp>TICKER</stp>
        <stp>[STRIPS.xlsx]Sheet1!R155C2</stp>
        <tr r="B155" s="1"/>
      </tp>
      <tp t="s">
        <v>S</v>
        <stp/>
        <stp>##V3_BDPV12</stp>
        <stp>912834WH Govt</stp>
        <stp>TICKER</stp>
        <stp>[STRIPS.xlsx]Sheet1!R215C2</stp>
        <tr r="B215" s="1"/>
      </tp>
      <tp t="s">
        <v>S</v>
        <stp/>
        <stp>##V3_BDPV12</stp>
        <stp>912834UU Govt</stp>
        <stp>TICKER</stp>
        <stp>[STRIPS.xlsx]Sheet1!R755C2</stp>
        <tr r="B755" s="1"/>
      </tp>
      <tp t="s">
        <v>S</v>
        <stp/>
        <stp>##V3_BDPV12</stp>
        <stp>912834QQ Govt</stp>
        <stp>TICKER</stp>
        <stp>[STRIPS.xlsx]Sheet1!R205C2</stp>
        <tr r="B205" s="1"/>
      </tp>
      <tp t="s">
        <v>S</v>
        <stp/>
        <stp>##V3_BDPV12</stp>
        <stp>912834QS Govt</stp>
        <stp>TICKER</stp>
        <stp>[STRIPS.xlsx]Sheet1!R135C2</stp>
        <tr r="B135" s="1"/>
      </tp>
      <tp t="s">
        <v>S</v>
        <stp/>
        <stp>##V3_BDPV12</stp>
        <stp>912834WK Govt</stp>
        <stp>TICKER</stp>
        <stp>[STRIPS.xlsx]Sheet1!R775C2</stp>
        <tr r="B775" s="1"/>
      </tp>
      <tp t="s">
        <v>S</v>
        <stp/>
        <stp>##V3_BDPV12</stp>
        <stp>912834TK Govt</stp>
        <stp>TICKER</stp>
        <stp>[STRIPS.xlsx]Sheet1!R425C2</stp>
        <tr r="B425" s="1"/>
      </tp>
      <tp t="s">
        <v>S</v>
        <stp/>
        <stp>##V3_BDPV12</stp>
        <stp>912834VD Govt</stp>
        <stp>TICKER</stp>
        <stp>[STRIPS.xlsx]Sheet1!R765C2</stp>
        <tr r="B765" s="1"/>
      </tp>
      <tp t="s">
        <v>#N/A Field Not Applicable</v>
        <stp/>
        <stp>##V3_BDPV12</stp>
        <stp>912833QJ Govt</stp>
        <stp>FIRST_CPN_DT</stp>
        <stp>[STRIPS.xlsx]Sheet1!R686C9</stp>
        <tr r="I686" s="1"/>
      </tp>
      <tp t="s">
        <v>#N/A Field Not Applicable</v>
        <stp/>
        <stp>##V3_BDPV12</stp>
        <stp>912833RJ Govt</stp>
        <stp>FIRST_CPN_DT</stp>
        <stp>[STRIPS.xlsx]Sheet1!R245C9</stp>
        <tr r="I245" s="1"/>
      </tp>
      <tp t="s">
        <v>#N/A Field Not Applicable</v>
        <stp/>
        <stp>##V3_BDPV12</stp>
        <stp>912834RM Govt</stp>
        <stp>FIRST_CPN_DT</stp>
        <stp>[STRIPS.xlsx]Sheet1!R415C9</stp>
        <tr r="I415" s="1"/>
      </tp>
      <tp t="s">
        <v>S</v>
        <stp/>
        <stp>##V3_BDPV12</stp>
        <stp>9128333W Govt</stp>
        <stp>TICKER</stp>
        <stp>[STRIPS.xlsx]Sheet1!R485C2</stp>
        <tr r="B485" s="1"/>
      </tp>
      <tp t="s">
        <v>S</v>
        <stp/>
        <stp>##V3_BDPV12</stp>
        <stp>9128335D Govt</stp>
        <stp>TICKER</stp>
        <stp>[STRIPS.xlsx]Sheet1!R285C2</stp>
        <tr r="B285" s="1"/>
      </tp>
      <tp t="s">
        <v>S</v>
        <stp/>
        <stp>##V3_BDPV12</stp>
        <stp>9128333R Govt</stp>
        <stp>TICKER</stp>
        <stp>[STRIPS.xlsx]Sheet1!R705C2</stp>
        <tr r="B705" s="1"/>
      </tp>
      <tp t="s">
        <v>S</v>
        <stp/>
        <stp>##V3_BDPV12</stp>
        <stp>9128335W Govt</stp>
        <stp>TICKER</stp>
        <stp>[STRIPS.xlsx]Sheet1!R725C2</stp>
        <tr r="B725" s="1"/>
      </tp>
      <tp t="s">
        <v>S</v>
        <stp/>
        <stp>##V3_BDPV12</stp>
        <stp>9128335E Govt</stp>
        <stp>TICKER</stp>
        <stp>[STRIPS.xlsx]Sheet1!R745C2</stp>
        <tr r="B745" s="1"/>
      </tp>
      <tp t="s">
        <v>S</v>
        <stp/>
        <stp>##V3_BDPV12</stp>
        <stp>9128336H Govt</stp>
        <stp>TICKER</stp>
        <stp>[STRIPS.xlsx]Sheet1!R495C2</stp>
        <tr r="B495" s="1"/>
      </tp>
      <tp t="s">
        <v>S</v>
        <stp/>
        <stp>##V3_BDPV12</stp>
        <stp>9128334J Govt</stp>
        <stp>TICKER</stp>
        <stp>[STRIPS.xlsx]Sheet1!R605C2</stp>
        <tr r="B605" s="1"/>
      </tp>
      <tp t="s">
        <v>S</v>
        <stp/>
        <stp>##V3_BDPV12</stp>
        <stp>9128335R Govt</stp>
        <stp>TICKER</stp>
        <stp>[STRIPS.xlsx]Sheet1!R555C2</stp>
        <tr r="B555" s="1"/>
      </tp>
      <tp t="s">
        <v>S</v>
        <stp/>
        <stp>##V3_BDPV12</stp>
        <stp>9128336V Govt</stp>
        <stp>TICKER</stp>
        <stp>[STRIPS.xlsx]Sheet1!R715C2</stp>
        <tr r="B715" s="1"/>
      </tp>
      <tp t="s">
        <v>S</v>
        <stp/>
        <stp>##V3_BDPV12</stp>
        <stp>912833C5 Govt</stp>
        <stp>TICKER</stp>
        <stp>[STRIPS.xlsx]Sheet1!R435C2</stp>
        <tr r="B435" s="1"/>
      </tp>
      <tp t="s">
        <v>S</v>
        <stp/>
        <stp>##V3_BDPV12</stp>
        <stp>912833CW Govt</stp>
        <stp>TICKER</stp>
        <stp>[STRIPS.xlsx]Sheet1!R735C2</stp>
        <tr r="B735" s="1"/>
      </tp>
      <tp t="s">
        <v>S</v>
        <stp/>
        <stp>##V3_BDPV12</stp>
        <stp>912833GD Govt</stp>
        <stp>TICKER</stp>
        <stp>[STRIPS.xlsx]Sheet1!R365C2</stp>
        <tr r="B365" s="1"/>
      </tp>
      <tp t="s">
        <v>S</v>
        <stp/>
        <stp>##V3_BDPV12</stp>
        <stp>912833CF Govt</stp>
        <stp>TICKER</stp>
        <stp>[STRIPS.xlsx]Sheet1!R655C2</stp>
        <tr r="B655" s="1"/>
      </tp>
      <tp t="s">
        <v>S</v>
        <stp/>
        <stp>##V3_BDPV12</stp>
        <stp>912833CH Govt</stp>
        <stp>TICKER</stp>
        <stp>[STRIPS.xlsx]Sheet1!R615C2</stp>
        <tr r="B615" s="1"/>
      </tp>
      <tp t="s">
        <v>S</v>
        <stp/>
        <stp>##V3_BDPV12</stp>
        <stp>912833FY Govt</stp>
        <stp>TICKER</stp>
        <stp>[STRIPS.xlsx]Sheet1!R665C2</stp>
        <tr r="B665" s="1"/>
      </tp>
      <tp t="s">
        <v>S</v>
        <stp/>
        <stp>##V3_BDPV12</stp>
        <stp>912833DE Govt</stp>
        <stp>TICKER</stp>
        <stp>[STRIPS.xlsx]Sheet1!R505C2</stp>
        <tr r="B505" s="1"/>
      </tp>
      <tp t="s">
        <v>S</v>
        <stp/>
        <stp>##V3_BDPV12</stp>
        <stp>912833CD Govt</stp>
        <stp>TICKER</stp>
        <stp>[STRIPS.xlsx]Sheet1!R295C2</stp>
        <tr r="B295" s="1"/>
      </tp>
      <tp t="s">
        <v>S</v>
        <stp/>
        <stp>##V3_BDPV12</stp>
        <stp>912833MF Govt</stp>
        <stp>TICKER</stp>
        <stp>[STRIPS.xlsx]Sheet1!R305C2</stp>
        <tr r="B305" s="1"/>
      </tp>
      <tp t="s">
        <v>S</v>
        <stp/>
        <stp>##V3_BDPV12</stp>
        <stp>912833KH Govt</stp>
        <stp>TICKER</stp>
        <stp>[STRIPS.xlsx]Sheet1!R565C2</stp>
        <tr r="B565" s="1"/>
      </tp>
      <tp t="s">
        <v>S</v>
        <stp/>
        <stp>##V3_BDPV12</stp>
        <stp>912833MP Govt</stp>
        <stp>TICKER</stp>
        <stp>[STRIPS.xlsx]Sheet1!R235C2</stp>
        <tr r="B235" s="1"/>
      </tp>
      <tp t="s">
        <v>S</v>
        <stp/>
        <stp>##V3_BDPV12</stp>
        <stp>912833NL Govt</stp>
        <stp>TICKER</stp>
        <stp>[STRIPS.xlsx]Sheet1!R335C2</stp>
        <tr r="B335" s="1"/>
      </tp>
      <tp t="s">
        <v>S</v>
        <stp/>
        <stp>##V3_BDPV12</stp>
        <stp>912833MS Govt</stp>
        <stp>TICKER</stp>
        <stp>[STRIPS.xlsx]Sheet1!R625C2</stp>
        <tr r="B625" s="1"/>
      </tp>
      <tp t="s">
        <v>S</v>
        <stp/>
        <stp>##V3_BDPV12</stp>
        <stp>912833MW Govt</stp>
        <stp>TICKER</stp>
        <stp>[STRIPS.xlsx]Sheet1!R675C2</stp>
        <tr r="B675" s="1"/>
      </tp>
      <tp t="s">
        <v>S</v>
        <stp/>
        <stp>##V3_BDPV12</stp>
        <stp>912833MU Govt</stp>
        <stp>TICKER</stp>
        <stp>[STRIPS.xlsx]Sheet1!R515C2</stp>
        <tr r="B515" s="1"/>
      </tp>
      <tp t="s">
        <v>S</v>
        <stp/>
        <stp>##V3_BDPV12</stp>
        <stp>912833MK Govt</stp>
        <stp>TICKER</stp>
        <stp>[STRIPS.xlsx]Sheet1!R445C2</stp>
        <tr r="B445" s="1"/>
      </tp>
      <tp t="s">
        <v>S</v>
        <stp/>
        <stp>##V3_BDPV12</stp>
        <stp>912833RS Govt</stp>
        <stp>TICKER</stp>
        <stp>[STRIPS.xlsx]Sheet1!R525C2</stp>
        <tr r="B525" s="1"/>
      </tp>
      <tp t="s">
        <v>S</v>
        <stp/>
        <stp>##V3_BDPV12</stp>
        <stp>912833QG Govt</stp>
        <stp>TICKER</stp>
        <stp>[STRIPS.xlsx]Sheet1!R685C2</stp>
        <tr r="B685" s="1"/>
      </tp>
      <tp t="s">
        <v>S</v>
        <stp/>
        <stp>##V3_BDPV12</stp>
        <stp>912833RU Govt</stp>
        <stp>TICKER</stp>
        <stp>[STRIPS.xlsx]Sheet1!R635C2</stp>
        <tr r="B635" s="1"/>
      </tp>
      <tp t="s">
        <v>S</v>
        <stp/>
        <stp>##V3_BDPV12</stp>
        <stp>912833PT Govt</stp>
        <stp>TICKER</stp>
        <stp>[STRIPS.xlsx]Sheet1!R575C2</stp>
        <tr r="B575" s="1"/>
      </tp>
      <tp t="s">
        <v>S</v>
        <stp/>
        <stp>##V3_BDPV12</stp>
        <stp>912833PR Govt</stp>
        <stp>TICKER</stp>
        <stp>[STRIPS.xlsx]Sheet1!R375C2</stp>
        <tr r="B375" s="1"/>
      </tp>
      <tp t="s">
        <v>S</v>
        <stp/>
        <stp>##V3_BDPV12</stp>
        <stp>912833RJ Govt</stp>
        <stp>TICKER</stp>
        <stp>[STRIPS.xlsx]Sheet1!R245C2</stp>
        <tr r="B245" s="1"/>
      </tp>
      <tp t="s">
        <v>S</v>
        <stp/>
        <stp>##V3_BDPV12</stp>
        <stp>912833ZS Govt</stp>
        <stp>TICKER</stp>
        <stp>[STRIPS.xlsx]Sheet1!R455C2</stp>
        <tr r="B455" s="1"/>
      </tp>
      <tp t="s">
        <v>S</v>
        <stp/>
        <stp>##V3_BDPV12</stp>
        <stp>912833YZ Govt</stp>
        <stp>TICKER</stp>
        <stp>[STRIPS.xlsx]Sheet1!R695C2</stp>
        <tr r="B695" s="1"/>
      </tp>
      <tp t="s">
        <v>S</v>
        <stp/>
        <stp>##V3_BDPV12</stp>
        <stp>912833YS Govt</stp>
        <stp>TICKER</stp>
        <stp>[STRIPS.xlsx]Sheet1!R585C2</stp>
        <tr r="B585" s="1"/>
      </tp>
      <tp t="s">
        <v>S</v>
        <stp/>
        <stp>##V3_BDPV12</stp>
        <stp>912833YR Govt</stp>
        <stp>TICKER</stp>
        <stp>[STRIPS.xlsx]Sheet1!R345C2</stp>
        <tr r="B345" s="1"/>
      </tp>
      <tp t="s">
        <v>S</v>
        <stp/>
        <stp>##V3_BDPV12</stp>
        <stp>912833ZY Govt</stp>
        <stp>TICKER</stp>
        <stp>[STRIPS.xlsx]Sheet1!R255C2</stp>
        <tr r="B255" s="1"/>
      </tp>
      <tp t="s">
        <v>#N/A Field Not Applicable</v>
        <stp/>
        <stp>##V3_BDPV12</stp>
        <stp>912833QA Govt</stp>
        <stp>FIRST_CPN_DT</stp>
        <stp>[STRIPS.xlsx]Sheet1!R376C9</stp>
        <tr r="I376" s="1"/>
      </tp>
      <tp t="s">
        <v>#N/A Field Not Applicable</v>
        <stp/>
        <stp>##V3_BDPV12</stp>
        <stp>912834TC Govt</stp>
        <stp>FIRST_CPN_DT</stp>
        <stp>[STRIPS.xlsx]Sheet1!R163C9</stp>
        <tr r="I163" s="1"/>
      </tp>
      <tp t="s">
        <v>#N/A Field Not Applicable</v>
        <stp/>
        <stp>##V3_BDPV12</stp>
        <stp>912833QD Govt</stp>
        <stp>FIRST_CPN_DT</stp>
        <stp>[STRIPS.xlsx]Sheet1!R576C9</stp>
        <tr r="I576" s="1"/>
      </tp>
      <tp t="s">
        <v>USD</v>
        <stp/>
        <stp>##V3_BDPV12</stp>
        <stp>912834TW Govt</stp>
        <stp>CRNCY</stp>
        <stp>[STRIPS.xlsx]Sheet1!R760C7</stp>
        <tr r="G760" s="1"/>
      </tp>
      <tp t="s">
        <v>USD</v>
        <stp/>
        <stp>##V3_BDPV12</stp>
        <stp>912834TU Govt</stp>
        <stp>CRNCY</stp>
        <stp>[STRIPS.xlsx]Sheet1!R752C7</stp>
        <tr r="G752" s="1"/>
      </tp>
      <tp t="s">
        <v>USD</v>
        <stp/>
        <stp>##V3_BDPV12</stp>
        <stp>912834VT Govt</stp>
        <stp>CRNCY</stp>
        <stp>[STRIPS.xlsx]Sheet1!R773C7</stp>
        <tr r="G773" s="1"/>
      </tp>
      <tp t="s">
        <v>USD</v>
        <stp/>
        <stp>##V3_BDPV12</stp>
        <stp>9128334U Govt</stp>
        <stp>CRNCY</stp>
        <stp>[STRIPS.xlsx]Sheet1!R102C7</stp>
        <tr r="G102" s="1"/>
      </tp>
      <tp t="s">
        <v>USD</v>
        <stp/>
        <stp>##V3_BDPV12</stp>
        <stp>912834HR Govt</stp>
        <stp>CRNCY</stp>
        <stp>[STRIPS.xlsx]Sheet1!R535C7</stp>
        <tr r="G535" s="1"/>
      </tp>
      <tp t="s">
        <v>USD</v>
        <stp/>
        <stp>##V3_BDPV12</stp>
        <stp>912833MQ Govt</stp>
        <stp>CRNCY</stp>
        <stp>[STRIPS.xlsx]Sheet1!R236C7</stp>
        <tr r="G236" s="1"/>
      </tp>
      <tp t="s">
        <v>USD</v>
        <stp/>
        <stp>##V3_BDPV12</stp>
        <stp>912833YR Govt</stp>
        <stp>CRNCY</stp>
        <stp>[STRIPS.xlsx]Sheet1!R345C7</stp>
        <tr r="G345" s="1"/>
      </tp>
      <tp t="s">
        <v>USD</v>
        <stp/>
        <stp>##V3_BDPV12</stp>
        <stp>912833PP Govt</stp>
        <stp>CRNCY</stp>
        <stp>[STRIPS.xlsx]Sheet1!R337C7</stp>
        <tr r="G337" s="1"/>
      </tp>
      <tp t="s">
        <v>USD</v>
        <stp/>
        <stp>##V3_BDPV12</stp>
        <stp>912833PR Govt</stp>
        <stp>CRNCY</stp>
        <stp>[STRIPS.xlsx]Sheet1!R375C7</stp>
        <tr r="G375" s="1"/>
      </tp>
      <tp t="s">
        <v>USD</v>
        <stp/>
        <stp>##V3_BDPV12</stp>
        <stp>912834KW Govt</stp>
        <stp>CRNCY</stp>
        <stp>[STRIPS.xlsx]Sheet1!R470C7</stp>
        <tr r="G470" s="1"/>
      </tp>
      <tp t="s">
        <v>USD</v>
        <stp/>
        <stp>##V3_BDPV12</stp>
        <stp>912834ES Govt</stp>
        <stp>CRNCY</stp>
        <stp>[STRIPS.xlsx]Sheet1!R464C7</stp>
        <tr r="G464" s="1"/>
      </tp>
      <tp t="s">
        <v>USD</v>
        <stp/>
        <stp>##V3_BDPV12</stp>
        <stp>912834LW Govt</stp>
        <stp>CRNCY</stp>
        <stp>[STRIPS.xlsx]Sheet1!R360C7</stp>
        <tr r="G360" s="1"/>
      </tp>
      <tp t="s">
        <v>USD</v>
        <stp/>
        <stp>##V3_BDPV12</stp>
        <stp>912834ET Govt</stp>
        <stp>CRNCY</stp>
        <stp>[STRIPS.xlsx]Sheet1!R393C7</stp>
        <tr r="G393" s="1"/>
      </tp>
      <tp t="s">
        <v>USD</v>
        <stp/>
        <stp>##V3_BDPV12</stp>
        <stp>912834DW Govt</stp>
        <stp>CRNCY</stp>
        <stp>[STRIPS.xlsx]Sheet1!R390C7</stp>
        <tr r="G390" s="1"/>
      </tp>
      <tp t="s">
        <v>USD</v>
        <stp/>
        <stp>##V3_BDPV12</stp>
        <stp>9128333T Govt</stp>
        <stp>CRNCY</stp>
        <stp>[STRIPS.xlsx]Sheet1!R483C7</stp>
        <tr r="G483" s="1"/>
      </tp>
      <tp t="s">
        <v>USD</v>
        <stp/>
        <stp>##V3_BDPV12</stp>
        <stp>912833RV Govt</stp>
        <stp>CRNCY</stp>
        <stp>[STRIPS.xlsx]Sheet1!R581C7</stp>
        <tr r="G581" s="1"/>
      </tp>
      <tp t="s">
        <v>USD</v>
        <stp/>
        <stp>##V3_BDPV12</stp>
        <stp>912834TT Govt</stp>
        <stp>CRNCY</stp>
        <stp>[STRIPS.xlsx]Sheet1!R283C7</stp>
        <tr r="G283" s="1"/>
      </tp>
      <tp t="s">
        <v>USD</v>
        <stp/>
        <stp>##V3_BDPV12</stp>
        <stp>912834PU Govt</stp>
        <stp>CRNCY</stp>
        <stp>[STRIPS.xlsx]Sheet1!R212C7</stp>
        <tr r="G212" s="1"/>
      </tp>
      <tp t="s">
        <v>USD</v>
        <stp/>
        <stp>##V3_BDPV12</stp>
        <stp>912833PS Govt</stp>
        <stp>CRNCY</stp>
        <stp>[STRIPS.xlsx]Sheet1!R574C7</stp>
        <tr r="G574" s="1"/>
      </tp>
      <tp t="s">
        <v>USD</v>
        <stp/>
        <stp>##V3_BDPV12</stp>
        <stp>912834JW Govt</stp>
        <stp>CRNCY</stp>
        <stp>[STRIPS.xlsx]Sheet1!R210C7</stp>
        <tr r="G210" s="1"/>
      </tp>
      <tp t="s">
        <v>USD</v>
        <stp/>
        <stp>##V3_BDPV12</stp>
        <stp>912833KQ Govt</stp>
        <stp>CRNCY</stp>
        <stp>[STRIPS.xlsx]Sheet1!R566C7</stp>
        <tr r="G566" s="1"/>
      </tp>
      <tp t="s">
        <v>USD</v>
        <stp/>
        <stp>##V3_BDPV12</stp>
        <stp>9128335R Govt</stp>
        <stp>CRNCY</stp>
        <stp>[STRIPS.xlsx]Sheet1!R555C7</stp>
        <tr r="G555" s="1"/>
      </tp>
      <tp t="s">
        <v>USD</v>
        <stp/>
        <stp>##V3_BDPV12</stp>
        <stp>912833QP Govt</stp>
        <stp>CRNCY</stp>
        <stp>[STRIPS.xlsx]Sheet1!R687C7</stp>
        <tr r="G687" s="1"/>
      </tp>
      <tp t="s">
        <v>USD</v>
        <stp/>
        <stp>##V3_BDPV12</stp>
        <stp>912833ZW Govt</stp>
        <stp>CRNCY</stp>
        <stp>[STRIPS.xlsx]Sheet1!R640C7</stp>
        <tr r="G640" s="1"/>
      </tp>
      <tp t="s">
        <v>USD</v>
        <stp/>
        <stp>##V3_BDPV12</stp>
        <stp>912834WQ Govt</stp>
        <stp>CRNCY</stp>
        <stp>[STRIPS.xlsx]Sheet1!R136C7</stp>
        <tr r="G136" s="1"/>
      </tp>
      <tp t="s">
        <v>USD</v>
        <stp/>
        <stp>##V3_BDPV12</stp>
        <stp>912834TP Govt</stp>
        <stp>CRNCY</stp>
        <stp>[STRIPS.xlsx]Sheet1!R117C7</stp>
        <tr r="G117" s="1"/>
      </tp>
      <tp t="s">
        <v>USD</v>
        <stp/>
        <stp>##V3_BDPV12</stp>
        <stp>912833BW Govt</stp>
        <stp>CRNCY</stp>
        <stp>[STRIPS.xlsx]Sheet1!R610C7</stp>
        <tr r="G610" s="1"/>
      </tp>
      <tp t="s">
        <v>USD</v>
        <stp/>
        <stp>##V3_BDPV12</stp>
        <stp>912834EV Govt</stp>
        <stp>CRNCY</stp>
        <stp>[STRIPS.xlsx]Sheet1!R101C7</stp>
        <tr r="G101" s="1"/>
      </tp>
      <tp t="s">
        <v>USD</v>
        <stp/>
        <stp>##V3_BDPV12</stp>
        <stp>912833JW Govt</stp>
        <stp>CRNCY</stp>
        <stp>[STRIPS.xlsx]Sheet1!R740C7</stp>
        <tr r="G740" s="1"/>
      </tp>
      <tp t="s">
        <v>USD</v>
        <stp/>
        <stp>##V3_BDPV12</stp>
        <stp>9128333R Govt</stp>
        <stp>CRNCY</stp>
        <stp>[STRIPS.xlsx]Sheet1!R705C7</stp>
        <tr r="G705" s="1"/>
      </tp>
      <tp t="s">
        <v>USD</v>
        <stp/>
        <stp>##V3_BDPV12</stp>
        <stp>9128335U Govt</stp>
        <stp>CRNCY</stp>
        <stp>[STRIPS.xlsx]Sheet1!R712C7</stp>
        <tr r="G712" s="1"/>
      </tp>
      <tp t="s">
        <v>#N/A Field Not Applicable</v>
        <stp/>
        <stp>##V3_BDPV12</stp>
        <stp>912834WF Govt</stp>
        <stp>FIRST_CPN_DT</stp>
        <stp>[STRIPS.xlsx]Sheet1!R770C9</stp>
        <tr r="I770" s="1"/>
      </tp>
      <tp t="s">
        <v>#N/A Field Not Applicable</v>
        <stp/>
        <stp>##V3_BDPV12</stp>
        <stp>912833LW Govt</stp>
        <stp>COUPON_FREQUENCY_DESCRIPTION</stp>
        <stp>[STRIPS.xlsx]Sheet1!R2C10</stp>
        <tr r="J2" s="1"/>
      </tp>
      <tp t="s">
        <v>#N/A Field Not Applicable</v>
        <stp/>
        <stp>##V3_BDPV12</stp>
        <stp>912833LZ Govt</stp>
        <stp>COUPON_FREQUENCY_DESCRIPTION</stp>
        <stp>[STRIPS.xlsx]Sheet1!R9C10</stp>
        <tr r="J9" s="1"/>
      </tp>
      <tp t="s">
        <v>#N/A Field Not Applicable</v>
        <stp/>
        <stp>##V3_BDPV12</stp>
        <stp>912833LF Govt</stp>
        <stp>COUPON_FREQUENCY_DESCRIPTION</stp>
        <stp>[STRIPS.xlsx]Sheet1!R7C10</stp>
        <tr r="J7" s="1"/>
      </tp>
      <tp t="s">
        <v>#N/A Field Not Applicable</v>
        <stp/>
        <stp>##V3_BDPV12</stp>
        <stp>912833PB Govt</stp>
        <stp>COUPON_FREQUENCY_DESCRIPTION</stp>
        <stp>[STRIPS.xlsx]Sheet1!R3C10</stp>
        <tr r="J3" s="1"/>
      </tp>
      <tp t="s">
        <v>#N/A Field Not Applicable</v>
        <stp/>
        <stp>##V3_BDPV12</stp>
        <stp>912833PA Govt</stp>
        <stp>COUPON_FREQUENCY_DESCRIPTION</stp>
        <stp>[STRIPS.xlsx]Sheet1!R4C10</stp>
        <tr r="J4" s="1"/>
      </tp>
      <tp t="s">
        <v>ZERO</v>
        <stp/>
        <stp>##V3_BDPV12</stp>
        <stp>9128335U Govt</stp>
        <stp>CPN_TYP</stp>
        <stp>[STRIPS.xlsx]Sheet1!R712C11</stp>
        <tr r="K712" s="1"/>
      </tp>
      <tp t="s">
        <v>ZERO</v>
        <stp/>
        <stp>##V3_BDPV12</stp>
        <stp>9128335V Govt</stp>
        <stp>CPN_TYP</stp>
        <stp>[STRIPS.xlsx]Sheet1!R724C11</stp>
        <tr r="K724" s="1"/>
      </tp>
      <tp t="s">
        <v>ZERO</v>
        <stp/>
        <stp>##V3_BDPV12</stp>
        <stp>9128335T Govt</stp>
        <stp>CPN_TYP</stp>
        <stp>[STRIPS.xlsx]Sheet1!R556C11</stp>
        <tr r="K556" s="1"/>
      </tp>
      <tp t="s">
        <v>ZERO</v>
        <stp/>
        <stp>##V3_BDPV12</stp>
        <stp>9128335W Govt</stp>
        <stp>CPN_TYP</stp>
        <stp>[STRIPS.xlsx]Sheet1!R725C11</stp>
        <tr r="K725" s="1"/>
      </tp>
      <tp t="s">
        <v>ZERO</v>
        <stp/>
        <stp>##V3_BDPV12</stp>
        <stp>9128335P Govt</stp>
        <stp>CPN_TYP</stp>
        <stp>[STRIPS.xlsx]Sheet1!R723C11</stp>
        <tr r="K723" s="1"/>
      </tp>
      <tp t="s">
        <v>ZERO</v>
        <stp/>
        <stp>##V3_BDPV12</stp>
        <stp>9128335R Govt</stp>
        <stp>CPN_TYP</stp>
        <stp>[STRIPS.xlsx]Sheet1!R555C11</stp>
        <tr r="K555" s="1"/>
      </tp>
      <tp t="s">
        <v>ZERO</v>
        <stp/>
        <stp>##V3_BDPV12</stp>
        <stp>9128335Q Govt</stp>
        <stp>CPN_TYP</stp>
        <stp>[STRIPS.xlsx]Sheet1!R711C11</stp>
        <tr r="K711" s="1"/>
      </tp>
      <tp t="s">
        <v>ZERO</v>
        <stp/>
        <stp>##V3_BDPV12</stp>
        <stp>9128335S Govt</stp>
        <stp>CPN_TYP</stp>
        <stp>[STRIPS.xlsx]Sheet1!R649C11</stp>
        <tr r="K649" s="1"/>
      </tp>
      <tp t="s">
        <v>ZERO</v>
        <stp/>
        <stp>##V3_BDPV12</stp>
        <stp>9128335X Govt</stp>
        <stp>CPN_TYP</stp>
        <stp>[STRIPS.xlsx]Sheet1!R747C11</stp>
        <tr r="K747" s="1"/>
      </tp>
      <tp t="s">
        <v>ZERO</v>
        <stp/>
        <stp>##V3_BDPV12</stp>
        <stp>9128335Y Govt</stp>
        <stp>CPN_TYP</stp>
        <stp>[STRIPS.xlsx]Sheet1!R726C11</stp>
        <tr r="K726" s="1"/>
      </tp>
      <tp t="s">
        <v>ZERO</v>
        <stp/>
        <stp>##V3_BDPV12</stp>
        <stp>9128335Z Govt</stp>
        <stp>CPN_TYP</stp>
        <stp>[STRIPS.xlsx]Sheet1!R650C11</stp>
        <tr r="K650" s="1"/>
      </tp>
      <tp t="s">
        <v>ZERO</v>
        <stp/>
        <stp>##V3_BDPV12</stp>
        <stp>9128335E Govt</stp>
        <stp>CPN_TYP</stp>
        <stp>[STRIPS.xlsx]Sheet1!R745C11</stp>
        <tr r="K745" s="1"/>
      </tp>
      <tp t="s">
        <v>ZERO</v>
        <stp/>
        <stp>##V3_BDPV12</stp>
        <stp>9128335F Govt</stp>
        <stp>CPN_TYP</stp>
        <stp>[STRIPS.xlsx]Sheet1!R721C11</stp>
        <tr r="K721" s="1"/>
      </tp>
      <tp t="s">
        <v>#N/A Field Not Applicable</v>
        <stp/>
        <stp>##V3_BDPV12</stp>
        <stp>9128334S Govt</stp>
        <stp>COUPON_FREQUENCY_DESCRIPTION</stp>
        <stp>[STRIPS.xlsx]Sheet1!R5C10</stp>
        <tr r="J5" s="1"/>
      </tp>
      <tp t="s">
        <v>ZERO</v>
        <stp/>
        <stp>##V3_BDPV12</stp>
        <stp>9128335D Govt</stp>
        <stp>CPN_TYP</stp>
        <stp>[STRIPS.xlsx]Sheet1!R285C11</stp>
        <tr r="K285" s="1"/>
      </tp>
      <tp t="s">
        <v>ZERO</v>
        <stp/>
        <stp>##V3_BDPV12</stp>
        <stp>9128335G Govt</stp>
        <stp>CPN_TYP</stp>
        <stp>[STRIPS.xlsx]Sheet1!R286C11</stp>
        <tr r="K286" s="1"/>
      </tp>
      <tp t="s">
        <v>ZERO</v>
        <stp/>
        <stp>##V3_BDPV12</stp>
        <stp>9128335C Govt</stp>
        <stp>CPN_TYP</stp>
        <stp>[STRIPS.xlsx]Sheet1!R720C11</stp>
        <tr r="K720" s="1"/>
      </tp>
      <tp t="s">
        <v>ZERO</v>
        <stp/>
        <stp>##V3_BDPV12</stp>
        <stp>9128335M Govt</stp>
        <stp>CPN_TYP</stp>
        <stp>[STRIPS.xlsx]Sheet1!R710C11</stp>
        <tr r="K710" s="1"/>
      </tp>
      <tp t="s">
        <v>ZERO</v>
        <stp/>
        <stp>##V3_BDPV12</stp>
        <stp>9128335N Govt</stp>
        <stp>CPN_TYP</stp>
        <stp>[STRIPS.xlsx]Sheet1!R746C11</stp>
        <tr r="K746" s="1"/>
      </tp>
      <tp t="s">
        <v>ZERO</v>
        <stp/>
        <stp>##V3_BDPV12</stp>
        <stp>9128335H Govt</stp>
        <stp>CPN_TYP</stp>
        <stp>[STRIPS.xlsx]Sheet1!R722C11</stp>
        <tr r="K722" s="1"/>
      </tp>
      <tp t="s">
        <v>ZERO</v>
        <stp/>
        <stp>##V3_BDPV12</stp>
        <stp>9128335K Govt</stp>
        <stp>CPN_TYP</stp>
        <stp>[STRIPS.xlsx]Sheet1!R493C11</stp>
        <tr r="K493" s="1"/>
      </tp>
      <tp t="s">
        <v>ZERO</v>
        <stp/>
        <stp>##V3_BDPV12</stp>
        <stp>9128335L Govt</stp>
        <stp>CPN_TYP</stp>
        <stp>[STRIPS.xlsx]Sheet1!R287C11</stp>
        <tr r="K287" s="1"/>
      </tp>
      <tp t="s">
        <v>ZERO</v>
        <stp/>
        <stp>##V3_BDPV12</stp>
        <stp>9128335J Govt</stp>
        <stp>CPN_TYP</stp>
        <stp>[STRIPS.xlsx]Sheet1!R492C11</stp>
        <tr r="K492" s="1"/>
      </tp>
      <tp t="s">
        <v>S 0 05/15/37</v>
        <stp/>
        <stp>##V3_BDPV12</stp>
        <stp>912833Y4 Govt</stp>
        <stp>SECURITY_NAME</stp>
        <stp>[STRIPS.xlsx]Sheet1!R60C16</stp>
        <tr r="P60" s="1"/>
      </tp>
      <tp t="s">
        <v>#N/A Field Not Applicable</v>
        <stp/>
        <stp>##V3_BDPV12</stp>
        <stp>912834PZ Govt</stp>
        <stp>FIRST_CPN_DT</stp>
        <stp>[STRIPS.xlsx]Sheet1!R126C9</stp>
        <tr r="I126" s="1"/>
      </tp>
      <tp t="s">
        <v>#N/A Field Not Applicable</v>
        <stp/>
        <stp>##V3_BDPV12</stp>
        <stp>912834RQ Govt</stp>
        <stp>FIRST_CPN_DT</stp>
        <stp>[STRIPS.xlsx]Sheet1!R204C9</stp>
        <tr r="I204" s="1"/>
      </tp>
      <tp t="s">
        <v>#N/A Field Not Applicable</v>
        <stp/>
        <stp>##V3_BDPV12</stp>
        <stp>912833QQ Govt</stp>
        <stp>FIRST_CPN_DT</stp>
        <stp>[STRIPS.xlsx]Sheet1!R377C9</stp>
        <tr r="I377" s="1"/>
      </tp>
      <tp t="s">
        <v>#N/A Field Not Applicable</v>
        <stp/>
        <stp>##V3_BDPV12</stp>
        <stp>912833RP Govt</stp>
        <stp>FIRST_CPN_DT</stp>
        <stp>[STRIPS.xlsx]Sheet1!R524C9</stp>
        <tr r="I524" s="1"/>
      </tp>
      <tp t="s">
        <v>#N/A Field Not Applicable</v>
        <stp/>
        <stp>##V3_BDPV12</stp>
        <stp>912833QP Govt</stp>
        <stp>FIRST_CPN_DT</stp>
        <stp>[STRIPS.xlsx]Sheet1!R687C9</stp>
        <tr r="I687" s="1"/>
      </tp>
      <tp t="s">
        <v>#N/A Field Not Applicable</v>
        <stp/>
        <stp>##V3_BDPV12</stp>
        <stp>912834PP Govt</stp>
        <stp>FIRST_CPN_DT</stp>
        <stp>[STRIPS.xlsx]Sheet1!R276C9</stp>
        <tr r="I276" s="1"/>
      </tp>
      <tp t="s">
        <v>#N/A Field Not Applicable</v>
        <stp/>
        <stp>##V3_BDPV12</stp>
        <stp>912834VS Govt</stp>
        <stp>FIRST_CPN_DT</stp>
        <stp>[STRIPS.xlsx]Sheet1!R170C9</stp>
        <tr r="I170" s="1"/>
      </tp>
      <tp t="s">
        <v>#N/A Field Not Applicable</v>
        <stp/>
        <stp>##V3_BDPV12</stp>
        <stp>912834TU Govt</stp>
        <stp>FIRST_CPN_DT</stp>
        <stp>[STRIPS.xlsx]Sheet1!R752C9</stp>
        <tr r="I752" s="1"/>
      </tp>
      <tp t="s">
        <v>#N/A Field Not Applicable</v>
        <stp/>
        <stp>##V3_BDPV12</stp>
        <stp>912834PT Govt</stp>
        <stp>FIRST_CPN_DT</stp>
        <stp>[STRIPS.xlsx]Sheet1!R106C9</stp>
        <tr r="I106" s="1"/>
      </tp>
      <tp t="s">
        <v>#N/A Field Not Applicable</v>
        <stp/>
        <stp>##V3_BDPV12</stp>
        <stp>912833QT Govt</stp>
        <stp>FIRST_CPN_DT</stp>
        <stp>[STRIPS.xlsx]Sheet1!R307C9</stp>
        <tr r="I307" s="1"/>
      </tp>
      <tp t="s">
        <v>UNITED STATES</v>
        <stp/>
        <stp>##V3_BDPV12</stp>
        <stp>9128335B Govt</stp>
        <stp>COUNTRY_FULL_NAME</stp>
        <stp>[STRIPS.xlsx]Sheet1!R43C8</stp>
        <tr r="H43" s="1"/>
      </tp>
      <tp t="s">
        <v>S</v>
        <stp/>
        <stp>##V3_BDPV12</stp>
        <stp>912834EZ Govt</stp>
        <stp>TICKER</stp>
        <stp>[STRIPS.xlsx]Sheet1!R394C2</stp>
        <tr r="B394" s="1"/>
      </tp>
      <tp t="s">
        <v>S</v>
        <stp/>
        <stp>##V3_BDPV12</stp>
        <stp>912834EX Govt</stp>
        <stp>TICKER</stp>
        <stp>[STRIPS.xlsx]Sheet1!R354C2</stp>
        <tr r="B354" s="1"/>
      </tp>
      <tp t="s">
        <v>S</v>
        <stp/>
        <stp>##V3_BDPV12</stp>
        <stp>912834DY Govt</stp>
        <stp>TICKER</stp>
        <stp>[STRIPS.xlsx]Sheet1!R264C2</stp>
        <tr r="B264" s="1"/>
      </tp>
      <tp t="s">
        <v>S</v>
        <stp/>
        <stp>##V3_BDPV12</stp>
        <stp>912834AC Govt</stp>
        <stp>TICKER</stp>
        <stp>[STRIPS.xlsx]Sheet1!R384C2</stp>
        <tr r="B384" s="1"/>
      </tp>
      <tp t="s">
        <v>S</v>
        <stp/>
        <stp>##V3_BDPV12</stp>
        <stp>912834EB Govt</stp>
        <stp>TICKER</stp>
        <stp>[STRIPS.xlsx]Sheet1!R644C2</stp>
        <tr r="B644" s="1"/>
      </tp>
      <tp t="s">
        <v>S</v>
        <stp/>
        <stp>##V3_BDPV12</stp>
        <stp>912834FC Govt</stp>
        <stp>TICKER</stp>
        <stp>[STRIPS.xlsx]Sheet1!R534C2</stp>
        <tr r="B534" s="1"/>
      </tp>
      <tp t="s">
        <v>S</v>
        <stp/>
        <stp>##V3_BDPV12</stp>
        <stp>912834EF Govt</stp>
        <stp>TICKER</stp>
        <stp>[STRIPS.xlsx]Sheet1!R594C2</stp>
        <tr r="B594" s="1"/>
      </tp>
      <tp t="s">
        <v>S</v>
        <stp/>
        <stp>##V3_BDPV12</stp>
        <stp>912834ES Govt</stp>
        <stp>TICKER</stp>
        <stp>[STRIPS.xlsx]Sheet1!R464C2</stp>
        <tr r="B464" s="1"/>
      </tp>
      <tp t="s">
        <v>S</v>
        <stp/>
        <stp>##V3_BDPV12</stp>
        <stp>912834MW Govt</stp>
        <stp>TICKER</stp>
        <stp>[STRIPS.xlsx]Sheet1!R234C2</stp>
        <tr r="B234" s="1"/>
      </tp>
      <tp t="s">
        <v>S</v>
        <stp/>
        <stp>##V3_BDPV12</stp>
        <stp>912834NT Govt</stp>
        <stp>TICKER</stp>
        <stp>[STRIPS.xlsx]Sheet1!R174C2</stp>
        <tr r="B174" s="1"/>
      </tp>
      <tp t="s">
        <v>S</v>
        <stp/>
        <stp>##V3_BDPV12</stp>
        <stp>912834LM Govt</stp>
        <stp>TICKER</stp>
        <stp>[STRIPS.xlsx]Sheet1!R324C2</stp>
        <tr r="B324" s="1"/>
      </tp>
      <tp t="s">
        <v>S</v>
        <stp/>
        <stp>##V3_BDPV12</stp>
        <stp>912834NU Govt</stp>
        <stp>TICKER</stp>
        <stp>[STRIPS.xlsx]Sheet1!R274C2</stp>
        <tr r="B274" s="1"/>
      </tp>
      <tp t="s">
        <v>S</v>
        <stp/>
        <stp>##V3_BDPV12</stp>
        <stp>912834NB Govt</stp>
        <stp>TICKER</stp>
        <stp>[STRIPS.xlsx]Sheet1!R544C2</stp>
        <tr r="B544" s="1"/>
      </tp>
      <tp t="s">
        <v>S</v>
        <stp/>
        <stp>##V3_BDPV12</stp>
        <stp>912834LP Govt</stp>
        <stp>TICKER</stp>
        <stp>[STRIPS.xlsx]Sheet1!R474C2</stp>
        <tr r="B474" s="1"/>
      </tp>
      <tp t="s">
        <v>S</v>
        <stp/>
        <stp>##V3_BDPV12</stp>
        <stp>912834LQ Govt</stp>
        <stp>TICKER</stp>
        <stp>[STRIPS.xlsx]Sheet1!R404C2</stp>
        <tr r="B404" s="1"/>
      </tp>
      <tp t="s">
        <v>S</v>
        <stp/>
        <stp>##V3_BDPV12</stp>
        <stp>912834JD Govt</stp>
        <stp>TICKER</stp>
        <stp>[STRIPS.xlsx]Sheet1!R314C2</stp>
        <tr r="B314" s="1"/>
      </tp>
      <tp t="s">
        <v>S</v>
        <stp/>
        <stp>##V3_BDPV12</stp>
        <stp>912834VR Govt</stp>
        <stp>TICKER</stp>
        <stp>[STRIPS.xlsx]Sheet1!R224C2</stp>
        <tr r="B224" s="1"/>
      </tp>
      <tp t="s">
        <v>S</v>
        <stp/>
        <stp>##V3_BDPV12</stp>
        <stp>912834UT Govt</stp>
        <stp>TICKER</stp>
        <stp>[STRIPS.xlsx]Sheet1!R184C2</stp>
        <tr r="B184" s="1"/>
      </tp>
      <tp t="s">
        <v>S</v>
        <stp/>
        <stp>##V3_BDPV12</stp>
        <stp>912834QT Govt</stp>
        <stp>TICKER</stp>
        <stp>[STRIPS.xlsx]Sheet1!R414C2</stp>
        <tr r="B414" s="1"/>
      </tp>
      <tp t="s">
        <v>S</v>
        <stp/>
        <stp>##V3_BDPV12</stp>
        <stp>912834UP Govt</stp>
        <stp>TICKER</stp>
        <stp>[STRIPS.xlsx]Sheet1!R754C2</stp>
        <tr r="B754" s="1"/>
      </tp>
      <tp t="s">
        <v>S</v>
        <stp/>
        <stp>##V3_BDPV12</stp>
        <stp>912834RN Govt</stp>
        <stp>TICKER</stp>
        <stp>[STRIPS.xlsx]Sheet1!R194C2</stp>
        <tr r="B194" s="1"/>
      </tp>
      <tp t="s">
        <v>S</v>
        <stp/>
        <stp>##V3_BDPV12</stp>
        <stp>912834RK Govt</stp>
        <stp>TICKER</stp>
        <stp>[STRIPS.xlsx]Sheet1!R124C2</stp>
        <tr r="B124" s="1"/>
      </tp>
      <tp t="s">
        <v>S</v>
        <stp/>
        <stp>##V3_BDPV12</stp>
        <stp>912834QV Govt</stp>
        <stp>TICKER</stp>
        <stp>[STRIPS.xlsx]Sheet1!R104C2</stp>
        <tr r="B104" s="1"/>
      </tp>
      <tp t="s">
        <v>S</v>
        <stp/>
        <stp>##V3_BDPV12</stp>
        <stp>912834RQ Govt</stp>
        <stp>TICKER</stp>
        <stp>[STRIPS.xlsx]Sheet1!R204C2</stp>
        <tr r="B204" s="1"/>
      </tp>
      <tp t="s">
        <v>S</v>
        <stp/>
        <stp>##V3_BDPV12</stp>
        <stp>912834QY Govt</stp>
        <stp>TICKER</stp>
        <stp>[STRIPS.xlsx]Sheet1!R134C2</stp>
        <tr r="B134" s="1"/>
      </tp>
      <tp t="s">
        <v>S</v>
        <stp/>
        <stp>##V3_BDPV12</stp>
        <stp>912834TB Govt</stp>
        <stp>TICKER</stp>
        <stp>[STRIPS.xlsx]Sheet1!R424C2</stp>
        <tr r="B424" s="1"/>
      </tp>
      <tp t="s">
        <v>S</v>
        <stp/>
        <stp>##V3_BDPV12</stp>
        <stp>912834PW Govt</stp>
        <stp>TICKER</stp>
        <stp>[STRIPS.xlsx]Sheet1!R154C2</stp>
        <tr r="B154" s="1"/>
      </tp>
      <tp t="s">
        <v>S</v>
        <stp/>
        <stp>##V3_BDPV12</stp>
        <stp>912834VJ Govt</stp>
        <stp>TICKER</stp>
        <stp>[STRIPS.xlsx]Sheet1!R774C2</stp>
        <tr r="B774" s="1"/>
      </tp>
      <tp t="s">
        <v>S</v>
        <stp/>
        <stp>##V3_BDPV12</stp>
        <stp>912834PJ Govt</stp>
        <stp>TICKER</stp>
        <stp>[STRIPS.xlsx]Sheet1!R144C2</stp>
        <tr r="B144" s="1"/>
      </tp>
      <tp t="s">
        <v>S</v>
        <stp/>
        <stp>##V3_BDPV12</stp>
        <stp>912834PN Govt</stp>
        <stp>TICKER</stp>
        <stp>[STRIPS.xlsx]Sheet1!R164C2</stp>
        <tr r="B164" s="1"/>
      </tp>
      <tp t="s">
        <v>S</v>
        <stp/>
        <stp>##V3_BDPV12</stp>
        <stp>912834XD Govt</stp>
        <stp>TICKER</stp>
        <stp>[STRIPS.xlsx]Sheet1!R764C2</stp>
        <tr r="B764" s="1"/>
      </tp>
      <tp t="s">
        <v>S</v>
        <stp/>
        <stp>##V3_BDPV12</stp>
        <stp>912834XC Govt</stp>
        <stp>TICKER</stp>
        <stp>[STRIPS.xlsx]Sheet1!R214C2</stp>
        <tr r="B214" s="1"/>
      </tp>
      <tp t="s">
        <v>#N/A Field Not Applicable</v>
        <stp/>
        <stp>##V3_BDPV12</stp>
        <stp>912833RH Govt</stp>
        <stp>FIRST_CPN_DT</stp>
        <stp>[STRIPS.xlsx]Sheet1!R634C9</stp>
        <tr r="I634" s="1"/>
      </tp>
      <tp t="s">
        <v>#N/A Field Not Applicable</v>
        <stp/>
        <stp>##V3_BDPV12</stp>
        <stp>912833PH Govt</stp>
        <stp>FIRST_CPN_DT</stp>
        <stp>[STRIPS.xlsx]Sheet1!R336C9</stp>
        <tr r="I336" s="1"/>
      </tp>
      <tp t="s">
        <v>#N/A Field Not Applicable</v>
        <stp/>
        <stp>##V3_BDPV12</stp>
        <stp>912834RK Govt</stp>
        <stp>FIRST_CPN_DT</stp>
        <stp>[STRIPS.xlsx]Sheet1!R124C9</stp>
        <tr r="I124" s="1"/>
      </tp>
      <tp t="s">
        <v>#N/A Field Not Applicable</v>
        <stp/>
        <stp>##V3_BDPV12</stp>
        <stp>912834TM Govt</stp>
        <stp>FIRST_CPN_DT</stp>
        <stp>[STRIPS.xlsx]Sheet1!R282C9</stp>
        <tr r="I282" s="1"/>
      </tp>
      <tp t="s">
        <v>#N/A Field Not Applicable</v>
        <stp/>
        <stp>##V3_BDPV12</stp>
        <stp>912833QN Govt</stp>
        <stp>FIRST_CPN_DT</stp>
        <stp>[STRIPS.xlsx]Sheet1!R577C9</stp>
        <tr r="I577" s="1"/>
      </tp>
      <tp t="s">
        <v>#N/A Field Not Applicable</v>
        <stp/>
        <stp>##V3_BDPV12</stp>
        <stp>912834RN Govt</stp>
        <stp>FIRST_CPN_DT</stp>
        <stp>[STRIPS.xlsx]Sheet1!R194C9</stp>
        <tr r="I194" s="1"/>
      </tp>
      <tp t="s">
        <v>#N/A Field Not Applicable</v>
        <stp/>
        <stp>##V3_BDPV12</stp>
        <stp>912834WN Govt</stp>
        <stp>FIRST_CPN_DT</stp>
        <stp>[STRIPS.xlsx]Sheet1!R191C9</stp>
        <tr r="I191" s="1"/>
      </tp>
      <tp t="s">
        <v>S</v>
        <stp/>
        <stp>##V3_BDPV12</stp>
        <stp>9128337R Govt</stp>
        <stp>TICKER</stp>
        <stp>[STRIPS.xlsx]Sheet1!R114C2</stp>
        <tr r="B114" s="1"/>
      </tp>
      <tp t="s">
        <v>S</v>
        <stp/>
        <stp>##V3_BDPV12</stp>
        <stp>9128334L Govt</stp>
        <stp>TICKER</stp>
        <stp>[STRIPS.xlsx]Sheet1!R284C2</stp>
        <tr r="B284" s="1"/>
      </tp>
      <tp t="s">
        <v>S</v>
        <stp/>
        <stp>##V3_BDPV12</stp>
        <stp>9128333V Govt</stp>
        <stp>TICKER</stp>
        <stp>[STRIPS.xlsx]Sheet1!R484C2</stp>
        <tr r="B484" s="1"/>
      </tp>
      <tp t="s">
        <v>S</v>
        <stp/>
        <stp>##V3_BDPV12</stp>
        <stp>9128333P Govt</stp>
        <stp>TICKER</stp>
        <stp>[STRIPS.xlsx]Sheet1!R704C2</stp>
        <tr r="B704" s="1"/>
      </tp>
      <tp t="s">
        <v>S</v>
        <stp/>
        <stp>##V3_BDPV12</stp>
        <stp>9128335V Govt</stp>
        <stp>TICKER</stp>
        <stp>[STRIPS.xlsx]Sheet1!R724C2</stp>
        <tr r="B724" s="1"/>
      </tp>
      <tp t="s">
        <v>S</v>
        <stp/>
        <stp>##V3_BDPV12</stp>
        <stp>9128334F Govt</stp>
        <stp>TICKER</stp>
        <stp>[STRIPS.xlsx]Sheet1!R604C2</stp>
        <tr r="B604" s="1"/>
      </tp>
      <tp t="s">
        <v>S</v>
        <stp/>
        <stp>##V3_BDPV12</stp>
        <stp>9128336G Govt</stp>
        <stp>TICKER</stp>
        <stp>[STRIPS.xlsx]Sheet1!R494C2</stp>
        <tr r="B494" s="1"/>
      </tp>
      <tp t="s">
        <v>S</v>
        <stp/>
        <stp>##V3_BDPV12</stp>
        <stp>9128334N Govt</stp>
        <stp>TICKER</stp>
        <stp>[STRIPS.xlsx]Sheet1!R744C2</stp>
        <tr r="B744" s="1"/>
      </tp>
      <tp t="s">
        <v>S</v>
        <stp/>
        <stp>##V3_BDPV12</stp>
        <stp>9128336T Govt</stp>
        <stp>TICKER</stp>
        <stp>[STRIPS.xlsx]Sheet1!R714C2</stp>
        <tr r="B714" s="1"/>
      </tp>
      <tp t="s">
        <v>S</v>
        <stp/>
        <stp>##V3_BDPV12</stp>
        <stp>9128334R Govt</stp>
        <stp>TICKER</stp>
        <stp>[STRIPS.xlsx]Sheet1!R554C2</stp>
        <tr r="B554" s="1"/>
      </tp>
      <tp t="s">
        <v>S</v>
        <stp/>
        <stp>##V3_BDPV12</stp>
        <stp>912833CP Govt</stp>
        <stp>TICKER</stp>
        <stp>[STRIPS.xlsx]Sheet1!R564C2</stp>
        <tr r="B564" s="1"/>
      </tp>
      <tp t="s">
        <v>S</v>
        <stp/>
        <stp>##V3_BDPV12</stp>
        <stp>912833B9 Govt</stp>
        <stp>TICKER</stp>
        <stp>[STRIPS.xlsx]Sheet1!R434C2</stp>
        <tr r="B434" s="1"/>
      </tp>
      <tp t="s">
        <v>S</v>
        <stp/>
        <stp>##V3_BDPV12</stp>
        <stp>912833CN Govt</stp>
        <stp>TICKER</stp>
        <stp>[STRIPS.xlsx]Sheet1!R734C2</stp>
        <tr r="B734" s="1"/>
      </tp>
      <tp t="s">
        <v>S</v>
        <stp/>
        <stp>##V3_BDPV12</stp>
        <stp>912833B4 Govt</stp>
        <stp>TICKER</stp>
        <stp>[STRIPS.xlsx]Sheet1!R654C2</stp>
        <tr r="B654" s="1"/>
      </tp>
      <tp t="s">
        <v>S</v>
        <stp/>
        <stp>##V3_BDPV12</stp>
        <stp>912833FR Govt</stp>
        <stp>TICKER</stp>
        <stp>[STRIPS.xlsx]Sheet1!R364C2</stp>
        <tr r="B364" s="1"/>
      </tp>
      <tp t="s">
        <v>S</v>
        <stp/>
        <stp>##V3_BDPV12</stp>
        <stp>912833CB Govt</stp>
        <stp>TICKER</stp>
        <stp>[STRIPS.xlsx]Sheet1!R614C2</stp>
        <tr r="B614" s="1"/>
      </tp>
      <tp t="s">
        <v>S</v>
        <stp/>
        <stp>##V3_BDPV12</stp>
        <stp>912833FP Govt</stp>
        <stp>TICKER</stp>
        <stp>[STRIPS.xlsx]Sheet1!R664C2</stp>
        <tr r="B664" s="1"/>
      </tp>
      <tp t="s">
        <v>S</v>
        <stp/>
        <stp>##V3_BDPV12</stp>
        <stp>912833DC Govt</stp>
        <stp>TICKER</stp>
        <stp>[STRIPS.xlsx]Sheet1!R504C2</stp>
        <tr r="B504" s="1"/>
      </tp>
      <tp t="s">
        <v>S</v>
        <stp/>
        <stp>##V3_BDPV12</stp>
        <stp>912833C7 Govt</stp>
        <stp>TICKER</stp>
        <stp>[STRIPS.xlsx]Sheet1!R294C2</stp>
        <tr r="B294" s="1"/>
      </tp>
      <tp t="s">
        <v>S</v>
        <stp/>
        <stp>##V3_BDPV12</stp>
        <stp>912833MD Govt</stp>
        <stp>TICKER</stp>
        <stp>[STRIPS.xlsx]Sheet1!R304C2</stp>
        <tr r="B304" s="1"/>
      </tp>
      <tp t="s">
        <v>S</v>
        <stp/>
        <stp>##V3_BDPV12</stp>
        <stp>912833KU Govt</stp>
        <stp>TICKER</stp>
        <stp>[STRIPS.xlsx]Sheet1!R444C2</stp>
        <tr r="B444" s="1"/>
      </tp>
      <tp t="s">
        <v>S</v>
        <stp/>
        <stp>##V3_BDPV12</stp>
        <stp>912833NJ Govt</stp>
        <stp>TICKER</stp>
        <stp>[STRIPS.xlsx]Sheet1!R334C2</stp>
        <tr r="B334" s="1"/>
      </tp>
      <tp t="s">
        <v>S</v>
        <stp/>
        <stp>##V3_BDPV12</stp>
        <stp>912833MT Govt</stp>
        <stp>TICKER</stp>
        <stp>[STRIPS.xlsx]Sheet1!R674C2</stp>
        <tr r="B674" s="1"/>
      </tp>
      <tp t="s">
        <v>S</v>
        <stp/>
        <stp>##V3_BDPV12</stp>
        <stp>912833MN Govt</stp>
        <stp>TICKER</stp>
        <stp>[STRIPS.xlsx]Sheet1!R624C2</stp>
        <tr r="B624" s="1"/>
      </tp>
      <tp t="s">
        <v>S</v>
        <stp/>
        <stp>##V3_BDPV12</stp>
        <stp>912833MG Govt</stp>
        <stp>TICKER</stp>
        <stp>[STRIPS.xlsx]Sheet1!R514C2</stp>
        <tr r="B514" s="1"/>
      </tp>
      <tp t="s">
        <v>S</v>
        <stp/>
        <stp>##V3_BDPV12</stp>
        <stp>912833RP Govt</stp>
        <stp>TICKER</stp>
        <stp>[STRIPS.xlsx]Sheet1!R524C2</stp>
        <tr r="B524" s="1"/>
      </tp>
      <tp t="s">
        <v>S</v>
        <stp/>
        <stp>##V3_BDPV12</stp>
        <stp>912833QF Govt</stp>
        <stp>TICKER</stp>
        <stp>[STRIPS.xlsx]Sheet1!R684C2</stp>
        <tr r="B684" s="1"/>
      </tp>
      <tp t="s">
        <v>S</v>
        <stp/>
        <stp>##V3_BDPV12</stp>
        <stp>912833RH Govt</stp>
        <stp>TICKER</stp>
        <stp>[STRIPS.xlsx]Sheet1!R634C2</stp>
        <tr r="B634" s="1"/>
      </tp>
      <tp t="s">
        <v>S</v>
        <stp/>
        <stp>##V3_BDPV12</stp>
        <stp>912833PS Govt</stp>
        <stp>TICKER</stp>
        <stp>[STRIPS.xlsx]Sheet1!R574C2</stp>
        <tr r="B574" s="1"/>
      </tp>
      <tp t="s">
        <v>S</v>
        <stp/>
        <stp>##V3_BDPV12</stp>
        <stp>912833PL Govt</stp>
        <stp>TICKER</stp>
        <stp>[STRIPS.xlsx]Sheet1!R374C2</stp>
        <tr r="B374" s="1"/>
      </tp>
      <tp t="s">
        <v>S</v>
        <stp/>
        <stp>##V3_BDPV12</stp>
        <stp>912833RG Govt</stp>
        <stp>TICKER</stp>
        <stp>[STRIPS.xlsx]Sheet1!R244C2</stp>
        <tr r="B244" s="1"/>
      </tp>
      <tp t="s">
        <v>S</v>
        <stp/>
        <stp>##V3_BDPV12</stp>
        <stp>912833ZB Govt</stp>
        <stp>TICKER</stp>
        <stp>[STRIPS.xlsx]Sheet1!R454C2</stp>
        <tr r="B454" s="1"/>
      </tp>
      <tp t="s">
        <v>S</v>
        <stp/>
        <stp>##V3_BDPV12</stp>
        <stp>912833YA Govt</stp>
        <stp>TICKER</stp>
        <stp>[STRIPS.xlsx]Sheet1!R694C2</stp>
        <tr r="B694" s="1"/>
      </tp>
      <tp t="s">
        <v>S</v>
        <stp/>
        <stp>##V3_BDPV12</stp>
        <stp>912833YK Govt</stp>
        <stp>TICKER</stp>
        <stp>[STRIPS.xlsx]Sheet1!R584C2</stp>
        <tr r="B584" s="1"/>
      </tp>
      <tp t="s">
        <v>S</v>
        <stp/>
        <stp>##V3_BDPV12</stp>
        <stp>912833YQ Govt</stp>
        <stp>TICKER</stp>
        <stp>[STRIPS.xlsx]Sheet1!R344C2</stp>
        <tr r="B344" s="1"/>
      </tp>
      <tp t="s">
        <v>S</v>
        <stp/>
        <stp>##V3_BDPV12</stp>
        <stp>912833ZV Govt</stp>
        <stp>TICKER</stp>
        <stp>[STRIPS.xlsx]Sheet1!R254C2</stp>
        <tr r="B254" s="1"/>
      </tp>
      <tp t="s">
        <v>#N/A Field Not Applicable</v>
        <stp/>
        <stp>##V3_BDPV12</stp>
        <stp>912834WB Govt</stp>
        <stp>FIRST_CPN_DT</stp>
        <stp>[STRIPS.xlsx]Sheet1!R771C9</stp>
        <tr r="I771" s="1"/>
      </tp>
      <tp t="s">
        <v>#N/A Field Not Applicable</v>
        <stp/>
        <stp>##V3_BDPV12</stp>
        <stp>912834UB Govt</stp>
        <stp>FIRST_CPN_DT</stp>
        <stp>[STRIPS.xlsx]Sheet1!R113C9</stp>
        <tr r="I113" s="1"/>
      </tp>
      <tp t="s">
        <v>USD</v>
        <stp/>
        <stp>##V3_BDPV12</stp>
        <stp>912834AW Govt</stp>
        <stp>CRNCY</stp>
        <stp>[STRIPS.xlsx]Sheet1!R641C7</stp>
        <tr r="G641" s="1"/>
      </tp>
      <tp t="s">
        <v>USD</v>
        <stp/>
        <stp>##V3_BDPV12</stp>
        <stp>9128337R Govt</stp>
        <stp>CRNCY</stp>
        <stp>[STRIPS.xlsx]Sheet1!R114C7</stp>
        <tr r="G114" s="1"/>
      </tp>
      <tp t="s">
        <v>USD</v>
        <stp/>
        <stp>##V3_BDPV12</stp>
        <stp>9128337V Govt</stp>
        <stp>CRNCY</stp>
        <stp>[STRIPS.xlsx]Sheet1!R100C7</stp>
        <tr r="G100" s="1"/>
      </tp>
      <tp t="s">
        <v>USD</v>
        <stp/>
        <stp>##V3_BDPV12</stp>
        <stp>912833YV Govt</stp>
        <stp>CRNCY</stp>
        <stp>[STRIPS.xlsx]Sheet1!R250C7</stp>
        <tr r="G250" s="1"/>
      </tp>
      <tp t="s">
        <v>USD</v>
        <stp/>
        <stp>##V3_BDPV12</stp>
        <stp>912834RP Govt</stp>
        <stp>CRNCY</stp>
        <stp>[STRIPS.xlsx]Sheet1!R416C7</stp>
        <tr r="G416" s="1"/>
      </tp>
      <tp t="s">
        <v>USD</v>
        <stp/>
        <stp>##V3_BDPV12</stp>
        <stp>912833QQ Govt</stp>
        <stp>CRNCY</stp>
        <stp>[STRIPS.xlsx]Sheet1!R377C7</stp>
        <tr r="G377" s="1"/>
      </tp>
      <tp t="s">
        <v>USD</v>
        <stp/>
        <stp>##V3_BDPV12</stp>
        <stp>912833FR Govt</stp>
        <stp>CRNCY</stp>
        <stp>[STRIPS.xlsx]Sheet1!R364C7</stp>
        <tr r="G364" s="1"/>
      </tp>
      <tp t="s">
        <v>USD</v>
        <stp/>
        <stp>##V3_BDPV12</stp>
        <stp>912833ZS Govt</stp>
        <stp>CRNCY</stp>
        <stp>[STRIPS.xlsx]Sheet1!R455C7</stp>
        <tr r="G455" s="1"/>
      </tp>
      <tp t="s">
        <v>USD</v>
        <stp/>
        <stp>##V3_BDPV12</stp>
        <stp>912834JS Govt</stp>
        <stp>CRNCY</stp>
        <stp>[STRIPS.xlsx]Sheet1!R315C7</stp>
        <tr r="G315" s="1"/>
      </tp>
      <tp t="s">
        <v>USD</v>
        <stp/>
        <stp>##V3_BDPV12</stp>
        <stp>912834AP Govt</stp>
        <stp>CRNCY</stp>
        <stp>[STRIPS.xlsx]Sheet1!R386C7</stp>
        <tr r="G386" s="1"/>
      </tp>
      <tp t="s">
        <v>USD</v>
        <stp/>
        <stp>##V3_BDPV12</stp>
        <stp>912833RS Govt</stp>
        <stp>CRNCY</stp>
        <stp>[STRIPS.xlsx]Sheet1!R525C7</stp>
        <tr r="G525" s="1"/>
      </tp>
      <tp t="s">
        <v>USD</v>
        <stp/>
        <stp>##V3_BDPV12</stp>
        <stp>912833YS Govt</stp>
        <stp>CRNCY</stp>
        <stp>[STRIPS.xlsx]Sheet1!R585C7</stp>
        <tr r="G585" s="1"/>
      </tp>
      <tp t="s">
        <v>USD</v>
        <stp/>
        <stp>##V3_BDPV12</stp>
        <stp>912834PP Govt</stp>
        <stp>CRNCY</stp>
        <stp>[STRIPS.xlsx]Sheet1!R276C7</stp>
        <tr r="G276" s="1"/>
      </tp>
      <tp t="s">
        <v>USD</v>
        <stp/>
        <stp>##V3_BDPV12</stp>
        <stp>912834VR Govt</stp>
        <stp>CRNCY</stp>
        <stp>[STRIPS.xlsx]Sheet1!R224C7</stp>
        <tr r="G224" s="1"/>
      </tp>
      <tp t="s">
        <v>USD</v>
        <stp/>
        <stp>##V3_BDPV12</stp>
        <stp>912833FV Govt</stp>
        <stp>CRNCY</stp>
        <stp>[STRIPS.xlsx]Sheet1!R510C7</stp>
        <tr r="G510" s="1"/>
      </tp>
      <tp t="s">
        <v>USD</v>
        <stp/>
        <stp>##V3_BDPV12</stp>
        <stp>9128334R Govt</stp>
        <stp>CRNCY</stp>
        <stp>[STRIPS.xlsx]Sheet1!R554C7</stp>
        <tr r="G554" s="1"/>
      </tp>
      <tp t="s">
        <v>USD</v>
        <stp/>
        <stp>##V3_BDPV12</stp>
        <stp>912833PU Govt</stp>
        <stp>CRNCY</stp>
        <stp>[STRIPS.xlsx]Sheet1!R683C7</stp>
        <tr r="G683" s="1"/>
      </tp>
      <tp t="s">
        <v>USD</v>
        <stp/>
        <stp>##V3_BDPV12</stp>
        <stp>912834QS Govt</stp>
        <stp>CRNCY</stp>
        <stp>[STRIPS.xlsx]Sheet1!R135C7</stp>
        <tr r="G135" s="1"/>
      </tp>
      <tp t="s">
        <v>USD</v>
        <stp/>
        <stp>##V3_BDPV12</stp>
        <stp>912834QW Govt</stp>
        <stp>CRNCY</stp>
        <stp>[STRIPS.xlsx]Sheet1!R171C7</stp>
        <tr r="G171" s="1"/>
      </tp>
      <tp t="s">
        <v>USD</v>
        <stp/>
        <stp>##V3_BDPV12</stp>
        <stp>912834VW Govt</stp>
        <stp>CRNCY</stp>
        <stp>[STRIPS.xlsx]Sheet1!R131C7</stp>
        <tr r="G131" s="1"/>
      </tp>
      <tp t="s">
        <v>USD</v>
        <stp/>
        <stp>##V3_BDPV12</stp>
        <stp>912833NQ Govt</stp>
        <stp>CRNCY</stp>
        <stp>[STRIPS.xlsx]Sheet1!R677C7</stp>
        <tr r="G677" s="1"/>
      </tp>
      <tp t="s">
        <v>USD</v>
        <stp/>
        <stp>##V3_BDPV12</stp>
        <stp>912833MS Govt</stp>
        <stp>CRNCY</stp>
        <stp>[STRIPS.xlsx]Sheet1!R625C7</stp>
        <tr r="G625" s="1"/>
      </tp>
      <tp t="s">
        <v>#N/A Field Not Applicable</v>
        <stp/>
        <stp>##V3_BDPV12</stp>
        <stp>912834VG Govt</stp>
        <stp>FIRST_CPN_DT</stp>
        <stp>[STRIPS.xlsx]Sheet1!R160C9</stp>
        <tr r="I160" s="1"/>
      </tp>
      <tp t="s">
        <v>#N/A Field Not Applicable</v>
        <stp/>
        <stp>##V3_BDPV12</stp>
        <stp>912833RG Govt</stp>
        <stp>FIRST_CPN_DT</stp>
        <stp>[STRIPS.xlsx]Sheet1!R244C9</stp>
        <tr r="I244" s="1"/>
      </tp>
      <tp t="s">
        <v>#N/A Field Not Applicable</v>
        <stp/>
        <stp>##V3_BDPV12</stp>
        <stp>912834QF Govt</stp>
        <stp>FIRST_CPN_DT</stp>
        <stp>[STRIPS.xlsx]Sheet1!R277C9</stp>
        <tr r="I277" s="1"/>
      </tp>
      <tp t="s">
        <v>ZERO</v>
        <stp/>
        <stp>##V3_BDPV12</stp>
        <stp>9128334R Govt</stp>
        <stp>CPN_TYP</stp>
        <stp>[STRIPS.xlsx]Sheet1!R554C11</stp>
        <tr r="K554" s="1"/>
      </tp>
      <tp t="s">
        <v>ZERO</v>
        <stp/>
        <stp>##V3_BDPV12</stp>
        <stp>9128334U Govt</stp>
        <stp>CPN_TYP</stp>
        <stp>[STRIPS.xlsx]Sheet1!R102C11</stp>
        <tr r="K102" s="1"/>
      </tp>
      <tp t="s">
        <v>ZERO</v>
        <stp/>
        <stp>##V3_BDPV12</stp>
        <stp>9128334X Govt</stp>
        <stp>CPN_TYP</stp>
        <stp>[STRIPS.xlsx]Sheet1!R107C11</stp>
        <tr r="K107" s="1"/>
      </tp>
      <tp t="s">
        <v>ZERO</v>
        <stp/>
        <stp>##V3_BDPV12</stp>
        <stp>9128334E Govt</stp>
        <stp>CPN_TYP</stp>
        <stp>[STRIPS.xlsx]Sheet1!R708C11</stp>
        <tr r="K708" s="1"/>
      </tp>
      <tp t="s">
        <v>ZERO</v>
        <stp/>
        <stp>##V3_BDPV12</stp>
        <stp>9128334G Govt</stp>
        <stp>CPN_TYP</stp>
        <stp>[STRIPS.xlsx]Sheet1!R709C11</stp>
        <tr r="K709" s="1"/>
      </tp>
      <tp t="s">
        <v>ZERO</v>
        <stp/>
        <stp>##V3_BDPV12</stp>
        <stp>9128334F Govt</stp>
        <stp>CPN_TYP</stp>
        <stp>[STRIPS.xlsx]Sheet1!R604C11</stp>
        <tr r="K604" s="1"/>
      </tp>
      <tp t="s">
        <v>ZERO</v>
        <stp/>
        <stp>##V3_BDPV12</stp>
        <stp>9128334D Govt</stp>
        <stp>CPN_TYP</stp>
        <stp>[STRIPS.xlsx]Sheet1!R488C11</stp>
        <tr r="K488" s="1"/>
      </tp>
      <tp t="s">
        <v>ZERO</v>
        <stp/>
        <stp>##V3_BDPV12</stp>
        <stp>9128334A Govt</stp>
        <stp>CPN_TYP</stp>
        <stp>[STRIPS.xlsx]Sheet1!R487C11</stp>
        <tr r="K487" s="1"/>
      </tp>
      <tp t="s">
        <v>ZERO</v>
        <stp/>
        <stp>##V3_BDPV12</stp>
        <stp>9128334B Govt</stp>
        <stp>CPN_TYP</stp>
        <stp>[STRIPS.xlsx]Sheet1!R603C11</stp>
        <tr r="K603" s="1"/>
      </tp>
      <tp t="s">
        <v>ZERO</v>
        <stp/>
        <stp>##V3_BDPV12</stp>
        <stp>9128334C Govt</stp>
        <stp>CPN_TYP</stp>
        <stp>[STRIPS.xlsx]Sheet1!R707C11</stp>
        <tr r="K707" s="1"/>
      </tp>
      <tp t="s">
        <v>ZERO</v>
        <stp/>
        <stp>##V3_BDPV12</stp>
        <stp>9128334N Govt</stp>
        <stp>CPN_TYP</stp>
        <stp>[STRIPS.xlsx]Sheet1!R744C11</stp>
        <tr r="K744" s="1"/>
      </tp>
      <tp t="s">
        <v>ZERO</v>
        <stp/>
        <stp>##V3_BDPV12</stp>
        <stp>9128334M Govt</stp>
        <stp>CPN_TYP</stp>
        <stp>[STRIPS.xlsx]Sheet1!R491C11</stp>
        <tr r="K491" s="1"/>
      </tp>
      <tp t="s">
        <v>ZERO</v>
        <stp/>
        <stp>##V3_BDPV12</stp>
        <stp>9128334K Govt</stp>
        <stp>CPN_TYP</stp>
        <stp>[STRIPS.xlsx]Sheet1!R490C11</stp>
        <tr r="K490" s="1"/>
      </tp>
      <tp t="s">
        <v>ZERO</v>
        <stp/>
        <stp>##V3_BDPV12</stp>
        <stp>9128334L Govt</stp>
        <stp>CPN_TYP</stp>
        <stp>[STRIPS.xlsx]Sheet1!R284C11</stp>
        <tr r="K284" s="1"/>
      </tp>
      <tp t="s">
        <v>ZERO</v>
        <stp/>
        <stp>##V3_BDPV12</stp>
        <stp>9128334J Govt</stp>
        <stp>CPN_TYP</stp>
        <stp>[STRIPS.xlsx]Sheet1!R605C11</stp>
        <tr r="K605" s="1"/>
      </tp>
      <tp t="s">
        <v>ZERO</v>
        <stp/>
        <stp>##V3_BDPV12</stp>
        <stp>9128334H Govt</stp>
        <stp>CPN_TYP</stp>
        <stp>[STRIPS.xlsx]Sheet1!R489C11</stp>
        <tr r="K489" s="1"/>
      </tp>
      <tp t="s">
        <v>S 0 08/15/37</v>
        <stp/>
        <stp>##V3_BDPV12</stp>
        <stp>912833Z5 Govt</stp>
        <stp>SECURITY_NAME</stp>
        <stp>[STRIPS.xlsx]Sheet1!R74C16</stp>
        <tr r="P74" s="1"/>
      </tp>
      <tp t="s">
        <v>#N/A Field Not Applicable</v>
        <stp/>
        <stp>##V3_BDPV12</stp>
        <stp>912834QY Govt</stp>
        <stp>FIRST_CPN_DT</stp>
        <stp>[STRIPS.xlsx]Sheet1!R134C9</stp>
        <tr r="I134" s="1"/>
      </tp>
      <tp t="s">
        <v>#N/A Field Not Applicable</v>
        <stp/>
        <stp>##V3_BDPV12</stp>
        <stp>912833PR Govt</stp>
        <stp>FIRST_CPN_DT</stp>
        <stp>[STRIPS.xlsx]Sheet1!R375C9</stp>
        <tr r="I375" s="1"/>
      </tp>
      <tp t="s">
        <v>#N/A Field Not Applicable</v>
        <stp/>
        <stp>##V3_BDPV12</stp>
        <stp>912834QT Govt</stp>
        <stp>FIRST_CPN_DT</stp>
        <stp>[STRIPS.xlsx]Sheet1!R414C9</stp>
        <tr r="I414" s="1"/>
      </tp>
      <tp t="s">
        <v>#N/A Field Not Applicable</v>
        <stp/>
        <stp>##V3_BDPV12</stp>
        <stp>912833PT Govt</stp>
        <stp>FIRST_CPN_DT</stp>
        <stp>[STRIPS.xlsx]Sheet1!R575C9</stp>
        <tr r="I575" s="1"/>
      </tp>
      <tp t="s">
        <v>#N/A Field Not Applicable</v>
        <stp/>
        <stp>##V3_BDPV12</stp>
        <stp>912834VT Govt</stp>
        <stp>FIRST_CPN_DT</stp>
        <stp>[STRIPS.xlsx]Sheet1!R773C9</stp>
        <tr r="I773" s="1"/>
      </tp>
      <tp t="s">
        <v>#N/A Field Not Applicable</v>
        <stp/>
        <stp>##V3_BDPV12</stp>
        <stp>912834QV Govt</stp>
        <stp>FIRST_CPN_DT</stp>
        <stp>[STRIPS.xlsx]Sheet1!R104C9</stp>
        <tr r="I104" s="1"/>
      </tp>
      <tp t="s">
        <v>S</v>
        <stp/>
        <stp>##V3_BDPV12</stp>
        <stp>912834DV Govt</stp>
        <stp>TICKER</stp>
        <stp>[STRIPS.xlsx]Sheet1!R127C2</stp>
        <tr r="B127" s="1"/>
      </tp>
      <tp t="s">
        <v>S</v>
        <stp/>
        <stp>##V3_BDPV12</stp>
        <stp>912834AM Govt</stp>
        <stp>TICKER</stp>
        <stp>[STRIPS.xlsx]Sheet1!R457C2</stp>
        <tr r="B457" s="1"/>
      </tp>
      <tp t="s">
        <v>S</v>
        <stp/>
        <stp>##V3_BDPV12</stp>
        <stp>912834AV Govt</stp>
        <stp>TICKER</stp>
        <stp>[STRIPS.xlsx]Sheet1!R387C2</stp>
        <tr r="B387" s="1"/>
      </tp>
      <tp t="s">
        <v>S</v>
        <stp/>
        <stp>##V3_BDPV12</stp>
        <stp>912834AK Govt</stp>
        <stp>TICKER</stp>
        <stp>[STRIPS.xlsx]Sheet1!R257C2</stp>
        <tr r="B257" s="1"/>
      </tp>
      <tp t="s">
        <v>S</v>
        <stp/>
        <stp>##V3_BDPV12</stp>
        <stp>912834JT Govt</stp>
        <stp>TICKER</stp>
        <stp>[STRIPS.xlsx]Sheet1!R467C2</stp>
        <tr r="B467" s="1"/>
      </tp>
      <tp t="s">
        <v>S</v>
        <stp/>
        <stp>##V3_BDPV12</stp>
        <stp>912834MX Govt</stp>
        <stp>TICKER</stp>
        <stp>[STRIPS.xlsx]Sheet1!R327C2</stp>
        <tr r="B327" s="1"/>
      </tp>
      <tp t="s">
        <v>S</v>
        <stp/>
        <stp>##V3_BDPV12</stp>
        <stp>912834JA Govt</stp>
        <stp>TICKER</stp>
        <stp>[STRIPS.xlsx]Sheet1!R537C2</stp>
        <tr r="B537" s="1"/>
      </tp>
      <tp t="s">
        <v>S</v>
        <stp/>
        <stp>##V3_BDPV12</stp>
        <stp>912834JF Govt</stp>
        <stp>TICKER</stp>
        <stp>[STRIPS.xlsx]Sheet1!R647C2</stp>
        <tr r="B647" s="1"/>
      </tp>
      <tp t="s">
        <v>S</v>
        <stp/>
        <stp>##V3_BDPV12</stp>
        <stp>912834NC Govt</stp>
        <stp>TICKER</stp>
        <stp>[STRIPS.xlsx]Sheet1!R407C2</stp>
        <tr r="B407" s="1"/>
      </tp>
      <tp t="s">
        <v>S</v>
        <stp/>
        <stp>##V3_BDPV12</stp>
        <stp>912834NK Govt</stp>
        <stp>TICKER</stp>
        <stp>[STRIPS.xlsx]Sheet1!R477C2</stp>
        <tr r="B477" s="1"/>
      </tp>
      <tp t="s">
        <v>S</v>
        <stp/>
        <stp>##V3_BDPV12</stp>
        <stp>912834NS Govt</stp>
        <stp>TICKER</stp>
        <stp>[STRIPS.xlsx]Sheet1!R547C2</stp>
        <tr r="B547" s="1"/>
      </tp>
      <tp t="s">
        <v>S</v>
        <stp/>
        <stp>##V3_BDPV12</stp>
        <stp>912834JC Govt</stp>
        <stp>TICKER</stp>
        <stp>[STRIPS.xlsx]Sheet1!R227C2</stp>
        <tr r="B227" s="1"/>
      </tp>
      <tp t="s">
        <v>S</v>
        <stp/>
        <stp>##V3_BDPV12</stp>
        <stp>912834KK Govt</stp>
        <stp>TICKER</stp>
        <stp>[STRIPS.xlsx]Sheet1!R317C2</stp>
        <tr r="B317" s="1"/>
      </tp>
      <tp t="s">
        <v>S</v>
        <stp/>
        <stp>##V3_BDPV12</stp>
        <stp>912834JM Govt</stp>
        <stp>TICKER</stp>
        <stp>[STRIPS.xlsx]Sheet1!R397C2</stp>
        <tr r="B397" s="1"/>
      </tp>
      <tp t="s">
        <v>S</v>
        <stp/>
        <stp>##V3_BDPV12</stp>
        <stp>912834KJ Govt</stp>
        <stp>TICKER</stp>
        <stp>[STRIPS.xlsx]Sheet1!R267C2</stp>
        <tr r="B267" s="1"/>
      </tp>
      <tp t="s">
        <v>S</v>
        <stp/>
        <stp>##V3_BDPV12</stp>
        <stp>912834MN Govt</stp>
        <stp>TICKER</stp>
        <stp>[STRIPS.xlsx]Sheet1!R417C2</stp>
        <tr r="B417" s="1"/>
      </tp>
      <tp t="s">
        <v>S</v>
        <stp/>
        <stp>##V3_BDPV12</stp>
        <stp>912834JN Govt</stp>
        <stp>TICKER</stp>
        <stp>[STRIPS.xlsx]Sheet1!R357C2</stp>
        <tr r="B357" s="1"/>
      </tp>
      <tp t="s">
        <v>S</v>
        <stp/>
        <stp>##V3_BDPV12</stp>
        <stp>912834UE Govt</stp>
        <stp>TICKER</stp>
        <stp>[STRIPS.xlsx]Sheet1!R207C2</stp>
        <tr r="B207" s="1"/>
      </tp>
      <tp t="s">
        <v>S</v>
        <stp/>
        <stp>##V3_BDPV12</stp>
        <stp>912834UG Govt</stp>
        <stp>TICKER</stp>
        <stp>[STRIPS.xlsx]Sheet1!R137C2</stp>
        <tr r="B137" s="1"/>
      </tp>
      <tp t="s">
        <v>S</v>
        <stp/>
        <stp>##V3_BDPV12</stp>
        <stp>912834UF Govt</stp>
        <stp>TICKER</stp>
        <stp>[STRIPS.xlsx]Sheet1!R147C2</stp>
        <tr r="B147" s="1"/>
      </tp>
      <tp t="s">
        <v>S</v>
        <stp/>
        <stp>##V3_BDPV12</stp>
        <stp>912834UD Govt</stp>
        <stp>TICKER</stp>
        <stp>[STRIPS.xlsx]Sheet1!R197C2</stp>
        <tr r="B197" s="1"/>
      </tp>
      <tp t="s">
        <v>S</v>
        <stp/>
        <stp>##V3_BDPV12</stp>
        <stp>912834TP Govt</stp>
        <stp>TICKER</stp>
        <stp>[STRIPS.xlsx]Sheet1!R117C2</stp>
        <tr r="B117" s="1"/>
      </tp>
      <tp t="s">
        <v>S</v>
        <stp/>
        <stp>##V3_BDPV12</stp>
        <stp>912834QF Govt</stp>
        <stp>TICKER</stp>
        <stp>[STRIPS.xlsx]Sheet1!R277C2</stp>
        <tr r="B277" s="1"/>
      </tp>
      <tp t="s">
        <v>S</v>
        <stp/>
        <stp>##V3_BDPV12</stp>
        <stp>912834TJ Govt</stp>
        <stp>TICKER</stp>
        <stp>[STRIPS.xlsx]Sheet1!R757C2</stp>
        <tr r="B757" s="1"/>
      </tp>
      <tp t="s">
        <v>S</v>
        <stp/>
        <stp>##V3_BDPV12</stp>
        <stp>912834RG Govt</stp>
        <stp>TICKER</stp>
        <stp>[STRIPS.xlsx]Sheet1!R217C2</stp>
        <tr r="B217" s="1"/>
      </tp>
      <tp t="s">
        <v>S</v>
        <stp/>
        <stp>##V3_BDPV12</stp>
        <stp>912834VX Govt</stp>
        <stp>TICKER</stp>
        <stp>[STRIPS.xlsx]Sheet1!R767C2</stp>
        <tr r="B767" s="1"/>
      </tp>
      <tp t="s">
        <v>S</v>
        <stp/>
        <stp>##V3_BDPV12</stp>
        <stp>912834XF Govt</stp>
        <stp>TICKER</stp>
        <stp>[STRIPS.xlsx]Sheet1!R187C2</stp>
        <tr r="B187" s="1"/>
      </tp>
      <tp t="s">
        <v>#N/A Field Not Applicable</v>
        <stp/>
        <stp>##V3_BDPV12</stp>
        <stp>912834UM Govt</stp>
        <stp>FIRST_CPN_DT</stp>
        <stp>[STRIPS.xlsx]Sheet1!R180C9</stp>
        <tr r="I180" s="1"/>
      </tp>
      <tp t="s">
        <v>S</v>
        <stp/>
        <stp>##V3_BDPV12</stp>
        <stp>9128335L Govt</stp>
        <stp>TICKER</stp>
        <stp>[STRIPS.xlsx]Sheet1!R287C2</stp>
        <tr r="B287" s="1"/>
      </tp>
      <tp t="s">
        <v>S</v>
        <stp/>
        <stp>##V3_BDPV12</stp>
        <stp>9128332E Govt</stp>
        <stp>TICKER</stp>
        <stp>[STRIPS.xlsx]Sheet1!R597C2</stp>
        <tr r="B597" s="1"/>
      </tp>
      <tp t="s">
        <v>S</v>
        <stp/>
        <stp>##V3_BDPV12</stp>
        <stp>9128333J Govt</stp>
        <stp>TICKER</stp>
        <stp>[STRIPS.xlsx]Sheet1!R427C2</stp>
        <tr r="B427" s="1"/>
      </tp>
      <tp t="s">
        <v>S</v>
        <stp/>
        <stp>##V3_BDPV12</stp>
        <stp>9128334X Govt</stp>
        <stp>TICKER</stp>
        <stp>[STRIPS.xlsx]Sheet1!R107C2</stp>
        <tr r="B107" s="1"/>
      </tp>
      <tp t="s">
        <v>S</v>
        <stp/>
        <stp>##V3_BDPV12</stp>
        <stp>9128332B Govt</stp>
        <stp>TICKER</stp>
        <stp>[STRIPS.xlsx]Sheet1!R717C2</stp>
        <tr r="B717" s="1"/>
      </tp>
      <tp t="s">
        <v>S</v>
        <stp/>
        <stp>##V3_BDPV12</stp>
        <stp>9128335X Govt</stp>
        <stp>TICKER</stp>
        <stp>[STRIPS.xlsx]Sheet1!R747C2</stp>
        <tr r="B747" s="1"/>
      </tp>
      <tp t="s">
        <v>S</v>
        <stp/>
        <stp>##V3_BDPV12</stp>
        <stp>9128336N Govt</stp>
        <stp>TICKER</stp>
        <stp>[STRIPS.xlsx]Sheet1!R497C2</stp>
        <tr r="B497" s="1"/>
      </tp>
      <tp t="s">
        <v>S</v>
        <stp/>
        <stp>##V3_BDPV12</stp>
        <stp>9128334C Govt</stp>
        <stp>TICKER</stp>
        <stp>[STRIPS.xlsx]Sheet1!R707C2</stp>
        <tr r="B707" s="1"/>
      </tp>
      <tp t="s">
        <v>S</v>
        <stp/>
        <stp>##V3_BDPV12</stp>
        <stp>9128336L Govt</stp>
        <stp>TICKER</stp>
        <stp>[STRIPS.xlsx]Sheet1!R557C2</stp>
        <tr r="B557" s="1"/>
      </tp>
      <tp t="s">
        <v>S</v>
        <stp/>
        <stp>##V3_BDPV12</stp>
        <stp>9128336W Govt</stp>
        <stp>TICKER</stp>
        <stp>[STRIPS.xlsx]Sheet1!R607C2</stp>
        <tr r="B607" s="1"/>
      </tp>
      <tp t="s">
        <v>S</v>
        <stp/>
        <stp>##V3_BDPV12</stp>
        <stp>9128334A Govt</stp>
        <stp>TICKER</stp>
        <stp>[STRIPS.xlsx]Sheet1!R487C2</stp>
        <tr r="B487" s="1"/>
      </tp>
      <tp t="s">
        <v>S</v>
        <stp/>
        <stp>##V3_BDPV12</stp>
        <stp>9128336B Govt</stp>
        <stp>TICKER</stp>
        <stp>[STRIPS.xlsx]Sheet1!R727C2</stp>
        <tr r="B727" s="1"/>
      </tp>
      <tp t="s">
        <v>S</v>
        <stp/>
        <stp>##V3_BDPV12</stp>
        <stp>912833CE Govt</stp>
        <stp>TICKER</stp>
        <stp>[STRIPS.xlsx]Sheet1!R437C2</stp>
        <tr r="B437" s="1"/>
      </tp>
      <tp t="s">
        <v>S</v>
        <stp/>
        <stp>##V3_BDPV12</stp>
        <stp>912833CT Govt</stp>
        <stp>TICKER</stp>
        <stp>[STRIPS.xlsx]Sheet1!R657C2</stp>
        <tr r="B657" s="1"/>
      </tp>
      <tp t="s">
        <v>S</v>
        <stp/>
        <stp>##V3_BDPV12</stp>
        <stp>912833CR Govt</stp>
        <stp>TICKER</stp>
        <stp>[STRIPS.xlsx]Sheet1!R617C2</stp>
        <tr r="B617" s="1"/>
      </tp>
      <tp t="s">
        <v>S</v>
        <stp/>
        <stp>##V3_BDPV12</stp>
        <stp>912833DA Govt</stp>
        <stp>TICKER</stp>
        <stp>[STRIPS.xlsx]Sheet1!R167C2</stp>
        <tr r="B167" s="1"/>
      </tp>
      <tp t="s">
        <v>S</v>
        <stp/>
        <stp>##V3_BDPV12</stp>
        <stp>912833FH Govt</stp>
        <stp>TICKER</stp>
        <stp>[STRIPS.xlsx]Sheet1!R507C2</stp>
        <tr r="B507" s="1"/>
      </tp>
      <tp t="s">
        <v>S</v>
        <stp/>
        <stp>##V3_BDPV12</stp>
        <stp>912833GF Govt</stp>
        <stp>TICKER</stp>
        <stp>[STRIPS.xlsx]Sheet1!R667C2</stp>
        <tr r="B667" s="1"/>
      </tp>
      <tp t="s">
        <v>S</v>
        <stp/>
        <stp>##V3_BDPV12</stp>
        <stp>912833CJ Govt</stp>
        <stp>TICKER</stp>
        <stp>[STRIPS.xlsx]Sheet1!R297C2</stp>
        <tr r="B297" s="1"/>
      </tp>
      <tp t="s">
        <v>S</v>
        <stp/>
        <stp>##V3_BDPV12</stp>
        <stp>912833FJ Govt</stp>
        <stp>TICKER</stp>
        <stp>[STRIPS.xlsx]Sheet1!R737C2</stp>
        <tr r="B737" s="1"/>
      </tp>
      <tp t="s">
        <v>S</v>
        <stp/>
        <stp>##V3_BDPV12</stp>
        <stp>912833NH Govt</stp>
        <stp>TICKER</stp>
        <stp>[STRIPS.xlsx]Sheet1!R237C2</stp>
        <tr r="B237" s="1"/>
      </tp>
      <tp t="s">
        <v>S</v>
        <stp/>
        <stp>##V3_BDPV12</stp>
        <stp>912833KW Govt</stp>
        <stp>TICKER</stp>
        <stp>[STRIPS.xlsx]Sheet1!R177C2</stp>
        <tr r="B177" s="1"/>
      </tp>
      <tp t="s">
        <v>S</v>
        <stp/>
        <stp>##V3_BDPV12</stp>
        <stp>912833KX Govt</stp>
        <stp>TICKER</stp>
        <stp>[STRIPS.xlsx]Sheet1!R157C2</stp>
        <tr r="B157" s="1"/>
      </tp>
      <tp t="s">
        <v>S</v>
        <stp/>
        <stp>##V3_BDPV12</stp>
        <stp>912833NF Govt</stp>
        <stp>TICKER</stp>
        <stp>[STRIPS.xlsx]Sheet1!R447C2</stp>
        <tr r="B447" s="1"/>
      </tp>
      <tp t="s">
        <v>S</v>
        <stp/>
        <stp>##V3_BDPV12</stp>
        <stp>912833MX Govt</stp>
        <stp>TICKER</stp>
        <stp>[STRIPS.xlsx]Sheet1!R627C2</stp>
        <tr r="B627" s="1"/>
      </tp>
      <tp t="s">
        <v>S</v>
        <stp/>
        <stp>##V3_BDPV12</stp>
        <stp>912833NM Govt</stp>
        <stp>TICKER</stp>
        <stp>[STRIPS.xlsx]Sheet1!R517C2</stp>
        <tr r="B517" s="1"/>
      </tp>
      <tp t="s">
        <v>S</v>
        <stp/>
        <stp>##V3_BDPV12</stp>
        <stp>912833NQ Govt</stp>
        <stp>TICKER</stp>
        <stp>[STRIPS.xlsx]Sheet1!R677C2</stp>
        <tr r="B677" s="1"/>
      </tp>
      <tp t="s">
        <v>S</v>
        <stp/>
        <stp>##V3_BDPV12</stp>
        <stp>912833KB Govt</stp>
        <stp>TICKER</stp>
        <stp>[STRIPS.xlsx]Sheet1!R367C2</stp>
        <tr r="B367" s="1"/>
      </tp>
      <tp t="s">
        <v>S</v>
        <stp/>
        <stp>##V3_BDPV12</stp>
        <stp>912833ME Govt</stp>
        <stp>TICKER</stp>
        <stp>[STRIPS.xlsx]Sheet1!R567C2</stp>
        <tr r="B567" s="1"/>
      </tp>
      <tp t="s">
        <v>S</v>
        <stp/>
        <stp>##V3_BDPV12</stp>
        <stp>912833QP Govt</stp>
        <stp>TICKER</stp>
        <stp>[STRIPS.xlsx]Sheet1!R687C2</stp>
        <tr r="B687" s="1"/>
      </tp>
      <tp t="s">
        <v>S</v>
        <stp/>
        <stp>##V3_BDPV12</stp>
        <stp>912833QN Govt</stp>
        <stp>TICKER</stp>
        <stp>[STRIPS.xlsx]Sheet1!R577C2</stp>
        <tr r="B577" s="1"/>
      </tp>
      <tp t="s">
        <v>S</v>
        <stp/>
        <stp>##V3_BDPV12</stp>
        <stp>912833QT Govt</stp>
        <stp>TICKER</stp>
        <stp>[STRIPS.xlsx]Sheet1!R307C2</stp>
        <tr r="B307" s="1"/>
      </tp>
      <tp t="s">
        <v>S</v>
        <stp/>
        <stp>##V3_BDPV12</stp>
        <stp>912833QQ Govt</stp>
        <stp>TICKER</stp>
        <stp>[STRIPS.xlsx]Sheet1!R377C2</stp>
        <tr r="B377" s="1"/>
      </tp>
      <tp t="s">
        <v>S</v>
        <stp/>
        <stp>##V3_BDPV12</stp>
        <stp>912833PP Govt</stp>
        <stp>TICKER</stp>
        <stp>[STRIPS.xlsx]Sheet1!R337C2</stp>
        <tr r="B337" s="1"/>
      </tp>
      <tp t="s">
        <v>S</v>
        <stp/>
        <stp>##V3_BDPV12</stp>
        <stp>912833ZF Govt</stp>
        <stp>TICKER</stp>
        <stp>[STRIPS.xlsx]Sheet1!R587C2</stp>
        <tr r="B587" s="1"/>
      </tp>
      <tp t="s">
        <v>S</v>
        <stp/>
        <stp>##V3_BDPV12</stp>
        <stp>912833ZJ Govt</stp>
        <stp>TICKER</stp>
        <stp>[STRIPS.xlsx]Sheet1!R527C2</stp>
        <tr r="B527" s="1"/>
      </tp>
      <tp t="s">
        <v>S</v>
        <stp/>
        <stp>##V3_BDPV12</stp>
        <stp>912833ZD Govt</stp>
        <stp>TICKER</stp>
        <stp>[STRIPS.xlsx]Sheet1!R637C2</stp>
        <tr r="B637" s="1"/>
      </tp>
      <tp t="s">
        <v>S</v>
        <stp/>
        <stp>##V3_BDPV12</stp>
        <stp>912833Z8 Govt</stp>
        <stp>TICKER</stp>
        <stp>[STRIPS.xlsx]Sheet1!R697C2</stp>
        <tr r="B697" s="1"/>
      </tp>
      <tp t="s">
        <v>S</v>
        <stp/>
        <stp>##V3_BDPV12</stp>
        <stp>912833Y6 Govt</stp>
        <stp>TICKER</stp>
        <stp>[STRIPS.xlsx]Sheet1!R247C2</stp>
        <tr r="B247" s="1"/>
      </tp>
      <tp t="s">
        <v>S</v>
        <stp/>
        <stp>##V3_BDPV12</stp>
        <stp>912833ZT Govt</stp>
        <stp>TICKER</stp>
        <stp>[STRIPS.xlsx]Sheet1!R347C2</stp>
        <tr r="B347" s="1"/>
      </tp>
      <tp t="s">
        <v>#N/A Field Not Applicable</v>
        <stp/>
        <stp>##V3_BDPV12</stp>
        <stp>912834UA Govt</stp>
        <stp>FIRST_CPN_DT</stp>
        <stp>[STRIPS.xlsx]Sheet1!R200C9</stp>
        <tr r="I200" s="1"/>
      </tp>
      <tp t="s">
        <v>UNITED STATES</v>
        <stp/>
        <stp>##V3_BDPV12</stp>
        <stp>9128334W Govt</stp>
        <stp>COUNTRY_FULL_NAME</stp>
        <stp>[STRIPS.xlsx]Sheet1!R61C8</stp>
        <tr r="H61" s="1"/>
      </tp>
      <tp t="s">
        <v>#N/A Field Not Applicable</v>
        <stp/>
        <stp>##V3_BDPV12</stp>
        <stp>912834VC Govt</stp>
        <stp>FIRST_CPN_DT</stp>
        <stp>[STRIPS.xlsx]Sheet1!R763C9</stp>
        <tr r="I763" s="1"/>
      </tp>
      <tp t="s">
        <v>#N/A Field Not Applicable</v>
        <stp/>
        <stp>##V3_BDPV12</stp>
        <stp>912834TD Govt</stp>
        <stp>FIRST_CPN_DT</stp>
        <stp>[STRIPS.xlsx]Sheet1!R281C9</stp>
        <tr r="I281" s="1"/>
      </tp>
      <tp t="s">
        <v>USD</v>
        <stp/>
        <stp>##V3_BDPV12</stp>
        <stp>912833KS Govt</stp>
        <stp>CRNCY</stp>
        <stp>[STRIPS.xlsx]Sheet1!R176C7</stp>
        <tr r="G176" s="1"/>
      </tp>
      <tp t="s">
        <v>USD</v>
        <stp/>
        <stp>##V3_BDPV12</stp>
        <stp>912833KT Govt</stp>
        <stp>CRNCY</stp>
        <stp>[STRIPS.xlsx]Sheet1!R161C7</stp>
        <tr r="G161" s="1"/>
      </tp>
      <tp t="s">
        <v>USD</v>
        <stp/>
        <stp>##V3_BDPV12</stp>
        <stp>9128337T Govt</stp>
        <stp>CRNCY</stp>
        <stp>[STRIPS.xlsx]Sheet1!R121C7</stp>
        <tr r="G121" s="1"/>
      </tp>
      <tp t="s">
        <v>USD</v>
        <stp/>
        <stp>##V3_BDPV12</stp>
        <stp>912834MV Govt</stp>
        <stp>CRNCY</stp>
        <stp>[STRIPS.xlsx]Sheet1!R543C7</stp>
        <tr r="G543" s="1"/>
      </tp>
      <tp t="s">
        <v>USD</v>
        <stp/>
        <stp>##V3_BDPV12</stp>
        <stp>912833MP Govt</stp>
        <stp>CRNCY</stp>
        <stp>[STRIPS.xlsx]Sheet1!R235C7</stp>
        <tr r="G235" s="1"/>
      </tp>
      <tp t="s">
        <v>USD</v>
        <stp/>
        <stp>##V3_BDPV12</stp>
        <stp>912833YQ Govt</stp>
        <stp>CRNCY</stp>
        <stp>[STRIPS.xlsx]Sheet1!R344C7</stp>
        <tr r="G344" s="1"/>
      </tp>
      <tp t="s">
        <v>USD</v>
        <stp/>
        <stp>##V3_BDPV12</stp>
        <stp>912834LQ Govt</stp>
        <stp>CRNCY</stp>
        <stp>[STRIPS.xlsx]Sheet1!R404C7</stp>
        <tr r="G404" s="1"/>
      </tp>
      <tp t="s">
        <v>USD</v>
        <stp/>
        <stp>##V3_BDPV12</stp>
        <stp>912834MS Govt</stp>
        <stp>CRNCY</stp>
        <stp>[STRIPS.xlsx]Sheet1!R406C7</stp>
        <tr r="G406" s="1"/>
      </tp>
      <tp t="s">
        <v>USD</v>
        <stp/>
        <stp>##V3_BDPV12</stp>
        <stp>912834HS Govt</stp>
        <stp>CRNCY</stp>
        <stp>[STRIPS.xlsx]Sheet1!R396C7</stp>
        <tr r="G396" s="1"/>
      </tp>
      <tp t="s">
        <v>USD</v>
        <stp/>
        <stp>##V3_BDPV12</stp>
        <stp>912834EW Govt</stp>
        <stp>CRNCY</stp>
        <stp>[STRIPS.xlsx]Sheet1!R312C7</stp>
        <tr r="G312" s="1"/>
      </tp>
      <tp t="s">
        <v>USD</v>
        <stp/>
        <stp>##V3_BDPV12</stp>
        <stp>912834RQ Govt</stp>
        <stp>CRNCY</stp>
        <stp>[STRIPS.xlsx]Sheet1!R204C7</stp>
        <tr r="G204" s="1"/>
      </tp>
      <tp t="s">
        <v>USD</v>
        <stp/>
        <stp>##V3_BDPV12</stp>
        <stp>912834TS Govt</stp>
        <stp>CRNCY</stp>
        <stp>[STRIPS.xlsx]Sheet1!R196C7</stp>
        <tr r="G196" s="1"/>
      </tp>
      <tp t="s">
        <v>USD</v>
        <stp/>
        <stp>##V3_BDPV12</stp>
        <stp>912833CR Govt</stp>
        <stp>CRNCY</stp>
        <stp>[STRIPS.xlsx]Sheet1!R617C7</stp>
        <tr r="G617" s="1"/>
      </tp>
      <tp t="s">
        <v>USD</v>
        <stp/>
        <stp>##V3_BDPV12</stp>
        <stp>912833FT Govt</stp>
        <stp>CRNCY</stp>
        <stp>[STRIPS.xlsx]Sheet1!R621C7</stp>
        <tr r="G621" s="1"/>
      </tp>
      <tp t="s">
        <v>#N/A Field Not Applicable</v>
        <stp/>
        <stp>##V3_BDPV12</stp>
        <stp>912834WG Govt</stp>
        <stp>FIRST_CPN_DT</stp>
        <stp>[STRIPS.xlsx]Sheet1!R772C9</stp>
        <tr r="I772" s="1"/>
      </tp>
      <tp t="s">
        <v>#N/A Field Not Applicable</v>
        <stp/>
        <stp>##V3_BDPV12</stp>
        <stp>912834RG Govt</stp>
        <stp>FIRST_CPN_DT</stp>
        <stp>[STRIPS.xlsx]Sheet1!R217C9</stp>
        <tr r="I217" s="1"/>
      </tp>
      <tp t="s">
        <v>#N/A Field Not Applicable</v>
        <stp/>
        <stp>##V3_BDPV12</stp>
        <stp>912833QF Govt</stp>
        <stp>FIRST_CPN_DT</stp>
        <stp>[STRIPS.xlsx]Sheet1!R684C9</stp>
        <tr r="I684" s="1"/>
      </tp>
      <tp t="s">
        <v>#N/A Field Not Applicable</v>
        <stp/>
        <stp>##V3_BDPV12</stp>
        <stp>912833PB Govt</stp>
        <stp>FIRST_CPN_DT</stp>
        <stp>[STRIPS.xlsx]Sheet1!R3C9</stp>
        <tr r="I3" s="1"/>
      </tp>
      <tp>
        <v>0</v>
        <stp/>
        <stp>##V3_BDPV12</stp>
        <stp>912833PA Govt</stp>
        <stp>CPN</stp>
        <stp>[STRIPS.xlsx]Sheet1!R4C3</stp>
        <tr r="C4" s="1"/>
      </tp>
      <tp t="s">
        <v>ZERO</v>
        <stp/>
        <stp>##V3_BDPV12</stp>
        <stp>9128337R Govt</stp>
        <stp>CPN_TYP</stp>
        <stp>[STRIPS.xlsx]Sheet1!R114C11</stp>
        <tr r="K114" s="1"/>
      </tp>
      <tp t="s">
        <v>ZERO</v>
        <stp/>
        <stp>##V3_BDPV12</stp>
        <stp>9128337V Govt</stp>
        <stp>CPN_TYP</stp>
        <stp>[STRIPS.xlsx]Sheet1!R100C11</stp>
        <tr r="K100" s="1"/>
      </tp>
      <tp t="s">
        <v>ZERO</v>
        <stp/>
        <stp>##V3_BDPV12</stp>
        <stp>9128337T Govt</stp>
        <stp>CPN_TYP</stp>
        <stp>[STRIPS.xlsx]Sheet1!R121C11</stp>
        <tr r="K121" s="1"/>
      </tp>
      <tp t="s">
        <v>912833A91</v>
        <stp/>
        <stp>##V3_BDPV12</stp>
        <stp>912833A9 Govt</stp>
        <stp>ID_CUSIP</stp>
        <stp>[STRIPS.xlsx]Sheet1!R609C19</stp>
        <tr r="S609" s="1"/>
      </tp>
      <tp t="s">
        <v>912833C99</v>
        <stp/>
        <stp>##V3_BDPV12</stp>
        <stp>912833C9 Govt</stp>
        <stp>ID_CUSIP</stp>
        <stp>[STRIPS.xlsx]Sheet1!R613C19</stp>
        <tr r="S613" s="1"/>
      </tp>
      <tp t="s">
        <v>912833Z94</v>
        <stp/>
        <stp>##V3_BDPV12</stp>
        <stp>912833Z9 Govt</stp>
        <stp>ID_CUSIP</stp>
        <stp>[STRIPS.xlsx]Sheet1!R526C19</stp>
        <tr r="S526" s="1"/>
      </tp>
      <tp t="s">
        <v>912833Y95</v>
        <stp/>
        <stp>##V3_BDPV12</stp>
        <stp>912833Y9 Govt</stp>
        <stp>ID_CUSIP</stp>
        <stp>[STRIPS.xlsx]Sheet1!R450C19</stp>
        <tr r="S450" s="1"/>
      </tp>
      <tp t="s">
        <v>912833B90</v>
        <stp/>
        <stp>##V3_BDPV12</stp>
        <stp>912833B9 Govt</stp>
        <stp>ID_CUSIP</stp>
        <stp>[STRIPS.xlsx]Sheet1!R434C19</stp>
        <tr r="S434" s="1"/>
      </tp>
      <tp t="s">
        <v>ZERO</v>
        <stp/>
        <stp>##V3_BDPV12</stp>
        <stp>9128337G Govt</stp>
        <stp>CPN_TYP</stp>
        <stp>[STRIPS.xlsx]Sheet1!R716C11</stp>
        <tr r="K716" s="1"/>
      </tp>
      <tp t="s">
        <v>ZERO</v>
        <stp/>
        <stp>##V3_BDPV12</stp>
        <stp>9128337D Govt</stp>
        <stp>CPN_TYP</stp>
        <stp>[STRIPS.xlsx]Sheet1!R291C11</stp>
        <tr r="K291" s="1"/>
      </tp>
      <tp t="s">
        <v>ZERO</v>
        <stp/>
        <stp>##V3_BDPV12</stp>
        <stp>9128337A Govt</stp>
        <stp>CPN_TYP</stp>
        <stp>[STRIPS.xlsx]Sheet1!R499C11</stp>
        <tr r="K499" s="1"/>
      </tp>
      <tp t="s">
        <v>ZERO</v>
        <stp/>
        <stp>##V3_BDPV12</stp>
        <stp>9128337L Govt</stp>
        <stp>CPN_TYP</stp>
        <stp>[STRIPS.xlsx]Sheet1!R651C11</stp>
        <tr r="K651" s="1"/>
      </tp>
      <tp t="s">
        <v>ZERO</v>
        <stp/>
        <stp>##V3_BDPV12</stp>
        <stp>9128337K Govt</stp>
        <stp>CPN_TYP</stp>
        <stp>[STRIPS.xlsx]Sheet1!R292C11</stp>
        <tr r="K292" s="1"/>
      </tp>
      <tp t="s">
        <v>ZERO</v>
        <stp/>
        <stp>##V3_BDPV12</stp>
        <stp>9128337M Govt</stp>
        <stp>CPN_TYP</stp>
        <stp>[STRIPS.xlsx]Sheet1!R559C11</stp>
        <tr r="K559" s="1"/>
      </tp>
      <tp t="s">
        <v>ZERO</v>
        <stp/>
        <stp>##V3_BDPV12</stp>
        <stp>9128337J Govt</stp>
        <stp>CPN_TYP</stp>
        <stp>[STRIPS.xlsx]Sheet1!R730C11</stp>
        <tr r="K730" s="1"/>
      </tp>
      <tp t="s">
        <v>ZERO</v>
        <stp/>
        <stp>##V3_BDPV12</stp>
        <stp>9128337H Govt</stp>
        <stp>CPN_TYP</stp>
        <stp>[STRIPS.xlsx]Sheet1!R431C11</stp>
        <tr r="K431" s="1"/>
      </tp>
      <tp t="s">
        <v>#N/A Field Not Applicable</v>
        <stp/>
        <stp>##V3_BDPV12</stp>
        <stp>912834UZ Govt</stp>
        <stp>FIRST_CPN_DT</stp>
        <stp>[STRIPS.xlsx]Sheet1!R181C9</stp>
        <tr r="I181" s="1"/>
      </tp>
      <tp t="s">
        <v>#N/A Field Not Applicable</v>
        <stp/>
        <stp>##V3_BDPV12</stp>
        <stp>912834QQ Govt</stp>
        <stp>FIRST_CPN_DT</stp>
        <stp>[STRIPS.xlsx]Sheet1!R205C9</stp>
        <tr r="I205" s="1"/>
      </tp>
      <tp t="s">
        <v>#N/A Field Not Applicable</v>
        <stp/>
        <stp>##V3_BDPV12</stp>
        <stp>912834VQ Govt</stp>
        <stp>FIRST_CPN_DT</stp>
        <stp>[STRIPS.xlsx]Sheet1!R222C9</stp>
        <tr r="I222" s="1"/>
      </tp>
      <tp t="s">
        <v>#N/A Field Not Applicable</v>
        <stp/>
        <stp>##V3_BDPV12</stp>
        <stp>912834RP Govt</stp>
        <stp>FIRST_CPN_DT</stp>
        <stp>[STRIPS.xlsx]Sheet1!R416C9</stp>
        <tr r="I416" s="1"/>
      </tp>
      <tp t="s">
        <v>#N/A Field Not Applicable</v>
        <stp/>
        <stp>##V3_BDPV12</stp>
        <stp>912833PS Govt</stp>
        <stp>FIRST_CPN_DT</stp>
        <stp>[STRIPS.xlsx]Sheet1!R574C9</stp>
        <tr r="I574" s="1"/>
      </tp>
      <tp t="s">
        <v>#N/A Field Not Applicable</v>
        <stp/>
        <stp>##V3_BDPV12</stp>
        <stp>912834QS Govt</stp>
        <stp>FIRST_CPN_DT</stp>
        <stp>[STRIPS.xlsx]Sheet1!R135C9</stp>
        <tr r="I135" s="1"/>
      </tp>
      <tp t="s">
        <v>UNITED STATES</v>
        <stp/>
        <stp>##V3_BDPV12</stp>
        <stp>9128337E Govt</stp>
        <stp>COUNTRY_FULL_NAME</stp>
        <stp>[STRIPS.xlsx]Sheet1!R23C8</stp>
        <tr r="H23" s="1"/>
      </tp>
      <tp t="s">
        <v>#N/A Field Not Applicable</v>
        <stp/>
        <stp>##V3_BDPV12</stp>
        <stp>912834TW Govt</stp>
        <stp>FIRST_CPN_DT</stp>
        <stp>[STRIPS.xlsx]Sheet1!R760C9</stp>
        <tr r="I760" s="1"/>
      </tp>
      <tp t="s">
        <v>#N/A Field Not Applicable</v>
        <stp/>
        <stp>##V3_BDPV12</stp>
        <stp>912834PW Govt</stp>
        <stp>FIRST_CPN_DT</stp>
        <stp>[STRIPS.xlsx]Sheet1!R154C9</stp>
        <tr r="I154" s="1"/>
      </tp>
      <tp t="s">
        <v>#N/A Field Not Applicable</v>
        <stp/>
        <stp>##V3_BDPV12</stp>
        <stp>912833RW Govt</stp>
        <stp>FIRST_CPN_DT</stp>
        <stp>[STRIPS.xlsx]Sheet1!R246C9</stp>
        <tr r="I246" s="1"/>
      </tp>
      <tp t="s">
        <v>S</v>
        <stp/>
        <stp>##V3_BDPV12</stp>
        <stp>912834AF Govt</stp>
        <stp>TICKER</stp>
        <stp>[STRIPS.xlsx]Sheet1!R456C2</stp>
        <tr r="B456" s="1"/>
      </tp>
      <tp t="s">
        <v>S</v>
        <stp/>
        <stp>##V3_BDPV12</stp>
        <stp>912834AP Govt</stp>
        <stp>TICKER</stp>
        <stp>[STRIPS.xlsx]Sheet1!R386C2</stp>
        <tr r="B386" s="1"/>
      </tp>
      <tp t="s">
        <v>S</v>
        <stp/>
        <stp>##V3_BDPV12</stp>
        <stp>912834AB Govt</stp>
        <stp>TICKER</stp>
        <stp>[STRIPS.xlsx]Sheet1!R256C2</stp>
        <tr r="B256" s="1"/>
      </tp>
      <tp t="s">
        <v>S</v>
        <stp/>
        <stp>##V3_BDPV12</stp>
        <stp>912834ER Govt</stp>
        <stp>TICKER</stp>
        <stp>[STRIPS.xlsx]Sheet1!R596C2</stp>
        <tr r="B596" s="1"/>
      </tp>
      <tp t="s">
        <v>S</v>
        <stp/>
        <stp>##V3_BDPV12</stp>
        <stp>912834JK Govt</stp>
        <stp>TICKER</stp>
        <stp>[STRIPS.xlsx]Sheet1!R466C2</stp>
        <tr r="B466" s="1"/>
      </tp>
      <tp t="s">
        <v>S</v>
        <stp/>
        <stp>##V3_BDPV12</stp>
        <stp>912834MH Govt</stp>
        <stp>TICKER</stp>
        <stp>[STRIPS.xlsx]Sheet1!R326C2</stp>
        <tr r="B326" s="1"/>
      </tp>
      <tp t="s">
        <v>S</v>
        <stp/>
        <stp>##V3_BDPV12</stp>
        <stp>912834JE Govt</stp>
        <stp>TICKER</stp>
        <stp>[STRIPS.xlsx]Sheet1!R646C2</stp>
        <tr r="B646" s="1"/>
      </tp>
      <tp t="s">
        <v>S</v>
        <stp/>
        <stp>##V3_BDPV12</stp>
        <stp>912834HW Govt</stp>
        <stp>TICKER</stp>
        <stp>[STRIPS.xlsx]Sheet1!R536C2</stp>
        <tr r="B536" s="1"/>
      </tp>
      <tp t="s">
        <v>S</v>
        <stp/>
        <stp>##V3_BDPV12</stp>
        <stp>912834HY Govt</stp>
        <stp>TICKER</stp>
        <stp>[STRIPS.xlsx]Sheet1!R226C2</stp>
        <tr r="B226" s="1"/>
      </tp>
      <tp t="s">
        <v>S</v>
        <stp/>
        <stp>##V3_BDPV12</stp>
        <stp>912834NA Govt</stp>
        <stp>TICKER</stp>
        <stp>[STRIPS.xlsx]Sheet1!R476C2</stp>
        <tr r="B476" s="1"/>
      </tp>
      <tp t="s">
        <v>S</v>
        <stp/>
        <stp>##V3_BDPV12</stp>
        <stp>912834HX Govt</stp>
        <stp>TICKER</stp>
        <stp>[STRIPS.xlsx]Sheet1!R356C2</stp>
        <tr r="B356" s="1"/>
      </tp>
      <tp t="s">
        <v>S</v>
        <stp/>
        <stp>##V3_BDPV12</stp>
        <stp>912834HS Govt</stp>
        <stp>TICKER</stp>
        <stp>[STRIPS.xlsx]Sheet1!R396C2</stp>
        <tr r="B396" s="1"/>
      </tp>
      <tp t="s">
        <v>S</v>
        <stp/>
        <stp>##V3_BDPV12</stp>
        <stp>912834NE Govt</stp>
        <stp>TICKER</stp>
        <stp>[STRIPS.xlsx]Sheet1!R546C2</stp>
        <tr r="B546" s="1"/>
      </tp>
      <tp t="s">
        <v>S</v>
        <stp/>
        <stp>##V3_BDPV12</stp>
        <stp>912834JZ Govt</stp>
        <stp>TICKER</stp>
        <stp>[STRIPS.xlsx]Sheet1!R266C2</stp>
        <tr r="B266" s="1"/>
      </tp>
      <tp t="s">
        <v>S</v>
        <stp/>
        <stp>##V3_BDPV12</stp>
        <stp>912834KE Govt</stp>
        <stp>TICKER</stp>
        <stp>[STRIPS.xlsx]Sheet1!R316C2</stp>
        <tr r="B316" s="1"/>
      </tp>
      <tp t="s">
        <v>S</v>
        <stp/>
        <stp>##V3_BDPV12</stp>
        <stp>912834MS Govt</stp>
        <stp>TICKER</stp>
        <stp>[STRIPS.xlsx]Sheet1!R406C2</stp>
        <tr r="B406" s="1"/>
      </tp>
      <tp t="s">
        <v>S</v>
        <stp/>
        <stp>##V3_BDPV12</stp>
        <stp>912834RP Govt</stp>
        <stp>TICKER</stp>
        <stp>[STRIPS.xlsx]Sheet1!R416C2</stp>
        <tr r="B416" s="1"/>
      </tp>
      <tp t="s">
        <v>S</v>
        <stp/>
        <stp>##V3_BDPV12</stp>
        <stp>912834WU Govt</stp>
        <stp>TICKER</stp>
        <stp>[STRIPS.xlsx]Sheet1!R166C2</stp>
        <tr r="B166" s="1"/>
      </tp>
      <tp t="s">
        <v>S</v>
        <stp/>
        <stp>##V3_BDPV12</stp>
        <stp>912834WQ Govt</stp>
        <stp>TICKER</stp>
        <stp>[STRIPS.xlsx]Sheet1!R136C2</stp>
        <tr r="B136" s="1"/>
      </tp>
      <tp t="s">
        <v>S</v>
        <stp/>
        <stp>##V3_BDPV12</stp>
        <stp>912834WD Govt</stp>
        <stp>TICKER</stp>
        <stp>[STRIPS.xlsx]Sheet1!R186C2</stp>
        <tr r="B186" s="1"/>
      </tp>
      <tp t="s">
        <v>S</v>
        <stp/>
        <stp>##V3_BDPV12</stp>
        <stp>912834VE Govt</stp>
        <stp>TICKER</stp>
        <stp>[STRIPS.xlsx]Sheet1!R116C2</stp>
        <tr r="B116" s="1"/>
      </tp>
      <tp t="s">
        <v>S</v>
        <stp/>
        <stp>##V3_BDPV12</stp>
        <stp>912834VH Govt</stp>
        <stp>TICKER</stp>
        <stp>[STRIPS.xlsx]Sheet1!R146C2</stp>
        <tr r="B146" s="1"/>
      </tp>
      <tp t="s">
        <v>S</v>
        <stp/>
        <stp>##V3_BDPV12</stp>
        <stp>912834UN Govt</stp>
        <stp>TICKER</stp>
        <stp>[STRIPS.xlsx]Sheet1!R206C2</stp>
        <tr r="B206" s="1"/>
      </tp>
      <tp t="s">
        <v>S</v>
        <stp/>
        <stp>##V3_BDPV12</stp>
        <stp>912834TS Govt</stp>
        <stp>TICKER</stp>
        <stp>[STRIPS.xlsx]Sheet1!R196C2</stp>
        <tr r="B196" s="1"/>
      </tp>
      <tp t="s">
        <v>S</v>
        <stp/>
        <stp>##V3_BDPV12</stp>
        <stp>912834PP Govt</stp>
        <stp>TICKER</stp>
        <stp>[STRIPS.xlsx]Sheet1!R276C2</stp>
        <tr r="B276" s="1"/>
      </tp>
      <tp t="s">
        <v>S</v>
        <stp/>
        <stp>##V3_BDPV12</stp>
        <stp>912834TA Govt</stp>
        <stp>TICKER</stp>
        <stp>[STRIPS.xlsx]Sheet1!R756C2</stp>
        <tr r="B756" s="1"/>
      </tp>
      <tp t="s">
        <v>S</v>
        <stp/>
        <stp>##V3_BDPV12</stp>
        <stp>912834TR Govt</stp>
        <stp>TICKER</stp>
        <stp>[STRIPS.xlsx]Sheet1!R426C2</stp>
        <tr r="B426" s="1"/>
      </tp>
      <tp t="s">
        <v>S</v>
        <stp/>
        <stp>##V3_BDPV12</stp>
        <stp>912834WX Govt</stp>
        <stp>TICKER</stp>
        <stp>[STRIPS.xlsx]Sheet1!R776C2</stp>
        <tr r="B776" s="1"/>
      </tp>
      <tp t="s">
        <v>S</v>
        <stp/>
        <stp>##V3_BDPV12</stp>
        <stp>912834RA Govt</stp>
        <stp>TICKER</stp>
        <stp>[STRIPS.xlsx]Sheet1!R216C2</stp>
        <tr r="B216" s="1"/>
      </tp>
      <tp t="s">
        <v>S</v>
        <stp/>
        <stp>##V3_BDPV12</stp>
        <stp>912834PT Govt</stp>
        <stp>TICKER</stp>
        <stp>[STRIPS.xlsx]Sheet1!R106C2</stp>
        <tr r="B106" s="1"/>
      </tp>
      <tp t="s">
        <v>S</v>
        <stp/>
        <stp>##V3_BDPV12</stp>
        <stp>912834VZ Govt</stp>
        <stp>TICKER</stp>
        <stp>[STRIPS.xlsx]Sheet1!R766C2</stp>
        <tr r="B766" s="1"/>
      </tp>
      <tp t="s">
        <v>S</v>
        <stp/>
        <stp>##V3_BDPV12</stp>
        <stp>912834PZ Govt</stp>
        <stp>TICKER</stp>
        <stp>[STRIPS.xlsx]Sheet1!R126C2</stp>
        <tr r="B126" s="1"/>
      </tp>
      <tp t="s">
        <v>#N/A Field Not Applicable</v>
        <stp/>
        <stp>##V3_BDPV12</stp>
        <stp>912834PJ Govt</stp>
        <stp>FIRST_CPN_DT</stp>
        <stp>[STRIPS.xlsx]Sheet1!R144C9</stp>
        <tr r="I144" s="1"/>
      </tp>
      <tp t="s">
        <v>#N/A Field Not Applicable</v>
        <stp/>
        <stp>##V3_BDPV12</stp>
        <stp>912833PL Govt</stp>
        <stp>FIRST_CPN_DT</stp>
        <stp>[STRIPS.xlsx]Sheet1!R374C9</stp>
        <tr r="I374" s="1"/>
      </tp>
      <tp t="s">
        <v>#N/A Field Not Applicable</v>
        <stp/>
        <stp>##V3_BDPV12</stp>
        <stp>912834PN Govt</stp>
        <stp>FIRST_CPN_DT</stp>
        <stp>[STRIPS.xlsx]Sheet1!R164C9</stp>
        <tr r="I164" s="1"/>
      </tp>
      <tp t="s">
        <v>S</v>
        <stp/>
        <stp>##V3_BDPV12</stp>
        <stp>9128333Y Govt</stp>
        <stp>TICKER</stp>
        <stp>[STRIPS.xlsx]Sheet1!R486C2</stp>
        <tr r="B486" s="1"/>
      </tp>
      <tp t="s">
        <v>S</v>
        <stp/>
        <stp>##V3_BDPV12</stp>
        <stp>9128335G Govt</stp>
        <stp>TICKER</stp>
        <stp>[STRIPS.xlsx]Sheet1!R286C2</stp>
        <tr r="B286" s="1"/>
      </tp>
      <tp t="s">
        <v>S</v>
        <stp/>
        <stp>##V3_BDPV12</stp>
        <stp>9128333U Govt</stp>
        <stp>TICKER</stp>
        <stp>[STRIPS.xlsx]Sheet1!R706C2</stp>
        <tr r="B706" s="1"/>
      </tp>
      <tp t="s">
        <v>S</v>
        <stp/>
        <stp>##V3_BDPV12</stp>
        <stp>9128335Y Govt</stp>
        <stp>TICKER</stp>
        <stp>[STRIPS.xlsx]Sheet1!R726C2</stp>
        <tr r="B726" s="1"/>
      </tp>
      <tp t="s">
        <v>S</v>
        <stp/>
        <stp>##V3_BDPV12</stp>
        <stp>9128336K Govt</stp>
        <stp>TICKER</stp>
        <stp>[STRIPS.xlsx]Sheet1!R496C2</stp>
        <tr r="B496" s="1"/>
      </tp>
      <tp t="s">
        <v>S</v>
        <stp/>
        <stp>##V3_BDPV12</stp>
        <stp>9128335N Govt</stp>
        <stp>TICKER</stp>
        <stp>[STRIPS.xlsx]Sheet1!R746C2</stp>
        <tr r="B746" s="1"/>
      </tp>
      <tp t="s">
        <v>S</v>
        <stp/>
        <stp>##V3_BDPV12</stp>
        <stp>9128336U Govt</stp>
        <stp>TICKER</stp>
        <stp>[STRIPS.xlsx]Sheet1!R606C2</stp>
        <tr r="B606" s="1"/>
      </tp>
      <tp t="s">
        <v>S</v>
        <stp/>
        <stp>##V3_BDPV12</stp>
        <stp>9128335T Govt</stp>
        <stp>TICKER</stp>
        <stp>[STRIPS.xlsx]Sheet1!R556C2</stp>
        <tr r="B556" s="1"/>
      </tp>
      <tp t="s">
        <v>S</v>
        <stp/>
        <stp>##V3_BDPV12</stp>
        <stp>9128337G Govt</stp>
        <stp>TICKER</stp>
        <stp>[STRIPS.xlsx]Sheet1!R716C2</stp>
        <tr r="B716" s="1"/>
      </tp>
      <tp t="s">
        <v>S</v>
        <stp/>
        <stp>##V3_BDPV12</stp>
        <stp>912833CC Govt</stp>
        <stp>TICKER</stp>
        <stp>[STRIPS.xlsx]Sheet1!R436C2</stp>
        <tr r="B436" s="1"/>
      </tp>
      <tp t="s">
        <v>S</v>
        <stp/>
        <stp>##V3_BDPV12</stp>
        <stp>912833CL Govt</stp>
        <stp>TICKER</stp>
        <stp>[STRIPS.xlsx]Sheet1!R616C2</stp>
        <tr r="B616" s="1"/>
      </tp>
      <tp t="s">
        <v>S</v>
        <stp/>
        <stp>##V3_BDPV12</stp>
        <stp>912833CM Govt</stp>
        <stp>TICKER</stp>
        <stp>[STRIPS.xlsx]Sheet1!R656C2</stp>
        <tr r="B656" s="1"/>
      </tp>
      <tp t="s">
        <v>S</v>
        <stp/>
        <stp>##V3_BDPV12</stp>
        <stp>912833DG Govt</stp>
        <stp>TICKER</stp>
        <stp>[STRIPS.xlsx]Sheet1!R736C2</stp>
        <tr r="B736" s="1"/>
      </tp>
      <tp t="s">
        <v>S</v>
        <stp/>
        <stp>##V3_BDPV12</stp>
        <stp>912833GB Govt</stp>
        <stp>TICKER</stp>
        <stp>[STRIPS.xlsx]Sheet1!R666C2</stp>
        <tr r="B666" s="1"/>
      </tp>
      <tp t="s">
        <v>S</v>
        <stp/>
        <stp>##V3_BDPV12</stp>
        <stp>912833CG Govt</stp>
        <stp>TICKER</stp>
        <stp>[STRIPS.xlsx]Sheet1!R296C2</stp>
        <tr r="B296" s="1"/>
      </tp>
      <tp t="s">
        <v>S</v>
        <stp/>
        <stp>##V3_BDPV12</stp>
        <stp>912833DH Govt</stp>
        <stp>TICKER</stp>
        <stp>[STRIPS.xlsx]Sheet1!R506C2</stp>
        <tr r="B506" s="1"/>
      </tp>
      <tp t="s">
        <v>S</v>
        <stp/>
        <stp>##V3_BDPV12</stp>
        <stp>912833KQ Govt</stp>
        <stp>TICKER</stp>
        <stp>[STRIPS.xlsx]Sheet1!R566C2</stp>
        <tr r="B566" s="1"/>
      </tp>
      <tp t="s">
        <v>S</v>
        <stp/>
        <stp>##V3_BDPV12</stp>
        <stp>912833MH Govt</stp>
        <stp>TICKER</stp>
        <stp>[STRIPS.xlsx]Sheet1!R306C2</stp>
        <tr r="B306" s="1"/>
      </tp>
      <tp t="s">
        <v>S</v>
        <stp/>
        <stp>##V3_BDPV12</stp>
        <stp>912833MQ Govt</stp>
        <stp>TICKER</stp>
        <stp>[STRIPS.xlsx]Sheet1!R236C2</stp>
        <tr r="B236" s="1"/>
      </tp>
      <tp t="s">
        <v>S</v>
        <stp/>
        <stp>##V3_BDPV12</stp>
        <stp>912833KS Govt</stp>
        <stp>TICKER</stp>
        <stp>[STRIPS.xlsx]Sheet1!R176C2</stp>
        <tr r="B176" s="1"/>
      </tp>
      <tp t="s">
        <v>S</v>
        <stp/>
        <stp>##V3_BDPV12</stp>
        <stp>912833NA Govt</stp>
        <stp>TICKER</stp>
        <stp>[STRIPS.xlsx]Sheet1!R446C2</stp>
        <tr r="B446" s="1"/>
      </tp>
      <tp t="s">
        <v>S</v>
        <stp/>
        <stp>##V3_BDPV12</stp>
        <stp>912833MV Govt</stp>
        <stp>TICKER</stp>
        <stp>[STRIPS.xlsx]Sheet1!R626C2</stp>
        <tr r="B626" s="1"/>
      </tp>
      <tp t="s">
        <v>S</v>
        <stp/>
        <stp>##V3_BDPV12</stp>
        <stp>912833JT Govt</stp>
        <stp>TICKER</stp>
        <stp>[STRIPS.xlsx]Sheet1!R156C2</stp>
        <tr r="B156" s="1"/>
      </tp>
      <tp t="s">
        <v>S</v>
        <stp/>
        <stp>##V3_BDPV12</stp>
        <stp>912833NG Govt</stp>
        <stp>TICKER</stp>
        <stp>[STRIPS.xlsx]Sheet1!R516C2</stp>
        <tr r="B516" s="1"/>
      </tp>
      <tp t="s">
        <v>S</v>
        <stp/>
        <stp>##V3_BDPV12</stp>
        <stp>912833ND Govt</stp>
        <stp>TICKER</stp>
        <stp>[STRIPS.xlsx]Sheet1!R676C2</stp>
        <tr r="B676" s="1"/>
      </tp>
      <tp t="s">
        <v>S</v>
        <stp/>
        <stp>##V3_BDPV12</stp>
        <stp>912833JU Govt</stp>
        <stp>TICKER</stp>
        <stp>[STRIPS.xlsx]Sheet1!R366C2</stp>
        <tr r="B366" s="1"/>
      </tp>
      <tp t="s">
        <v>S</v>
        <stp/>
        <stp>##V3_BDPV12</stp>
        <stp>912833QJ Govt</stp>
        <stp>TICKER</stp>
        <stp>[STRIPS.xlsx]Sheet1!R686C2</stp>
        <tr r="B686" s="1"/>
      </tp>
      <tp t="s">
        <v>S</v>
        <stp/>
        <stp>##V3_BDPV12</stp>
        <stp>912833QD Govt</stp>
        <stp>TICKER</stp>
        <stp>[STRIPS.xlsx]Sheet1!R576C2</stp>
        <tr r="B576" s="1"/>
      </tp>
      <tp t="s">
        <v>S</v>
        <stp/>
        <stp>##V3_BDPV12</stp>
        <stp>912833QA Govt</stp>
        <stp>TICKER</stp>
        <stp>[STRIPS.xlsx]Sheet1!R376C2</stp>
        <tr r="B376" s="1"/>
      </tp>
      <tp t="s">
        <v>S</v>
        <stp/>
        <stp>##V3_BDPV12</stp>
        <stp>912833PH Govt</stp>
        <stp>TICKER</stp>
        <stp>[STRIPS.xlsx]Sheet1!R336C2</stp>
        <tr r="B336" s="1"/>
      </tp>
      <tp t="s">
        <v>S</v>
        <stp/>
        <stp>##V3_BDPV12</stp>
        <stp>912833RW Govt</stp>
        <stp>TICKER</stp>
        <stp>[STRIPS.xlsx]Sheet1!R246C2</stp>
        <tr r="B246" s="1"/>
      </tp>
      <tp t="s">
        <v>S</v>
        <stp/>
        <stp>##V3_BDPV12</stp>
        <stp>912833YC Govt</stp>
        <stp>TICKER</stp>
        <stp>[STRIPS.xlsx]Sheet1!R636C2</stp>
        <tr r="B636" s="1"/>
      </tp>
      <tp t="s">
        <v>S</v>
        <stp/>
        <stp>##V3_BDPV12</stp>
        <stp>912833Z9 Govt</stp>
        <stp>TICKER</stp>
        <stp>[STRIPS.xlsx]Sheet1!R526C2</stp>
        <tr r="B526" s="1"/>
      </tp>
      <tp t="s">
        <v>S</v>
        <stp/>
        <stp>##V3_BDPV12</stp>
        <stp>912833YU Govt</stp>
        <stp>TICKER</stp>
        <stp>[STRIPS.xlsx]Sheet1!R586C2</stp>
        <tr r="B586" s="1"/>
      </tp>
      <tp t="s">
        <v>S</v>
        <stp/>
        <stp>##V3_BDPV12</stp>
        <stp>912833Z7 Govt</stp>
        <stp>TICKER</stp>
        <stp>[STRIPS.xlsx]Sheet1!R696C2</stp>
        <tr r="B696" s="1"/>
      </tp>
      <tp t="s">
        <v>S</v>
        <stp/>
        <stp>##V3_BDPV12</stp>
        <stp>912833ZC Govt</stp>
        <stp>TICKER</stp>
        <stp>[STRIPS.xlsx]Sheet1!R346C2</stp>
        <tr r="B346" s="1"/>
      </tp>
      <tp t="s">
        <v>#N/A Field Not Applicable</v>
        <stp/>
        <stp>##V3_BDPV12</stp>
        <stp>912834RA Govt</stp>
        <stp>FIRST_CPN_DT</stp>
        <stp>[STRIPS.xlsx]Sheet1!R216C9</stp>
        <tr r="I216" s="1"/>
      </tp>
      <tp t="s">
        <v>#N/A Field Not Applicable</v>
        <stp/>
        <stp>##V3_BDPV12</stp>
        <stp>912834UC Govt</stp>
        <stp>FIRST_CPN_DT</stp>
        <stp>[STRIPS.xlsx]Sheet1!R761C9</stp>
        <tr r="I761" s="1"/>
      </tp>
      <tp t="s">
        <v>#N/A Field Not Applicable</v>
        <stp/>
        <stp>##V3_BDPV12</stp>
        <stp>912834WE Govt</stp>
        <stp>FIRST_CPN_DT</stp>
        <stp>[STRIPS.xlsx]Sheet1!R223C9</stp>
        <tr r="I223" s="1"/>
      </tp>
      <tp t="s">
        <v>USD</v>
        <stp/>
        <stp>##V3_BDPV12</stp>
        <stp>912834UP Govt</stp>
        <stp>CRNCY</stp>
        <stp>[STRIPS.xlsx]Sheet1!R754C7</stp>
        <tr r="G754" s="1"/>
      </tp>
      <tp t="s">
        <v>USD</v>
        <stp/>
        <stp>##V3_BDPV12</stp>
        <stp>912834RW Govt</stp>
        <stp>CRNCY</stp>
        <stp>[STRIPS.xlsx]Sheet1!R753C7</stp>
        <tr r="G753" s="1"/>
      </tp>
      <tp t="s">
        <v>USD</v>
        <stp/>
        <stp>##V3_BDPV12</stp>
        <stp>912833QV Govt</stp>
        <stp>CRNCY</stp>
        <stp>[STRIPS.xlsx]Sheet1!R242C7</stp>
        <tr r="G242" s="1"/>
      </tp>
      <tp t="s">
        <v>USD</v>
        <stp/>
        <stp>##V3_BDPV12</stp>
        <stp>912834NS Govt</stp>
        <stp>CRNCY</stp>
        <stp>[STRIPS.xlsx]Sheet1!R547C7</stp>
        <tr r="G547" s="1"/>
      </tp>
      <tp t="s">
        <v>USD</v>
        <stp/>
        <stp>##V3_BDPV12</stp>
        <stp>912834ER Govt</stp>
        <stp>CRNCY</stp>
        <stp>[STRIPS.xlsx]Sheet1!R596C7</stp>
        <tr r="G596" s="1"/>
      </tp>
      <tp t="s">
        <v>USD</v>
        <stp/>
        <stp>##V3_BDPV12</stp>
        <stp>912834RV Govt</stp>
        <stp>CRNCY</stp>
        <stp>[STRIPS.xlsx]Sheet1!R482C7</stp>
        <tr r="G482" s="1"/>
      </tp>
      <tp t="s">
        <v>USD</v>
        <stp/>
        <stp>##V3_BDPV12</stp>
        <stp>912834TR Govt</stp>
        <stp>CRNCY</stp>
        <stp>[STRIPS.xlsx]Sheet1!R426C7</stp>
        <tr r="G426" s="1"/>
      </tp>
      <tp t="s">
        <v>USD</v>
        <stp/>
        <stp>##V3_BDPV12</stp>
        <stp>912834KU Govt</stp>
        <stp>CRNCY</stp>
        <stp>[STRIPS.xlsx]Sheet1!R401C7</stp>
        <tr r="G401" s="1"/>
      </tp>
      <tp t="s">
        <v>USD</v>
        <stp/>
        <stp>##V3_BDPV12</stp>
        <stp>912834LP Govt</stp>
        <stp>CRNCY</stp>
        <stp>[STRIPS.xlsx]Sheet1!R474C7</stp>
        <tr r="G474" s="1"/>
      </tp>
      <tp t="s">
        <v>USD</v>
        <stp/>
        <stp>##V3_BDPV12</stp>
        <stp>912833RT Govt</stp>
        <stp>CRNCY</stp>
        <stp>[STRIPS.xlsx]Sheet1!R580C7</stp>
        <tr r="G580" s="1"/>
      </tp>
      <tp t="s">
        <v>USD</v>
        <stp/>
        <stp>##V3_BDPV12</stp>
        <stp>912834RT Govt</stp>
        <stp>CRNCY</stp>
        <stp>[STRIPS.xlsx]Sheet1!R280C7</stp>
        <tr r="G280" s="1"/>
      </tp>
      <tp t="s">
        <v>USD</v>
        <stp/>
        <stp>##V3_BDPV12</stp>
        <stp>912833RP Govt</stp>
        <stp>CRNCY</stp>
        <stp>[STRIPS.xlsx]Sheet1!R524C7</stp>
        <tr r="G524" s="1"/>
      </tp>
      <tp t="s">
        <v>USD</v>
        <stp/>
        <stp>##V3_BDPV12</stp>
        <stp>912834QQ Govt</stp>
        <stp>CRNCY</stp>
        <stp>[STRIPS.xlsx]Sheet1!R205C7</stp>
        <tr r="G205" s="1"/>
      </tp>
      <tp t="s">
        <v>USD</v>
        <stp/>
        <stp>##V3_BDPV12</stp>
        <stp>912834QU Govt</stp>
        <stp>CRNCY</stp>
        <stp>[STRIPS.xlsx]Sheet1!R201C7</stp>
        <tr r="G201" s="1"/>
      </tp>
      <tp t="s">
        <v>USD</v>
        <stp/>
        <stp>##V3_BDPV12</stp>
        <stp>912834LV Govt</stp>
        <stp>CRNCY</stp>
        <stp>[STRIPS.xlsx]Sheet1!R232C7</stp>
        <tr r="G232" s="1"/>
      </tp>
      <tp t="s">
        <v>USD</v>
        <stp/>
        <stp>##V3_BDPV12</stp>
        <stp>912833CP Govt</stp>
        <stp>CRNCY</stp>
        <stp>[STRIPS.xlsx]Sheet1!R564C7</stp>
        <tr r="G564" s="1"/>
      </tp>
      <tp t="s">
        <v>USD</v>
        <stp/>
        <stp>##V3_BDPV12</stp>
        <stp>912833FP Govt</stp>
        <stp>CRNCY</stp>
        <stp>[STRIPS.xlsx]Sheet1!R664C7</stp>
        <tr r="G664" s="1"/>
      </tp>
      <tp t="s">
        <v>USD</v>
        <stp/>
        <stp>##V3_BDPV12</stp>
        <stp>912833KV Govt</stp>
        <stp>CRNCY</stp>
        <stp>[STRIPS.xlsx]Sheet1!R742C7</stp>
        <tr r="G742" s="1"/>
      </tp>
      <tp t="s">
        <v>USD</v>
        <stp/>
        <stp>##V3_BDPV12</stp>
        <stp>9128333P Govt</stp>
        <stp>CRNCY</stp>
        <stp>[STRIPS.xlsx]Sheet1!R704C7</stp>
        <tr r="G704" s="1"/>
      </tp>
      <tp t="s">
        <v>#N/A Field Not Applicable</v>
        <stp/>
        <stp>##V3_BDPV12</stp>
        <stp>912833QG Govt</stp>
        <stp>FIRST_CPN_DT</stp>
        <stp>[STRIPS.xlsx]Sheet1!R685C9</stp>
        <tr r="I685" s="1"/>
      </tp>
      <tp t="s">
        <v>#N/A Field Not Applicable</v>
        <stp/>
        <stp>##V3_BDPV12</stp>
        <stp>912833LW Govt</stp>
        <stp>FIRST_CPN_DT</stp>
        <stp>[STRIPS.xlsx]Sheet1!R2C9</stp>
        <tr r="I2" s="1"/>
      </tp>
      <tp>
        <v>1.0699999999999932</v>
        <stp/>
        <stp>##V3_BDPV12</stp>
        <stp>912833PA Govt</stp>
        <stp>YLD_YTM_BID</stp>
        <stp>[STRIPS.xlsx]Sheet1!R4C4</stp>
        <tr r="D4" s="1"/>
      </tp>
      <tp t="s">
        <v>ZERO</v>
        <stp/>
        <stp>##V3_BDPV12</stp>
        <stp>9128336U Govt</stp>
        <stp>CPN_TYP</stp>
        <stp>[STRIPS.xlsx]Sheet1!R606C11</stp>
        <tr r="K606" s="1"/>
      </tp>
      <tp t="s">
        <v>ZERO</v>
        <stp/>
        <stp>##V3_BDPV12</stp>
        <stp>9128336T Govt</stp>
        <stp>CPN_TYP</stp>
        <stp>[STRIPS.xlsx]Sheet1!R714C11</stp>
        <tr r="K714" s="1"/>
      </tp>
      <tp t="s">
        <v>ZERO</v>
        <stp/>
        <stp>##V3_BDPV12</stp>
        <stp>9128336W Govt</stp>
        <stp>CPN_TYP</stp>
        <stp>[STRIPS.xlsx]Sheet1!R607C11</stp>
        <tr r="K607" s="1"/>
      </tp>
      <tp t="s">
        <v>ZERO</v>
        <stp/>
        <stp>##V3_BDPV12</stp>
        <stp>9128336V Govt</stp>
        <stp>CPN_TYP</stp>
        <stp>[STRIPS.xlsx]Sheet1!R715C11</stp>
        <tr r="K715" s="1"/>
      </tp>
      <tp t="s">
        <v>ZERO</v>
        <stp/>
        <stp>##V3_BDPV12</stp>
        <stp>9128336P Govt</stp>
        <stp>CPN_TYP</stp>
        <stp>[STRIPS.xlsx]Sheet1!R729C11</stp>
        <tr r="K729" s="1"/>
      </tp>
      <tp t="s">
        <v>ZERO</v>
        <stp/>
        <stp>##V3_BDPV12</stp>
        <stp>9128336Q Govt</stp>
        <stp>CPN_TYP</stp>
        <stp>[STRIPS.xlsx]Sheet1!R750C11</stp>
        <tr r="K750" s="1"/>
      </tp>
      <tp t="s">
        <v>ZERO</v>
        <stp/>
        <stp>##V3_BDPV12</stp>
        <stp>9128336R Govt</stp>
        <stp>CPN_TYP</stp>
        <stp>[STRIPS.xlsx]Sheet1!R498C11</stp>
        <tr r="K498" s="1"/>
      </tp>
      <tp t="s">
        <v>ZERO</v>
        <stp/>
        <stp>##V3_BDPV12</stp>
        <stp>9128336S Govt</stp>
        <stp>CPN_TYP</stp>
        <stp>[STRIPS.xlsx]Sheet1!R751C11</stp>
        <tr r="K751" s="1"/>
      </tp>
      <tp t="s">
        <v>ZERO</v>
        <stp/>
        <stp>##V3_BDPV12</stp>
        <stp>9128336X Govt</stp>
        <stp>CPN_TYP</stp>
        <stp>[STRIPS.xlsx]Sheet1!R290C11</stp>
        <tr r="K290" s="1"/>
      </tp>
      <tp t="s">
        <v>912833Z86</v>
        <stp/>
        <stp>##V3_BDPV12</stp>
        <stp>912833Z8 Govt</stp>
        <stp>ID_CUSIP</stp>
        <stp>[STRIPS.xlsx]Sheet1!R697C19</stp>
        <tr r="S697" s="1"/>
      </tp>
      <tp t="s">
        <v>912833A83</v>
        <stp/>
        <stp>##V3_BDPV12</stp>
        <stp>912833A8 Govt</stp>
        <stp>ID_CUSIP</stp>
        <stp>[STRIPS.xlsx]Sheet1!R560C19</stp>
        <tr r="S560" s="1"/>
      </tp>
      <tp t="s">
        <v>ZERO</v>
        <stp/>
        <stp>##V3_BDPV12</stp>
        <stp>9128336Z Govt</stp>
        <stp>CPN_TYP</stp>
        <stp>[STRIPS.xlsx]Sheet1!R430C11</stp>
        <tr r="K430" s="1"/>
      </tp>
      <tp t="s">
        <v>912833Y87</v>
        <stp/>
        <stp>##V3_BDPV12</stp>
        <stp>912833Y8 Govt</stp>
        <stp>ID_CUSIP</stp>
        <stp>[STRIPS.xlsx]Sheet1!R248C19</stp>
        <tr r="S248" s="1"/>
      </tp>
      <tp t="s">
        <v>912833B82</v>
        <stp/>
        <stp>##V3_BDPV12</stp>
        <stp>912833B8 Govt</stp>
        <stp>ID_CUSIP</stp>
        <stp>[STRIPS.xlsx]Sheet1!R293C19</stp>
        <tr r="S293" s="1"/>
      </tp>
      <tp t="s">
        <v>ZERO</v>
        <stp/>
        <stp>##V3_BDPV12</stp>
        <stp>9128336Y Govt</stp>
        <stp>CPN_TYP</stp>
        <stp>[STRIPS.xlsx]Sheet1!R429C11</stp>
        <tr r="K429" s="1"/>
      </tp>
      <tp t="s">
        <v>ZERO</v>
        <stp/>
        <stp>##V3_BDPV12</stp>
        <stp>9128336D Govt</stp>
        <stp>CPN_TYP</stp>
        <stp>[STRIPS.xlsx]Sheet1!R749C11</stp>
        <tr r="K749" s="1"/>
      </tp>
      <tp t="s">
        <v>ZERO</v>
        <stp/>
        <stp>##V3_BDPV12</stp>
        <stp>9128336G Govt</stp>
        <stp>CPN_TYP</stp>
        <stp>[STRIPS.xlsx]Sheet1!R494C11</stp>
        <tr r="K494" s="1"/>
      </tp>
      <tp t="s">
        <v>ZERO</v>
        <stp/>
        <stp>##V3_BDPV12</stp>
        <stp>9128336E Govt</stp>
        <stp>CPN_TYP</stp>
        <stp>[STRIPS.xlsx]Sheet1!R728C11</stp>
        <tr r="K728" s="1"/>
      </tp>
      <tp t="s">
        <v>ZERO</v>
        <stp/>
        <stp>##V3_BDPV12</stp>
        <stp>9128336A Govt</stp>
        <stp>CPN_TYP</stp>
        <stp>[STRIPS.xlsx]Sheet1!R748C11</stp>
        <tr r="K748" s="1"/>
      </tp>
      <tp t="s">
        <v>ZERO</v>
        <stp/>
        <stp>##V3_BDPV12</stp>
        <stp>9128336B Govt</stp>
        <stp>CPN_TYP</stp>
        <stp>[STRIPS.xlsx]Sheet1!R727C11</stp>
        <tr r="K727" s="1"/>
      </tp>
      <tp t="s">
        <v>ZERO</v>
        <stp/>
        <stp>##V3_BDPV12</stp>
        <stp>9128336C Govt</stp>
        <stp>CPN_TYP</stp>
        <stp>[STRIPS.xlsx]Sheet1!R713C11</stp>
        <tr r="K713" s="1"/>
      </tp>
      <tp t="s">
        <v>ZERO</v>
        <stp/>
        <stp>##V3_BDPV12</stp>
        <stp>9128336F Govt</stp>
        <stp>CPN_TYP</stp>
        <stp>[STRIPS.xlsx]Sheet1!R288C11</stp>
        <tr r="K288" s="1"/>
      </tp>
      <tp t="s">
        <v>ZERO</v>
        <stp/>
        <stp>##V3_BDPV12</stp>
        <stp>9128336N Govt</stp>
        <stp>CPN_TYP</stp>
        <stp>[STRIPS.xlsx]Sheet1!R497C11</stp>
        <tr r="K497" s="1"/>
      </tp>
      <tp t="s">
        <v>ZERO</v>
        <stp/>
        <stp>##V3_BDPV12</stp>
        <stp>9128336L Govt</stp>
        <stp>CPN_TYP</stp>
        <stp>[STRIPS.xlsx]Sheet1!R557C11</stp>
        <tr r="K557" s="1"/>
      </tp>
      <tp t="s">
        <v>ZERO</v>
        <stp/>
        <stp>##V3_BDPV12</stp>
        <stp>9128336M Govt</stp>
        <stp>CPN_TYP</stp>
        <stp>[STRIPS.xlsx]Sheet1!R558C11</stp>
        <tr r="K558" s="1"/>
      </tp>
      <tp t="s">
        <v>ZERO</v>
        <stp/>
        <stp>##V3_BDPV12</stp>
        <stp>9128336J Govt</stp>
        <stp>CPN_TYP</stp>
        <stp>[STRIPS.xlsx]Sheet1!R289C11</stp>
        <tr r="K289" s="1"/>
      </tp>
      <tp t="s">
        <v>ZERO</v>
        <stp/>
        <stp>##V3_BDPV12</stp>
        <stp>9128336K Govt</stp>
        <stp>CPN_TYP</stp>
        <stp>[STRIPS.xlsx]Sheet1!R496C11</stp>
        <tr r="K496" s="1"/>
      </tp>
      <tp t="s">
        <v>ZERO</v>
        <stp/>
        <stp>##V3_BDPV12</stp>
        <stp>9128336H Govt</stp>
        <stp>CPN_TYP</stp>
        <stp>[STRIPS.xlsx]Sheet1!R495C11</stp>
        <tr r="K495" s="1"/>
      </tp>
      <tp>
        <v>0</v>
        <stp/>
        <stp>##V3_BDPV12</stp>
        <stp>9128335B Govt</stp>
        <stp>CPN</stp>
        <stp>[STRIPS.xlsx]Sheet1!R43C3</stp>
        <tr r="C43" s="1"/>
      </tp>
      <tp>
        <v>0</v>
        <stp/>
        <stp>##V3_BDPV12</stp>
        <stp>9128337E Govt</stp>
        <stp>CPN</stp>
        <stp>[STRIPS.xlsx]Sheet1!R23C3</stp>
        <tr r="C23" s="1"/>
      </tp>
      <tp>
        <v>0</v>
        <stp/>
        <stp>##V3_BDPV12</stp>
        <stp>912833LN Govt</stp>
        <stp>CPN</stp>
        <stp>[STRIPS.xlsx]Sheet1!R63C3</stp>
        <tr r="C63" s="1"/>
      </tp>
      <tp>
        <v>0</v>
        <stp/>
        <stp>##V3_BDPV12</stp>
        <stp>912833LG Govt</stp>
        <stp>CPN</stp>
        <stp>[STRIPS.xlsx]Sheet1!R33C3</stp>
        <tr r="C33" s="1"/>
      </tp>
      <tp>
        <v>0</v>
        <stp/>
        <stp>##V3_BDPV12</stp>
        <stp>912833PD Govt</stp>
        <stp>CPN</stp>
        <stp>[STRIPS.xlsx]Sheet1!R13C3</stp>
        <tr r="C13" s="1"/>
      </tp>
      <tp t="s">
        <v>UNITED STATES</v>
        <stp/>
        <stp>##V3_BDPV12</stp>
        <stp>912833LM Govt</stp>
        <stp>COUNTRY_FULL_NAME</stp>
        <stp>[STRIPS.xlsx]Sheet1!R17C8</stp>
        <tr r="H17" s="1"/>
      </tp>
      <tp>
        <v>0</v>
        <stp/>
        <stp>##V3_BDPV12</stp>
        <stp>912834LX Govt</stp>
        <stp>CPN</stp>
        <stp>[STRIPS.xlsx]Sheet1!R93C3</stp>
        <tr r="C93" s="1"/>
      </tp>
      <tp>
        <v>0</v>
        <stp/>
        <stp>##V3_BDPV12</stp>
        <stp>912834LK Govt</stp>
        <stp>CPN</stp>
        <stp>[STRIPS.xlsx]Sheet1!R53C3</stp>
        <tr r="C53" s="1"/>
      </tp>
      <tp>
        <v>0</v>
        <stp/>
        <stp>##V3_BDPV12</stp>
        <stp>912834LB Govt</stp>
        <stp>CPN</stp>
        <stp>[STRIPS.xlsx]Sheet1!R73C3</stp>
        <tr r="C73" s="1"/>
      </tp>
      <tp>
        <v>0</v>
        <stp/>
        <stp>##V3_BDPV12</stp>
        <stp>912834PG Govt</stp>
        <stp>CPN</stp>
        <stp>[STRIPS.xlsx]Sheet1!R83C3</stp>
        <tr r="C83" s="1"/>
      </tp>
      <tp>
        <v>0.86699999999999555</v>
        <stp/>
        <stp>##V3_BDPV12</stp>
        <stp>912833LX Govt</stp>
        <stp>YLD_YTM_BID</stp>
        <stp>[STRIPS.xlsx]Sheet1!R10C4</stp>
        <tr r="D10" s="1"/>
      </tp>
      <tp>
        <v>8.099999999999774E-2</v>
        <stp/>
        <stp>##V3_BDPV12</stp>
        <stp>912833LH Govt</stp>
        <stp>YLD_YTM_BID</stp>
        <stp>[STRIPS.xlsx]Sheet1!R40C4</stp>
        <tr r="D40" s="1"/>
      </tp>
      <tp>
        <v>2.0389999999999908</v>
        <stp/>
        <stp>##V3_BDPV12</stp>
        <stp>912833Y4 Govt</stp>
        <stp>YLD_YTM_BID</stp>
        <stp>[STRIPS.xlsx]Sheet1!R60C4</stp>
        <tr r="D60" s="1"/>
      </tp>
      <tp>
        <v>1.6449999999999854</v>
        <stp/>
        <stp>##V3_BDPV12</stp>
        <stp>912833XY Govt</stp>
        <stp>YLD_YTM_BID</stp>
        <stp>[STRIPS.xlsx]Sheet1!R50C4</stp>
        <tr r="D50" s="1"/>
      </tp>
      <tp>
        <v>1.6230000000000189</v>
        <stp/>
        <stp>##V3_BDPV12</stp>
        <stp>912833XU Govt</stp>
        <stp>YLD_YTM_BID</stp>
        <stp>[STRIPS.xlsx]Sheet1!R30C4</stp>
        <tr r="D30" s="1"/>
      </tp>
      <tp>
        <v>1.2900000000000134</v>
        <stp/>
        <stp>##V3_BDPV12</stp>
        <stp>912833QB Govt</stp>
        <stp>YLD_YTM_BID</stp>
        <stp>[STRIPS.xlsx]Sheet1!R20C4</stp>
        <tr r="D20" s="1"/>
      </tp>
      <tp>
        <v>2.1529999999999827</v>
        <stp/>
        <stp>##V3_BDPV12</stp>
        <stp>912834HV Govt</stp>
        <stp>YLD_YTM_BID</stp>
        <stp>[STRIPS.xlsx]Sheet1!R70C4</stp>
        <tr r="D70" s="1"/>
      </tp>
      <tp>
        <v>2.2530000000000161</v>
        <stp/>
        <stp>##V3_BDPV12</stp>
        <stp>912834MM Govt</stp>
        <stp>YLD_YTM_BID</stp>
        <stp>[STRIPS.xlsx]Sheet1!R80C4</stp>
        <tr r="D80" s="1"/>
      </tp>
      <tp>
        <v>2.2580000000000044</v>
        <stp/>
        <stp>##V3_BDPV12</stp>
        <stp>912834TV Govt</stp>
        <stp>YLD_YTM_BID</stp>
        <stp>[STRIPS.xlsx]Sheet1!R90C4</stp>
        <tr r="D90" s="1"/>
      </tp>
      <tp t="s">
        <v>UNITED STATES</v>
        <stp/>
        <stp>##V3_BDPV12</stp>
        <stp>912833LS Govt</stp>
        <stp>COUNTRY_FULL_NAME</stp>
        <stp>[STRIPS.xlsx]Sheet1!R37C8</stp>
        <tr r="H37" s="1"/>
      </tp>
      <tp t="s">
        <v>US912834DV73</v>
        <stp/>
        <stp>##V3_BDPV12</stp>
        <stp>912834DV Govt</stp>
        <stp>ID_ISIN</stp>
        <stp>[STRIPS.xlsx]Sheet1!R127C12</stp>
        <tr r="L127" s="1"/>
      </tp>
      <tp t="s">
        <v>US912834DW56</v>
        <stp/>
        <stp>##V3_BDPV12</stp>
        <stp>912834DW Govt</stp>
        <stp>ID_ISIN</stp>
        <stp>[STRIPS.xlsx]Sheet1!R390C12</stp>
        <tr r="L390" s="1"/>
      </tp>
      <tp t="s">
        <v>912833DG2</v>
        <stp/>
        <stp>##V3_BDPV12</stp>
        <stp>912833DG Govt</stp>
        <stp>ID_CUSIP</stp>
        <stp>[STRIPS.xlsx]Sheet1!R736C19</stp>
        <tr r="S736" s="1"/>
      </tp>
      <tp t="s">
        <v>9128334G2</v>
        <stp/>
        <stp>##V3_BDPV12</stp>
        <stp>9128334G Govt</stp>
        <stp>ID_CUSIP</stp>
        <stp>[STRIPS.xlsx]Sheet1!R709C19</stp>
        <tr r="S709" s="1"/>
      </tp>
      <tp t="s">
        <v>9128332G4</v>
        <stp/>
        <stp>##V3_BDPV12</stp>
        <stp>9128332G Govt</stp>
        <stp>ID_CUSIP</stp>
        <stp>[STRIPS.xlsx]Sheet1!R703C19</stp>
        <tr r="S703" s="1"/>
      </tp>
      <tp t="s">
        <v>912834WG9</v>
        <stp/>
        <stp>##V3_BDPV12</stp>
        <stp>912834WG Govt</stp>
        <stp>ID_CUSIP</stp>
        <stp>[STRIPS.xlsx]Sheet1!R772C19</stp>
        <tr r="S772" s="1"/>
      </tp>
      <tp t="s">
        <v>9128337G9</v>
        <stp/>
        <stp>##V3_BDPV12</stp>
        <stp>9128337G Govt</stp>
        <stp>ID_CUSIP</stp>
        <stp>[STRIPS.xlsx]Sheet1!R716C19</stp>
        <tr r="S716" s="1"/>
      </tp>
      <tp t="s">
        <v>912833FG0</v>
        <stp/>
        <stp>##V3_BDPV12</stp>
        <stp>912833FG Govt</stp>
        <stp>ID_CUSIP</stp>
        <stp>[STRIPS.xlsx]Sheet1!R661C19</stp>
        <tr r="S661" s="1"/>
      </tp>
      <tp t="s">
        <v>912833KG4</v>
        <stp/>
        <stp>##V3_BDPV12</stp>
        <stp>912833KG Govt</stp>
        <stp>ID_CUSIP</stp>
        <stp>[STRIPS.xlsx]Sheet1!R671C19</stp>
        <tr r="S671" s="1"/>
      </tp>
      <tp t="s">
        <v>912833PG9</v>
        <stp/>
        <stp>##V3_BDPV12</stp>
        <stp>912833PG Govt</stp>
        <stp>ID_CUSIP</stp>
        <stp>[STRIPS.xlsx]Sheet1!R679C19</stp>
        <tr r="S679" s="1"/>
      </tp>
      <tp t="s">
        <v>US912834DZ87</v>
        <stp/>
        <stp>##V3_BDPV12</stp>
        <stp>912834DZ Govt</stp>
        <stp>ID_ISIN</stp>
        <stp>[STRIPS.xlsx]Sheet1!R460C12</stp>
        <tr r="L460" s="1"/>
      </tp>
      <tp t="s">
        <v>912833QG8</v>
        <stp/>
        <stp>##V3_BDPV12</stp>
        <stp>912833QG Govt</stp>
        <stp>ID_CUSIP</stp>
        <stp>[STRIPS.xlsx]Sheet1!R685C19</stp>
        <tr r="S685" s="1"/>
      </tp>
      <tp t="s">
        <v>912834EG9</v>
        <stp/>
        <stp>##V3_BDPV12</stp>
        <stp>912834EG Govt</stp>
        <stp>ID_CUSIP</stp>
        <stp>[STRIPS.xlsx]Sheet1!R533C19</stp>
        <tr r="S533" s="1"/>
      </tp>
      <tp t="s">
        <v>912833NG1</v>
        <stp/>
        <stp>##V3_BDPV12</stp>
        <stp>912833NG Govt</stp>
        <stp>ID_CUSIP</stp>
        <stp>[STRIPS.xlsx]Sheet1!R516C19</stp>
        <tr r="S516" s="1"/>
      </tp>
      <tp t="s">
        <v>912833MG2</v>
        <stp/>
        <stp>##V3_BDPV12</stp>
        <stp>912833MG Govt</stp>
        <stp>ID_CUSIP</stp>
        <stp>[STRIPS.xlsx]Sheet1!R514C19</stp>
        <tr r="S514" s="1"/>
      </tp>
      <tp t="s">
        <v>912834BG2</v>
        <stp/>
        <stp>##V3_BDPV12</stp>
        <stp>912834BG Govt</stp>
        <stp>ID_CUSIP</stp>
        <stp>[STRIPS.xlsx]Sheet1!R592C19</stp>
        <tr r="S592" s="1"/>
      </tp>
      <tp t="s">
        <v>912834AG3</v>
        <stp/>
        <stp>##V3_BDPV12</stp>
        <stp>912834AG Govt</stp>
        <stp>ID_CUSIP</stp>
        <stp>[STRIPS.xlsx]Sheet1!R590C19</stp>
        <tr r="S590" s="1"/>
      </tp>
      <tp t="s">
        <v>9128336G0</v>
        <stp/>
        <stp>##V3_BDPV12</stp>
        <stp>9128336G Govt</stp>
        <stp>ID_CUSIP</stp>
        <stp>[STRIPS.xlsx]Sheet1!R494C19</stp>
        <tr r="S494" s="1"/>
      </tp>
      <tp t="s">
        <v>912834LG1</v>
        <stp/>
        <stp>##V3_BDPV12</stp>
        <stp>912834LG Govt</stp>
        <stp>ID_CUSIP</stp>
        <stp>[STRIPS.xlsx]Sheet1!R321C19</stp>
        <tr r="S321" s="1"/>
      </tp>
      <tp t="s">
        <v>US912834DX30</v>
        <stp/>
        <stp>##V3_BDPV12</stp>
        <stp>912834DX Govt</stp>
        <stp>ID_ISIN</stp>
        <stp>[STRIPS.xlsx]Sheet1!R391C12</stp>
        <tr r="L391" s="1"/>
      </tp>
      <tp t="s">
        <v>US912834DY13</v>
        <stp/>
        <stp>##V3_BDPV12</stp>
        <stp>912834DY Govt</stp>
        <stp>ID_ISIN</stp>
        <stp>[STRIPS.xlsx]Sheet1!R264C12</stp>
        <tr r="L264" s="1"/>
      </tp>
      <tp t="s">
        <v>912834QG6</v>
        <stp/>
        <stp>##V3_BDPV12</stp>
        <stp>912834QG Govt</stp>
        <stp>ID_CUSIP</stp>
        <stp>[STRIPS.xlsx]Sheet1!R211C19</stp>
        <tr r="S211" s="1"/>
      </tp>
      <tp t="s">
        <v>912834RG5</v>
        <stp/>
        <stp>##V3_BDPV12</stp>
        <stp>912834RG Govt</stp>
        <stp>ID_CUSIP</stp>
        <stp>[STRIPS.xlsx]Sheet1!R217C19</stp>
        <tr r="S217" s="1"/>
      </tp>
      <tp t="s">
        <v>912834KG2</v>
        <stp/>
        <stp>##V3_BDPV12</stp>
        <stp>912834KG Govt</stp>
        <stp>ID_CUSIP</stp>
        <stp>[STRIPS.xlsx]Sheet1!R230C19</stp>
        <tr r="S230" s="1"/>
      </tp>
      <tp t="s">
        <v>912833RG7</v>
        <stp/>
        <stp>##V3_BDPV12</stp>
        <stp>912833RG Govt</stp>
        <stp>ID_CUSIP</stp>
        <stp>[STRIPS.xlsx]Sheet1!R244C19</stp>
        <tr r="S244" s="1"/>
      </tp>
      <tp t="s">
        <v>912834JG4</v>
        <stp/>
        <stp>##V3_BDPV12</stp>
        <stp>912834JG Govt</stp>
        <stp>ID_CUSIP</stp>
        <stp>[STRIPS.xlsx]Sheet1!R228C19</stp>
        <tr r="S228" s="1"/>
      </tp>
      <tp t="s">
        <v>912833ZG8</v>
        <stp/>
        <stp>##V3_BDPV12</stp>
        <stp>912833ZG Govt</stp>
        <stp>ID_CUSIP</stp>
        <stp>[STRIPS.xlsx]Sheet1!R253C19</stp>
        <tr r="S253" s="1"/>
      </tp>
      <tp t="s">
        <v>912834MG0</v>
        <stp/>
        <stp>##V3_BDPV12</stp>
        <stp>912834MG Govt</stp>
        <stp>ID_CUSIP</stp>
        <stp>[STRIPS.xlsx]Sheet1!R271C19</stp>
        <tr r="S271" s="1"/>
      </tp>
      <tp t="s">
        <v>9128335G1</v>
        <stp/>
        <stp>##V3_BDPV12</stp>
        <stp>9128335G Govt</stp>
        <stp>ID_CUSIP</stp>
        <stp>[STRIPS.xlsx]Sheet1!R286C19</stp>
        <tr r="S286" s="1"/>
      </tp>
      <tp t="s">
        <v>912833CG3</v>
        <stp/>
        <stp>##V3_BDPV12</stp>
        <stp>912833CG Govt</stp>
        <stp>ID_CUSIP</stp>
        <stp>[STRIPS.xlsx]Sheet1!R296C19</stp>
        <tr r="S296" s="1"/>
      </tp>
      <tp t="s">
        <v>912834UG1</v>
        <stp/>
        <stp>##V3_BDPV12</stp>
        <stp>912834UG Govt</stp>
        <stp>ID_CUSIP</stp>
        <stp>[STRIPS.xlsx]Sheet1!R137C19</stp>
        <tr r="S137" s="1"/>
      </tp>
      <tp t="s">
        <v>912834VG0</v>
        <stp/>
        <stp>##V3_BDPV12</stp>
        <stp>912834VG Govt</stp>
        <stp>ID_CUSIP</stp>
        <stp>[STRIPS.xlsx]Sheet1!R160C19</stp>
        <tr r="S160" s="1"/>
      </tp>
      <tp t="s">
        <v>US912833DC10</v>
        <stp/>
        <stp>##V3_BDPV12</stp>
        <stp>912833DC Govt</stp>
        <stp>ID_ISIN</stp>
        <stp>[STRIPS.xlsx]Sheet1!R504C12</stp>
        <tr r="L504" s="1"/>
      </tp>
      <tp t="s">
        <v>US912833DB37</v>
        <stp/>
        <stp>##V3_BDPV12</stp>
        <stp>912833DB Govt</stp>
        <stp>ID_ISIN</stp>
        <stp>[STRIPS.xlsx]Sheet1!R162C12</stp>
        <tr r="L162" s="1"/>
      </tp>
      <tp t="s">
        <v>US912833DD92</v>
        <stp/>
        <stp>##V3_BDPV12</stp>
        <stp>912833DD Govt</stp>
        <stp>ID_ISIN</stp>
        <stp>[STRIPS.xlsx]Sheet1!R659C12</stp>
        <tr r="L659" s="1"/>
      </tp>
      <tp t="s">
        <v>US912833DA53</v>
        <stp/>
        <stp>##V3_BDPV12</stp>
        <stp>912833DA Govt</stp>
        <stp>ID_ISIN</stp>
        <stp>[STRIPS.xlsx]Sheet1!R167C12</stp>
        <tr r="L167" s="1"/>
      </tp>
      <tp t="s">
        <v>US912833DF41</v>
        <stp/>
        <stp>##V3_BDPV12</stp>
        <stp>912833DF Govt</stp>
        <stp>ID_ISIN</stp>
        <stp>[STRIPS.xlsx]Sheet1!R660C12</stp>
        <tr r="L660" s="1"/>
      </tp>
      <tp t="s">
        <v>US912833DG24</v>
        <stp/>
        <stp>##V3_BDPV12</stp>
        <stp>912833DG Govt</stp>
        <stp>ID_ISIN</stp>
        <stp>[STRIPS.xlsx]Sheet1!R736C12</stp>
        <tr r="L736" s="1"/>
      </tp>
      <tp t="s">
        <v>US912833DE75</v>
        <stp/>
        <stp>##V3_BDPV12</stp>
        <stp>912833DE Govt</stp>
        <stp>ID_ISIN</stp>
        <stp>[STRIPS.xlsx]Sheet1!R505C12</stp>
        <tr r="L505" s="1"/>
      </tp>
      <tp t="s">
        <v>US912833DH07</v>
        <stp/>
        <stp>##V3_BDPV12</stp>
        <stp>912833DH Govt</stp>
        <stp>ID_ISIN</stp>
        <stp>[STRIPS.xlsx]Sheet1!R506C12</stp>
        <tr r="L506" s="1"/>
      </tp>
      <tp t="s">
        <v>#N/A Field Not Applicable</v>
        <stp/>
        <stp>##V3_BDPV12</stp>
        <stp>912834WR Govt</stp>
        <stp>COUPON_FREQUENCY_DESCRIPTION</stp>
        <stp>[STRIPS.xlsx]Sheet1!R54C10</stp>
        <tr r="J54" s="1"/>
      </tp>
      <tp t="s">
        <v>#N/A Field Not Applicable</v>
        <stp/>
        <stp>##V3_BDPV12</stp>
        <stp>912833WR Govt</stp>
        <stp>COUPON_FREQUENCY_DESCRIPTION</stp>
        <stp>[STRIPS.xlsx]Sheet1!R52C10</stp>
        <tr r="J52" s="1"/>
      </tp>
      <tp t="s">
        <v>#N/A Field Not Applicable</v>
        <stp/>
        <stp>##V3_BDPV12</stp>
        <stp>912833WQ Govt</stp>
        <stp>COUPON_FREQUENCY_DESCRIPTION</stp>
        <stp>[STRIPS.xlsx]Sheet1!R24C10</stp>
        <tr r="J24" s="1"/>
      </tp>
      <tp t="s">
        <v>#N/A Field Not Applicable</v>
        <stp/>
        <stp>##V3_BDPV12</stp>
        <stp>912834WC Govt</stp>
        <stp>COUPON_FREQUENCY_DESCRIPTION</stp>
        <stp>[STRIPS.xlsx]Sheet1!R78C10</stp>
        <tr r="J78" s="1"/>
      </tp>
      <tp t="s">
        <v>S 0 02/15/45</v>
        <stp/>
        <stp>##V3_BDPV12</stp>
        <stp>912834PH Govt</stp>
        <stp>SECURITY_NAME</stp>
        <stp>[STRIPS.xlsx]Sheet1!R91C16</stp>
        <tr r="P91" s="1"/>
      </tp>
      <tp t="s">
        <v>S 0 05/15/46</v>
        <stp/>
        <stp>##V3_BDPV12</stp>
        <stp>912834QH Govt</stp>
        <stp>SECURITY_NAME</stp>
        <stp>[STRIPS.xlsx]Sheet1!R96C16</stp>
        <tr r="P96" s="1"/>
      </tp>
      <tp t="s">
        <v>S 0 05/15/41</v>
        <stp/>
        <stp>##V3_BDPV12</stp>
        <stp>912834KH Govt</stp>
        <stp>SECURITY_NAME</stp>
        <stp>[STRIPS.xlsx]Sheet1!R56C16</stp>
        <tr r="P56" s="1"/>
      </tp>
      <tp t="s">
        <v>S 0 11/15/40</v>
        <stp/>
        <stp>##V3_BDPV12</stp>
        <stp>912834JH Govt</stp>
        <stp>SECURITY_NAME</stp>
        <stp>[STRIPS.xlsx]Sheet1!R68C16</stp>
        <tr r="P68" s="1"/>
      </tp>
      <tp t="s">
        <v>S 0 05/15/22</v>
        <stp/>
        <stp>##V3_BDPV12</stp>
        <stp>912833LH Govt</stp>
        <stp>SECURITY_NAME</stp>
        <stp>[STRIPS.xlsx]Sheet1!R40C16</stp>
        <tr r="P40" s="1"/>
      </tp>
      <tp t="s">
        <v>#N/A Field Not Applicable</v>
        <stp/>
        <stp>##V3_BDPV12</stp>
        <stp>912834WJ Govt</stp>
        <stp>COUPON_FREQUENCY_DESCRIPTION</stp>
        <stp>[STRIPS.xlsx]Sheet1!R89C10</stp>
        <tr r="J89" s="1"/>
      </tp>
      <tp>
        <v>0</v>
        <stp/>
        <stp>##V3_BDPV12</stp>
        <stp>9128335A Govt</stp>
        <stp>CPN</stp>
        <stp>[STRIPS.xlsx]Sheet1!R42C3</stp>
        <tr r="C42" s="1"/>
      </tp>
      <tp>
        <v>0</v>
        <stp/>
        <stp>##V3_BDPV12</stp>
        <stp>912833LP Govt</stp>
        <stp>CPN</stp>
        <stp>[STRIPS.xlsx]Sheet1!R12C3</stp>
        <tr r="C12" s="1"/>
      </tp>
      <tp>
        <v>0</v>
        <stp/>
        <stp>##V3_BDPV12</stp>
        <stp>912833LU Govt</stp>
        <stp>CPN</stp>
        <stp>[STRIPS.xlsx]Sheet1!R22C3</stp>
        <tr r="C22" s="1"/>
      </tp>
      <tp>
        <v>0</v>
        <stp/>
        <stp>##V3_BDPV12</stp>
        <stp>912833XX Govt</stp>
        <stp>CPN</stp>
        <stp>[STRIPS.xlsx]Sheet1!R62C3</stp>
        <tr r="C62" s="1"/>
      </tp>
      <tp>
        <v>0</v>
        <stp/>
        <stp>##V3_BDPV12</stp>
        <stp>912833WR Govt</stp>
        <stp>CPN</stp>
        <stp>[STRIPS.xlsx]Sheet1!R52C3</stp>
        <tr r="C52" s="1"/>
      </tp>
      <tp t="s">
        <v>UNITED STATES</v>
        <stp/>
        <stp>##V3_BDPV12</stp>
        <stp>912833LL Govt</stp>
        <stp>COUNTRY_FULL_NAME</stp>
        <stp>[STRIPS.xlsx]Sheet1!R36C8</stp>
        <tr r="H36" s="1"/>
      </tp>
      <tp>
        <v>0</v>
        <stp/>
        <stp>##V3_BDPV12</stp>
        <stp>912834MD Govt</stp>
        <stp>CPN</stp>
        <stp>[STRIPS.xlsx]Sheet1!R72C3</stp>
        <tr r="C72" s="1"/>
      </tp>
      <tp>
        <v>0</v>
        <stp/>
        <stp>##V3_BDPV12</stp>
        <stp>912834JB Govt</stp>
        <stp>CPN</stp>
        <stp>[STRIPS.xlsx]Sheet1!R82C3</stp>
        <tr r="C82" s="1"/>
      </tp>
      <tp>
        <v>0</v>
        <stp/>
        <stp>##V3_BDPV12</stp>
        <stp>912834AD Govt</stp>
        <stp>CPN</stp>
        <stp>[STRIPS.xlsx]Sheet1!R92C3</stp>
        <tr r="C92" s="1"/>
      </tp>
      <tp>
        <v>0</v>
        <stp/>
        <stp>##V3_BDPV12</stp>
        <stp>912834XG Govt</stp>
        <stp>CPN</stp>
        <stp>[STRIPS.xlsx]Sheet1!R32C3</stp>
        <tr r="C32" s="1"/>
      </tp>
      <tp>
        <v>1.8470000000000208</v>
        <stp/>
        <stp>##V3_BDPV12</stp>
        <stp>9128334W Govt</stp>
        <stp>YLD_YTM_BID</stp>
        <stp>[STRIPS.xlsx]Sheet1!R61C4</stp>
        <tr r="D61" s="1"/>
      </tp>
      <tp>
        <v>0.64400000000000013</v>
        <stp/>
        <stp>##V3_BDPV12</stp>
        <stp>912833LT Govt</stp>
        <stp>YLD_YTM_BID</stp>
        <stp>[STRIPS.xlsx]Sheet1!R11C4</stp>
        <tr r="D11" s="1"/>
      </tp>
      <tp>
        <v>0.16699999999998383</v>
        <stp/>
        <stp>##V3_BDPV12</stp>
        <stp>912833LK Govt</stp>
        <stp>YLD_YTM_BID</stp>
        <stp>[STRIPS.xlsx]Sheet1!R21C4</stp>
        <tr r="D21" s="1"/>
      </tp>
      <tp>
        <v>1.6910000000000203</v>
        <stp/>
        <stp>##V3_BDPV12</stp>
        <stp>912833XZ Govt</stp>
        <stp>YLD_YTM_BID</stp>
        <stp>[STRIPS.xlsx]Sheet1!R31C4</stp>
        <tr r="D31" s="1"/>
      </tp>
      <tp>
        <v>2.2530000000000161</v>
        <stp/>
        <stp>##V3_BDPV12</stp>
        <stp>912834MZ Govt</stp>
        <stp>YLD_YTM_BID</stp>
        <stp>[STRIPS.xlsx]Sheet1!R71C4</stp>
        <tr r="D71" s="1"/>
      </tp>
      <tp>
        <v>2.2520000000000095</v>
        <stp/>
        <stp>##V3_BDPV12</stp>
        <stp>912834MT Govt</stp>
        <stp>YLD_YTM_BID</stp>
        <stp>[STRIPS.xlsx]Sheet1!R41C4</stp>
        <tr r="D41" s="1"/>
      </tp>
      <tp>
        <v>2.2499999999999964</v>
        <stp/>
        <stp>##V3_BDPV12</stp>
        <stp>912834PH Govt</stp>
        <stp>YLD_YTM_BID</stp>
        <stp>[STRIPS.xlsx]Sheet1!R91C4</stp>
        <tr r="D91" s="1"/>
      </tp>
      <tp>
        <v>2.2050000000000125</v>
        <stp/>
        <stp>##V3_BDPV12</stp>
        <stp>912834VV Govt</stp>
        <stp>YLD_YTM_BID</stp>
        <stp>[STRIPS.xlsx]Sheet1!R51C4</stp>
        <tr r="D51" s="1"/>
      </tp>
      <tp>
        <v>2.2079999999999878</v>
        <stp/>
        <stp>##V3_BDPV12</stp>
        <stp>912834VM Govt</stp>
        <stp>YLD_YTM_BID</stp>
        <stp>[STRIPS.xlsx]Sheet1!R81C4</stp>
        <tr r="D81" s="1"/>
      </tp>
      <tp t="s">
        <v>UNITED STATES</v>
        <stp/>
        <stp>##V3_BDPV12</stp>
        <stp>912833LY Govt</stp>
        <stp>COUNTRY_FULL_NAME</stp>
        <stp>[STRIPS.xlsx]Sheet1!R16C8</stp>
        <tr r="H16" s="1"/>
      </tp>
      <tp t="s">
        <v>US912834ET19</v>
        <stp/>
        <stp>##V3_BDPV12</stp>
        <stp>912834ET Govt</stp>
        <stp>ID_ISIN</stp>
        <stp>[STRIPS.xlsx]Sheet1!R393C12</stp>
        <tr r="L393" s="1"/>
      </tp>
      <tp t="s">
        <v>US912834ER52</v>
        <stp/>
        <stp>##V3_BDPV12</stp>
        <stp>912834ER Govt</stp>
        <stp>ID_ISIN</stp>
        <stp>[STRIPS.xlsx]Sheet1!R596C12</stp>
        <tr r="L596" s="1"/>
      </tp>
      <tp t="s">
        <v>US912834ES36</v>
        <stp/>
        <stp>##V3_BDPV12</stp>
        <stp>912834ES Govt</stp>
        <stp>ID_ISIN</stp>
        <stp>[STRIPS.xlsx]Sheet1!R464C12</stp>
        <tr r="L464" s="1"/>
      </tp>
      <tp t="s">
        <v>US912834EV64</v>
        <stp/>
        <stp>##V3_BDPV12</stp>
        <stp>912834EV Govt</stp>
        <stp>ID_ISIN</stp>
        <stp>[STRIPS.xlsx]Sheet1!R101C12</stp>
        <tr r="L101" s="1"/>
      </tp>
      <tp t="s">
        <v>ZERO</v>
        <stp/>
        <stp>##V3_BDPV12</stp>
        <stp>912834HW Govt</stp>
        <stp>CPN_TYP</stp>
        <stp>[STRIPS.xlsx]Sheet1!R536C11</stp>
        <tr r="K536" s="1"/>
      </tp>
      <tp t="s">
        <v>US912834EU81</v>
        <stp/>
        <stp>##V3_BDPV12</stp>
        <stp>912834EU Govt</stp>
        <stp>ID_ISIN</stp>
        <stp>[STRIPS.xlsx]Sheet1!R175C12</stp>
        <tr r="L175" s="1"/>
      </tp>
      <tp t="s">
        <v>ZERO</v>
        <stp/>
        <stp>##V3_BDPV12</stp>
        <stp>912834HS Govt</stp>
        <stp>CPN_TYP</stp>
        <stp>[STRIPS.xlsx]Sheet1!R396C11</stp>
        <tr r="K396" s="1"/>
      </tp>
      <tp t="s">
        <v>US912834EW48</v>
        <stp/>
        <stp>##V3_BDPV12</stp>
        <stp>912834EW Govt</stp>
        <stp>ID_ISIN</stp>
        <stp>[STRIPS.xlsx]Sheet1!R312C12</stp>
        <tr r="L312" s="1"/>
      </tp>
      <tp t="s">
        <v>ZERO</v>
        <stp/>
        <stp>##V3_BDPV12</stp>
        <stp>912834HU Govt</stp>
        <stp>CPN_TYP</stp>
        <stp>[STRIPS.xlsx]Sheet1!R225C11</stp>
        <tr r="K225" s="1"/>
      </tp>
      <tp t="s">
        <v>ZERO</v>
        <stp/>
        <stp>##V3_BDPV12</stp>
        <stp>912834HR Govt</stp>
        <stp>CPN_TYP</stp>
        <stp>[STRIPS.xlsx]Sheet1!R535C11</stp>
        <tr r="K535" s="1"/>
      </tp>
      <tp t="s">
        <v>ZERO</v>
        <stp/>
        <stp>##V3_BDPV12</stp>
        <stp>912834HT Govt</stp>
        <stp>CPN_TYP</stp>
        <stp>[STRIPS.xlsx]Sheet1!R355C11</stp>
        <tr r="K355" s="1"/>
      </tp>
      <tp t="s">
        <v>US912834EQ79</v>
        <stp/>
        <stp>##V3_BDPV12</stp>
        <stp>912834EQ Govt</stp>
        <stp>ID_ISIN</stp>
        <stp>[STRIPS.xlsx]Sheet1!R311C12</stp>
        <tr r="L311" s="1"/>
      </tp>
      <tp t="s">
        <v>ZERO</v>
        <stp/>
        <stp>##V3_BDPV12</stp>
        <stp>912834HY Govt</stp>
        <stp>CPN_TYP</stp>
        <stp>[STRIPS.xlsx]Sheet1!R226C11</stp>
        <tr r="K226" s="1"/>
      </tp>
      <tp t="s">
        <v>9128335F3</v>
        <stp/>
        <stp>##V3_BDPV12</stp>
        <stp>9128335F Govt</stp>
        <stp>ID_CUSIP</stp>
        <stp>[STRIPS.xlsx]Sheet1!R721C19</stp>
        <tr r="S721" s="1"/>
      </tp>
      <tp t="s">
        <v>9128332F6</v>
        <stp/>
        <stp>##V3_BDPV12</stp>
        <stp>9128332F Govt</stp>
        <stp>ID_CUSIP</stp>
        <stp>[STRIPS.xlsx]Sheet1!R702C19</stp>
        <tr r="S702" s="1"/>
      </tp>
      <tp t="s">
        <v>912834WF1</v>
        <stp/>
        <stp>##V3_BDPV12</stp>
        <stp>912834WF Govt</stp>
        <stp>ID_CUSIP</stp>
        <stp>[STRIPS.xlsx]Sheet1!R770C19</stp>
        <tr r="S770" s="1"/>
      </tp>
      <tp t="s">
        <v>ZERO</v>
        <stp/>
        <stp>##V3_BDPV12</stp>
        <stp>912834HX Govt</stp>
        <stp>CPN_TYP</stp>
        <stp>[STRIPS.xlsx]Sheet1!R356C11</stp>
        <tr r="K356" s="1"/>
      </tp>
      <tp t="s">
        <v>912833GF1</v>
        <stp/>
        <stp>##V3_BDPV12</stp>
        <stp>912833GF Govt</stp>
        <stp>ID_CUSIP</stp>
        <stp>[STRIPS.xlsx]Sheet1!R667C19</stp>
        <tr r="S667" s="1"/>
      </tp>
      <tp t="s">
        <v>912833DF4</v>
        <stp/>
        <stp>##V3_BDPV12</stp>
        <stp>912833DF Govt</stp>
        <stp>ID_CUSIP</stp>
        <stp>[STRIPS.xlsx]Sheet1!R660C19</stp>
        <tr r="S660" s="1"/>
      </tp>
      <tp t="s">
        <v>912833PF1</v>
        <stp/>
        <stp>##V3_BDPV12</stp>
        <stp>912833PF Govt</stp>
        <stp>ID_CUSIP</stp>
        <stp>[STRIPS.xlsx]Sheet1!R678C19</stp>
        <tr r="S678" s="1"/>
      </tp>
      <tp t="s">
        <v>912833CF5</v>
        <stp/>
        <stp>##V3_BDPV12</stp>
        <stp>912833CF Govt</stp>
        <stp>ID_CUSIP</stp>
        <stp>[STRIPS.xlsx]Sheet1!R655C19</stp>
        <tr r="S655" s="1"/>
      </tp>
      <tp t="s">
        <v>912834JF6</v>
        <stp/>
        <stp>##V3_BDPV12</stp>
        <stp>912834JF Govt</stp>
        <stp>ID_CUSIP</stp>
        <stp>[STRIPS.xlsx]Sheet1!R647C19</stp>
        <tr r="S647" s="1"/>
      </tp>
      <tp t="s">
        <v>9128334F4</v>
        <stp/>
        <stp>##V3_BDPV12</stp>
        <stp>9128334F Govt</stp>
        <stp>ID_CUSIP</stp>
        <stp>[STRIPS.xlsx]Sheet1!R604C19</stp>
        <tr r="S604" s="1"/>
      </tp>
      <tp t="s">
        <v>912833FF2</v>
        <stp/>
        <stp>##V3_BDPV12</stp>
        <stp>912833FF Govt</stp>
        <stp>ID_CUSIP</stp>
        <stp>[STRIPS.xlsx]Sheet1!R618C19</stp>
        <tr r="S618" s="1"/>
      </tp>
      <tp t="s">
        <v>912833QF0</v>
        <stp/>
        <stp>##V3_BDPV12</stp>
        <stp>912833QF Govt</stp>
        <stp>ID_CUSIP</stp>
        <stp>[STRIPS.xlsx]Sheet1!R684C19</stp>
        <tr r="S684" s="1"/>
      </tp>
      <tp t="s">
        <v>912834RF7</v>
        <stp/>
        <stp>##V3_BDPV12</stp>
        <stp>912834RF Govt</stp>
        <stp>ID_CUSIP</stp>
        <stp>[STRIPS.xlsx]Sheet1!R551C19</stp>
        <tr r="S551" s="1"/>
      </tp>
      <tp t="s">
        <v>912833RF9</v>
        <stp/>
        <stp>##V3_BDPV12</stp>
        <stp>912833RF Govt</stp>
        <stp>ID_CUSIP</stp>
        <stp>[STRIPS.xlsx]Sheet1!R522C19</stp>
        <tr r="S522" s="1"/>
      </tp>
      <tp t="s">
        <v>912834EF1</v>
        <stp/>
        <stp>##V3_BDPV12</stp>
        <stp>912834EF Govt</stp>
        <stp>ID_CUSIP</stp>
        <stp>[STRIPS.xlsx]Sheet1!R594C19</stp>
        <tr r="S594" s="1"/>
      </tp>
      <tp t="s">
        <v>912833ZF0</v>
        <stp/>
        <stp>##V3_BDPV12</stp>
        <stp>912833ZF Govt</stp>
        <stp>ID_CUSIP</stp>
        <stp>[STRIPS.xlsx]Sheet1!R587C19</stp>
        <tr r="S587" s="1"/>
      </tp>
      <tp t="s">
        <v>912834PF9</v>
        <stp/>
        <stp>##V3_BDPV12</stp>
        <stp>912834PF Govt</stp>
        <stp>ID_CUSIP</stp>
        <stp>[STRIPS.xlsx]Sheet1!R411C19</stp>
        <tr r="S411" s="1"/>
      </tp>
      <tp t="s">
        <v>912833NF3</v>
        <stp/>
        <stp>##V3_BDPV12</stp>
        <stp>912833NF Govt</stp>
        <stp>ID_CUSIP</stp>
        <stp>[STRIPS.xlsx]Sheet1!R447C19</stp>
        <tr r="S447" s="1"/>
      </tp>
      <tp t="s">
        <v>ZERO</v>
        <stp/>
        <stp>##V3_BDPV12</stp>
        <stp>912834HZ Govt</stp>
        <stp>CPN_TYP</stp>
        <stp>[STRIPS.xlsx]Sheet1!R265C11</stp>
        <tr r="K265" s="1"/>
      </tp>
      <tp t="s">
        <v>912834AF5</v>
        <stp/>
        <stp>##V3_BDPV12</stp>
        <stp>912834AF Govt</stp>
        <stp>ID_CUSIP</stp>
        <stp>[STRIPS.xlsx]Sheet1!R456C19</stp>
        <tr r="S456" s="1"/>
      </tp>
      <tp t="s">
        <v>912833KF6</v>
        <stp/>
        <stp>##V3_BDPV12</stp>
        <stp>912833KF Govt</stp>
        <stp>ID_CUSIP</stp>
        <stp>[STRIPS.xlsx]Sheet1!R368C19</stp>
        <tr r="S368" s="1"/>
      </tp>
      <tp t="s">
        <v>912834LF3</v>
        <stp/>
        <stp>##V3_BDPV12</stp>
        <stp>912834LF Govt</stp>
        <stp>ID_CUSIP</stp>
        <stp>[STRIPS.xlsx]Sheet1!R320C19</stp>
        <tr r="S320" s="1"/>
      </tp>
      <tp t="s">
        <v>912834BF4</v>
        <stp/>
        <stp>##V3_BDPV12</stp>
        <stp>912834BF Govt</stp>
        <stp>ID_CUSIP</stp>
        <stp>[STRIPS.xlsx]Sheet1!R350C19</stp>
        <tr r="S350" s="1"/>
      </tp>
      <tp t="s">
        <v>912833MF4</v>
        <stp/>
        <stp>##V3_BDPV12</stp>
        <stp>912833MF Govt</stp>
        <stp>ID_CUSIP</stp>
        <stp>[STRIPS.xlsx]Sheet1!R305C19</stp>
        <tr r="S305" s="1"/>
      </tp>
      <tp t="s">
        <v>US912834EX21</v>
        <stp/>
        <stp>##V3_BDPV12</stp>
        <stp>912834EX Govt</stp>
        <stp>ID_ISIN</stp>
        <stp>[STRIPS.xlsx]Sheet1!R354C12</stp>
        <tr r="L354" s="1"/>
      </tp>
      <tp t="s">
        <v>912834VF2</v>
        <stp/>
        <stp>##V3_BDPV12</stp>
        <stp>912834VF Govt</stp>
        <stp>ID_CUSIP</stp>
        <stp>[STRIPS.xlsx]Sheet1!R219C19</stp>
        <tr r="S219" s="1"/>
      </tp>
      <tp t="s">
        <v>912834KF4</v>
        <stp/>
        <stp>##V3_BDPV12</stp>
        <stp>912834KF Govt</stp>
        <stp>ID_CUSIP</stp>
        <stp>[STRIPS.xlsx]Sheet1!R229C19</stp>
        <tr r="S229" s="1"/>
      </tp>
      <tp t="s">
        <v>912834QF8</v>
        <stp/>
        <stp>##V3_BDPV12</stp>
        <stp>912834QF Govt</stp>
        <stp>ID_CUSIP</stp>
        <stp>[STRIPS.xlsx]Sheet1!R277C19</stp>
        <tr r="S277" s="1"/>
      </tp>
      <tp t="s">
        <v>9128336F2</v>
        <stp/>
        <stp>##V3_BDPV12</stp>
        <stp>9128336F Govt</stp>
        <stp>ID_CUSIP</stp>
        <stp>[STRIPS.xlsx]Sheet1!R288C19</stp>
        <tr r="S288" s="1"/>
      </tp>
      <tp t="s">
        <v>US912834EY04</v>
        <stp/>
        <stp>##V3_BDPV12</stp>
        <stp>912834EY Govt</stp>
        <stp>ID_ISIN</stp>
        <stp>[STRIPS.xlsx]Sheet1!R313C12</stp>
        <tr r="L313" s="1"/>
      </tp>
      <tp t="s">
        <v>912834UF3</v>
        <stp/>
        <stp>##V3_BDPV12</stp>
        <stp>912834UF Govt</stp>
        <stp>ID_CUSIP</stp>
        <stp>[STRIPS.xlsx]Sheet1!R147C19</stp>
        <tr r="S147" s="1"/>
      </tp>
      <tp t="s">
        <v>US912834EZ78</v>
        <stp/>
        <stp>##V3_BDPV12</stp>
        <stp>912834EZ Govt</stp>
        <stp>ID_ISIN</stp>
        <stp>[STRIPS.xlsx]Sheet1!R394C12</stp>
        <tr r="L394" s="1"/>
      </tp>
      <tp t="s">
        <v>912834XF0</v>
        <stp/>
        <stp>##V3_BDPV12</stp>
        <stp>912834XF Govt</stp>
        <stp>ID_CUSIP</stp>
        <stp>[STRIPS.xlsx]Sheet1!R187C19</stp>
        <tr r="S187" s="1"/>
      </tp>
      <tp t="s">
        <v>US912834EC83</v>
        <stp/>
        <stp>##V3_BDPV12</stp>
        <stp>912834EC Govt</stp>
        <stp>ID_ISIN</stp>
        <stp>[STRIPS.xlsx]Sheet1!R461C12</stp>
        <tr r="L461" s="1"/>
      </tp>
      <tp t="s">
        <v>US912834EA28</v>
        <stp/>
        <stp>##V3_BDPV12</stp>
        <stp>912834EA Govt</stp>
        <stp>ID_ISIN</stp>
        <stp>[STRIPS.xlsx]Sheet1!R593C12</stp>
        <tr r="L593" s="1"/>
      </tp>
      <tp t="s">
        <v>US912834EB01</v>
        <stp/>
        <stp>##V3_BDPV12</stp>
        <stp>912834EB Govt</stp>
        <stp>ID_ISIN</stp>
        <stp>[STRIPS.xlsx]Sheet1!R644C12</stp>
        <tr r="L644" s="1"/>
      </tp>
      <tp t="s">
        <v>US912834EF15</v>
        <stp/>
        <stp>##V3_BDPV12</stp>
        <stp>912834EF Govt</stp>
        <stp>ID_ISIN</stp>
        <stp>[STRIPS.xlsx]Sheet1!R594C12</stp>
        <tr r="L594" s="1"/>
      </tp>
      <tp t="s">
        <v>US912834ED66</v>
        <stp/>
        <stp>##V3_BDPV12</stp>
        <stp>912834ED Govt</stp>
        <stp>ID_ISIN</stp>
        <stp>[STRIPS.xlsx]Sheet1!R645C12</stp>
        <tr r="L645" s="1"/>
      </tp>
      <tp t="s">
        <v>US912834EG97</v>
        <stp/>
        <stp>##V3_BDPV12</stp>
        <stp>912834EG Govt</stp>
        <stp>ID_ISIN</stp>
        <stp>[STRIPS.xlsx]Sheet1!R533C12</stp>
        <tr r="L533" s="1"/>
      </tp>
      <tp t="s">
        <v>US912834EE40</v>
        <stp/>
        <stp>##V3_BDPV12</stp>
        <stp>912834EE Govt</stp>
        <stp>ID_ISIN</stp>
        <stp>[STRIPS.xlsx]Sheet1!R532C12</stp>
        <tr r="L532" s="1"/>
      </tp>
      <tp t="s">
        <v>US912834EJ37</v>
        <stp/>
        <stp>##V3_BDPV12</stp>
        <stp>912834EJ Govt</stp>
        <stp>ID_ISIN</stp>
        <stp>[STRIPS.xlsx]Sheet1!R595C12</stp>
        <tr r="L595" s="1"/>
      </tp>
      <tp t="s">
        <v>US912834EN49</v>
        <stp/>
        <stp>##V3_BDPV12</stp>
        <stp>912834EN Govt</stp>
        <stp>ID_ISIN</stp>
        <stp>[STRIPS.xlsx]Sheet1!R310C12</stp>
        <tr r="L310" s="1"/>
      </tp>
      <tp t="s">
        <v>US912834EH70</v>
        <stp/>
        <stp>##V3_BDPV12</stp>
        <stp>912834EH Govt</stp>
        <stp>ID_ISIN</stp>
        <stp>[STRIPS.xlsx]Sheet1!R309C12</stp>
        <tr r="L309" s="1"/>
      </tp>
      <tp t="s">
        <v>US912834EM65</v>
        <stp/>
        <stp>##V3_BDPV12</stp>
        <stp>912834EM Govt</stp>
        <stp>ID_ISIN</stp>
        <stp>[STRIPS.xlsx]Sheet1!R463C12</stp>
        <tr r="L463" s="1"/>
      </tp>
      <tp t="s">
        <v>US912834EK00</v>
        <stp/>
        <stp>##V3_BDPV12</stp>
        <stp>912834EK Govt</stp>
        <stp>ID_ISIN</stp>
        <stp>[STRIPS.xlsx]Sheet1!R392C12</stp>
        <tr r="L392" s="1"/>
      </tp>
      <tp t="s">
        <v>US912834EL82</v>
        <stp/>
        <stp>##V3_BDPV12</stp>
        <stp>912834EL Govt</stp>
        <stp>ID_ISIN</stp>
        <stp>[STRIPS.xlsx]Sheet1!R462C12</stp>
        <tr r="L462" s="1"/>
      </tp>
      <tp t="s">
        <v>#N/A Field Not Applicable</v>
        <stp/>
        <stp>##V3_BDPV12</stp>
        <stp>912834VV Govt</stp>
        <stp>COUPON_FREQUENCY_DESCRIPTION</stp>
        <stp>[STRIPS.xlsx]Sheet1!R51C10</stp>
        <tr r="J51" s="1"/>
      </tp>
      <tp t="s">
        <v>#N/A Field Not Applicable</v>
        <stp/>
        <stp>##V3_BDPV12</stp>
        <stp>912834VM Govt</stp>
        <stp>COUPON_FREQUENCY_DESCRIPTION</stp>
        <stp>[STRIPS.xlsx]Sheet1!R81C10</stp>
        <tr r="J81" s="1"/>
      </tp>
      <tp>
        <v>0</v>
        <stp/>
        <stp>##V3_BDPV12</stp>
        <stp>9128334W Govt</stp>
        <stp>CPN</stp>
        <stp>[STRIPS.xlsx]Sheet1!R61C3</stp>
        <tr r="C61" s="1"/>
      </tp>
      <tp>
        <v>0</v>
        <stp/>
        <stp>##V3_BDPV12</stp>
        <stp>912833LT Govt</stp>
        <stp>CPN</stp>
        <stp>[STRIPS.xlsx]Sheet1!R11C3</stp>
        <tr r="C11" s="1"/>
      </tp>
      <tp>
        <v>0</v>
        <stp/>
        <stp>##V3_BDPV12</stp>
        <stp>912833LK Govt</stp>
        <stp>CPN</stp>
        <stp>[STRIPS.xlsx]Sheet1!R21C3</stp>
        <tr r="C21" s="1"/>
      </tp>
      <tp>
        <v>0</v>
        <stp/>
        <stp>##V3_BDPV12</stp>
        <stp>912833XZ Govt</stp>
        <stp>CPN</stp>
        <stp>[STRIPS.xlsx]Sheet1!R31C3</stp>
        <tr r="C31" s="1"/>
      </tp>
      <tp>
        <v>0</v>
        <stp/>
        <stp>##V3_BDPV12</stp>
        <stp>912834MZ Govt</stp>
        <stp>CPN</stp>
        <stp>[STRIPS.xlsx]Sheet1!R71C3</stp>
        <tr r="C71" s="1"/>
      </tp>
      <tp>
        <v>0</v>
        <stp/>
        <stp>##V3_BDPV12</stp>
        <stp>912834MT Govt</stp>
        <stp>CPN</stp>
        <stp>[STRIPS.xlsx]Sheet1!R41C3</stp>
        <tr r="C41" s="1"/>
      </tp>
      <tp>
        <v>0</v>
        <stp/>
        <stp>##V3_BDPV12</stp>
        <stp>912834VV Govt</stp>
        <stp>CPN</stp>
        <stp>[STRIPS.xlsx]Sheet1!R51C3</stp>
        <tr r="C51" s="1"/>
      </tp>
      <tp>
        <v>0</v>
        <stp/>
        <stp>##V3_BDPV12</stp>
        <stp>912834VM Govt</stp>
        <stp>CPN</stp>
        <stp>[STRIPS.xlsx]Sheet1!R81C3</stp>
        <tr r="C81" s="1"/>
      </tp>
      <tp>
        <v>0</v>
        <stp/>
        <stp>##V3_BDPV12</stp>
        <stp>912834PH Govt</stp>
        <stp>CPN</stp>
        <stp>[STRIPS.xlsx]Sheet1!R91C3</stp>
        <tr r="C91" s="1"/>
      </tp>
      <tp>
        <v>1.9429999999999836</v>
        <stp/>
        <stp>##V3_BDPV12</stp>
        <stp>9128335A Govt</stp>
        <stp>YLD_YTM_BID</stp>
        <stp>[STRIPS.xlsx]Sheet1!R42C4</stp>
        <tr r="D42" s="1"/>
      </tp>
      <tp>
        <v>0.34499999999999531</v>
        <stp/>
        <stp>##V3_BDPV12</stp>
        <stp>912833LP Govt</stp>
        <stp>YLD_YTM_BID</stp>
        <stp>[STRIPS.xlsx]Sheet1!R12C4</stp>
        <tr r="D12" s="1"/>
      </tp>
      <tp>
        <v>0.67800000000000082</v>
        <stp/>
        <stp>##V3_BDPV12</stp>
        <stp>912833LU Govt</stp>
        <stp>YLD_YTM_BID</stp>
        <stp>[STRIPS.xlsx]Sheet1!R22C4</stp>
        <tr r="D22" s="1"/>
      </tp>
      <tp>
        <v>1.601000000000008</v>
        <stp/>
        <stp>##V3_BDPV12</stp>
        <stp>912833XX Govt</stp>
        <stp>YLD_YTM_BID</stp>
        <stp>[STRIPS.xlsx]Sheet1!R62C4</stp>
        <tr r="D62" s="1"/>
      </tp>
      <tp>
        <v>1.4310000000000045</v>
        <stp/>
        <stp>##V3_BDPV12</stp>
        <stp>912833WR Govt</stp>
        <stp>YLD_YTM_BID</stp>
        <stp>[STRIPS.xlsx]Sheet1!R52C4</stp>
        <tr r="D52" s="1"/>
      </tp>
      <tp>
        <v>2.1630000000000038</v>
        <stp/>
        <stp>##V3_BDPV12</stp>
        <stp>912834JB Govt</stp>
        <stp>YLD_YTM_BID</stp>
        <stp>[STRIPS.xlsx]Sheet1!R82C4</stp>
        <tr r="D82" s="1"/>
      </tp>
      <tp>
        <v>2.2569999999999979</v>
        <stp/>
        <stp>##V3_BDPV12</stp>
        <stp>912834MD Govt</stp>
        <stp>YLD_YTM_BID</stp>
        <stp>[STRIPS.xlsx]Sheet1!R72C4</stp>
        <tr r="D72" s="1"/>
      </tp>
      <tp>
        <v>2.0630000000000148</v>
        <stp/>
        <stp>##V3_BDPV12</stp>
        <stp>912834AD Govt</stp>
        <stp>YLD_YTM_BID</stp>
        <stp>[STRIPS.xlsx]Sheet1!R92C4</stp>
        <tr r="D92" s="1"/>
      </tp>
      <tp>
        <v>2.1640000000000104</v>
        <stp/>
        <stp>##V3_BDPV12</stp>
        <stp>912834XG Govt</stp>
        <stp>YLD_YTM_BID</stp>
        <stp>[STRIPS.xlsx]Sheet1!R32C4</stp>
        <tr r="D32" s="1"/>
      </tp>
      <tp t="s">
        <v>UNITED STATES</v>
        <stp/>
        <stp>##V3_BDPV12</stp>
        <stp>912834LR Govt</stp>
        <stp>COUNTRY_FULL_NAME</stp>
        <stp>[STRIPS.xlsx]Sheet1!R95C8</stp>
        <tr r="H95" s="1"/>
      </tp>
      <tp t="s">
        <v>ZERO</v>
        <stp/>
        <stp>##V3_BDPV12</stp>
        <stp>912834KW Govt</stp>
        <stp>CPN_TYP</stp>
        <stp>[STRIPS.xlsx]Sheet1!R470C11</stp>
        <tr r="K470" s="1"/>
      </tp>
      <tp t="s">
        <v>US912833FQ87</v>
        <stp/>
        <stp>##V3_BDPV12</stp>
        <stp>912833FQ Govt</stp>
        <stp>ID_ISIN</stp>
        <stp>[STRIPS.xlsx]Sheet1!R620C12</stp>
        <tr r="L620" s="1"/>
      </tp>
      <tp t="s">
        <v>ZERO</v>
        <stp/>
        <stp>##V3_BDPV12</stp>
        <stp>912834KQ Govt</stp>
        <stp>CPN_TYP</stp>
        <stp>[STRIPS.xlsx]Sheet1!R318C11</stp>
        <tr r="K318" s="1"/>
      </tp>
      <tp t="s">
        <v>ZERO</v>
        <stp/>
        <stp>##V3_BDPV12</stp>
        <stp>912833KS Govt</stp>
        <stp>CPN_TYP</stp>
        <stp>[STRIPS.xlsx]Sheet1!R176C11</stp>
        <tr r="K176" s="1"/>
      </tp>
      <tp t="s">
        <v>US912833FP05</v>
        <stp/>
        <stp>##V3_BDPV12</stp>
        <stp>912833FP Govt</stp>
        <stp>ID_ISIN</stp>
        <stp>[STRIPS.xlsx]Sheet1!R664C12</stp>
        <tr r="L664" s="1"/>
      </tp>
      <tp t="s">
        <v>US912833FS44</v>
        <stp/>
        <stp>##V3_BDPV12</stp>
        <stp>912833FS Govt</stp>
        <stp>ID_ISIN</stp>
        <stp>[STRIPS.xlsx]Sheet1!R508C12</stp>
        <tr r="L508" s="1"/>
      </tp>
      <tp t="s">
        <v>ZERO</v>
        <stp/>
        <stp>##V3_BDPV12</stp>
        <stp>912834KU Govt</stp>
        <stp>CPN_TYP</stp>
        <stp>[STRIPS.xlsx]Sheet1!R401C11</stp>
        <tr r="K401" s="1"/>
      </tp>
      <tp t="s">
        <v>ZERO</v>
        <stp/>
        <stp>##V3_BDPV12</stp>
        <stp>912834KS Govt</stp>
        <stp>CPN_TYP</stp>
        <stp>[STRIPS.xlsx]Sheet1!R268C11</stp>
        <tr r="K268" s="1"/>
      </tp>
      <tp t="s">
        <v>ZERO</v>
        <stp/>
        <stp>##V3_BDPV12</stp>
        <stp>912833KV Govt</stp>
        <stp>CPN_TYP</stp>
        <stp>[STRIPS.xlsx]Sheet1!R742C11</stp>
        <tr r="K742" s="1"/>
      </tp>
      <tp t="s">
        <v>ZERO</v>
        <stp/>
        <stp>##V3_BDPV12</stp>
        <stp>912833KU Govt</stp>
        <stp>CPN_TYP</stp>
        <stp>[STRIPS.xlsx]Sheet1!R444C11</stp>
        <tr r="K444" s="1"/>
      </tp>
      <tp t="s">
        <v>ZERO</v>
        <stp/>
        <stp>##V3_BDPV12</stp>
        <stp>912834KT Govt</stp>
        <stp>CPN_TYP</stp>
        <stp>[STRIPS.xlsx]Sheet1!R319C11</stp>
        <tr r="K319" s="1"/>
      </tp>
      <tp t="s">
        <v>US912833FV72</v>
        <stp/>
        <stp>##V3_BDPV12</stp>
        <stp>912833FV Govt</stp>
        <stp>ID_ISIN</stp>
        <stp>[STRIPS.xlsx]Sheet1!R510C12</stp>
        <tr r="L510" s="1"/>
      </tp>
      <tp t="s">
        <v>ZERO</v>
        <stp/>
        <stp>##V3_BDPV12</stp>
        <stp>912833KP Govt</stp>
        <stp>CPN_TYP</stp>
        <stp>[STRIPS.xlsx]Sheet1!R623C11</stp>
        <tr r="K623" s="1"/>
      </tp>
      <tp t="s">
        <v>ZERO</v>
        <stp/>
        <stp>##V3_BDPV12</stp>
        <stp>912834KR Govt</stp>
        <stp>CPN_TYP</stp>
        <stp>[STRIPS.xlsx]Sheet1!R400C11</stp>
        <tr r="K400" s="1"/>
      </tp>
      <tp t="s">
        <v>ZERO</v>
        <stp/>
        <stp>##V3_BDPV12</stp>
        <stp>912833KW Govt</stp>
        <stp>CPN_TYP</stp>
        <stp>[STRIPS.xlsx]Sheet1!R177C11</stp>
        <tr r="K177" s="1"/>
      </tp>
      <tp t="s">
        <v>ZERO</v>
        <stp/>
        <stp>##V3_BDPV12</stp>
        <stp>912833KR Govt</stp>
        <stp>CPN_TYP</stp>
        <stp>[STRIPS.xlsx]Sheet1!R443C11</stp>
        <tr r="K443" s="1"/>
      </tp>
      <tp t="s">
        <v>US912833FT27</v>
        <stp/>
        <stp>##V3_BDPV12</stp>
        <stp>912833FT Govt</stp>
        <stp>ID_ISIN</stp>
        <stp>[STRIPS.xlsx]Sheet1!R621C12</stp>
        <tr r="L621" s="1"/>
      </tp>
      <tp t="s">
        <v>ZERO</v>
        <stp/>
        <stp>##V3_BDPV12</stp>
        <stp>912833KT Govt</stp>
        <stp>CPN_TYP</stp>
        <stp>[STRIPS.xlsx]Sheet1!R161C11</stp>
        <tr r="K161" s="1"/>
      </tp>
      <tp t="s">
        <v>US912833FR60</v>
        <stp/>
        <stp>##V3_BDPV12</stp>
        <stp>912833FR Govt</stp>
        <stp>ID_ISIN</stp>
        <stp>[STRIPS.xlsx]Sheet1!R364C12</stp>
        <tr r="L364" s="1"/>
      </tp>
      <tp t="s">
        <v>ZERO</v>
        <stp/>
        <stp>##V3_BDPV12</stp>
        <stp>912833KQ Govt</stp>
        <stp>CPN_TYP</stp>
        <stp>[STRIPS.xlsx]Sheet1!R566C11</stp>
        <tr r="K566" s="1"/>
      </tp>
      <tp t="s">
        <v>US912833FW55</v>
        <stp/>
        <stp>##V3_BDPV12</stp>
        <stp>912833FW Govt</stp>
        <stp>ID_ISIN</stp>
        <stp>[STRIPS.xlsx]Sheet1!R739C12</stp>
        <tr r="L739" s="1"/>
      </tp>
      <tp t="s">
        <v>US912833FU99</v>
        <stp/>
        <stp>##V3_BDPV12</stp>
        <stp>912833FU Govt</stp>
        <stp>ID_ISIN</stp>
        <stp>[STRIPS.xlsx]Sheet1!R509C12</stp>
        <tr r="L509" s="1"/>
      </tp>
      <tp t="s">
        <v>9128335E6</v>
        <stp/>
        <stp>##V3_BDPV12</stp>
        <stp>9128335E Govt</stp>
        <stp>ID_CUSIP</stp>
        <stp>[STRIPS.xlsx]Sheet1!R745C19</stp>
        <tr r="S745" s="1"/>
      </tp>
      <tp t="s">
        <v>9128336E5</v>
        <stp/>
        <stp>##V3_BDPV12</stp>
        <stp>9128336E Govt</stp>
        <stp>ID_CUSIP</stp>
        <stp>[STRIPS.xlsx]Sheet1!R728C19</stp>
        <tr r="S728" s="1"/>
      </tp>
      <tp t="s">
        <v>9128334E7</v>
        <stp/>
        <stp>##V3_BDPV12</stp>
        <stp>9128334E Govt</stp>
        <stp>ID_CUSIP</stp>
        <stp>[STRIPS.xlsx]Sheet1!R708C19</stp>
        <tr r="S708" s="1"/>
      </tp>
      <tp t="s">
        <v>ZERO</v>
        <stp/>
        <stp>##V3_BDPV12</stp>
        <stp>912833KZ Govt</stp>
        <stp>CPN_TYP</stp>
        <stp>[STRIPS.xlsx]Sheet1!R152C11</stp>
        <tr r="K152" s="1"/>
      </tp>
      <tp t="s">
        <v>US912833FY12</v>
        <stp/>
        <stp>##V3_BDPV12</stp>
        <stp>912833FY Govt</stp>
        <stp>ID_ISIN</stp>
        <stp>[STRIPS.xlsx]Sheet1!R665C12</stp>
        <tr r="L665" s="1"/>
      </tp>
      <tp t="s">
        <v>US912833FZ86</v>
        <stp/>
        <stp>##V3_BDPV12</stp>
        <stp>912833FZ Govt</stp>
        <stp>ID_ISIN</stp>
        <stp>[STRIPS.xlsx]Sheet1!R511C12</stp>
        <tr r="L511" s="1"/>
      </tp>
      <tp t="s">
        <v>912833KE9</v>
        <stp/>
        <stp>##V3_BDPV12</stp>
        <stp>912833KE Govt</stp>
        <stp>ID_CUSIP</stp>
        <stp>[STRIPS.xlsx]Sheet1!R670C19</stp>
        <tr r="S670" s="1"/>
      </tp>
      <tp t="s">
        <v>912834JE9</v>
        <stp/>
        <stp>##V3_BDPV12</stp>
        <stp>912834JE Govt</stp>
        <stp>ID_CUSIP</stp>
        <stp>[STRIPS.xlsx]Sheet1!R646C19</stp>
        <tr r="S646" s="1"/>
      </tp>
      <tp t="s">
        <v>US912833FX39</v>
        <stp/>
        <stp>##V3_BDPV12</stp>
        <stp>912833FX Govt</stp>
        <stp>ID_ISIN</stp>
        <stp>[STRIPS.xlsx]Sheet1!R622C12</stp>
        <tr r="L622" s="1"/>
      </tp>
      <tp t="s">
        <v>912833RE2</v>
        <stp/>
        <stp>##V3_BDPV12</stp>
        <stp>912833RE Govt</stp>
        <stp>ID_CUSIP</stp>
        <stp>[STRIPS.xlsx]Sheet1!R691C19</stp>
        <tr r="S691" s="1"/>
      </tp>
      <tp t="s">
        <v>912833ME7</v>
        <stp/>
        <stp>##V3_BDPV12</stp>
        <stp>912833ME Govt</stp>
        <stp>ID_CUSIP</stp>
        <stp>[STRIPS.xlsx]Sheet1!R567C19</stp>
        <tr r="S567" s="1"/>
      </tp>
      <tp t="s">
        <v>912833NE6</v>
        <stp/>
        <stp>##V3_BDPV12</stp>
        <stp>912833NE Govt</stp>
        <stp>ID_CUSIP</stp>
        <stp>[STRIPS.xlsx]Sheet1!R571C19</stp>
        <tr r="S571" s="1"/>
      </tp>
      <tp t="s">
        <v>912834BE7</v>
        <stp/>
        <stp>##V3_BDPV12</stp>
        <stp>912834BE Govt</stp>
        <stp>ID_CUSIP</stp>
        <stp>[STRIPS.xlsx]Sheet1!R530C19</stp>
        <tr r="S530" s="1"/>
      </tp>
      <tp t="s">
        <v>912834EE4</v>
        <stp/>
        <stp>##V3_BDPV12</stp>
        <stp>912834EE Govt</stp>
        <stp>ID_CUSIP</stp>
        <stp>[STRIPS.xlsx]Sheet1!R532C19</stp>
        <tr r="S532" s="1"/>
      </tp>
      <tp t="s">
        <v>912834NE4</v>
        <stp/>
        <stp>##V3_BDPV12</stp>
        <stp>912834NE Govt</stp>
        <stp>ID_CUSIP</stp>
        <stp>[STRIPS.xlsx]Sheet1!R546C19</stp>
        <tr r="S546" s="1"/>
      </tp>
      <tp t="s">
        <v>912833DE7</v>
        <stp/>
        <stp>##V3_BDPV12</stp>
        <stp>912833DE Govt</stp>
        <stp>ID_CUSIP</stp>
        <stp>[STRIPS.xlsx]Sheet1!R505C19</stp>
        <tr r="S505" s="1"/>
      </tp>
      <tp t="s">
        <v>ZERO</v>
        <stp/>
        <stp>##V3_BDPV12</stp>
        <stp>912833KX Govt</stp>
        <stp>CPN_TYP</stp>
        <stp>[STRIPS.xlsx]Sheet1!R157C11</stp>
        <tr r="K157" s="1"/>
      </tp>
      <tp t="s">
        <v>9128332E9</v>
        <stp/>
        <stp>##V3_BDPV12</stp>
        <stp>9128332E Govt</stp>
        <stp>ID_CUSIP</stp>
        <stp>[STRIPS.xlsx]Sheet1!R597C19</stp>
        <tr r="S597" s="1"/>
      </tp>
      <tp t="s">
        <v>912833GE4</v>
        <stp/>
        <stp>##V3_BDPV12</stp>
        <stp>912833GE Govt</stp>
        <stp>ID_CUSIP</stp>
        <stp>[STRIPS.xlsx]Sheet1!R441C19</stp>
        <tr r="S441" s="1"/>
      </tp>
      <tp t="s">
        <v>ZERO</v>
        <stp/>
        <stp>##V3_BDPV12</stp>
        <stp>912834KZ Govt</stp>
        <stp>CPN_TYP</stp>
        <stp>[STRIPS.xlsx]Sheet1!R269C11</stp>
        <tr r="K269" s="1"/>
      </tp>
      <tp t="s">
        <v>912833CE8</v>
        <stp/>
        <stp>##V3_BDPV12</stp>
        <stp>912833CE Govt</stp>
        <stp>ID_CUSIP</stp>
        <stp>[STRIPS.xlsx]Sheet1!R437C19</stp>
        <tr r="S437" s="1"/>
      </tp>
      <tp t="s">
        <v>912834LE6</v>
        <stp/>
        <stp>##V3_BDPV12</stp>
        <stp>912834LE Govt</stp>
        <stp>ID_CUSIP</stp>
        <stp>[STRIPS.xlsx]Sheet1!R473C19</stp>
        <tr r="S473" s="1"/>
      </tp>
      <tp t="s">
        <v>912834KE7</v>
        <stp/>
        <stp>##V3_BDPV12</stp>
        <stp>912834KE Govt</stp>
        <stp>ID_CUSIP</stp>
        <stp>[STRIPS.xlsx]Sheet1!R316C19</stp>
        <tr r="S316" s="1"/>
      </tp>
      <tp t="s">
        <v>912834UE6</v>
        <stp/>
        <stp>##V3_BDPV12</stp>
        <stp>912834UE Govt</stp>
        <stp>ID_CUSIP</stp>
        <stp>[STRIPS.xlsx]Sheet1!R207C19</stp>
        <tr r="S207" s="1"/>
      </tp>
      <tp t="s">
        <v>912833QE3</v>
        <stp/>
        <stp>##V3_BDPV12</stp>
        <stp>912833QE Govt</stp>
        <stp>ID_CUSIP</stp>
        <stp>[STRIPS.xlsx]Sheet1!R241C19</stp>
        <tr r="S241" s="1"/>
      </tp>
      <tp t="s">
        <v>912833ZE3</v>
        <stp/>
        <stp>##V3_BDPV12</stp>
        <stp>912833ZE Govt</stp>
        <stp>ID_CUSIP</stp>
        <stp>[STRIPS.xlsx]Sheet1!R252C19</stp>
        <tr r="S252" s="1"/>
      </tp>
      <tp t="s">
        <v>912834WE4</v>
        <stp/>
        <stp>##V3_BDPV12</stp>
        <stp>912834WE Govt</stp>
        <stp>ID_CUSIP</stp>
        <stp>[STRIPS.xlsx]Sheet1!R223C19</stp>
        <tr r="S223" s="1"/>
      </tp>
      <tp t="s">
        <v>912834AE8</v>
        <stp/>
        <stp>##V3_BDPV12</stp>
        <stp>912834AE Govt</stp>
        <stp>ID_CUSIP</stp>
        <stp>[STRIPS.xlsx]Sheet1!R118C19</stp>
        <tr r="S118" s="1"/>
      </tp>
      <tp t="s">
        <v>912834VE5</v>
        <stp/>
        <stp>##V3_BDPV12</stp>
        <stp>912834VE Govt</stp>
        <stp>ID_CUSIP</stp>
        <stp>[STRIPS.xlsx]Sheet1!R116C19</stp>
        <tr r="S116" s="1"/>
      </tp>
      <tp t="s">
        <v>912834PE2</v>
        <stp/>
        <stp>##V3_BDPV12</stp>
        <stp>912834PE Govt</stp>
        <stp>ID_CUSIP</stp>
        <stp>[STRIPS.xlsx]Sheet1!R132C19</stp>
        <tr r="S132" s="1"/>
      </tp>
      <tp t="s">
        <v>912833LE8</v>
        <stp/>
        <stp>##V3_BDPV12</stp>
        <stp>912833LE Govt</stp>
        <stp>ID_CUSIP</stp>
        <stp>[STRIPS.xlsx]Sheet1!R153C19</stp>
        <tr r="S153" s="1"/>
      </tp>
      <tp t="s">
        <v>912834TE8</v>
        <stp/>
        <stp>##V3_BDPV12</stp>
        <stp>912834TE Govt</stp>
        <stp>ID_CUSIP</stp>
        <stp>[STRIPS.xlsx]Sheet1!R155C19</stp>
        <tr r="S155" s="1"/>
      </tp>
      <tp t="s">
        <v>ZERO</v>
        <stp/>
        <stp>##V3_BDPV12</stp>
        <stp>912834KY Govt</stp>
        <stp>CPN_TYP</stp>
        <stp>[STRIPS.xlsx]Sheet1!R472C11</stp>
        <tr r="K472" s="1"/>
      </tp>
      <tp t="s">
        <v>912834QE1</v>
        <stp/>
        <stp>##V3_BDPV12</stp>
        <stp>912834QE Govt</stp>
        <stp>ID_CUSIP</stp>
        <stp>[STRIPS.xlsx]Sheet1!R149C19</stp>
        <tr r="S149" s="1"/>
      </tp>
      <tp t="s">
        <v>912834RE0</v>
        <stp/>
        <stp>##V3_BDPV12</stp>
        <stp>912834RE Govt</stp>
        <stp>ID_CUSIP</stp>
        <stp>[STRIPS.xlsx]Sheet1!R168C19</stp>
        <tr r="S168" s="1"/>
      </tp>
      <tp t="s">
        <v>ZERO</v>
        <stp/>
        <stp>##V3_BDPV12</stp>
        <stp>912833KY Govt</stp>
        <stp>CPN_TYP</stp>
        <stp>[STRIPS.xlsx]Sheet1!R513C11</stp>
        <tr r="K513" s="1"/>
      </tp>
      <tp t="s">
        <v>ZERO</v>
        <stp/>
        <stp>##V3_BDPV12</stp>
        <stp>912834KX Govt</stp>
        <stp>CPN_TYP</stp>
        <stp>[STRIPS.xlsx]Sheet1!R471C11</stp>
        <tr r="K471" s="1"/>
      </tp>
      <tp t="s">
        <v>ZERO</v>
        <stp/>
        <stp>##V3_BDPV12</stp>
        <stp>912834KB Govt</stp>
        <stp>CPN_TYP</stp>
        <stp>[STRIPS.xlsx]Sheet1!R110C11</stp>
        <tr r="K110" s="1"/>
      </tp>
      <tp t="s">
        <v>ZERO</v>
        <stp/>
        <stp>##V3_BDPV12</stp>
        <stp>912833KE Govt</stp>
        <stp>CPN_TYP</stp>
        <stp>[STRIPS.xlsx]Sheet1!R670C11</stp>
        <tr r="K670" s="1"/>
      </tp>
      <tp t="s">
        <v>ZERO</v>
        <stp/>
        <stp>##V3_BDPV12</stp>
        <stp>912834KC Govt</stp>
        <stp>CPN_TYP</stp>
        <stp>[STRIPS.xlsx]Sheet1!R133C11</stp>
        <tr r="K133" s="1"/>
      </tp>
      <tp t="s">
        <v>US912834FC74</v>
        <stp/>
        <stp>##V3_BDPV12</stp>
        <stp>912834FC Govt</stp>
        <stp>ID_ISIN</stp>
        <stp>[STRIPS.xlsx]Sheet1!R534C12</stp>
        <tr r="L534" s="1"/>
      </tp>
      <tp t="s">
        <v>ZERO</v>
        <stp/>
        <stp>##V3_BDPV12</stp>
        <stp>912833KB Govt</stp>
        <stp>CPN_TYP</stp>
        <stp>[STRIPS.xlsx]Sheet1!R367C11</stp>
        <tr r="K367" s="1"/>
      </tp>
      <tp t="s">
        <v>ZERO</v>
        <stp/>
        <stp>##V3_BDPV12</stp>
        <stp>912833KG Govt</stp>
        <stp>CPN_TYP</stp>
        <stp>[STRIPS.xlsx]Sheet1!R671C11</stp>
        <tr r="K671" s="1"/>
      </tp>
      <tp t="s">
        <v>ZERO</v>
        <stp/>
        <stp>##V3_BDPV12</stp>
        <stp>912834KA Govt</stp>
        <stp>CPN_TYP</stp>
        <stp>[STRIPS.xlsx]Sheet1!R165C11</stp>
        <tr r="K165" s="1"/>
      </tp>
      <tp t="s">
        <v>ZERO</v>
        <stp/>
        <stp>##V3_BDPV12</stp>
        <stp>912833KA Govt</stp>
        <stp>CPN_TYP</stp>
        <stp>[STRIPS.xlsx]Sheet1!R193C11</stp>
        <tr r="K193" s="1"/>
      </tp>
      <tp t="s">
        <v>ZERO</v>
        <stp/>
        <stp>##V3_BDPV12</stp>
        <stp>912833KD Govt</stp>
        <stp>CPN_TYP</stp>
        <stp>[STRIPS.xlsx]Sheet1!R300C11</stp>
        <tr r="K300" s="1"/>
      </tp>
      <tp t="s">
        <v>ZERO</v>
        <stp/>
        <stp>##V3_BDPV12</stp>
        <stp>912833KC Govt</stp>
        <stp>CPN_TYP</stp>
        <stp>[STRIPS.xlsx]Sheet1!R442C11</stp>
        <tr r="K442" s="1"/>
      </tp>
      <tp t="s">
        <v>ZERO</v>
        <stp/>
        <stp>##V3_BDPV12</stp>
        <stp>912834KD Govt</stp>
        <stp>CPN_TYP</stp>
        <stp>[STRIPS.xlsx]Sheet1!R398C11</stp>
        <tr r="K398" s="1"/>
      </tp>
      <tp t="s">
        <v>US912834FB91</v>
        <stp/>
        <stp>##V3_BDPV12</stp>
        <stp>912834FB Govt</stp>
        <stp>ID_ISIN</stp>
        <stp>[STRIPS.xlsx]Sheet1!R120C12</stp>
        <tr r="L120" s="1"/>
      </tp>
      <tp t="s">
        <v>ZERO</v>
        <stp/>
        <stp>##V3_BDPV12</stp>
        <stp>912834KE Govt</stp>
        <stp>CPN_TYP</stp>
        <stp>[STRIPS.xlsx]Sheet1!R316C11</stp>
        <tr r="K316" s="1"/>
      </tp>
      <tp t="s">
        <v>US912834FA19</v>
        <stp/>
        <stp>##V3_BDPV12</stp>
        <stp>912834FA Govt</stp>
        <stp>ID_ISIN</stp>
        <stp>[STRIPS.xlsx]Sheet1!R395C12</stp>
        <tr r="L395" s="1"/>
      </tp>
      <tp t="s">
        <v>ZERO</v>
        <stp/>
        <stp>##V3_BDPV12</stp>
        <stp>912834KG Govt</stp>
        <stp>CPN_TYP</stp>
        <stp>[STRIPS.xlsx]Sheet1!R230C11</stp>
        <tr r="K230" s="1"/>
      </tp>
      <tp t="s">
        <v>ZERO</v>
        <stp/>
        <stp>##V3_BDPV12</stp>
        <stp>912833KF Govt</stp>
        <stp>CPN_TYP</stp>
        <stp>[STRIPS.xlsx]Sheet1!R368C11</stp>
        <tr r="K368" s="1"/>
      </tp>
      <tp t="s">
        <v>US912833FG06</v>
        <stp/>
        <stp>##V3_BDPV12</stp>
        <stp>912833FG Govt</stp>
        <stp>ID_ISIN</stp>
        <stp>[STRIPS.xlsx]Sheet1!R661C12</stp>
        <tr r="L661" s="1"/>
      </tp>
      <tp t="s">
        <v>ZERO</v>
        <stp/>
        <stp>##V3_BDPV12</stp>
        <stp>912834KF Govt</stp>
        <stp>CPN_TYP</stp>
        <stp>[STRIPS.xlsx]Sheet1!R229C11</stp>
        <tr r="K229" s="1"/>
      </tp>
      <tp t="s">
        <v>US912833FF23</v>
        <stp/>
        <stp>##V3_BDPV12</stp>
        <stp>912833FF Govt</stp>
        <stp>ID_ISIN</stp>
        <stp>[STRIPS.xlsx]Sheet1!R618C12</stp>
        <tr r="L618" s="1"/>
      </tp>
      <tp t="s">
        <v>ZERO</v>
        <stp/>
        <stp>##V3_BDPV12</stp>
        <stp>912834KN Govt</stp>
        <stp>CPN_TYP</stp>
        <stp>[STRIPS.xlsx]Sheet1!R469C11</stp>
        <tr r="K469" s="1"/>
      </tp>
      <tp t="s">
        <v>US912833FK18</v>
        <stp/>
        <stp>##V3_BDPV12</stp>
        <stp>912833FK Govt</stp>
        <stp>ID_ISIN</stp>
        <stp>[STRIPS.xlsx]Sheet1!R662C12</stp>
        <tr r="L662" s="1"/>
      </tp>
      <tp t="s">
        <v>US912833FJ45</v>
        <stp/>
        <stp>##V3_BDPV12</stp>
        <stp>912833FJ Govt</stp>
        <stp>ID_ISIN</stp>
        <stp>[STRIPS.xlsx]Sheet1!R737C12</stp>
        <tr r="L737" s="1"/>
      </tp>
      <tp t="s">
        <v>US912833FH88</v>
        <stp/>
        <stp>##V3_BDPV12</stp>
        <stp>912833FH Govt</stp>
        <stp>ID_ISIN</stp>
        <stp>[STRIPS.xlsx]Sheet1!R507C12</stp>
        <tr r="L507" s="1"/>
      </tp>
      <tp t="s">
        <v>ZERO</v>
        <stp/>
        <stp>##V3_BDPV12</stp>
        <stp>912833KK Govt</stp>
        <stp>CPN_TYP</stp>
        <stp>[STRIPS.xlsx]Sheet1!R301C11</stp>
        <tr r="K301" s="1"/>
      </tp>
      <tp t="s">
        <v>ZERO</v>
        <stp/>
        <stp>##V3_BDPV12</stp>
        <stp>912834KK Govt</stp>
        <stp>CPN_TYP</stp>
        <stp>[STRIPS.xlsx]Sheet1!R317C11</stp>
        <tr r="K317" s="1"/>
      </tp>
      <tp t="s">
        <v>ZERO</v>
        <stp/>
        <stp>##V3_BDPV12</stp>
        <stp>912834KL Govt</stp>
        <stp>CPN_TYP</stp>
        <stp>[STRIPS.xlsx]Sheet1!R468C11</stp>
        <tr r="K468" s="1"/>
      </tp>
      <tp t="s">
        <v>ZERO</v>
        <stp/>
        <stp>##V3_BDPV12</stp>
        <stp>912834KJ Govt</stp>
        <stp>CPN_TYP</stp>
        <stp>[STRIPS.xlsx]Sheet1!R267C11</stp>
        <tr r="K267" s="1"/>
      </tp>
      <tp t="s">
        <v>ZERO</v>
        <stp/>
        <stp>##V3_BDPV12</stp>
        <stp>912833KN Govt</stp>
        <stp>CPN_TYP</stp>
        <stp>[STRIPS.xlsx]Sheet1!R672C11</stp>
        <tr r="K672" s="1"/>
      </tp>
      <tp t="s">
        <v>ZERO</v>
        <stp/>
        <stp>##V3_BDPV12</stp>
        <stp>912833KL Govt</stp>
        <stp>CPN_TYP</stp>
        <stp>[STRIPS.xlsx]Sheet1!R302C11</stp>
        <tr r="K302" s="1"/>
      </tp>
      <tp t="s">
        <v>ZERO</v>
        <stp/>
        <stp>##V3_BDPV12</stp>
        <stp>912833KJ Govt</stp>
        <stp>CPN_TYP</stp>
        <stp>[STRIPS.xlsx]Sheet1!R512C11</stp>
        <tr r="K512" s="1"/>
      </tp>
      <tp t="s">
        <v>US912833FM73</v>
        <stp/>
        <stp>##V3_BDPV12</stp>
        <stp>912833FM Govt</stp>
        <stp>ID_ISIN</stp>
        <stp>[STRIPS.xlsx]Sheet1!R619C12</stp>
        <tr r="L619" s="1"/>
      </tp>
      <tp t="s">
        <v>ZERO</v>
        <stp/>
        <stp>##V3_BDPV12</stp>
        <stp>912833KM Govt</stp>
        <stp>CPN_TYP</stp>
        <stp>[STRIPS.xlsx]Sheet1!R303C11</stp>
        <tr r="K303" s="1"/>
      </tp>
      <tp t="s">
        <v>US912833FL90</v>
        <stp/>
        <stp>##V3_BDPV12</stp>
        <stp>912833FL Govt</stp>
        <stp>ID_ISIN</stp>
        <stp>[STRIPS.xlsx]Sheet1!R663C12</stp>
        <tr r="L663" s="1"/>
      </tp>
      <tp t="s">
        <v>ZERO</v>
        <stp/>
        <stp>##V3_BDPV12</stp>
        <stp>912834KM Govt</stp>
        <stp>CPN_TYP</stp>
        <stp>[STRIPS.xlsx]Sheet1!R399C11</stp>
        <tr r="K399" s="1"/>
      </tp>
      <tp t="s">
        <v>ZERO</v>
        <stp/>
        <stp>##V3_BDPV12</stp>
        <stp>912833KH Govt</stp>
        <stp>CPN_TYP</stp>
        <stp>[STRIPS.xlsx]Sheet1!R565C11</stp>
        <tr r="K565" s="1"/>
      </tp>
      <tp t="s">
        <v>US912833FN56</v>
        <stp/>
        <stp>##V3_BDPV12</stp>
        <stp>912833FN Govt</stp>
        <stp>ID_ISIN</stp>
        <stp>[STRIPS.xlsx]Sheet1!R738C12</stp>
        <tr r="L738" s="1"/>
      </tp>
      <tp t="s">
        <v>#N/A Field Not Applicable</v>
        <stp/>
        <stp>##V3_BDPV12</stp>
        <stp>912834UR Govt</stp>
        <stp>COUPON_FREQUENCY_DESCRIPTION</stp>
        <stp>[STRIPS.xlsx]Sheet1!R65C10</stp>
        <tr r="J65" s="1"/>
      </tp>
      <tp t="s">
        <v>#N/A Field Not Applicable</v>
        <stp/>
        <stp>##V3_BDPV12</stp>
        <stp>912834UQ Govt</stp>
        <stp>COUPON_FREQUENCY_DESCRIPTION</stp>
        <stp>[STRIPS.xlsx]Sheet1!R97C10</stp>
        <tr r="J97" s="1"/>
      </tp>
      <tp t="s">
        <v>#N/A Field Not Applicable</v>
        <stp/>
        <stp>##V3_BDPV12</stp>
        <stp>912834UY Govt</stp>
        <stp>COUPON_FREQUENCY_DESCRIPTION</stp>
        <stp>[STRIPS.xlsx]Sheet1!R75C10</stp>
        <tr r="J75" s="1"/>
      </tp>
      <tp t="s">
        <v>S 0 11/15/50</v>
        <stp/>
        <stp>##V3_BDPV12</stp>
        <stp>912834WJ Govt</stp>
        <stp>SECURITY_NAME</stp>
        <stp>[STRIPS.xlsx]Sheet1!R89C16</stp>
        <tr r="P89" s="1"/>
      </tp>
      <tp t="s">
        <v>S 0 08/15/22</v>
        <stp/>
        <stp>##V3_BDPV12</stp>
        <stp>912833LJ Govt</stp>
        <stp>SECURITY_NAME</stp>
        <stp>[STRIPS.xlsx]Sheet1!R18C16</stp>
        <tr r="P18" s="1"/>
      </tp>
      <tp t="s">
        <v>#N/A Field Not Applicable</v>
        <stp/>
        <stp>##V3_BDPV12</stp>
        <stp>912834UL Govt</stp>
        <stp>COUPON_FREQUENCY_DESCRIPTION</stp>
        <stp>[STRIPS.xlsx]Sheet1!R88C10</stp>
        <tr r="J88" s="1"/>
      </tp>
      <tp>
        <v>0</v>
        <stp/>
        <stp>##V3_BDPV12</stp>
        <stp>912833LX Govt</stp>
        <stp>CPN</stp>
        <stp>[STRIPS.xlsx]Sheet1!R10C3</stp>
        <tr r="C10" s="1"/>
      </tp>
      <tp>
        <v>0</v>
        <stp/>
        <stp>##V3_BDPV12</stp>
        <stp>912833LH Govt</stp>
        <stp>CPN</stp>
        <stp>[STRIPS.xlsx]Sheet1!R40C3</stp>
        <tr r="C40" s="1"/>
      </tp>
      <tp>
        <v>0</v>
        <stp/>
        <stp>##V3_BDPV12</stp>
        <stp>912833Y4 Govt</stp>
        <stp>CPN</stp>
        <stp>[STRIPS.xlsx]Sheet1!R60C3</stp>
        <tr r="C60" s="1"/>
      </tp>
      <tp>
        <v>0</v>
        <stp/>
        <stp>##V3_BDPV12</stp>
        <stp>912833XY Govt</stp>
        <stp>CPN</stp>
        <stp>[STRIPS.xlsx]Sheet1!R50C3</stp>
        <tr r="C50" s="1"/>
      </tp>
      <tp>
        <v>0</v>
        <stp/>
        <stp>##V3_BDPV12</stp>
        <stp>912833XU Govt</stp>
        <stp>CPN</stp>
        <stp>[STRIPS.xlsx]Sheet1!R30C3</stp>
        <tr r="C30" s="1"/>
      </tp>
      <tp>
        <v>0</v>
        <stp/>
        <stp>##V3_BDPV12</stp>
        <stp>912833QB Govt</stp>
        <stp>CPN</stp>
        <stp>[STRIPS.xlsx]Sheet1!R20C3</stp>
        <tr r="C20" s="1"/>
      </tp>
      <tp>
        <v>0</v>
        <stp/>
        <stp>##V3_BDPV12</stp>
        <stp>912834MM Govt</stp>
        <stp>CPN</stp>
        <stp>[STRIPS.xlsx]Sheet1!R80C3</stp>
        <tr r="C80" s="1"/>
      </tp>
      <tp>
        <v>0</v>
        <stp/>
        <stp>##V3_BDPV12</stp>
        <stp>912834HV Govt</stp>
        <stp>CPN</stp>
        <stp>[STRIPS.xlsx]Sheet1!R70C3</stp>
        <tr r="C70" s="1"/>
      </tp>
      <tp>
        <v>0</v>
        <stp/>
        <stp>##V3_BDPV12</stp>
        <stp>912834TV Govt</stp>
        <stp>CPN</stp>
        <stp>[STRIPS.xlsx]Sheet1!R90C3</stp>
        <tr r="C90" s="1"/>
      </tp>
      <tp>
        <v>1.980000000000004</v>
        <stp/>
        <stp>##V3_BDPV12</stp>
        <stp>9128337E Govt</stp>
        <stp>YLD_YTM_BID</stp>
        <stp>[STRIPS.xlsx]Sheet1!R23C4</stp>
        <tr r="D23" s="1"/>
      </tp>
      <tp>
        <v>1.9569999999999865</v>
        <stp/>
        <stp>##V3_BDPV12</stp>
        <stp>9128335B Govt</stp>
        <stp>YLD_YTM_BID</stp>
        <stp>[STRIPS.xlsx]Sheet1!R43C4</stp>
        <tr r="D43" s="1"/>
      </tp>
      <tp>
        <v>0.20799999999998597</v>
        <stp/>
        <stp>##V3_BDPV12</stp>
        <stp>912833LN Govt</stp>
        <stp>YLD_YTM_BID</stp>
        <stp>[STRIPS.xlsx]Sheet1!R63C4</stp>
        <tr r="D63" s="1"/>
      </tp>
      <tp>
        <v>7.4000000000019162E-2</v>
        <stp/>
        <stp>##V3_BDPV12</stp>
        <stp>912833LG Govt</stp>
        <stp>YLD_YTM_BID</stp>
        <stp>[STRIPS.xlsx]Sheet1!R33C4</stp>
        <tr r="D33" s="1"/>
      </tp>
      <tp>
        <v>1.1950000000000127</v>
        <stp/>
        <stp>##V3_BDPV12</stp>
        <stp>912833PD Govt</stp>
        <stp>YLD_YTM_BID</stp>
        <stp>[STRIPS.xlsx]Sheet1!R13C4</stp>
        <tr r="D13" s="1"/>
      </tp>
      <tp t="s">
        <v>UNITED STATES</v>
        <stp/>
        <stp>##V3_BDPV12</stp>
        <stp>912834JB Govt</stp>
        <stp>COUNTRY_FULL_NAME</stp>
        <stp>[STRIPS.xlsx]Sheet1!R82C8</stp>
        <tr r="H82" s="1"/>
      </tp>
      <tp>
        <v>2.2489999999999899</v>
        <stp/>
        <stp>##V3_BDPV12</stp>
        <stp>912834LX Govt</stp>
        <stp>YLD_YTM_BID</stp>
        <stp>[STRIPS.xlsx]Sheet1!R93C4</stp>
        <tr r="D93" s="1"/>
      </tp>
      <tp>
        <v>2.2299999999999986</v>
        <stp/>
        <stp>##V3_BDPV12</stp>
        <stp>912834LK Govt</stp>
        <stp>YLD_YTM_BID</stp>
        <stp>[STRIPS.xlsx]Sheet1!R53C4</stp>
        <tr r="D53" s="1"/>
      </tp>
      <tp>
        <v>2.2149999999999892</v>
        <stp/>
        <stp>##V3_BDPV12</stp>
        <stp>912834LB Govt</stp>
        <stp>YLD_YTM_BID</stp>
        <stp>[STRIPS.xlsx]Sheet1!R73C4</stp>
        <tr r="D73" s="1"/>
      </tp>
      <tp>
        <v>-2.4999999999988802E-2</v>
        <stp/>
        <stp>##V3_BDPV12</stp>
        <stp>912834PG Govt</stp>
        <stp>YLD_YTM_BID</stp>
        <stp>[STRIPS.xlsx]Sheet1!R83C4</stp>
        <tr r="D83" s="1"/>
      </tp>
      <tp t="s">
        <v>UNITED STATES</v>
        <stp/>
        <stp>##V3_BDPV12</stp>
        <stp>912834HV Govt</stp>
        <stp>COUNTRY_FULL_NAME</stp>
        <stp>[STRIPS.xlsx]Sheet1!R70C8</stp>
        <tr r="H70" s="1"/>
      </tp>
      <tp t="s">
        <v>ZERO</v>
        <stp/>
        <stp>##V3_BDPV12</stp>
        <stp>912834JS Govt</stp>
        <stp>CPN_TYP</stp>
        <stp>[STRIPS.xlsx]Sheet1!R315C11</stp>
        <tr r="K315" s="1"/>
      </tp>
      <tp t="s">
        <v>ZERO</v>
        <stp/>
        <stp>##V3_BDPV12</stp>
        <stp>912833JV Govt</stp>
        <stp>CPN_TYP</stp>
        <stp>[STRIPS.xlsx]Sheet1!R668C11</stp>
        <tr r="K668" s="1"/>
      </tp>
      <tp t="s">
        <v>ZERO</v>
        <stp/>
        <stp>##V3_BDPV12</stp>
        <stp>912834JT Govt</stp>
        <stp>CPN_TYP</stp>
        <stp>[STRIPS.xlsx]Sheet1!R467C11</stp>
        <tr r="K467" s="1"/>
      </tp>
      <tp t="s">
        <v>ZERO</v>
        <stp/>
        <stp>##V3_BDPV12</stp>
        <stp>912833JW Govt</stp>
        <stp>CPN_TYP</stp>
        <stp>[STRIPS.xlsx]Sheet1!R740C11</stp>
        <tr r="K740" s="1"/>
      </tp>
      <tp t="s">
        <v>ZERO</v>
        <stp/>
        <stp>##V3_BDPV12</stp>
        <stp>912833JU Govt</stp>
        <stp>CPN_TYP</stp>
        <stp>[STRIPS.xlsx]Sheet1!R366C11</stp>
        <tr r="K366" s="1"/>
      </tp>
      <tp t="s">
        <v>ZERO</v>
        <stp/>
        <stp>##V3_BDPV12</stp>
        <stp>912834JW Govt</stp>
        <stp>CPN_TYP</stp>
        <stp>[STRIPS.xlsx]Sheet1!R210C11</stp>
        <tr r="K210" s="1"/>
      </tp>
      <tp t="s">
        <v>ZERO</v>
        <stp/>
        <stp>##V3_BDPV12</stp>
        <stp>912833JT Govt</stp>
        <stp>CPN_TYP</stp>
        <stp>[STRIPS.xlsx]Sheet1!R156C11</stp>
        <tr r="K156" s="1"/>
      </tp>
      <tp t="s">
        <v>9128336D7</v>
        <stp/>
        <stp>##V3_BDPV12</stp>
        <stp>9128336D Govt</stp>
        <stp>ID_CUSIP</stp>
        <stp>[STRIPS.xlsx]Sheet1!R749C19</stp>
        <tr r="S749" s="1"/>
      </tp>
      <tp t="s">
        <v>912834XD5</v>
        <stp/>
        <stp>##V3_BDPV12</stp>
        <stp>912834XD Govt</stp>
        <stp>ID_CUSIP</stp>
        <stp>[STRIPS.xlsx]Sheet1!R764C19</stp>
        <tr r="S764" s="1"/>
      </tp>
      <tp t="s">
        <v>912834VD7</v>
        <stp/>
        <stp>##V3_BDPV12</stp>
        <stp>912834VD Govt</stp>
        <stp>ID_CUSIP</stp>
        <stp>[STRIPS.xlsx]Sheet1!R765C19</stp>
        <tr r="S765" s="1"/>
      </tp>
      <tp t="s">
        <v>ZERO</v>
        <stp/>
        <stp>##V3_BDPV12</stp>
        <stp>912834JX Govt</stp>
        <stp>CPN_TYP</stp>
        <stp>[STRIPS.xlsx]Sheet1!R221C11</stp>
        <tr r="K221" s="1"/>
      </tp>
      <tp t="s">
        <v>912833ND8</v>
        <stp/>
        <stp>##V3_BDPV12</stp>
        <stp>912833ND Govt</stp>
        <stp>ID_CUSIP</stp>
        <stp>[STRIPS.xlsx]Sheet1!R676C19</stp>
        <tr r="S676" s="1"/>
      </tp>
      <tp t="s">
        <v>9128332D1</v>
        <stp/>
        <stp>##V3_BDPV12</stp>
        <stp>9128332D Govt</stp>
        <stp>ID_CUSIP</stp>
        <stp>[STRIPS.xlsx]Sheet1!R648C19</stp>
        <tr r="S648" s="1"/>
      </tp>
      <tp t="s">
        <v>912833DD9</v>
        <stp/>
        <stp>##V3_BDPV12</stp>
        <stp>912833DD Govt</stp>
        <stp>ID_CUSIP</stp>
        <stp>[STRIPS.xlsx]Sheet1!R659C19</stp>
        <tr r="S659" s="1"/>
      </tp>
      <tp t="s">
        <v>912834ED6</v>
        <stp/>
        <stp>##V3_BDPV12</stp>
        <stp>912834ED Govt</stp>
        <stp>ID_CUSIP</stp>
        <stp>[STRIPS.xlsx]Sheet1!R645C19</stp>
        <tr r="S645" s="1"/>
      </tp>
      <tp t="s">
        <v>912834BD9</v>
        <stp/>
        <stp>##V3_BDPV12</stp>
        <stp>912834BD Govt</stp>
        <stp>ID_CUSIP</stp>
        <stp>[STRIPS.xlsx]Sheet1!R643C19</stp>
        <tr r="S643" s="1"/>
      </tp>
      <tp t="s">
        <v>912833ZD5</v>
        <stp/>
        <stp>##V3_BDPV12</stp>
        <stp>912833ZD Govt</stp>
        <stp>ID_CUSIP</stp>
        <stp>[STRIPS.xlsx]Sheet1!R637C19</stp>
        <tr r="S637" s="1"/>
      </tp>
      <tp t="s">
        <v>912833QD5</v>
        <stp/>
        <stp>##V3_BDPV12</stp>
        <stp>912833QD Govt</stp>
        <stp>ID_CUSIP</stp>
        <stp>[STRIPS.xlsx]Sheet1!R576C19</stp>
        <tr r="S576" s="1"/>
      </tp>
      <tp t="s">
        <v>912834QD3</v>
        <stp/>
        <stp>##V3_BDPV12</stp>
        <stp>912834QD Govt</stp>
        <stp>ID_CUSIP</stp>
        <stp>[STRIPS.xlsx]Sheet1!R550C19</stp>
        <tr r="S550" s="1"/>
      </tp>
      <tp t="s">
        <v>912834ND6</v>
        <stp/>
        <stp>##V3_BDPV12</stp>
        <stp>912834ND Govt</stp>
        <stp>ID_CUSIP</stp>
        <stp>[STRIPS.xlsx]Sheet1!R545C19</stp>
        <tr r="S545" s="1"/>
      </tp>
      <tp t="s">
        <v>ZERO</v>
        <stp/>
        <stp>##V3_BDPV12</stp>
        <stp>912834JZ Govt</stp>
        <stp>CPN_TYP</stp>
        <stp>[STRIPS.xlsx]Sheet1!R266C11</stp>
        <tr r="K266" s="1"/>
      </tp>
      <tp t="s">
        <v>ZERO</v>
        <stp/>
        <stp>##V3_BDPV12</stp>
        <stp>912833JY Govt</stp>
        <stp>CPN_TYP</stp>
        <stp>[STRIPS.xlsx]Sheet1!R173C11</stp>
        <tr r="K173" s="1"/>
      </tp>
      <tp t="s">
        <v>912834PD4</v>
        <stp/>
        <stp>##V3_BDPV12</stp>
        <stp>912834PD Govt</stp>
        <stp>ID_CUSIP</stp>
        <stp>[STRIPS.xlsx]Sheet1!R478C19</stp>
        <tr r="S478" s="1"/>
      </tp>
      <tp t="s">
        <v>9128334D9</v>
        <stp/>
        <stp>##V3_BDPV12</stp>
        <stp>9128334D Govt</stp>
        <stp>ID_CUSIP</stp>
        <stp>[STRIPS.xlsx]Sheet1!R488C19</stp>
        <tr r="S488" s="1"/>
      </tp>
      <tp t="s">
        <v>912834JD1</v>
        <stp/>
        <stp>##V3_BDPV12</stp>
        <stp>912834JD Govt</stp>
        <stp>ID_CUSIP</stp>
        <stp>[STRIPS.xlsx]Sheet1!R314C19</stp>
        <tr r="S314" s="1"/>
      </tp>
      <tp t="s">
        <v>912833GD6</v>
        <stp/>
        <stp>##V3_BDPV12</stp>
        <stp>912833GD Govt</stp>
        <stp>ID_CUSIP</stp>
        <stp>[STRIPS.xlsx]Sheet1!R365C19</stp>
        <tr r="S365" s="1"/>
      </tp>
      <tp t="s">
        <v>912833KD1</v>
        <stp/>
        <stp>##V3_BDPV12</stp>
        <stp>912833KD Govt</stp>
        <stp>ID_CUSIP</stp>
        <stp>[STRIPS.xlsx]Sheet1!R300C19</stp>
        <tr r="S300" s="1"/>
      </tp>
      <tp t="s">
        <v>912833MD9</v>
        <stp/>
        <stp>##V3_BDPV12</stp>
        <stp>912833MD Govt</stp>
        <stp>ID_CUSIP</stp>
        <stp>[STRIPS.xlsx]Sheet1!R304C19</stp>
        <tr r="S304" s="1"/>
      </tp>
      <tp t="s">
        <v>912834KD9</v>
        <stp/>
        <stp>##V3_BDPV12</stp>
        <stp>912834KD Govt</stp>
        <stp>ID_CUSIP</stp>
        <stp>[STRIPS.xlsx]Sheet1!R398C19</stp>
        <tr r="S398" s="1"/>
      </tp>
      <tp t="s">
        <v>912833RD4</v>
        <stp/>
        <stp>##V3_BDPV12</stp>
        <stp>912833RD Govt</stp>
        <stp>ID_CUSIP</stp>
        <stp>[STRIPS.xlsx]Sheet1!R380C19</stp>
        <tr r="S380" s="1"/>
      </tp>
      <tp t="s">
        <v>ZERO</v>
        <stp/>
        <stp>##V3_BDPV12</stp>
        <stp>912833JX Govt</stp>
        <stp>CPN_TYP</stp>
        <stp>[STRIPS.xlsx]Sheet1!R669C11</stp>
        <tr r="K669" s="1"/>
      </tp>
      <tp t="s">
        <v>912834TD0</v>
        <stp/>
        <stp>##V3_BDPV12</stp>
        <stp>912834TD Govt</stp>
        <stp>ID_CUSIP</stp>
        <stp>[STRIPS.xlsx]Sheet1!R281C19</stp>
        <tr r="S281" s="1"/>
      </tp>
      <tp t="s">
        <v>9128335D8</v>
        <stp/>
        <stp>##V3_BDPV12</stp>
        <stp>9128335D Govt</stp>
        <stp>ID_CUSIP</stp>
        <stp>[STRIPS.xlsx]Sheet1!R285C19</stp>
        <tr r="S285" s="1"/>
      </tp>
      <tp t="s">
        <v>9128337D6</v>
        <stp/>
        <stp>##V3_BDPV12</stp>
        <stp>9128337D Govt</stp>
        <stp>ID_CUSIP</stp>
        <stp>[STRIPS.xlsx]Sheet1!R291C19</stp>
        <tr r="S291" s="1"/>
      </tp>
      <tp t="s">
        <v>912833CD0</v>
        <stp/>
        <stp>##V3_BDPV12</stp>
        <stp>912833CD Govt</stp>
        <stp>ID_CUSIP</stp>
        <stp>[STRIPS.xlsx]Sheet1!R295C19</stp>
        <tr r="S295" s="1"/>
      </tp>
      <tp t="s">
        <v>912833LD0</v>
        <stp/>
        <stp>##V3_BDPV12</stp>
        <stp>912833LD Govt</stp>
        <stp>ID_CUSIP</stp>
        <stp>[STRIPS.xlsx]Sheet1!R151C19</stp>
        <tr r="S151" s="1"/>
      </tp>
      <tp t="s">
        <v>ZERO</v>
        <stp/>
        <stp>##V3_BDPV12</stp>
        <stp>912833JZ Govt</stp>
        <stp>CPN_TYP</stp>
        <stp>[STRIPS.xlsx]Sheet1!R741C11</stp>
        <tr r="K741" s="1"/>
      </tp>
      <tp t="s">
        <v>912834UD8</v>
        <stp/>
        <stp>##V3_BDPV12</stp>
        <stp>912834UD Govt</stp>
        <stp>ID_CUSIP</stp>
        <stp>[STRIPS.xlsx]Sheet1!R197C19</stp>
        <tr r="S197" s="1"/>
      </tp>
      <tp t="s">
        <v>912834WD6</v>
        <stp/>
        <stp>##V3_BDPV12</stp>
        <stp>912834WD Govt</stp>
        <stp>ID_CUSIP</stp>
        <stp>[STRIPS.xlsx]Sheet1!R186C19</stp>
        <tr r="S186" s="1"/>
      </tp>
      <tp t="s">
        <v>ZERO</v>
        <stp/>
        <stp>##V3_BDPV12</stp>
        <stp>912834JE Govt</stp>
        <stp>CPN_TYP</stp>
        <stp>[STRIPS.xlsx]Sheet1!R646C11</stp>
        <tr r="K646" s="1"/>
      </tp>
      <tp t="s">
        <v>US912833GD65</v>
        <stp/>
        <stp>##V3_BDPV12</stp>
        <stp>912833GD Govt</stp>
        <stp>ID_ISIN</stp>
        <stp>[STRIPS.xlsx]Sheet1!R365C12</stp>
        <tr r="L365" s="1"/>
      </tp>
      <tp t="s">
        <v>US912833GC82</v>
        <stp/>
        <stp>##V3_BDPV12</stp>
        <stp>912833GC Govt</stp>
        <stp>ID_ISIN</stp>
        <stp>[STRIPS.xlsx]Sheet1!R440C12</stp>
        <tr r="L440" s="1"/>
      </tp>
      <tp t="s">
        <v>ZERO</v>
        <stp/>
        <stp>##V3_BDPV12</stp>
        <stp>912834JC Govt</stp>
        <stp>CPN_TYP</stp>
        <stp>[STRIPS.xlsx]Sheet1!R227C11</stp>
        <tr r="K227" s="1"/>
      </tp>
      <tp t="s">
        <v>US912833GA27</v>
        <stp/>
        <stp>##V3_BDPV12</stp>
        <stp>912833GA Govt</stp>
        <stp>ID_ISIN</stp>
        <stp>[STRIPS.xlsx]Sheet1!R439C12</stp>
        <tr r="L439" s="1"/>
      </tp>
      <tp t="s">
        <v>ZERO</v>
        <stp/>
        <stp>##V3_BDPV12</stp>
        <stp>912834JF Govt</stp>
        <stp>CPN_TYP</stp>
        <stp>[STRIPS.xlsx]Sheet1!R647C11</stp>
        <tr r="K647" s="1"/>
      </tp>
      <tp t="s">
        <v>US912833GB00</v>
        <stp/>
        <stp>##V3_BDPV12</stp>
        <stp>912833GB Govt</stp>
        <stp>ID_ISIN</stp>
        <stp>[STRIPS.xlsx]Sheet1!R666C12</stp>
        <tr r="L666" s="1"/>
      </tp>
      <tp t="s">
        <v>ZERO</v>
        <stp/>
        <stp>##V3_BDPV12</stp>
        <stp>912834JD Govt</stp>
        <stp>CPN_TYP</stp>
        <stp>[STRIPS.xlsx]Sheet1!R314C11</stp>
        <tr r="K314" s="1"/>
      </tp>
      <tp t="s">
        <v>ZERO</v>
        <stp/>
        <stp>##V3_BDPV12</stp>
        <stp>912834JG Govt</stp>
        <stp>CPN_TYP</stp>
        <stp>[STRIPS.xlsx]Sheet1!R228C11</stp>
        <tr r="K228" s="1"/>
      </tp>
      <tp t="s">
        <v>US912833GE49</v>
        <stp/>
        <stp>##V3_BDPV12</stp>
        <stp>912833GE Govt</stp>
        <stp>ID_ISIN</stp>
        <stp>[STRIPS.xlsx]Sheet1!R441C12</stp>
        <tr r="L441" s="1"/>
      </tp>
      <tp t="s">
        <v>ZERO</v>
        <stp/>
        <stp>##V3_BDPV12</stp>
        <stp>912834JA Govt</stp>
        <stp>CPN_TYP</stp>
        <stp>[STRIPS.xlsx]Sheet1!R537C11</stp>
        <tr r="K537" s="1"/>
      </tp>
      <tp t="s">
        <v>US912833GF14</v>
        <stp/>
        <stp>##V3_BDPV12</stp>
        <stp>912833GF Govt</stp>
        <stp>ID_ISIN</stp>
        <stp>[STRIPS.xlsx]Sheet1!R667C12</stp>
        <tr r="L667" s="1"/>
      </tp>
      <tp t="s">
        <v>ZERO</v>
        <stp/>
        <stp>##V3_BDPV12</stp>
        <stp>912834JL Govt</stp>
        <stp>CPN_TYP</stp>
        <stp>[STRIPS.xlsx]Sheet1!R538C11</stp>
        <tr r="K538" s="1"/>
      </tp>
      <tp t="s">
        <v>ZERO</v>
        <stp/>
        <stp>##V3_BDPV12</stp>
        <stp>912834JK Govt</stp>
        <stp>CPN_TYP</stp>
        <stp>[STRIPS.xlsx]Sheet1!R466C11</stp>
        <tr r="K466" s="1"/>
      </tp>
      <tp t="s">
        <v>ZERO</v>
        <stp/>
        <stp>##V3_BDPV12</stp>
        <stp>912834JJ Govt</stp>
        <stp>CPN_TYP</stp>
        <stp>[STRIPS.xlsx]Sheet1!R465C11</stp>
        <tr r="K465" s="1"/>
      </tp>
      <tp t="s">
        <v>ZERO</v>
        <stp/>
        <stp>##V3_BDPV12</stp>
        <stp>912834JM Govt</stp>
        <stp>CPN_TYP</stp>
        <stp>[STRIPS.xlsx]Sheet1!R397C11</stp>
        <tr r="K397" s="1"/>
      </tp>
      <tp t="s">
        <v>ZERO</v>
        <stp/>
        <stp>##V3_BDPV12</stp>
        <stp>912834JN Govt</stp>
        <stp>CPN_TYP</stp>
        <stp>[STRIPS.xlsx]Sheet1!R357C11</stp>
        <tr r="K357" s="1"/>
      </tp>
      <tp t="s">
        <v>#N/A Field Not Applicable</v>
        <stp/>
        <stp>##V3_BDPV12</stp>
        <stp>912834TV Govt</stp>
        <stp>COUPON_FREQUENCY_DESCRIPTION</stp>
        <stp>[STRIPS.xlsx]Sheet1!R90C10</stp>
        <tr r="J90" s="1"/>
      </tp>
      <tp t="s">
        <v>#N/A Field Not Applicable</v>
        <stp/>
        <stp>##V3_BDPV12</stp>
        <stp>912834TF Govt</stp>
        <stp>COUPON_FREQUENCY_DESCRIPTION</stp>
        <stp>[STRIPS.xlsx]Sheet1!R98C10</stp>
        <tr r="J98" s="1"/>
      </tp>
      <tp t="s">
        <v>S 0 05/15/42</v>
        <stp/>
        <stp>##V3_BDPV12</stp>
        <stp>912834LK Govt</stp>
        <stp>SECURITY_NAME</stp>
        <stp>[STRIPS.xlsx]Sheet1!R53C16</stp>
        <tr r="P53" s="1"/>
      </tp>
      <tp t="s">
        <v>S 0 11/15/22</v>
        <stp/>
        <stp>##V3_BDPV12</stp>
        <stp>912833LK Govt</stp>
        <stp>SECURITY_NAME</stp>
        <stp>[STRIPS.xlsx]Sheet1!R21C16</stp>
        <tr r="P21" s="1"/>
      </tp>
      <tp>
        <v>0</v>
        <stp/>
        <stp>##V3_BDPV12</stp>
        <stp>9128334Y Govt</stp>
        <stp>CPN</stp>
        <stp>[STRIPS.xlsx]Sheet1!R67C3</stp>
        <tr r="C67" s="1"/>
      </tp>
      <tp>
        <v>0</v>
        <stp/>
        <stp>##V3_BDPV12</stp>
        <stp>912833LS Govt</stp>
        <stp>CPN</stp>
        <stp>[STRIPS.xlsx]Sheet1!R37C3</stp>
        <tr r="C37" s="1"/>
      </tp>
      <tp>
        <v>0</v>
        <stp/>
        <stp>##V3_BDPV12</stp>
        <stp>912833LM Govt</stp>
        <stp>CPN</stp>
        <stp>[STRIPS.xlsx]Sheet1!R17C3</stp>
        <tr r="C17" s="1"/>
      </tp>
      <tp>
        <v>0</v>
        <stp/>
        <stp>##V3_BDPV12</stp>
        <stp>912833Y2 Govt</stp>
        <stp>CPN</stp>
        <stp>[STRIPS.xlsx]Sheet1!R27C3</stp>
        <tr r="C27" s="1"/>
      </tp>
      <tp>
        <v>0</v>
        <stp/>
        <stp>##V3_BDPV12</stp>
        <stp>912833XS Govt</stp>
        <stp>CPN</stp>
        <stp>[STRIPS.xlsx]Sheet1!R47C3</stp>
        <tr r="C47" s="1"/>
      </tp>
      <tp t="s">
        <v>UNITED STATES</v>
        <stp/>
        <stp>##V3_BDPV12</stp>
        <stp>912833LN Govt</stp>
        <stp>COUNTRY_FULL_NAME</stp>
        <stp>[STRIPS.xlsx]Sheet1!R63C8</stp>
        <tr r="H63" s="1"/>
      </tp>
      <tp t="s">
        <v>UNITED STATES</v>
        <stp/>
        <stp>##V3_BDPV12</stp>
        <stp>912834LK Govt</stp>
        <stp>COUNTRY_FULL_NAME</stp>
        <stp>[STRIPS.xlsx]Sheet1!R53C8</stp>
        <tr r="H53" s="1"/>
      </tp>
      <tp>
        <v>0</v>
        <stp/>
        <stp>##V3_BDPV12</stp>
        <stp>912834KV Govt</stp>
        <stp>CPN</stp>
        <stp>[STRIPS.xlsx]Sheet1!R57C3</stp>
        <tr r="C57" s="1"/>
      </tp>
      <tp>
        <v>0</v>
        <stp/>
        <stp>##V3_BDPV12</stp>
        <stp>912834EP Govt</stp>
        <stp>CPN</stp>
        <stp>[STRIPS.xlsx]Sheet1!R77C3</stp>
        <tr r="C77" s="1"/>
      </tp>
      <tp>
        <v>0</v>
        <stp/>
        <stp>##V3_BDPV12</stp>
        <stp>912834DU Govt</stp>
        <stp>CPN</stp>
        <stp>[STRIPS.xlsx]Sheet1!R87C3</stp>
        <tr r="C87" s="1"/>
      </tp>
      <tp>
        <v>0</v>
        <stp/>
        <stp>##V3_BDPV12</stp>
        <stp>912834UQ Govt</stp>
        <stp>CPN</stp>
        <stp>[STRIPS.xlsx]Sheet1!R97C3</stp>
        <tr r="C97" s="1"/>
      </tp>
      <tp t="s">
        <v>UNITED STATES</v>
        <stp/>
        <stp>##V3_BDPV12</stp>
        <stp>912833LG Govt</stp>
        <stp>COUNTRY_FULL_NAME</stp>
        <stp>[STRIPS.xlsx]Sheet1!R33C8</stp>
        <tr r="H33" s="1"/>
      </tp>
      <tp>
        <v>2.0500000000000185</v>
        <stp/>
        <stp>##V3_BDPV12</stp>
        <stp>912833Z5 Govt</stp>
        <stp>YLD_YTM_BID</stp>
        <stp>[STRIPS.xlsx]Sheet1!R74C4</stp>
        <tr r="D74" s="1"/>
      </tp>
      <tp>
        <v>1.5420000000000211</v>
        <stp/>
        <stp>##V3_BDPV12</stp>
        <stp>912833XP Govt</stp>
        <stp>YLD_YTM_BID</stp>
        <stp>[STRIPS.xlsx]Sheet1!R44C4</stp>
        <tr r="D44" s="1"/>
      </tp>
      <tp>
        <v>1.1550000000000171</v>
        <stp/>
        <stp>##V3_BDPV12</stp>
        <stp>912833PC Govt</stp>
        <stp>YLD_YTM_BID</stp>
        <stp>[STRIPS.xlsx]Sheet1!R14C4</stp>
        <tr r="D14" s="1"/>
      </tp>
      <tp>
        <v>1.3980000000000103</v>
        <stp/>
        <stp>##V3_BDPV12</stp>
        <stp>912833WQ Govt</stp>
        <stp>YLD_YTM_BID</stp>
        <stp>[STRIPS.xlsx]Sheet1!R24C4</stp>
        <tr r="D24" s="1"/>
      </tp>
      <tp t="s">
        <v>UNITED STATES</v>
        <stp/>
        <stp>##V3_BDPV12</stp>
        <stp>912834MD Govt</stp>
        <stp>COUNTRY_FULL_NAME</stp>
        <stp>[STRIPS.xlsx]Sheet1!R72C8</stp>
        <tr r="H72" s="1"/>
      </tp>
      <tp t="s">
        <v>UNITED STATES</v>
        <stp/>
        <stp>##V3_BDPV12</stp>
        <stp>912834LB Govt</stp>
        <stp>COUNTRY_FULL_NAME</stp>
        <stp>[STRIPS.xlsx]Sheet1!R73C8</stp>
        <tr r="H73" s="1"/>
      </tp>
      <tp>
        <v>0.11300000000003076</v>
        <stp/>
        <stp>##V3_BDPV12</stp>
        <stp>912834JY Govt</stp>
        <stp>YLD_YTM_BID</stp>
        <stp>[STRIPS.xlsx]Sheet1!R64C4</stp>
        <tr r="D64" s="1"/>
      </tp>
      <tp>
        <v>2.1850000000000147</v>
        <stp/>
        <stp>##V3_BDPV12</stp>
        <stp>912834JP Govt</stp>
        <stp>YLD_YTM_BID</stp>
        <stp>[STRIPS.xlsx]Sheet1!R34C4</stp>
        <tr r="D34" s="1"/>
      </tp>
      <tp>
        <v>2.2650000000000059</v>
        <stp/>
        <stp>##V3_BDPV12</stp>
        <stp>912834SZ Govt</stp>
        <stp>YLD_YTM_BID</stp>
        <stp>[STRIPS.xlsx]Sheet1!R94C4</stp>
        <tr r="D94" s="1"/>
      </tp>
      <tp>
        <v>2.2569999999999979</v>
        <stp/>
        <stp>##V3_BDPV12</stp>
        <stp>912834PM Govt</stp>
        <stp>YLD_YTM_BID</stp>
        <stp>[STRIPS.xlsx]Sheet1!R84C4</stp>
        <tr r="D84" s="1"/>
      </tp>
      <tp>
        <v>2.18799999999999</v>
        <stp/>
        <stp>##V3_BDPV12</stp>
        <stp>912834WR Govt</stp>
        <stp>YLD_YTM_BID</stp>
        <stp>[STRIPS.xlsx]Sheet1!R54C4</stp>
        <tr r="D54" s="1"/>
      </tp>
      <tp t="s">
        <v>UNITED STATES</v>
        <stp/>
        <stp>##V3_BDPV12</stp>
        <stp>912834LX Govt</stp>
        <stp>COUNTRY_FULL_NAME</stp>
        <stp>[STRIPS.xlsx]Sheet1!R93C8</stp>
        <tr r="H93" s="1"/>
      </tp>
      <tp t="s">
        <v>ZERO</v>
        <stp/>
        <stp>##V3_BDPV12</stp>
        <stp>912833MQ Govt</stp>
        <stp>CPN_TYP</stp>
        <stp>[STRIPS.xlsx]Sheet1!R236C11</stp>
        <tr r="K236" s="1"/>
      </tp>
      <tp t="s">
        <v>ZERO</v>
        <stp/>
        <stp>##V3_BDPV12</stp>
        <stp>912834MV Govt</stp>
        <stp>CPN_TYP</stp>
        <stp>[STRIPS.xlsx]Sheet1!R543C11</stp>
        <tr r="K543" s="1"/>
      </tp>
      <tp t="s">
        <v>ZERO</v>
        <stp/>
        <stp>##V3_BDPV12</stp>
        <stp>912833MP Govt</stp>
        <stp>CPN_TYP</stp>
        <stp>[STRIPS.xlsx]Sheet1!R235C11</stp>
        <tr r="K235" s="1"/>
      </tp>
      <tp t="s">
        <v>ZERO</v>
        <stp/>
        <stp>##V3_BDPV12</stp>
        <stp>912833MT Govt</stp>
        <stp>CPN_TYP</stp>
        <stp>[STRIPS.xlsx]Sheet1!R674C11</stp>
        <tr r="K674" s="1"/>
      </tp>
      <tp t="s">
        <v>ZERO</v>
        <stp/>
        <stp>##V3_BDPV12</stp>
        <stp>912833MR Govt</stp>
        <stp>CPN_TYP</stp>
        <stp>[STRIPS.xlsx]Sheet1!R333C11</stp>
        <tr r="K333" s="1"/>
      </tp>
      <tp t="s">
        <v>ZERO</v>
        <stp/>
        <stp>##V3_BDPV12</stp>
        <stp>912834MU Govt</stp>
        <stp>CPN_TYP</stp>
        <stp>[STRIPS.xlsx]Sheet1!R419C11</stp>
        <tr r="K419" s="1"/>
      </tp>
      <tp t="s">
        <v>ZERO</v>
        <stp/>
        <stp>##V3_BDPV12</stp>
        <stp>912833MW Govt</stp>
        <stp>CPN_TYP</stp>
        <stp>[STRIPS.xlsx]Sheet1!R675C11</stp>
        <tr r="K675" s="1"/>
      </tp>
      <tp t="s">
        <v>ZERO</v>
        <stp/>
        <stp>##V3_BDPV12</stp>
        <stp>912833MV Govt</stp>
        <stp>CPN_TYP</stp>
        <stp>[STRIPS.xlsx]Sheet1!R626C11</stp>
        <tr r="K626" s="1"/>
      </tp>
      <tp t="s">
        <v>ZERO</v>
        <stp/>
        <stp>##V3_BDPV12</stp>
        <stp>912833MU Govt</stp>
        <stp>CPN_TYP</stp>
        <stp>[STRIPS.xlsx]Sheet1!R515C11</stp>
        <tr r="K515" s="1"/>
      </tp>
      <tp t="s">
        <v>ZERO</v>
        <stp/>
        <stp>##V3_BDPV12</stp>
        <stp>912834MR Govt</stp>
        <stp>CPN_TYP</stp>
        <stp>[STRIPS.xlsx]Sheet1!R272C11</stp>
        <tr r="K272" s="1"/>
      </tp>
      <tp t="s">
        <v>ZERO</v>
        <stp/>
        <stp>##V3_BDPV12</stp>
        <stp>912834MS Govt</stp>
        <stp>CPN_TYP</stp>
        <stp>[STRIPS.xlsx]Sheet1!R406C11</stp>
        <tr r="K406" s="1"/>
      </tp>
      <tp t="s">
        <v>ZERO</v>
        <stp/>
        <stp>##V3_BDPV12</stp>
        <stp>912833MS Govt</stp>
        <stp>CPN_TYP</stp>
        <stp>[STRIPS.xlsx]Sheet1!R625C11</stp>
        <tr r="K625" s="1"/>
      </tp>
      <tp t="s">
        <v>ZERO</v>
        <stp/>
        <stp>##V3_BDPV12</stp>
        <stp>912834MW Govt</stp>
        <stp>CPN_TYP</stp>
        <stp>[STRIPS.xlsx]Sheet1!R234C11</stp>
        <tr r="K234" s="1"/>
      </tp>
      <tp t="s">
        <v>ZERO</v>
        <stp/>
        <stp>##V3_BDPV12</stp>
        <stp>912834MQ Govt</stp>
        <stp>CPN_TYP</stp>
        <stp>[STRIPS.xlsx]Sheet1!R418C11</stp>
        <tr r="K418" s="1"/>
      </tp>
      <tp t="s">
        <v>ZERO</v>
        <stp/>
        <stp>##V3_BDPV12</stp>
        <stp>912834MP Govt</stp>
        <stp>CPN_TYP</stp>
        <stp>[STRIPS.xlsx]Sheet1!R542C11</stp>
        <tr r="K542" s="1"/>
      </tp>
      <tp t="s">
        <v>ZERO</v>
        <stp/>
        <stp>##V3_BDPV12</stp>
        <stp>912834MX Govt</stp>
        <stp>CPN_TYP</stp>
        <stp>[STRIPS.xlsx]Sheet1!R327C11</stp>
        <tr r="K327" s="1"/>
      </tp>
      <tp t="s">
        <v>9128335C0</v>
        <stp/>
        <stp>##V3_BDPV12</stp>
        <stp>9128335C Govt</stp>
        <stp>ID_CUSIP</stp>
        <stp>[STRIPS.xlsx]Sheet1!R720C19</stp>
        <tr r="S720" s="1"/>
      </tp>
      <tp t="s">
        <v>9128332C3</v>
        <stp/>
        <stp>##V3_BDPV12</stp>
        <stp>9128332C Govt</stp>
        <stp>ID_CUSIP</stp>
        <stp>[STRIPS.xlsx]Sheet1!R701C19</stp>
        <tr r="S701" s="1"/>
      </tp>
      <tp t="s">
        <v>9128334C1</v>
        <stp/>
        <stp>##V3_BDPV12</stp>
        <stp>9128334C Govt</stp>
        <stp>ID_CUSIP</stp>
        <stp>[STRIPS.xlsx]Sheet1!R707C19</stp>
        <tr r="S707" s="1"/>
      </tp>
      <tp t="s">
        <v>9128336C9</v>
        <stp/>
        <stp>##V3_BDPV12</stp>
        <stp>9128336C Govt</stp>
        <stp>ID_CUSIP</stp>
        <stp>[STRIPS.xlsx]Sheet1!R713C19</stp>
        <tr r="S713" s="1"/>
      </tp>
      <tp t="s">
        <v>912834UC0</v>
        <stp/>
        <stp>##V3_BDPV12</stp>
        <stp>912834UC Govt</stp>
        <stp>ID_CUSIP</stp>
        <stp>[STRIPS.xlsx]Sheet1!R761C19</stp>
        <tr r="S761" s="1"/>
      </tp>
      <tp t="s">
        <v>912834VC9</v>
        <stp/>
        <stp>##V3_BDPV12</stp>
        <stp>912834VC Govt</stp>
        <stp>ID_CUSIP</stp>
        <stp>[STRIPS.xlsx]Sheet1!R763C19</stp>
        <tr r="S763" s="1"/>
      </tp>
      <tp t="s">
        <v>4/15/2005</v>
        <stp/>
        <stp>##V3_BDPV12</stp>
        <stp>9128333X Govt</stp>
        <stp>ISSUE_DT</stp>
        <stp>[STRIPS.xlsx]Sheet1!R601C15</stp>
        <tr r="O601" s="1"/>
      </tp>
      <tp t="s">
        <v>10/15/1996</v>
        <stp/>
        <stp>##V3_BDPV12</stp>
        <stp>912833MX Govt</stp>
        <stp>ISSUE_DT</stp>
        <stp>[STRIPS.xlsx]Sheet1!R627C15</stp>
        <tr r="O627" s="1"/>
      </tp>
      <tp t="s">
        <v>11/15/1984</v>
        <stp/>
        <stp>##V3_BDPV12</stp>
        <stp>912833FX Govt</stp>
        <stp>ISSUE_DT</stp>
        <stp>[STRIPS.xlsx]Sheet1!R622C15</stp>
        <tr r="O622" s="1"/>
      </tp>
      <tp t="s">
        <v>11/15/1985</v>
        <stp/>
        <stp>##V3_BDPV12</stp>
        <stp>912833JX Govt</stp>
        <stp>ISSUE_DT</stp>
        <stp>[STRIPS.xlsx]Sheet1!R669C15</stp>
        <tr r="O669" s="1"/>
      </tp>
      <tp t="s">
        <v>ZERO</v>
        <stp/>
        <stp>##V3_BDPV12</stp>
        <stp>912834MY Govt</stp>
        <stp>CPN_TYP</stp>
        <stp>[STRIPS.xlsx]Sheet1!R328C11</stp>
        <tr r="K328" s="1"/>
      </tp>
      <tp t="s">
        <v>912833LC2</v>
        <stp/>
        <stp>##V3_BDPV12</stp>
        <stp>912833LC Govt</stp>
        <stp>ID_CUSIP</stp>
        <stp>[STRIPS.xlsx]Sheet1!R673C19</stp>
        <tr r="S673" s="1"/>
      </tp>
      <tp t="s">
        <v>912833YC8</v>
        <stp/>
        <stp>##V3_BDPV12</stp>
        <stp>912833YC Govt</stp>
        <stp>ID_CUSIP</stp>
        <stp>[STRIPS.xlsx]Sheet1!R636C19</stp>
        <tr r="S636" s="1"/>
      </tp>
      <tp t="s">
        <v>912833RC6</v>
        <stp/>
        <stp>##V3_BDPV12</stp>
        <stp>912833RC Govt</stp>
        <stp>ID_CUSIP</stp>
        <stp>[STRIPS.xlsx]Sheet1!R690C19</stp>
        <tr r="S690" s="1"/>
      </tp>
      <tp t="s">
        <v>4/15/2021</v>
        <stp/>
        <stp>##V3_BDPV12</stp>
        <stp>912834WX Govt</stp>
        <stp>ISSUE_DT</stp>
        <stp>[STRIPS.xlsx]Sheet1!R776C15</stp>
        <tr r="O776" s="1"/>
      </tp>
      <tp t="s">
        <v>6/15/2020</v>
        <stp/>
        <stp>##V3_BDPV12</stp>
        <stp>912834VX Govt</stp>
        <stp>ISSUE_DT</stp>
        <stp>[STRIPS.xlsx]Sheet1!R767C15</stp>
        <tr r="O767" s="1"/>
      </tp>
      <tp t="s">
        <v>5/1/2006</v>
        <stp/>
        <stp>##V3_BDPV12</stp>
        <stp>9128335X Govt</stp>
        <stp>ISSUE_DT</stp>
        <stp>[STRIPS.xlsx]Sheet1!R747C15</stp>
        <tr r="O747" s="1"/>
      </tp>
      <tp t="s">
        <v>912833NC0</v>
        <stp/>
        <stp>##V3_BDPV12</stp>
        <stp>912833NC Govt</stp>
        <stp>ID_CUSIP</stp>
        <stp>[STRIPS.xlsx]Sheet1!R570C19</stp>
        <tr r="S570" s="1"/>
      </tp>
      <tp t="s">
        <v>912834FC7</v>
        <stp/>
        <stp>##V3_BDPV12</stp>
        <stp>912834FC Govt</stp>
        <stp>ID_CUSIP</stp>
        <stp>[STRIPS.xlsx]Sheet1!R534C19</stp>
        <tr r="S534" s="1"/>
      </tp>
      <tp t="s">
        <v>912834MC9</v>
        <stp/>
        <stp>##V3_BDPV12</stp>
        <stp>912834MC Govt</stp>
        <stp>ID_CUSIP</stp>
        <stp>[STRIPS.xlsx]Sheet1!R541C19</stp>
        <tr r="S541" s="1"/>
      </tp>
      <tp t="s">
        <v>912833DC1</v>
        <stp/>
        <stp>##V3_BDPV12</stp>
        <stp>912833DC Govt</stp>
        <stp>ID_CUSIP</stp>
        <stp>[STRIPS.xlsx]Sheet1!R504C19</stp>
        <tr r="S504" s="1"/>
      </tp>
      <tp t="s">
        <v>12/15/2011</v>
        <stp/>
        <stp>##V3_BDPV12</stp>
        <stp>912834KX Govt</stp>
        <stp>ISSUE_DT</stp>
        <stp>[STRIPS.xlsx]Sheet1!R471C15</stp>
        <tr r="O471" s="1"/>
      </tp>
      <tp t="s">
        <v>6/30/1998</v>
        <stp/>
        <stp>##V3_BDPV12</stp>
        <stp>912833RX Govt</stp>
        <stp>ISSUE_DT</stp>
        <stp>[STRIPS.xlsx]Sheet1!R449C15</stp>
        <tr r="O449" s="1"/>
      </tp>
      <tp t="s">
        <v>12/15/2016</v>
        <stp/>
        <stp>##V3_BDPV12</stp>
        <stp>912834QX Govt</stp>
        <stp>ISSUE_DT</stp>
        <stp>[STRIPS.xlsx]Sheet1!R423C15</stp>
        <tr r="O423" s="1"/>
      </tp>
      <tp t="s">
        <v>1/15/2016</v>
        <stp/>
        <stp>##V3_BDPV12</stp>
        <stp>912834PX Govt</stp>
        <stp>ISSUE_DT</stp>
        <stp>[STRIPS.xlsx]Sheet1!R412C15</stp>
        <tr r="O412" s="1"/>
      </tp>
      <tp t="s">
        <v>9/15/2014</v>
        <stp/>
        <stp>##V3_BDPV12</stp>
        <stp>912834NX Govt</stp>
        <stp>ISSUE_DT</stp>
        <stp>[STRIPS.xlsx]Sheet1!R410C15</stp>
        <tr r="O410" s="1"/>
      </tp>
      <tp t="s">
        <v>912834NC8</v>
        <stp/>
        <stp>##V3_BDPV12</stp>
        <stp>912834NC Govt</stp>
        <stp>ID_CUSIP</stp>
        <stp>[STRIPS.xlsx]Sheet1!R407C19</stp>
        <tr r="S407" s="1"/>
      </tp>
      <tp t="s">
        <v>912833KC3</v>
        <stp/>
        <stp>##V3_BDPV12</stp>
        <stp>912833KC Govt</stp>
        <stp>ID_CUSIP</stp>
        <stp>[STRIPS.xlsx]Sheet1!R442C19</stp>
        <tr r="S442" s="1"/>
      </tp>
      <tp t="s">
        <v>912833GC8</v>
        <stp/>
        <stp>##V3_BDPV12</stp>
        <stp>912833GC Govt</stp>
        <stp>ID_CUSIP</stp>
        <stp>[STRIPS.xlsx]Sheet1!R440C19</stp>
        <tr r="S440" s="1"/>
      </tp>
      <tp t="s">
        <v>912834BC1</v>
        <stp/>
        <stp>##V3_BDPV12</stp>
        <stp>912834BC Govt</stp>
        <stp>ID_CUSIP</stp>
        <stp>[STRIPS.xlsx]Sheet1!R458C19</stp>
        <tr r="S458" s="1"/>
      </tp>
      <tp t="s">
        <v>912833CC2</v>
        <stp/>
        <stp>##V3_BDPV12</stp>
        <stp>912833CC Govt</stp>
        <stp>ID_CUSIP</stp>
        <stp>[STRIPS.xlsx]Sheet1!R436C19</stp>
        <tr r="S436" s="1"/>
      </tp>
      <tp t="s">
        <v>912834EC8</v>
        <stp/>
        <stp>##V3_BDPV12</stp>
        <stp>912834EC Govt</stp>
        <stp>ID_CUSIP</stp>
        <stp>[STRIPS.xlsx]Sheet1!R461C19</stp>
        <tr r="S461" s="1"/>
      </tp>
      <tp t="s">
        <v>9/15/2003</v>
        <stp/>
        <stp>##V3_BDPV12</stp>
        <stp>912833ZX Govt</stp>
        <stp>ISSUE_DT</stp>
        <stp>[STRIPS.xlsx]Sheet1!R588C15</stp>
        <tr r="O588" s="1"/>
      </tp>
      <tp t="s">
        <v>2/15/1985</v>
        <stp/>
        <stp>##V3_BDPV12</stp>
        <stp>912833CX Govt</stp>
        <stp>ISSUE_DT</stp>
        <stp>[STRIPS.xlsx]Sheet1!R503C15</stp>
        <tr r="O503" s="1"/>
      </tp>
      <tp t="s">
        <v>912833ZC7</v>
        <stp/>
        <stp>##V3_BDPV12</stp>
        <stp>912833ZC Govt</stp>
        <stp>ID_CUSIP</stp>
        <stp>[STRIPS.xlsx]Sheet1!R346C19</stp>
        <tr r="S346" s="1"/>
      </tp>
      <tp t="s">
        <v>912833QC7</v>
        <stp/>
        <stp>##V3_BDPV12</stp>
        <stp>912833QC Govt</stp>
        <stp>ID_CUSIP</stp>
        <stp>[STRIPS.xlsx]Sheet1!R341C19</stp>
        <tr r="S341" s="1"/>
      </tp>
      <tp t="s">
        <v>912834AC2</v>
        <stp/>
        <stp>##V3_BDPV12</stp>
        <stp>912834AC Govt</stp>
        <stp>ID_CUSIP</stp>
        <stp>[STRIPS.xlsx]Sheet1!R384C19</stp>
        <tr r="S384" s="1"/>
      </tp>
      <tp t="s">
        <v>10/2/2006</v>
        <stp/>
        <stp>##V3_BDPV12</stp>
        <stp>9128336X Govt</stp>
        <stp>ISSUE_DT</stp>
        <stp>[STRIPS.xlsx]Sheet1!R290C15</stp>
        <tr r="O290" s="1"/>
      </tp>
      <tp t="s">
        <v>12/31/1997</v>
        <stp/>
        <stp>##V3_BDPV12</stp>
        <stp>912833QX Govt</stp>
        <stp>ISSUE_DT</stp>
        <stp>[STRIPS.xlsx]Sheet1!R243C15</stp>
        <tr r="O243" s="1"/>
      </tp>
      <tp t="s">
        <v>3/16/2015</v>
        <stp/>
        <stp>##V3_BDPV12</stp>
        <stp>912834JX Govt</stp>
        <stp>ISSUE_DT</stp>
        <stp>[STRIPS.xlsx]Sheet1!R221C15</stp>
        <tr r="O221" s="1"/>
      </tp>
      <tp t="s">
        <v>ZERO</v>
        <stp/>
        <stp>##V3_BDPV12</stp>
        <stp>912833MX Govt</stp>
        <stp>CPN_TYP</stp>
        <stp>[STRIPS.xlsx]Sheet1!R627C11</stp>
        <tr r="K627" s="1"/>
      </tp>
      <tp t="s">
        <v>912834XC7</v>
        <stp/>
        <stp>##V3_BDPV12</stp>
        <stp>912834XC Govt</stp>
        <stp>ID_CUSIP</stp>
        <stp>[STRIPS.xlsx]Sheet1!R214C19</stp>
        <tr r="S214" s="1"/>
      </tp>
      <tp t="s">
        <v>912834JC3</v>
        <stp/>
        <stp>##V3_BDPV12</stp>
        <stp>912834JC Govt</stp>
        <stp>ID_CUSIP</stp>
        <stp>[STRIPS.xlsx]Sheet1!R227C19</stp>
        <tr r="S227" s="1"/>
      </tp>
      <tp t="s">
        <v>7/31/2002</v>
        <stp/>
        <stp>##V3_BDPV12</stp>
        <stp>912833YX Govt</stp>
        <stp>ISSUE_DT</stp>
        <stp>[STRIPS.xlsx]Sheet1!R381C15</stp>
        <tr r="O381" s="1"/>
      </tp>
      <tp t="s">
        <v>6/1/2009</v>
        <stp/>
        <stp>##V3_BDPV12</stp>
        <stp>912834DX Govt</stp>
        <stp>ISSUE_DT</stp>
        <stp>[STRIPS.xlsx]Sheet1!R391C15</stp>
        <tr r="O391" s="1"/>
      </tp>
      <tp t="s">
        <v>3/2/2009</v>
        <stp/>
        <stp>##V3_BDPV12</stp>
        <stp>912834AX Govt</stp>
        <stp>ISSUE_DT</stp>
        <stp>[STRIPS.xlsx]Sheet1!R388C15</stp>
        <tr r="O388" s="1"/>
      </tp>
      <tp t="s">
        <v>6/15/2010</v>
        <stp/>
        <stp>##V3_BDPV12</stp>
        <stp>912834HX Govt</stp>
        <stp>ISSUE_DT</stp>
        <stp>[STRIPS.xlsx]Sheet1!R356C15</stp>
        <tr r="O356" s="1"/>
      </tp>
      <tp t="s">
        <v>12/15/2009</v>
        <stp/>
        <stp>##V3_BDPV12</stp>
        <stp>912834EX Govt</stp>
        <stp>ISSUE_DT</stp>
        <stp>[STRIPS.xlsx]Sheet1!R354C15</stp>
        <tr r="O354" s="1"/>
      </tp>
      <tp t="s">
        <v>10/31/1997</v>
        <stp/>
        <stp>##V3_BDPV12</stp>
        <stp>912833PX Govt</stp>
        <stp>ISSUE_DT</stp>
        <stp>[STRIPS.xlsx]Sheet1!R339C15</stp>
        <tr r="O339" s="1"/>
      </tp>
      <tp t="s">
        <v>10/15/2013</v>
        <stp/>
        <stp>##V3_BDPV12</stp>
        <stp>912834MX Govt</stp>
        <stp>ISSUE_DT</stp>
        <stp>[STRIPS.xlsx]Sheet1!R327C15</stp>
        <tr r="O327" s="1"/>
      </tp>
      <tp t="s">
        <v>2/15/1985</v>
        <stp/>
        <stp>##V3_BDPV12</stp>
        <stp>912833BX Govt</stp>
        <stp>ISSUE_DT</stp>
        <stp>[STRIPS.xlsx]Sheet1!R361C15</stp>
        <tr r="O361" s="1"/>
      </tp>
      <tp t="s">
        <v>912834KC1</v>
        <stp/>
        <stp>##V3_BDPV12</stp>
        <stp>912834KC Govt</stp>
        <stp>ID_CUSIP</stp>
        <stp>[STRIPS.xlsx]Sheet1!R133C19</stp>
        <tr r="S133" s="1"/>
      </tp>
      <tp t="s">
        <v>912834PC6</v>
        <stp/>
        <stp>##V3_BDPV12</stp>
        <stp>912834PC Govt</stp>
        <stp>ID_CUSIP</stp>
        <stp>[STRIPS.xlsx]Sheet1!R148C19</stp>
        <tr r="S148" s="1"/>
      </tp>
      <tp t="s">
        <v>912834QC5</v>
        <stp/>
        <stp>##V3_BDPV12</stp>
        <stp>912834QC Govt</stp>
        <stp>ID_CUSIP</stp>
        <stp>[STRIPS.xlsx]Sheet1!R141C19</stp>
        <tr r="S141" s="1"/>
      </tp>
      <tp t="s">
        <v>912834TC2</v>
        <stp/>
        <stp>##V3_BDPV12</stp>
        <stp>912834TC Govt</stp>
        <stp>ID_CUSIP</stp>
        <stp>[STRIPS.xlsx]Sheet1!R163C19</stp>
        <tr r="S163" s="1"/>
      </tp>
      <tp t="s">
        <v>ZERO</v>
        <stp/>
        <stp>##V3_BDPV12</stp>
        <stp>912833MZ Govt</stp>
        <stp>CPN_TYP</stp>
        <stp>[STRIPS.xlsx]Sheet1!R628C11</stp>
        <tr r="K628" s="1"/>
      </tp>
      <tp t="s">
        <v>ZERO</v>
        <stp/>
        <stp>##V3_BDPV12</stp>
        <stp>912833MY Govt</stp>
        <stp>CPN_TYP</stp>
        <stp>[STRIPS.xlsx]Sheet1!R569C11</stp>
        <tr r="K569" s="1"/>
      </tp>
      <tp t="s">
        <v>7/31/2019</v>
        <stp/>
        <stp>##V3_BDPV12</stp>
        <stp>912834UX Govt</stp>
        <stp>ISSUE_DT</stp>
        <stp>[STRIPS.xlsx]Sheet1!R182C15</stp>
        <tr r="O182" s="1"/>
      </tp>
      <tp t="s">
        <v>2/15/2006</v>
        <stp/>
        <stp>##V3_BDPV12</stp>
        <stp>9128334X Govt</stp>
        <stp>ISSUE_DT</stp>
        <stp>[STRIPS.xlsx]Sheet1!R107C15</stp>
        <tr r="O107" s="1"/>
      </tp>
      <tp t="s">
        <v>9/17/2018</v>
        <stp/>
        <stp>##V3_BDPV12</stp>
        <stp>912834TX Govt</stp>
        <stp>ISSUE_DT</stp>
        <stp>[STRIPS.xlsx]Sheet1!R145C15</stp>
        <tr r="O145" s="1"/>
      </tp>
      <tp t="s">
        <v>5/15/1990</v>
        <stp/>
        <stp>##V3_BDPV12</stp>
        <stp>912833KX Govt</stp>
        <stp>ISSUE_DT</stp>
        <stp>[STRIPS.xlsx]Sheet1!R157C15</stp>
        <tr r="O157" s="1"/>
      </tp>
      <tp t="s">
        <v>ZERO</v>
        <stp/>
        <stp>##V3_BDPV12</stp>
        <stp>912833MG Govt</stp>
        <stp>CPN_TYP</stp>
        <stp>[STRIPS.xlsx]Sheet1!R514C11</stp>
        <tr r="K514" s="1"/>
      </tp>
      <tp t="s">
        <v>ZERO</v>
        <stp/>
        <stp>##V3_BDPV12</stp>
        <stp>912833ME Govt</stp>
        <stp>CPN_TYP</stp>
        <stp>[STRIPS.xlsx]Sheet1!R567C11</stp>
        <tr r="K567" s="1"/>
      </tp>
      <tp t="s">
        <v>ZERO</v>
        <stp/>
        <stp>##V3_BDPV12</stp>
        <stp>912834MA Govt</stp>
        <stp>CPN_TYP</stp>
        <stp>[STRIPS.xlsx]Sheet1!R172C11</stp>
        <tr r="K172" s="1"/>
      </tp>
      <tp t="s">
        <v>ZERO</v>
        <stp/>
        <stp>##V3_BDPV12</stp>
        <stp>912833MD Govt</stp>
        <stp>CPN_TYP</stp>
        <stp>[STRIPS.xlsx]Sheet1!R304C11</stp>
        <tr r="K304" s="1"/>
      </tp>
      <tp t="s">
        <v>ZERO</v>
        <stp/>
        <stp>##V3_BDPV12</stp>
        <stp>912834MB Govt</stp>
        <stp>CPN_TYP</stp>
        <stp>[STRIPS.xlsx]Sheet1!R540C11</stp>
        <tr r="K540" s="1"/>
      </tp>
      <tp t="s">
        <v>ZERO</v>
        <stp/>
        <stp>##V3_BDPV12</stp>
        <stp>912834MC Govt</stp>
        <stp>CPN_TYP</stp>
        <stp>[STRIPS.xlsx]Sheet1!R541C11</stp>
        <tr r="K541" s="1"/>
      </tp>
      <tp t="s">
        <v>ZERO</v>
        <stp/>
        <stp>##V3_BDPV12</stp>
        <stp>912833MF Govt</stp>
        <stp>CPN_TYP</stp>
        <stp>[STRIPS.xlsx]Sheet1!R305C11</stp>
        <tr r="K305" s="1"/>
      </tp>
      <tp t="s">
        <v>ZERO</v>
        <stp/>
        <stp>##V3_BDPV12</stp>
        <stp>912834MG Govt</stp>
        <stp>CPN_TYP</stp>
        <stp>[STRIPS.xlsx]Sheet1!R271C11</stp>
        <tr r="K271" s="1"/>
      </tp>
      <tp t="s">
        <v>ZERO</v>
        <stp/>
        <stp>##V3_BDPV12</stp>
        <stp>912834MH Govt</stp>
        <stp>CPN_TYP</stp>
        <stp>[STRIPS.xlsx]Sheet1!R326C11</stp>
        <tr r="K326" s="1"/>
      </tp>
      <tp t="s">
        <v>ZERO</v>
        <stp/>
        <stp>##V3_BDPV12</stp>
        <stp>912833MH Govt</stp>
        <stp>CPN_TYP</stp>
        <stp>[STRIPS.xlsx]Sheet1!R306C11</stp>
        <tr r="K306" s="1"/>
      </tp>
      <tp t="s">
        <v>ZERO</v>
        <stp/>
        <stp>##V3_BDPV12</stp>
        <stp>912834MN Govt</stp>
        <stp>CPN_TYP</stp>
        <stp>[STRIPS.xlsx]Sheet1!R417C11</stp>
        <tr r="K417" s="1"/>
      </tp>
      <tp t="s">
        <v>ZERO</v>
        <stp/>
        <stp>##V3_BDPV12</stp>
        <stp>912833ML Govt</stp>
        <stp>CPN_TYP</stp>
        <stp>[STRIPS.xlsx]Sheet1!R568C11</stp>
        <tr r="K568" s="1"/>
      </tp>
      <tp t="s">
        <v>ZERO</v>
        <stp/>
        <stp>##V3_BDPV12</stp>
        <stp>912833MJ Govt</stp>
        <stp>CPN_TYP</stp>
        <stp>[STRIPS.xlsx]Sheet1!R370C11</stp>
        <tr r="K370" s="1"/>
      </tp>
      <tp t="s">
        <v>ZERO</v>
        <stp/>
        <stp>##V3_BDPV12</stp>
        <stp>912833MN Govt</stp>
        <stp>CPN_TYP</stp>
        <stp>[STRIPS.xlsx]Sheet1!R624C11</stp>
        <tr r="K624" s="1"/>
      </tp>
      <tp t="s">
        <v>ZERO</v>
        <stp/>
        <stp>##V3_BDPV12</stp>
        <stp>912834MJ Govt</stp>
        <stp>CPN_TYP</stp>
        <stp>[STRIPS.xlsx]Sheet1!R233C11</stp>
        <tr r="K233" s="1"/>
      </tp>
      <tp t="s">
        <v>ZERO</v>
        <stp/>
        <stp>##V3_BDPV12</stp>
        <stp>912834ML Govt</stp>
        <stp>CPN_TYP</stp>
        <stp>[STRIPS.xlsx]Sheet1!R475C11</stp>
        <tr r="K475" s="1"/>
      </tp>
      <tp t="s">
        <v>ZERO</v>
        <stp/>
        <stp>##V3_BDPV12</stp>
        <stp>912834MK Govt</stp>
        <stp>CPN_TYP</stp>
        <stp>[STRIPS.xlsx]Sheet1!R405C11</stp>
        <tr r="K405" s="1"/>
      </tp>
      <tp t="s">
        <v>ZERO</v>
        <stp/>
        <stp>##V3_BDPV12</stp>
        <stp>912833MK Govt</stp>
        <stp>CPN_TYP</stp>
        <stp>[STRIPS.xlsx]Sheet1!R445C11</stp>
        <tr r="K445" s="1"/>
      </tp>
      <tp t="s">
        <v>ZERO</v>
        <stp/>
        <stp>##V3_BDPV12</stp>
        <stp>912833MM Govt</stp>
        <stp>CPN_TYP</stp>
        <stp>[STRIPS.xlsx]Sheet1!R371C11</stp>
        <tr r="K371" s="1"/>
      </tp>
      <tp t="s">
        <v>#N/A Field Not Applicable</v>
        <stp/>
        <stp>##V3_BDPV12</stp>
        <stp>912834SZ Govt</stp>
        <stp>COUPON_FREQUENCY_DESCRIPTION</stp>
        <stp>[STRIPS.xlsx]Sheet1!R94C10</stp>
        <tr r="J94" s="1"/>
      </tp>
      <tp t="s">
        <v>S 0 02/28/26</v>
        <stp/>
        <stp>##V3_BDPV12</stp>
        <stp>912834UL Govt</stp>
        <stp>SECURITY_NAME</stp>
        <stp>[STRIPS.xlsx]Sheet1!R88C16</stp>
        <tr r="P88" s="1"/>
      </tp>
      <tp t="s">
        <v>S 0 02/15/23</v>
        <stp/>
        <stp>##V3_BDPV12</stp>
        <stp>912833LL Govt</stp>
        <stp>SECURITY_NAME</stp>
        <stp>[STRIPS.xlsx]Sheet1!R36C16</stp>
        <tr r="P36" s="1"/>
      </tp>
      <tp>
        <v>0</v>
        <stp/>
        <stp>##V3_BDPV12</stp>
        <stp>9128337U Govt</stp>
        <stp>CPN</stp>
        <stp>[STRIPS.xlsx]Sheet1!R46C3</stp>
        <tr r="C46" s="1"/>
      </tp>
      <tp>
        <v>0</v>
        <stp/>
        <stp>##V3_BDPV12</stp>
        <stp>912833LY Govt</stp>
        <stp>CPN</stp>
        <stp>[STRIPS.xlsx]Sheet1!R16C3</stp>
        <tr r="C16" s="1"/>
      </tp>
      <tp>
        <v>0</v>
        <stp/>
        <stp>##V3_BDPV12</stp>
        <stp>912833LL Govt</stp>
        <stp>CPN</stp>
        <stp>[STRIPS.xlsx]Sheet1!R36C3</stp>
        <tr r="C36" s="1"/>
      </tp>
      <tp>
        <v>0</v>
        <stp/>
        <stp>##V3_BDPV12</stp>
        <stp>912833X8 Govt</stp>
        <stp>CPN</stp>
        <stp>[STRIPS.xlsx]Sheet1!R66C3</stp>
        <tr r="C66" s="1"/>
      </tp>
      <tp>
        <v>0</v>
        <stp/>
        <stp>##V3_BDPV12</stp>
        <stp>912833RZ Govt</stp>
        <stp>CPN</stp>
        <stp>[STRIPS.xlsx]Sheet1!R26C3</stp>
        <tr r="C26" s="1"/>
      </tp>
      <tp>
        <v>0</v>
        <stp/>
        <stp>##V3_BDPV12</stp>
        <stp>912834KH Govt</stp>
        <stp>CPN</stp>
        <stp>[STRIPS.xlsx]Sheet1!R56C3</stp>
        <tr r="C56" s="1"/>
      </tp>
      <tp>
        <v>0</v>
        <stp/>
        <stp>##V3_BDPV12</stp>
        <stp>912834AT Govt</stp>
        <stp>CPN</stp>
        <stp>[STRIPS.xlsx]Sheet1!R76C3</stp>
        <tr r="C76" s="1"/>
      </tp>
      <tp>
        <v>0</v>
        <stp/>
        <stp>##V3_BDPV12</stp>
        <stp>912834QH Govt</stp>
        <stp>CPN</stp>
        <stp>[STRIPS.xlsx]Sheet1!R96C3</stp>
        <tr r="C96" s="1"/>
      </tp>
      <tp>
        <v>0</v>
        <stp/>
        <stp>##V3_BDPV12</stp>
        <stp>912834RR Govt</stp>
        <stp>CPN</stp>
        <stp>[STRIPS.xlsx]Sheet1!R86C3</stp>
        <tr r="C86" s="1"/>
      </tp>
      <tp>
        <v>1.709000000000005</v>
        <stp/>
        <stp>##V3_BDPV12</stp>
        <stp>9128337P Govt</stp>
        <stp>YLD_YTM_BID</stp>
        <stp>[STRIPS.xlsx]Sheet1!R25C4</stp>
        <tr r="D25" s="1"/>
      </tp>
      <tp>
        <v>1.8149999999999888</v>
        <stp/>
        <stp>##V3_BDPV12</stp>
        <stp>9128337S Govt</stp>
        <stp>YLD_YTM_BID</stp>
        <stp>[STRIPS.xlsx]Sheet1!R35C4</stp>
        <tr r="D35" s="1"/>
      </tp>
      <tp>
        <v>1.9200000000000106</v>
        <stp/>
        <stp>##V3_BDPV12</stp>
        <stp>9128334Z Govt</stp>
        <stp>YLD_YTM_BID</stp>
        <stp>[STRIPS.xlsx]Sheet1!R45C4</stp>
        <tr r="D45" s="1"/>
      </tp>
      <tp>
        <v>1.5699999999999825</v>
        <stp/>
        <stp>##V3_BDPV12</stp>
        <stp>912833XT Govt</stp>
        <stp>YLD_YTM_BID</stp>
        <stp>[STRIPS.xlsx]Sheet1!R55C4</stp>
        <tr r="D55" s="1"/>
      </tp>
      <tp>
        <v>1.4879999999999782</v>
        <stp/>
        <stp>##V3_BDPV12</stp>
        <stp>912833XN Govt</stp>
        <stp>YLD_YTM_BID</stp>
        <stp>[STRIPS.xlsx]Sheet1!R85C4</stp>
        <tr r="D85" s="1"/>
      </tp>
      <tp>
        <v>1.2649999999999828</v>
        <stp/>
        <stp>##V3_BDPV12</stp>
        <stp>912833PE Govt</stp>
        <stp>YLD_YTM_BID</stp>
        <stp>[STRIPS.xlsx]Sheet1!R15C4</stp>
        <tr r="D15" s="1"/>
      </tp>
      <tp>
        <v>2.2419999999999884</v>
        <stp/>
        <stp>##V3_BDPV12</stp>
        <stp>912834LR Govt</stp>
        <stp>YLD_YTM_BID</stp>
        <stp>[STRIPS.xlsx]Sheet1!R95C4</stp>
        <tr r="D95" s="1"/>
      </tp>
      <tp>
        <v>2.2359999999999935</v>
        <stp/>
        <stp>##V3_BDPV12</stp>
        <stp>912834UY Govt</stp>
        <stp>YLD_YTM_BID</stp>
        <stp>[STRIPS.xlsx]Sheet1!R75C4</stp>
        <tr r="D75" s="1"/>
      </tp>
      <tp>
        <v>2.2409999999999819</v>
        <stp/>
        <stp>##V3_BDPV12</stp>
        <stp>912834UR Govt</stp>
        <stp>YLD_YTM_BID</stp>
        <stp>[STRIPS.xlsx]Sheet1!R65C4</stp>
        <tr r="D65" s="1"/>
      </tp>
      <tp t="s">
        <v>UNITED STATES</v>
        <stp/>
        <stp>##V3_BDPV12</stp>
        <stp>912834JY Govt</stp>
        <stp>COUNTRY_FULL_NAME</stp>
        <stp>[STRIPS.xlsx]Sheet1!R64C8</stp>
        <tr r="H64" s="1"/>
      </tp>
      <tp t="s">
        <v>UNITED STATES</v>
        <stp/>
        <stp>##V3_BDPV12</stp>
        <stp>912833LU Govt</stp>
        <stp>COUNTRY_FULL_NAME</stp>
        <stp>[STRIPS.xlsx]Sheet1!R22C8</stp>
        <tr r="H22" s="1"/>
      </tp>
      <tp t="s">
        <v>UNITED STATES</v>
        <stp/>
        <stp>##V3_BDPV12</stp>
        <stp>912833LP Govt</stp>
        <stp>COUNTRY_FULL_NAME</stp>
        <stp>[STRIPS.xlsx]Sheet1!R12C8</stp>
        <tr r="H12" s="1"/>
      </tp>
      <tp t="s">
        <v>UNITED STATES</v>
        <stp/>
        <stp>##V3_BDPV12</stp>
        <stp>912834JP Govt</stp>
        <stp>COUNTRY_FULL_NAME</stp>
        <stp>[STRIPS.xlsx]Sheet1!R34C8</stp>
        <tr r="H34" s="1"/>
      </tp>
      <tp t="s">
        <v>US912833A420</v>
        <stp/>
        <stp>##V3_BDPV12</stp>
        <stp>912833A4 Govt</stp>
        <stp>ID_ISIN</stp>
        <stp>[STRIPS.xlsx]Sheet1!R330C12</stp>
        <tr r="L330" s="1"/>
      </tp>
      <tp t="s">
        <v>US912833A347</v>
        <stp/>
        <stp>##V3_BDPV12</stp>
        <stp>912833A3 Govt</stp>
        <stp>ID_ISIN</stp>
        <stp>[STRIPS.xlsx]Sheet1!R731C12</stp>
        <tr r="L731" s="1"/>
      </tp>
      <tp t="s">
        <v>US912833A263</v>
        <stp/>
        <stp>##V3_BDPV12</stp>
        <stp>912833A2 Govt</stp>
        <stp>ID_ISIN</stp>
        <stp>[STRIPS.xlsx]Sheet1!R608C12</stp>
        <tr r="L608" s="1"/>
      </tp>
      <tp t="s">
        <v>US912834A246</v>
        <stp/>
        <stp>##V3_BDPV12</stp>
        <stp>912834A2 Govt</stp>
        <stp>ID_ISIN</stp>
        <stp>[STRIPS.xlsx]Sheet1!R122C12</stp>
        <tr r="L122" s="1"/>
      </tp>
      <tp t="s">
        <v>US912834A329</v>
        <stp/>
        <stp>##V3_BDPV12</stp>
        <stp>912834A3 Govt</stp>
        <stp>ID_ISIN</stp>
        <stp>[STRIPS.xlsx]Sheet1!R119C12</stp>
        <tr r="L119" s="1"/>
      </tp>
      <tp t="s">
        <v>US912833A750</v>
        <stp/>
        <stp>##V3_BDPV12</stp>
        <stp>912833A7 Govt</stp>
        <stp>ID_ISIN</stp>
        <stp>[STRIPS.xlsx]Sheet1!R653C12</stp>
        <tr r="L653" s="1"/>
      </tp>
      <tp t="s">
        <v>US912833A594</v>
        <stp/>
        <stp>##V3_BDPV12</stp>
        <stp>912833A5 Govt</stp>
        <stp>ID_ISIN</stp>
        <stp>[STRIPS.xlsx]Sheet1!R432C12</stp>
        <tr r="L432" s="1"/>
      </tp>
      <tp t="s">
        <v>US912833A677</v>
        <stp/>
        <stp>##V3_BDPV12</stp>
        <stp>912833A6 Govt</stp>
        <stp>ID_ISIN</stp>
        <stp>[STRIPS.xlsx]Sheet1!R652C12</stp>
        <tr r="L652" s="1"/>
      </tp>
      <tp t="s">
        <v>US912833A917</v>
        <stp/>
        <stp>##V3_BDPV12</stp>
        <stp>912833A9 Govt</stp>
        <stp>ID_ISIN</stp>
        <stp>[STRIPS.xlsx]Sheet1!R609C12</stp>
        <tr r="L609" s="1"/>
      </tp>
      <tp t="s">
        <v>US912833A834</v>
        <stp/>
        <stp>##V3_BDPV12</stp>
        <stp>912833A8 Govt</stp>
        <stp>ID_ISIN</stp>
        <stp>[STRIPS.xlsx]Sheet1!R560C12</stp>
        <tr r="L560" s="1"/>
      </tp>
      <tp t="s">
        <v>ZERO</v>
        <stp/>
        <stp>##V3_BDPV12</stp>
        <stp>912834LS Govt</stp>
        <stp>CPN_TYP</stp>
        <stp>[STRIPS.xlsx]Sheet1!R270C11</stp>
        <tr r="K270" s="1"/>
      </tp>
      <tp t="s">
        <v>US912834AV01</v>
        <stp/>
        <stp>##V3_BDPV12</stp>
        <stp>912834AV Govt</stp>
        <stp>ID_ISIN</stp>
        <stp>[STRIPS.xlsx]Sheet1!R387C12</stp>
        <tr r="L387" s="1"/>
      </tp>
      <tp t="s">
        <v>US912834AU28</v>
        <stp/>
        <stp>##V3_BDPV12</stp>
        <stp>912834AU Govt</stp>
        <stp>ID_ISIN</stp>
        <stp>[STRIPS.xlsx]Sheet1!R125C12</stp>
        <tr r="L125" s="1"/>
      </tp>
      <tp t="s">
        <v>US912834AP33</v>
        <stp/>
        <stp>##V3_BDPV12</stp>
        <stp>912834AP Govt</stp>
        <stp>ID_ISIN</stp>
        <stp>[STRIPS.xlsx]Sheet1!R386C12</stp>
        <tr r="L386" s="1"/>
      </tp>
      <tp t="s">
        <v>ZERO</v>
        <stp/>
        <stp>##V3_BDPV12</stp>
        <stp>912834LT Govt</stp>
        <stp>CPN_TYP</stp>
        <stp>[STRIPS.xlsx]Sheet1!R358C11</stp>
        <tr r="K358" s="1"/>
      </tp>
      <tp t="s">
        <v>US912834AQ16</v>
        <stp/>
        <stp>##V3_BDPV12</stp>
        <stp>912834AQ Govt</stp>
        <stp>ID_ISIN</stp>
        <stp>[STRIPS.xlsx]Sheet1!R260C12</stp>
        <tr r="L260" s="1"/>
      </tp>
      <tp t="s">
        <v>ZERO</v>
        <stp/>
        <stp>##V3_BDPV12</stp>
        <stp>912834LU Govt</stp>
        <stp>CPN_TYP</stp>
        <stp>[STRIPS.xlsx]Sheet1!R359C11</stp>
        <tr r="K359" s="1"/>
      </tp>
      <tp t="s">
        <v>ZERO</v>
        <stp/>
        <stp>##V3_BDPV12</stp>
        <stp>912834LQ Govt</stp>
        <stp>CPN_TYP</stp>
        <stp>[STRIPS.xlsx]Sheet1!R404C11</stp>
        <tr r="K404" s="1"/>
      </tp>
      <tp t="s">
        <v>US912834AW83</v>
        <stp/>
        <stp>##V3_BDPV12</stp>
        <stp>912834AW Govt</stp>
        <stp>ID_ISIN</stp>
        <stp>[STRIPS.xlsx]Sheet1!R641C12</stp>
        <tr r="L641" s="1"/>
      </tp>
      <tp t="s">
        <v>ZERO</v>
        <stp/>
        <stp>##V3_BDPV12</stp>
        <stp>912834LV Govt</stp>
        <stp>CPN_TYP</stp>
        <stp>[STRIPS.xlsx]Sheet1!R232C11</stp>
        <tr r="K232" s="1"/>
      </tp>
      <tp t="s">
        <v>ZERO</v>
        <stp/>
        <stp>##V3_BDPV12</stp>
        <stp>912834LW Govt</stp>
        <stp>CPN_TYP</stp>
        <stp>[STRIPS.xlsx]Sheet1!R360C11</stp>
        <tr r="K360" s="1"/>
      </tp>
      <tp t="s">
        <v>ZERO</v>
        <stp/>
        <stp>##V3_BDPV12</stp>
        <stp>912834LP Govt</stp>
        <stp>CPN_TYP</stp>
        <stp>[STRIPS.xlsx]Sheet1!R474C11</stp>
        <tr r="K474" s="1"/>
      </tp>
      <tp t="s">
        <v>9128336B1</v>
        <stp/>
        <stp>##V3_BDPV12</stp>
        <stp>9128336B Govt</stp>
        <stp>ID_CUSIP</stp>
        <stp>[STRIPS.xlsx]Sheet1!R727C19</stp>
        <tr r="S727" s="1"/>
      </tp>
      <tp t="s">
        <v>912834WB0</v>
        <stp/>
        <stp>##V3_BDPV12</stp>
        <stp>912834WB Govt</stp>
        <stp>ID_CUSIP</stp>
        <stp>[STRIPS.xlsx]Sheet1!R771C19</stp>
        <tr r="S771" s="1"/>
      </tp>
      <tp t="s">
        <v>9128332B5</v>
        <stp/>
        <stp>##V3_BDPV12</stp>
        <stp>9128332B Govt</stp>
        <stp>ID_CUSIP</stp>
        <stp>[STRIPS.xlsx]Sheet1!R717C19</stp>
        <tr r="S717" s="1"/>
      </tp>
      <tp t="s">
        <v>US912834AY40</v>
        <stp/>
        <stp>##V3_BDPV12</stp>
        <stp>912834AY Govt</stp>
        <stp>ID_ISIN</stp>
        <stp>[STRIPS.xlsx]Sheet1!R642C12</stp>
        <tr r="L642" s="1"/>
      </tp>
      <tp t="s">
        <v>2/2/1998</v>
        <stp/>
        <stp>##V3_BDPV12</stp>
        <stp>912833QY Govt</stp>
        <stp>ISSUE_DT</stp>
        <stp>[STRIPS.xlsx]Sheet1!R633C15</stp>
        <tr r="O633" s="1"/>
      </tp>
      <tp t="s">
        <v>3/2/2009</v>
        <stp/>
        <stp>##V3_BDPV12</stp>
        <stp>912834AY Govt</stp>
        <stp>ISSUE_DT</stp>
        <stp>[STRIPS.xlsx]Sheet1!R642C15</stp>
        <tr r="O642" s="1"/>
      </tp>
      <tp t="s">
        <v>11/15/1984</v>
        <stp/>
        <stp>##V3_BDPV12</stp>
        <stp>912833FY Govt</stp>
        <stp>ISSUE_DT</stp>
        <stp>[STRIPS.xlsx]Sheet1!R665C15</stp>
        <tr r="O665" s="1"/>
      </tp>
      <tp t="s">
        <v>912833GB0</v>
        <stp/>
        <stp>##V3_BDPV12</stp>
        <stp>912833GB Govt</stp>
        <stp>ID_CUSIP</stp>
        <stp>[STRIPS.xlsx]Sheet1!R666C19</stp>
        <tr r="S666" s="1"/>
      </tp>
      <tp t="s">
        <v>912833NB2</v>
        <stp/>
        <stp>##V3_BDPV12</stp>
        <stp>912833NB Govt</stp>
        <stp>ID_CUSIP</stp>
        <stp>[STRIPS.xlsx]Sheet1!R629C19</stp>
        <tr r="S629" s="1"/>
      </tp>
      <tp t="s">
        <v>912834EB0</v>
        <stp/>
        <stp>##V3_BDPV12</stp>
        <stp>912834EB Govt</stp>
        <stp>ID_CUSIP</stp>
        <stp>[STRIPS.xlsx]Sheet1!R644C19</stp>
        <tr r="S644" s="1"/>
      </tp>
      <tp t="s">
        <v>9128334B3</v>
        <stp/>
        <stp>##V3_BDPV12</stp>
        <stp>9128334B Govt</stp>
        <stp>ID_CUSIP</stp>
        <stp>[STRIPS.xlsx]Sheet1!R603C19</stp>
        <tr r="S603" s="1"/>
      </tp>
      <tp t="s">
        <v>912833CB4</v>
        <stp/>
        <stp>##V3_BDPV12</stp>
        <stp>912833CB Govt</stp>
        <stp>ID_CUSIP</stp>
        <stp>[STRIPS.xlsx]Sheet1!R614C19</stp>
        <tr r="S614" s="1"/>
      </tp>
      <tp t="s">
        <v>912833RB8</v>
        <stp/>
        <stp>##V3_BDPV12</stp>
        <stp>912833RB Govt</stp>
        <stp>ID_CUSIP</stp>
        <stp>[STRIPS.xlsx]Sheet1!R689C19</stp>
        <tr r="S689" s="1"/>
      </tp>
      <tp t="s">
        <v>5/1/2006</v>
        <stp/>
        <stp>##V3_BDPV12</stp>
        <stp>9128335Y Govt</stp>
        <stp>ISSUE_DT</stp>
        <stp>[STRIPS.xlsx]Sheet1!R726C15</stp>
        <tr r="O726" s="1"/>
      </tp>
      <tp t="s">
        <v>ZERO</v>
        <stp/>
        <stp>##V3_BDPV12</stp>
        <stp>912834LZ Govt</stp>
        <stp>CPN_TYP</stp>
        <stp>[STRIPS.xlsx]Sheet1!R325C11</stp>
        <tr r="K325" s="1"/>
      </tp>
      <tp t="s">
        <v>912834NB0</v>
        <stp/>
        <stp>##V3_BDPV12</stp>
        <stp>912834NB Govt</stp>
        <stp>ID_CUSIP</stp>
        <stp>[STRIPS.xlsx]Sheet1!R544C19</stp>
        <tr r="S544" s="1"/>
      </tp>
      <tp t="s">
        <v>912834MB1</v>
        <stp/>
        <stp>##V3_BDPV12</stp>
        <stp>912834MB Govt</stp>
        <stp>ID_CUSIP</stp>
        <stp>[STRIPS.xlsx]Sheet1!R540C19</stp>
        <tr r="S540" s="1"/>
      </tp>
      <tp t="s">
        <v>5/2/2005</v>
        <stp/>
        <stp>##V3_BDPV12</stp>
        <stp>9128333Y Govt</stp>
        <stp>ISSUE_DT</stp>
        <stp>[STRIPS.xlsx]Sheet1!R486C15</stp>
        <tr r="O486" s="1"/>
      </tp>
      <tp t="s">
        <v>1/3/2012</v>
        <stp/>
        <stp>##V3_BDPV12</stp>
        <stp>912834KY Govt</stp>
        <stp>ISSUE_DT</stp>
        <stp>[STRIPS.xlsx]Sheet1!R472C15</stp>
        <tr r="O472" s="1"/>
      </tp>
      <tp t="s">
        <v>10/31/2006</v>
        <stp/>
        <stp>##V3_BDPV12</stp>
        <stp>9128336Y Govt</stp>
        <stp>ISSUE_DT</stp>
        <stp>[STRIPS.xlsx]Sheet1!R429C15</stp>
        <tr r="O429" s="1"/>
      </tp>
      <tp t="s">
        <v>9/3/2002</v>
        <stp/>
        <stp>##V3_BDPV12</stp>
        <stp>912833YY Govt</stp>
        <stp>ISSUE_DT</stp>
        <stp>[STRIPS.xlsx]Sheet1!R453C15</stp>
        <tr r="O453" s="1"/>
      </tp>
      <tp t="s">
        <v>912833YB0</v>
        <stp/>
        <stp>##V3_BDPV12</stp>
        <stp>912833YB Govt</stp>
        <stp>ID_CUSIP</stp>
        <stp>[STRIPS.xlsx]Sheet1!R451C19</stp>
        <tr r="S451" s="1"/>
      </tp>
      <tp t="s">
        <v>912833ZB9</v>
        <stp/>
        <stp>##V3_BDPV12</stp>
        <stp>912833ZB Govt</stp>
        <stp>ID_CUSIP</stp>
        <stp>[STRIPS.xlsx]Sheet1!R454C19</stp>
        <tr r="S454" s="1"/>
      </tp>
      <tp t="s">
        <v>912834TB4</v>
        <stp/>
        <stp>##V3_BDPV12</stp>
        <stp>912834TB Govt</stp>
        <stp>ID_CUSIP</stp>
        <stp>[STRIPS.xlsx]Sheet1!R424C19</stp>
        <tr r="S424" s="1"/>
      </tp>
      <tp t="s">
        <v>2/15/1985</v>
        <stp/>
        <stp>##V3_BDPV12</stp>
        <stp>912833BY Govt</stp>
        <stp>ISSUE_DT</stp>
        <stp>[STRIPS.xlsx]Sheet1!R501C15</stp>
        <tr r="O501" s="1"/>
      </tp>
      <tp t="s">
        <v>2/15/1990</v>
        <stp/>
        <stp>##V3_BDPV12</stp>
        <stp>912833KY Govt</stp>
        <stp>ISSUE_DT</stp>
        <stp>[STRIPS.xlsx]Sheet1!R513C15</stp>
        <tr r="O513" s="1"/>
      </tp>
      <tp t="s">
        <v>11/30/2012</v>
        <stp/>
        <stp>##V3_BDPV12</stp>
        <stp>912834LY Govt</stp>
        <stp>ISSUE_DT</stp>
        <stp>[STRIPS.xlsx]Sheet1!R539C15</stp>
        <tr r="O539" s="1"/>
      </tp>
      <tp t="s">
        <v>7/15/1996</v>
        <stp/>
        <stp>##V3_BDPV12</stp>
        <stp>912833MY Govt</stp>
        <stp>ISSUE_DT</stp>
        <stp>[STRIPS.xlsx]Sheet1!R569C15</stp>
        <tr r="O569" s="1"/>
      </tp>
      <tp t="s">
        <v>912833KB5</v>
        <stp/>
        <stp>##V3_BDPV12</stp>
        <stp>912833KB Govt</stp>
        <stp>ID_CUSIP</stp>
        <stp>[STRIPS.xlsx]Sheet1!R367C19</stp>
        <tr r="S367" s="1"/>
      </tp>
      <tp t="s">
        <v>912834BB3</v>
        <stp/>
        <stp>##V3_BDPV12</stp>
        <stp>912834BB Govt</stp>
        <stp>ID_CUSIP</stp>
        <stp>[STRIPS.xlsx]Sheet1!R349C19</stp>
        <tr r="S349" s="1"/>
      </tp>
      <tp t="s">
        <v>912833LB4</v>
        <stp/>
        <stp>##V3_BDPV12</stp>
        <stp>912833LB Govt</stp>
        <stp>ID_CUSIP</stp>
        <stp>[STRIPS.xlsx]Sheet1!R332C19</stp>
        <tr r="S332" s="1"/>
      </tp>
      <tp t="s">
        <v>US912834AX66</v>
        <stp/>
        <stp>##V3_BDPV12</stp>
        <stp>912834AX Govt</stp>
        <stp>ID_ISIN</stp>
        <stp>[STRIPS.xlsx]Sheet1!R388C12</stp>
        <tr r="L388" s="1"/>
      </tp>
      <tp t="s">
        <v>6/1/2009</v>
        <stp/>
        <stp>##V3_BDPV12</stp>
        <stp>912834DY Govt</stp>
        <stp>ISSUE_DT</stp>
        <stp>[STRIPS.xlsx]Sheet1!R264C15</stp>
        <tr r="O264" s="1"/>
      </tp>
      <tp t="s">
        <v>9/15/2003</v>
        <stp/>
        <stp>##V3_BDPV12</stp>
        <stp>912833ZY Govt</stp>
        <stp>ISSUE_DT</stp>
        <stp>[STRIPS.xlsx]Sheet1!R255C15</stp>
        <tr r="O255" s="1"/>
      </tp>
      <tp t="s">
        <v>6/30/2010</v>
        <stp/>
        <stp>##V3_BDPV12</stp>
        <stp>912834HY Govt</stp>
        <stp>ISSUE_DT</stp>
        <stp>[STRIPS.xlsx]Sheet1!R226C15</stp>
        <tr r="O226" s="1"/>
      </tp>
      <tp t="s">
        <v>6/30/2020</v>
        <stp/>
        <stp>##V3_BDPV12</stp>
        <stp>912834VY Govt</stp>
        <stp>ISSUE_DT</stp>
        <stp>[STRIPS.xlsx]Sheet1!R218C15</stp>
        <tr r="O218" s="1"/>
      </tp>
      <tp t="s">
        <v>2/1/2016</v>
        <stp/>
        <stp>##V3_BDPV12</stp>
        <stp>912834PY Govt</stp>
        <stp>ISSUE_DT</stp>
        <stp>[STRIPS.xlsx]Sheet1!R202C15</stp>
        <tr r="O202" s="1"/>
      </tp>
      <tp t="s">
        <v>912834AB4</v>
        <stp/>
        <stp>##V3_BDPV12</stp>
        <stp>912834AB Govt</stp>
        <stp>ID_CUSIP</stp>
        <stp>[STRIPS.xlsx]Sheet1!R256C19</stp>
        <tr r="S256" s="1"/>
      </tp>
      <tp t="s">
        <v>10/31/1997</v>
        <stp/>
        <stp>##V3_BDPV12</stp>
        <stp>912833PY Govt</stp>
        <stp>ISSUE_DT</stp>
        <stp>[STRIPS.xlsx]Sheet1!R340C15</stp>
        <tr r="O340" s="1"/>
      </tp>
      <tp t="s">
        <v>10/31/2013</v>
        <stp/>
        <stp>##V3_BDPV12</stp>
        <stp>912834MY Govt</stp>
        <stp>ISSUE_DT</stp>
        <stp>[STRIPS.xlsx]Sheet1!R328C15</stp>
        <tr r="O328" s="1"/>
      </tp>
      <tp t="s">
        <v>2/15/1985</v>
        <stp/>
        <stp>##V3_BDPV12</stp>
        <stp>912833CY Govt</stp>
        <stp>ISSUE_DT</stp>
        <stp>[STRIPS.xlsx]Sheet1!R363C15</stp>
        <tr r="O363" s="1"/>
      </tp>
      <tp t="s">
        <v>12/31/2009</v>
        <stp/>
        <stp>##V3_BDPV12</stp>
        <stp>912834EY Govt</stp>
        <stp>ISSUE_DT</stp>
        <stp>[STRIPS.xlsx]Sheet1!R313C15</stp>
        <tr r="O313" s="1"/>
      </tp>
      <tp t="s">
        <v>912834KB3</v>
        <stp/>
        <stp>##V3_BDPV12</stp>
        <stp>912834KB Govt</stp>
        <stp>ID_CUSIP</stp>
        <stp>[STRIPS.xlsx]Sheet1!R110C19</stp>
        <tr r="S110" s="1"/>
      </tp>
      <tp t="s">
        <v>912833DB3</v>
        <stp/>
        <stp>##V3_BDPV12</stp>
        <stp>912833DB Govt</stp>
        <stp>ID_CUSIP</stp>
        <stp>[STRIPS.xlsx]Sheet1!R162C19</stp>
        <tr r="S162" s="1"/>
      </tp>
      <tp t="s">
        <v>912834RB6</v>
        <stp/>
        <stp>##V3_BDPV12</stp>
        <stp>912834RB Govt</stp>
        <stp>ID_CUSIP</stp>
        <stp>[STRIPS.xlsx]Sheet1!R112C19</stp>
        <tr r="S112" s="1"/>
      </tp>
      <tp t="s">
        <v>912834UB2</v>
        <stp/>
        <stp>##V3_BDPV12</stp>
        <stp>912834UB Govt</stp>
        <stp>ID_CUSIP</stp>
        <stp>[STRIPS.xlsx]Sheet1!R113C19</stp>
        <tr r="S113" s="1"/>
      </tp>
      <tp t="s">
        <v>912834PB8</v>
        <stp/>
        <stp>##V3_BDPV12</stp>
        <stp>912834PB Govt</stp>
        <stp>ID_CUSIP</stp>
        <stp>[STRIPS.xlsx]Sheet1!R109C19</stp>
        <tr r="S109" s="1"/>
      </tp>
      <tp t="s">
        <v>912834FB9</v>
        <stp/>
        <stp>##V3_BDPV12</stp>
        <stp>912834FB Govt</stp>
        <stp>ID_CUSIP</stp>
        <stp>[STRIPS.xlsx]Sheet1!R120C19</stp>
        <tr r="S120" s="1"/>
      </tp>
      <tp t="s">
        <v>912834VB1</v>
        <stp/>
        <stp>##V3_BDPV12</stp>
        <stp>912834VB Govt</stp>
        <stp>ID_CUSIP</stp>
        <stp>[STRIPS.xlsx]Sheet1!R159C19</stp>
        <tr r="S159" s="1"/>
      </tp>
      <tp t="s">
        <v>912834XB9</v>
        <stp/>
        <stp>##V3_BDPV12</stp>
        <stp>912834XB Govt</stp>
        <stp>ID_CUSIP</stp>
        <stp>[STRIPS.xlsx]Sheet1!R183C19</stp>
        <tr r="S183" s="1"/>
      </tp>
      <tp t="s">
        <v>ZERO</v>
        <stp/>
        <stp>##V3_BDPV12</stp>
        <stp>912834LY Govt</stp>
        <stp>CPN_TYP</stp>
        <stp>[STRIPS.xlsx]Sheet1!R539C11</stp>
        <tr r="K539" s="1"/>
      </tp>
      <tp t="s">
        <v>US912834AZ15</v>
        <stp/>
        <stp>##V3_BDPV12</stp>
        <stp>912834AZ Govt</stp>
        <stp>ID_ISIN</stp>
        <stp>[STRIPS.xlsx]Sheet1!R261C12</stp>
        <tr r="L261" s="1"/>
      </tp>
      <tp t="s">
        <v>10/1/2018</v>
        <stp/>
        <stp>##V3_BDPV12</stp>
        <stp>912834TY Govt</stp>
        <stp>ISSUE_DT</stp>
        <stp>[STRIPS.xlsx]Sheet1!R199C15</stp>
        <tr r="O199" s="1"/>
      </tp>
      <tp t="s">
        <v>4/30/2021</v>
        <stp/>
        <stp>##V3_BDPV12</stp>
        <stp>912834WY Govt</stp>
        <stp>ISSUE_DT</stp>
        <stp>[STRIPS.xlsx]Sheet1!R189C15</stp>
        <tr r="O189" s="1"/>
      </tp>
      <tp t="s">
        <v>9/30/2014</v>
        <stp/>
        <stp>##V3_BDPV12</stp>
        <stp>912834NY Govt</stp>
        <stp>ISSUE_DT</stp>
        <stp>[STRIPS.xlsx]Sheet1!R143C15</stp>
        <tr r="O143" s="1"/>
      </tp>
      <tp t="s">
        <v>1/3/2017</v>
        <stp/>
        <stp>##V3_BDPV12</stp>
        <stp>912834QY Govt</stp>
        <stp>ISSUE_DT</stp>
        <stp>[STRIPS.xlsx]Sheet1!R134C15</stp>
        <tr r="O134" s="1"/>
      </tp>
      <tp t="s">
        <v>11/15/1985</v>
        <stp/>
        <stp>##V3_BDPV12</stp>
        <stp>912833JY Govt</stp>
        <stp>ISSUE_DT</stp>
        <stp>[STRIPS.xlsx]Sheet1!R173C15</stp>
        <tr r="O173" s="1"/>
      </tp>
      <tp t="s">
        <v>ZERO</v>
        <stp/>
        <stp>##V3_BDPV12</stp>
        <stp>912833LA Govt</stp>
        <stp>CPN_TYP</stp>
        <stp>[STRIPS.xlsx]Sheet1!R369C11</stp>
        <tr r="K369" s="1"/>
      </tp>
      <tp t="s">
        <v>ZERO</v>
        <stp/>
        <stp>##V3_BDPV12</stp>
        <stp>912833LB Govt</stp>
        <stp>CPN_TYP</stp>
        <stp>[STRIPS.xlsx]Sheet1!R332C11</stp>
        <tr r="K332" s="1"/>
      </tp>
      <tp t="s">
        <v>ZERO</v>
        <stp/>
        <stp>##V3_BDPV12</stp>
        <stp>912834LE Govt</stp>
        <stp>CPN_TYP</stp>
        <stp>[STRIPS.xlsx]Sheet1!R473C11</stp>
        <tr r="K473" s="1"/>
      </tp>
      <tp t="s">
        <v>US912834AA63</v>
        <stp/>
        <stp>##V3_BDPV12</stp>
        <stp>912834AA Govt</stp>
        <stp>ID_ISIN</stp>
        <stp>[STRIPS.xlsx]Sheet1!R589C12</stp>
        <tr r="L589" s="1"/>
      </tp>
      <tp t="s">
        <v>US912834AE85</v>
        <stp/>
        <stp>##V3_BDPV12</stp>
        <stp>912834AE Govt</stp>
        <stp>ID_ISIN</stp>
        <stp>[STRIPS.xlsx]Sheet1!R118C12</stp>
        <tr r="L118" s="1"/>
      </tp>
      <tp t="s">
        <v>US912834AG34</v>
        <stp/>
        <stp>##V3_BDPV12</stp>
        <stp>912834AG Govt</stp>
        <stp>ID_ISIN</stp>
        <stp>[STRIPS.xlsx]Sheet1!R590C12</stp>
        <tr r="L590" s="1"/>
      </tp>
      <tp t="s">
        <v>US912834AF50</v>
        <stp/>
        <stp>##V3_BDPV12</stp>
        <stp>912834AF Govt</stp>
        <stp>ID_ISIN</stp>
        <stp>[STRIPS.xlsx]Sheet1!R456C12</stp>
        <tr r="L456" s="1"/>
      </tp>
      <tp t="s">
        <v>ZERO</v>
        <stp/>
        <stp>##V3_BDPV12</stp>
        <stp>912834LF Govt</stp>
        <stp>CPN_TYP</stp>
        <stp>[STRIPS.xlsx]Sheet1!R320C11</stp>
        <tr r="K320" s="1"/>
      </tp>
      <tp t="s">
        <v>ZERO</v>
        <stp/>
        <stp>##V3_BDPV12</stp>
        <stp>912834LA Govt</stp>
        <stp>CPN_TYP</stp>
        <stp>[STRIPS.xlsx]Sheet1!R402C11</stp>
        <tr r="K402" s="1"/>
      </tp>
      <tp t="s">
        <v>ZERO</v>
        <stp/>
        <stp>##V3_BDPV12</stp>
        <stp>912833LC Govt</stp>
        <stp>CPN_TYP</stp>
        <stp>[STRIPS.xlsx]Sheet1!R673C11</stp>
        <tr r="K673" s="1"/>
      </tp>
      <tp t="s">
        <v>ZERO</v>
        <stp/>
        <stp>##V3_BDPV12</stp>
        <stp>912833LD Govt</stp>
        <stp>CPN_TYP</stp>
        <stp>[STRIPS.xlsx]Sheet1!R151C11</stp>
        <tr r="K151" s="1"/>
      </tp>
      <tp t="s">
        <v>ZERO</v>
        <stp/>
        <stp>##V3_BDPV12</stp>
        <stp>912834LG Govt</stp>
        <stp>CPN_TYP</stp>
        <stp>[STRIPS.xlsx]Sheet1!R321C11</stp>
        <tr r="K321" s="1"/>
      </tp>
      <tp t="s">
        <v>US912834AC20</v>
        <stp/>
        <stp>##V3_BDPV12</stp>
        <stp>912834AC Govt</stp>
        <stp>ID_ISIN</stp>
        <stp>[STRIPS.xlsx]Sheet1!R384C12</stp>
        <tr r="L384" s="1"/>
      </tp>
      <tp t="s">
        <v>ZERO</v>
        <stp/>
        <stp>##V3_BDPV12</stp>
        <stp>912833LE Govt</stp>
        <stp>CPN_TYP</stp>
        <stp>[STRIPS.xlsx]Sheet1!R153C11</stp>
        <tr r="K153" s="1"/>
      </tp>
      <tp t="s">
        <v>US912834AB47</v>
        <stp/>
        <stp>##V3_BDPV12</stp>
        <stp>912834AB Govt</stp>
        <stp>ID_ISIN</stp>
        <stp>[STRIPS.xlsx]Sheet1!R256C12</stp>
        <tr r="L256" s="1"/>
      </tp>
      <tp t="s">
        <v>ZERO</v>
        <stp/>
        <stp>##V3_BDPV12</stp>
        <stp>912834LH Govt</stp>
        <stp>CPN_TYP</stp>
        <stp>[STRIPS.xlsx]Sheet1!R322C11</stp>
        <tr r="K322" s="1"/>
      </tp>
      <tp t="s">
        <v>US912834AJ72</v>
        <stp/>
        <stp>##V3_BDPV12</stp>
        <stp>912834AJ Govt</stp>
        <stp>ID_ISIN</stp>
        <stp>[STRIPS.xlsx]Sheet1!R591C12</stp>
        <tr r="L591" s="1"/>
      </tp>
      <tp t="s">
        <v>US912834AL29</v>
        <stp/>
        <stp>##V3_BDPV12</stp>
        <stp>912834AL Govt</stp>
        <stp>ID_ISIN</stp>
        <stp>[STRIPS.xlsx]Sheet1!R258C12</stp>
        <tr r="L258" s="1"/>
      </tp>
      <tp t="s">
        <v>US912834AN84</v>
        <stp/>
        <stp>##V3_BDPV12</stp>
        <stp>912834AN Govt</stp>
        <stp>ID_ISIN</stp>
        <stp>[STRIPS.xlsx]Sheet1!R259C12</stp>
        <tr r="L259" s="1"/>
      </tp>
      <tp t="s">
        <v>ZERO</v>
        <stp/>
        <stp>##V3_BDPV12</stp>
        <stp>912834LL Govt</stp>
        <stp>CPN_TYP</stp>
        <stp>[STRIPS.xlsx]Sheet1!R323C11</stp>
        <tr r="K323" s="1"/>
      </tp>
      <tp t="s">
        <v>US912834AH17</v>
        <stp/>
        <stp>##V3_BDPV12</stp>
        <stp>912834AH Govt</stp>
        <stp>ID_ISIN</stp>
        <stp>[STRIPS.xlsx]Sheet1!R385C12</stp>
        <tr r="L385" s="1"/>
      </tp>
      <tp t="s">
        <v>ZERO</v>
        <stp/>
        <stp>##V3_BDPV12</stp>
        <stp>912834LM Govt</stp>
        <stp>CPN_TYP</stp>
        <stp>[STRIPS.xlsx]Sheet1!R324C11</stp>
        <tr r="K324" s="1"/>
      </tp>
      <tp t="s">
        <v>ZERO</v>
        <stp/>
        <stp>##V3_BDPV12</stp>
        <stp>912834LJ Govt</stp>
        <stp>CPN_TYP</stp>
        <stp>[STRIPS.xlsx]Sheet1!R403C11</stp>
        <tr r="K403" s="1"/>
      </tp>
      <tp t="s">
        <v>US912834AK46</v>
        <stp/>
        <stp>##V3_BDPV12</stp>
        <stp>912834AK Govt</stp>
        <stp>ID_ISIN</stp>
        <stp>[STRIPS.xlsx]Sheet1!R257C12</stp>
        <tr r="L257" s="1"/>
      </tp>
      <tp t="s">
        <v>US912834AM02</v>
        <stp/>
        <stp>##V3_BDPV12</stp>
        <stp>912834AM Govt</stp>
        <stp>ID_ISIN</stp>
        <stp>[STRIPS.xlsx]Sheet1!R457C12</stp>
        <tr r="L457" s="1"/>
      </tp>
      <tp t="s">
        <v>ZERO</v>
        <stp/>
        <stp>##V3_BDPV12</stp>
        <stp>912834LN Govt</stp>
        <stp>CPN_TYP</stp>
        <stp>[STRIPS.xlsx]Sheet1!R231C11</stp>
        <tr r="K231" s="1"/>
      </tp>
      <tp t="s">
        <v>#N/A Field Not Applicable</v>
        <stp/>
        <stp>##V3_BDPV12</stp>
        <stp>912834RR Govt</stp>
        <stp>COUPON_FREQUENCY_DESCRIPTION</stp>
        <stp>[STRIPS.xlsx]Sheet1!R86C10</stp>
        <tr r="J86" s="1"/>
      </tp>
      <tp t="s">
        <v>#N/A Field Not Applicable</v>
        <stp/>
        <stp>##V3_BDPV12</stp>
        <stp>912833RZ Govt</stp>
        <stp>COUPON_FREQUENCY_DESCRIPTION</stp>
        <stp>[STRIPS.xlsx]Sheet1!R26C10</stp>
        <tr r="J26" s="1"/>
      </tp>
      <tp t="s">
        <v>#N/A Field Not Applicable</v>
        <stp/>
        <stp>##V3_BDPV12</stp>
        <stp>912833RY Govt</stp>
        <stp>COUPON_FREQUENCY_DESCRIPTION</stp>
        <stp>[STRIPS.xlsx]Sheet1!R28C10</stp>
        <tr r="J28" s="1"/>
      </tp>
      <tp t="s">
        <v>S 0 02/15/50</v>
        <stp/>
        <stp>##V3_BDPV12</stp>
        <stp>912834VM Govt</stp>
        <stp>SECURITY_NAME</stp>
        <stp>[STRIPS.xlsx]Sheet1!R81C16</stp>
        <tr r="P81" s="1"/>
      </tp>
      <tp t="s">
        <v>S 0 08/15/45</v>
        <stp/>
        <stp>##V3_BDPV12</stp>
        <stp>912834PM Govt</stp>
        <stp>SECURITY_NAME</stp>
        <stp>[STRIPS.xlsx]Sheet1!R84C16</stp>
        <tr r="P84" s="1"/>
      </tp>
      <tp t="s">
        <v>S 0 05/15/43</v>
        <stp/>
        <stp>##V3_BDPV12</stp>
        <stp>912834MM Govt</stp>
        <stp>SECURITY_NAME</stp>
        <stp>[STRIPS.xlsx]Sheet1!R80C16</stp>
        <tr r="P80" s="1"/>
      </tp>
      <tp t="s">
        <v>S 0 08/15/23</v>
        <stp/>
        <stp>##V3_BDPV12</stp>
        <stp>912833LM Govt</stp>
        <stp>SECURITY_NAME</stp>
        <stp>[STRIPS.xlsx]Sheet1!R17C16</stp>
        <tr r="P17" s="1"/>
      </tp>
      <tp>
        <v>0</v>
        <stp/>
        <stp>##V3_BDPV12</stp>
        <stp>9128334Z Govt</stp>
        <stp>CPN</stp>
        <stp>[STRIPS.xlsx]Sheet1!R45C3</stp>
        <tr r="C45" s="1"/>
      </tp>
      <tp>
        <v>0</v>
        <stp/>
        <stp>##V3_BDPV12</stp>
        <stp>9128337P Govt</stp>
        <stp>CPN</stp>
        <stp>[STRIPS.xlsx]Sheet1!R25C3</stp>
        <tr r="C25" s="1"/>
      </tp>
      <tp>
        <v>0</v>
        <stp/>
        <stp>##V3_BDPV12</stp>
        <stp>9128337S Govt</stp>
        <stp>CPN</stp>
        <stp>[STRIPS.xlsx]Sheet1!R35C3</stp>
        <tr r="C35" s="1"/>
      </tp>
      <tp>
        <v>0</v>
        <stp/>
        <stp>##V3_BDPV12</stp>
        <stp>912833XT Govt</stp>
        <stp>CPN</stp>
        <stp>[STRIPS.xlsx]Sheet1!R55C3</stp>
        <tr r="C55" s="1"/>
      </tp>
      <tp>
        <v>0</v>
        <stp/>
        <stp>##V3_BDPV12</stp>
        <stp>912833XN Govt</stp>
        <stp>CPN</stp>
        <stp>[STRIPS.xlsx]Sheet1!R85C3</stp>
        <tr r="C85" s="1"/>
      </tp>
      <tp>
        <v>0</v>
        <stp/>
        <stp>##V3_BDPV12</stp>
        <stp>912833PE Govt</stp>
        <stp>CPN</stp>
        <stp>[STRIPS.xlsx]Sheet1!R15C3</stp>
        <tr r="C15" s="1"/>
      </tp>
      <tp t="s">
        <v>UNITED STATES</v>
        <stp/>
        <stp>##V3_BDPV12</stp>
        <stp>912834MM Govt</stp>
        <stp>COUNTRY_FULL_NAME</stp>
        <stp>[STRIPS.xlsx]Sheet1!R80C8</stp>
        <tr r="H80" s="1"/>
      </tp>
      <tp t="s">
        <v>UNITED STATES</v>
        <stp/>
        <stp>##V3_BDPV12</stp>
        <stp>912833LK Govt</stp>
        <stp>COUNTRY_FULL_NAME</stp>
        <stp>[STRIPS.xlsx]Sheet1!R21C8</stp>
        <tr r="H21" s="1"/>
      </tp>
      <tp t="s">
        <v>UNITED STATES</v>
        <stp/>
        <stp>##V3_BDPV12</stp>
        <stp>912834KH Govt</stp>
        <stp>COUNTRY_FULL_NAME</stp>
        <stp>[STRIPS.xlsx]Sheet1!R56C8</stp>
        <tr r="H56" s="1"/>
      </tp>
      <tp>
        <v>0</v>
        <stp/>
        <stp>##V3_BDPV12</stp>
        <stp>912834LR Govt</stp>
        <stp>CPN</stp>
        <stp>[STRIPS.xlsx]Sheet1!R95C3</stp>
        <tr r="C95" s="1"/>
      </tp>
      <tp>
        <v>0</v>
        <stp/>
        <stp>##V3_BDPV12</stp>
        <stp>912834UY Govt</stp>
        <stp>CPN</stp>
        <stp>[STRIPS.xlsx]Sheet1!R75C3</stp>
        <tr r="C75" s="1"/>
      </tp>
      <tp>
        <v>0</v>
        <stp/>
        <stp>##V3_BDPV12</stp>
        <stp>912834UR Govt</stp>
        <stp>CPN</stp>
        <stp>[STRIPS.xlsx]Sheet1!R65C3</stp>
        <tr r="C65" s="1"/>
      </tp>
      <tp>
        <v>1.8580000000000041</v>
        <stp/>
        <stp>##V3_BDPV12</stp>
        <stp>9128337U Govt</stp>
        <stp>YLD_YTM_BID</stp>
        <stp>[STRIPS.xlsx]Sheet1!R46C4</stp>
        <tr r="D46" s="1"/>
      </tp>
      <tp>
        <v>0.94699999999998674</v>
        <stp/>
        <stp>##V3_BDPV12</stp>
        <stp>912833LY Govt</stp>
        <stp>YLD_YTM_BID</stp>
        <stp>[STRIPS.xlsx]Sheet1!R16C4</stp>
        <tr r="D16" s="1"/>
      </tp>
      <tp>
        <v>0.17399999999998528</v>
        <stp/>
        <stp>##V3_BDPV12</stp>
        <stp>912833LL Govt</stp>
        <stp>YLD_YTM_BID</stp>
        <stp>[STRIPS.xlsx]Sheet1!R36C4</stp>
        <tr r="D36" s="1"/>
      </tp>
      <tp>
        <v>1.9280000000000186</v>
        <stp/>
        <stp>##V3_BDPV12</stp>
        <stp>912833X8 Govt</stp>
        <stp>YLD_YTM_BID</stp>
        <stp>[STRIPS.xlsx]Sheet1!R66C4</stp>
        <tr r="D66" s="1"/>
      </tp>
      <tp>
        <v>1.4149999999999885</v>
        <stp/>
        <stp>##V3_BDPV12</stp>
        <stp>912833RZ Govt</stp>
        <stp>YLD_YTM_BID</stp>
        <stp>[STRIPS.xlsx]Sheet1!R26C4</stp>
        <tr r="D26" s="1"/>
      </tp>
      <tp>
        <v>2.1929999999999783</v>
        <stp/>
        <stp>##V3_BDPV12</stp>
        <stp>912834KH Govt</stp>
        <stp>YLD_YTM_BID</stp>
        <stp>[STRIPS.xlsx]Sheet1!R56C4</stp>
        <tr r="D56" s="1"/>
      </tp>
      <tp>
        <v>2.0950000000000024</v>
        <stp/>
        <stp>##V3_BDPV12</stp>
        <stp>912834AT Govt</stp>
        <stp>YLD_YTM_BID</stp>
        <stp>[STRIPS.xlsx]Sheet1!R76C4</stp>
        <tr r="D76" s="1"/>
      </tp>
      <tp>
        <v>2.2650000000000059</v>
        <stp/>
        <stp>##V3_BDPV12</stp>
        <stp>912834RR Govt</stp>
        <stp>YLD_YTM_BID</stp>
        <stp>[STRIPS.xlsx]Sheet1!R86C4</stp>
        <tr r="D86" s="1"/>
      </tp>
      <tp>
        <v>2.259000000000011</v>
        <stp/>
        <stp>##V3_BDPV12</stp>
        <stp>912834QH Govt</stp>
        <stp>YLD_YTM_BID</stp>
        <stp>[STRIPS.xlsx]Sheet1!R96C4</stp>
        <tr r="D96" s="1"/>
      </tp>
      <tp t="s">
        <v>UNITED STATES</v>
        <stp/>
        <stp>##V3_BDPV12</stp>
        <stp>912833LT Govt</stp>
        <stp>COUNTRY_FULL_NAME</stp>
        <stp>[STRIPS.xlsx]Sheet1!R11C8</stp>
        <tr r="H11" s="1"/>
      </tp>
      <tp t="s">
        <v>US912833B246</v>
        <stp/>
        <stp>##V3_BDPV12</stp>
        <stp>912833B2 Govt</stp>
        <stp>ID_ISIN</stp>
        <stp>[STRIPS.xlsx]Sheet1!R561C12</stp>
        <tr r="L561" s="1"/>
      </tp>
      <tp t="s">
        <v>US912833B584</v>
        <stp/>
        <stp>##V3_BDPV12</stp>
        <stp>912833B5 Govt</stp>
        <stp>ID_ISIN</stp>
        <stp>[STRIPS.xlsx]Sheet1!R331C12</stp>
        <tr r="L331" s="1"/>
      </tp>
      <tp t="s">
        <v>US912833B337</v>
        <stp/>
        <stp>##V3_BDPV12</stp>
        <stp>912833B3 Govt</stp>
        <stp>ID_ISIN</stp>
        <stp>[STRIPS.xlsx]Sheet1!R732C12</stp>
        <tr r="L732" s="1"/>
      </tp>
      <tp t="s">
        <v>US912833B741</v>
        <stp/>
        <stp>##V3_BDPV12</stp>
        <stp>912833B7 Govt</stp>
        <stp>ID_ISIN</stp>
        <stp>[STRIPS.xlsx]Sheet1!R433C12</stp>
        <tr r="L433" s="1"/>
      </tp>
      <tp t="s">
        <v>US912833B667</v>
        <stp/>
        <stp>##V3_BDPV12</stp>
        <stp>912833B6 Govt</stp>
        <stp>ID_ISIN</stp>
        <stp>[STRIPS.xlsx]Sheet1!R500C12</stp>
        <tr r="L500" s="1"/>
      </tp>
      <tp t="s">
        <v>US912833B410</v>
        <stp/>
        <stp>##V3_BDPV12</stp>
        <stp>912833B4 Govt</stp>
        <stp>ID_ISIN</stp>
        <stp>[STRIPS.xlsx]Sheet1!R654C12</stp>
        <tr r="L654" s="1"/>
      </tp>
      <tp t="s">
        <v>US912833B907</v>
        <stp/>
        <stp>##V3_BDPV12</stp>
        <stp>912833B9 Govt</stp>
        <stp>ID_ISIN</stp>
        <stp>[STRIPS.xlsx]Sheet1!R434C12</stp>
        <tr r="L434" s="1"/>
      </tp>
      <tp t="s">
        <v>US912833B824</v>
        <stp/>
        <stp>##V3_BDPV12</stp>
        <stp>912833B8 Govt</stp>
        <stp>ID_ISIN</stp>
        <stp>[STRIPS.xlsx]Sheet1!R293C12</stp>
        <tr r="L293" s="1"/>
      </tp>
      <tp t="s">
        <v>US912834BR89</v>
        <stp/>
        <stp>##V3_BDPV12</stp>
        <stp>912834BR Govt</stp>
        <stp>ID_ISIN</stp>
        <stp>[STRIPS.xlsx]Sheet1!R531C12</stp>
        <tr r="L531" s="1"/>
      </tp>
      <tp t="s">
        <v>US912834BQ07</v>
        <stp/>
        <stp>##V3_BDPV12</stp>
        <stp>912834BQ Govt</stp>
        <stp>ID_ISIN</stp>
        <stp>[STRIPS.xlsx]Sheet1!R459C12</stp>
        <tr r="L459" s="1"/>
      </tp>
      <tp t="s">
        <v>US912834BP24</v>
        <stp/>
        <stp>##V3_BDPV12</stp>
        <stp>912834BP Govt</stp>
        <stp>ID_ISIN</stp>
        <stp>[STRIPS.xlsx]Sheet1!R389C12</stp>
        <tr r="L389" s="1"/>
      </tp>
      <tp t="s">
        <v>US912833BW91</v>
        <stp/>
        <stp>##V3_BDPV12</stp>
        <stp>912833BW Govt</stp>
        <stp>ID_ISIN</stp>
        <stp>[STRIPS.xlsx]Sheet1!R610C12</stp>
        <tr r="L610" s="1"/>
      </tp>
      <tp t="s">
        <v>9128336A3</v>
        <stp/>
        <stp>##V3_BDPV12</stp>
        <stp>9128336A Govt</stp>
        <stp>ID_CUSIP</stp>
        <stp>[STRIPS.xlsx]Sheet1!R748C19</stp>
        <tr r="S748" s="1"/>
      </tp>
      <tp t="s">
        <v>912834TA6</v>
        <stp/>
        <stp>##V3_BDPV12</stp>
        <stp>912834TA Govt</stp>
        <stp>ID_CUSIP</stp>
        <stp>[STRIPS.xlsx]Sheet1!R756C19</stp>
        <tr r="S756" s="1"/>
      </tp>
      <tp t="s">
        <v>9128332A7</v>
        <stp/>
        <stp>##V3_BDPV12</stp>
        <stp>9128332A Govt</stp>
        <stp>ID_CUSIP</stp>
        <stp>[STRIPS.xlsx]Sheet1!R700C19</stp>
        <tr r="S700" s="1"/>
      </tp>
      <tp t="s">
        <v>US912833BZ23</v>
        <stp/>
        <stp>##V3_BDPV12</stp>
        <stp>912833BZ Govt</stp>
        <stp>ID_ISIN</stp>
        <stp>[STRIPS.xlsx]Sheet1!R562C12</stp>
        <tr r="L562" s="1"/>
      </tp>
      <tp t="s">
        <v>9/30/2002</v>
        <stp/>
        <stp>##V3_BDPV12</stp>
        <stp>912833YZ Govt</stp>
        <stp>ISSUE_DT</stp>
        <stp>[STRIPS.xlsx]Sheet1!R695C15</stp>
        <tr r="O695" s="1"/>
      </tp>
      <tp t="s">
        <v>5/31/2005</v>
        <stp/>
        <stp>##V3_BDPV12</stp>
        <stp>9128333Z Govt</stp>
        <stp>ISSUE_DT</stp>
        <stp>[STRIPS.xlsx]Sheet1!R602C15</stp>
        <tr r="O602" s="1"/>
      </tp>
      <tp t="s">
        <v>10/15/1996</v>
        <stp/>
        <stp>##V3_BDPV12</stp>
        <stp>912833MZ Govt</stp>
        <stp>ISSUE_DT</stp>
        <stp>[STRIPS.xlsx]Sheet1!R628C15</stp>
        <tr r="O628" s="1"/>
      </tp>
      <tp t="s">
        <v>5/31/2006</v>
        <stp/>
        <stp>##V3_BDPV12</stp>
        <stp>9128335Z Govt</stp>
        <stp>ISSUE_DT</stp>
        <stp>[STRIPS.xlsx]Sheet1!R650C15</stp>
        <tr r="O650" s="1"/>
      </tp>
      <tp t="s">
        <v>912833YA2</v>
        <stp/>
        <stp>##V3_BDPV12</stp>
        <stp>912833YA Govt</stp>
        <stp>ID_CUSIP</stp>
        <stp>[STRIPS.xlsx]Sheet1!R694C19</stp>
        <tr r="S694" s="1"/>
      </tp>
      <tp t="s">
        <v>7/15/2020</v>
        <stp/>
        <stp>##V3_BDPV12</stp>
        <stp>912834VZ Govt</stp>
        <stp>ISSUE_DT</stp>
        <stp>[STRIPS.xlsx]Sheet1!R766C15</stp>
        <tr r="O766" s="1"/>
      </tp>
      <tp t="s">
        <v>11/15/1985</v>
        <stp/>
        <stp>##V3_BDPV12</stp>
        <stp>912833JZ Govt</stp>
        <stp>ISSUE_DT</stp>
        <stp>[STRIPS.xlsx]Sheet1!R741C15</stp>
        <tr r="O741" s="1"/>
      </tp>
      <tp t="s">
        <v>912834JA7</v>
        <stp/>
        <stp>##V3_BDPV12</stp>
        <stp>912834JA Govt</stp>
        <stp>ID_CUSIP</stp>
        <stp>[STRIPS.xlsx]Sheet1!R537C19</stp>
        <tr r="S537" s="1"/>
      </tp>
      <tp t="s">
        <v>912834BA5</v>
        <stp/>
        <stp>##V3_BDPV12</stp>
        <stp>912834BA Govt</stp>
        <stp>ID_CUSIP</stp>
        <stp>[STRIPS.xlsx]Sheet1!R529C19</stp>
        <tr r="S529" s="1"/>
      </tp>
      <tp t="s">
        <v>912833CA6</v>
        <stp/>
        <stp>##V3_BDPV12</stp>
        <stp>912833CA Govt</stp>
        <stp>ID_CUSIP</stp>
        <stp>[STRIPS.xlsx]Sheet1!R502C19</stp>
        <tr r="S502" s="1"/>
      </tp>
      <tp t="s">
        <v>912834EA2</v>
        <stp/>
        <stp>##V3_BDPV12</stp>
        <stp>912834EA Govt</stp>
        <stp>ID_CUSIP</stp>
        <stp>[STRIPS.xlsx]Sheet1!R593C19</stp>
        <tr r="S593" s="1"/>
      </tp>
      <tp t="s">
        <v>912834AA6</v>
        <stp/>
        <stp>##V3_BDPV12</stp>
        <stp>912834AA Govt</stp>
        <stp>ID_CUSIP</stp>
        <stp>[STRIPS.xlsx]Sheet1!R589C19</stp>
        <tr r="S589" s="1"/>
      </tp>
      <tp t="s">
        <v>6/1/2009</v>
        <stp/>
        <stp>##V3_BDPV12</stp>
        <stp>912834DZ Govt</stp>
        <stp>ISSUE_DT</stp>
        <stp>[STRIPS.xlsx]Sheet1!R460C15</stp>
        <tr r="O460" s="1"/>
      </tp>
      <tp t="s">
        <v>11/30/2006</v>
        <stp/>
        <stp>##V3_BDPV12</stp>
        <stp>9128336Z Govt</stp>
        <stp>ISSUE_DT</stp>
        <stp>[STRIPS.xlsx]Sheet1!R430C15</stp>
        <tr r="O430" s="1"/>
      </tp>
      <tp t="s">
        <v>912834LA4</v>
        <stp/>
        <stp>##V3_BDPV12</stp>
        <stp>912834LA Govt</stp>
        <stp>ID_CUSIP</stp>
        <stp>[STRIPS.xlsx]Sheet1!R402C19</stp>
        <tr r="S402" s="1"/>
      </tp>
      <tp t="s">
        <v>912833NA4</v>
        <stp/>
        <stp>##V3_BDPV12</stp>
        <stp>912833NA Govt</stp>
        <stp>ID_CUSIP</stp>
        <stp>[STRIPS.xlsx]Sheet1!R446C19</stp>
        <tr r="S446" s="1"/>
      </tp>
      <tp t="s">
        <v>912833GA2</v>
        <stp/>
        <stp>##V3_BDPV12</stp>
        <stp>912833GA Govt</stp>
        <stp>ID_CUSIP</stp>
        <stp>[STRIPS.xlsx]Sheet1!R439C19</stp>
        <tr r="S439" s="1"/>
      </tp>
      <tp t="s">
        <v>912834NA2</v>
        <stp/>
        <stp>##V3_BDPV12</stp>
        <stp>912834NA Govt</stp>
        <stp>ID_CUSIP</stp>
        <stp>[STRIPS.xlsx]Sheet1!R476C19</stp>
        <tr r="S476" s="1"/>
      </tp>
      <tp t="s">
        <v>9128334A5</v>
        <stp/>
        <stp>##V3_BDPV12</stp>
        <stp>9128334A Govt</stp>
        <stp>ID_CUSIP</stp>
        <stp>[STRIPS.xlsx]Sheet1!R487C19</stp>
        <tr r="S487" s="1"/>
      </tp>
      <tp t="s">
        <v>US912833BY57</v>
        <stp/>
        <stp>##V3_BDPV12</stp>
        <stp>912833BY Govt</stp>
        <stp>ID_ISIN</stp>
        <stp>[STRIPS.xlsx]Sheet1!R501C12</stp>
        <tr r="L501" s="1"/>
      </tp>
      <tp t="s">
        <v>9128337A2</v>
        <stp/>
        <stp>##V3_BDPV12</stp>
        <stp>9128337A Govt</stp>
        <stp>ID_CUSIP</stp>
        <stp>[STRIPS.xlsx]Sheet1!R499C19</stp>
        <tr r="S499" s="1"/>
      </tp>
      <tp t="s">
        <v>11/15/1984</v>
        <stp/>
        <stp>##V3_BDPV12</stp>
        <stp>912833FZ Govt</stp>
        <stp>ISSUE_DT</stp>
        <stp>[STRIPS.xlsx]Sheet1!R511C15</stp>
        <tr r="O511" s="1"/>
      </tp>
      <tp t="s">
        <v>9/30/2003</v>
        <stp/>
        <stp>##V3_BDPV12</stp>
        <stp>912833ZZ Govt</stp>
        <stp>ISSUE_DT</stp>
        <stp>[STRIPS.xlsx]Sheet1!R528C15</stp>
        <tr r="O528" s="1"/>
      </tp>
      <tp t="s">
        <v>2/15/1985</v>
        <stp/>
        <stp>##V3_BDPV12</stp>
        <stp>912833BZ Govt</stp>
        <stp>ISSUE_DT</stp>
        <stp>[STRIPS.xlsx]Sheet1!R562C15</stp>
        <tr r="O562" s="1"/>
      </tp>
      <tp t="s">
        <v>912833LA6</v>
        <stp/>
        <stp>##V3_BDPV12</stp>
        <stp>912833LA Govt</stp>
        <stp>ID_CUSIP</stp>
        <stp>[STRIPS.xlsx]Sheet1!R369C19</stp>
        <tr r="S369" s="1"/>
      </tp>
      <tp t="s">
        <v>912833QA1</v>
        <stp/>
        <stp>##V3_BDPV12</stp>
        <stp>912833QA Govt</stp>
        <stp>ID_CUSIP</stp>
        <stp>[STRIPS.xlsx]Sheet1!R376C19</stp>
        <tr r="S376" s="1"/>
      </tp>
      <tp t="s">
        <v>912833RA0</v>
        <stp/>
        <stp>##V3_BDPV12</stp>
        <stp>912833RA Govt</stp>
        <stp>ID_CUSIP</stp>
        <stp>[STRIPS.xlsx]Sheet1!R342C19</stp>
        <tr r="S342" s="1"/>
      </tp>
      <tp t="s">
        <v>US912833BX74</v>
        <stp/>
        <stp>##V3_BDPV12</stp>
        <stp>912833BX Govt</stp>
        <stp>ID_ISIN</stp>
        <stp>[STRIPS.xlsx]Sheet1!R361C12</stp>
        <tr r="L361" s="1"/>
      </tp>
      <tp t="s">
        <v>912834FA1</v>
        <stp/>
        <stp>##V3_BDPV12</stp>
        <stp>912834FA Govt</stp>
        <stp>ID_CUSIP</stp>
        <stp>[STRIPS.xlsx]Sheet1!R395C19</stp>
        <tr r="S395" s="1"/>
      </tp>
      <tp t="s">
        <v>1/17/2017</v>
        <stp/>
        <stp>##V3_BDPV12</stp>
        <stp>912834QZ Govt</stp>
        <stp>ISSUE_DT</stp>
        <stp>[STRIPS.xlsx]Sheet1!R279C15</stp>
        <tr r="O279" s="1"/>
      </tp>
      <tp t="s">
        <v>10/15/2014</v>
        <stp/>
        <stp>##V3_BDPV12</stp>
        <stp>912834NZ Govt</stp>
        <stp>ISSUE_DT</stp>
        <stp>[STRIPS.xlsx]Sheet1!R275C15</stp>
        <tr r="O275" s="1"/>
      </tp>
      <tp t="s">
        <v>4/15/2015</v>
        <stp/>
        <stp>##V3_BDPV12</stp>
        <stp>912834JZ Govt</stp>
        <stp>ISSUE_DT</stp>
        <stp>[STRIPS.xlsx]Sheet1!R266C15</stp>
        <tr r="O266" s="1"/>
      </tp>
      <tp t="s">
        <v>7/15/2010</v>
        <stp/>
        <stp>##V3_BDPV12</stp>
        <stp>912834HZ Govt</stp>
        <stp>ISSUE_DT</stp>
        <stp>[STRIPS.xlsx]Sheet1!R265C15</stp>
        <tr r="O265" s="1"/>
      </tp>
      <tp t="s">
        <v>1/17/2012</v>
        <stp/>
        <stp>##V3_BDPV12</stp>
        <stp>912834KZ Govt</stp>
        <stp>ISSUE_DT</stp>
        <stp>[STRIPS.xlsx]Sheet1!R269C15</stp>
        <tr r="O269" s="1"/>
      </tp>
      <tp t="s">
        <v>3/2/2009</v>
        <stp/>
        <stp>##V3_BDPV12</stp>
        <stp>912834AZ Govt</stp>
        <stp>ISSUE_DT</stp>
        <stp>[STRIPS.xlsx]Sheet1!R261C15</stp>
        <tr r="O261" s="1"/>
      </tp>
      <tp t="s">
        <v>2/15/1985</v>
        <stp/>
        <stp>##V3_BDPV12</stp>
        <stp>912833CZ Govt</stp>
        <stp>ISSUE_DT</stp>
        <stp>[STRIPS.xlsx]Sheet1!R220C15</stp>
        <tr r="O220" s="1"/>
      </tp>
      <tp t="s">
        <v>10/31/1997</v>
        <stp/>
        <stp>##V3_BDPV12</stp>
        <stp>912833PZ Govt</stp>
        <stp>ISSUE_DT</stp>
        <stp>[STRIPS.xlsx]Sheet1!R240C15</stp>
        <tr r="O240" s="1"/>
      </tp>
      <tp t="s">
        <v>912834RA8</v>
        <stp/>
        <stp>##V3_BDPV12</stp>
        <stp>912834RA Govt</stp>
        <stp>ID_CUSIP</stp>
        <stp>[STRIPS.xlsx]Sheet1!R216C19</stp>
        <tr r="S216" s="1"/>
      </tp>
      <tp t="s">
        <v>912834UA4</v>
        <stp/>
        <stp>##V3_BDPV12</stp>
        <stp>912834UA Govt</stp>
        <stp>ID_CUSIP</stp>
        <stp>[STRIPS.xlsx]Sheet1!R200C19</stp>
        <tr r="S200" s="1"/>
      </tp>
      <tp t="s">
        <v>912833ZA1</v>
        <stp/>
        <stp>##V3_BDPV12</stp>
        <stp>912833ZA Govt</stp>
        <stp>ID_CUSIP</stp>
        <stp>[STRIPS.xlsx]Sheet1!R251C19</stp>
        <tr r="S251" s="1"/>
      </tp>
      <tp t="s">
        <v>1/15/2010</v>
        <stp/>
        <stp>##V3_BDPV12</stp>
        <stp>912834EZ Govt</stp>
        <stp>ISSUE_DT</stp>
        <stp>[STRIPS.xlsx]Sheet1!R394C15</stp>
        <tr r="O394" s="1"/>
      </tp>
      <tp t="s">
        <v>12/15/2012</v>
        <stp/>
        <stp>##V3_BDPV12</stp>
        <stp>912834LZ Govt</stp>
        <stp>ISSUE_DT</stp>
        <stp>[STRIPS.xlsx]Sheet1!R325C15</stp>
        <tr r="O325" s="1"/>
      </tp>
      <tp t="s">
        <v>2/2/1998</v>
        <stp/>
        <stp>##V3_BDPV12</stp>
        <stp>912833QZ Govt</stp>
        <stp>ISSUE_DT</stp>
        <stp>[STRIPS.xlsx]Sheet1!R379C15</stp>
        <tr r="O379" s="1"/>
      </tp>
      <tp t="s">
        <v>912833DA5</v>
        <stp/>
        <stp>##V3_BDPV12</stp>
        <stp>912833DA Govt</stp>
        <stp>ID_CUSIP</stp>
        <stp>[STRIPS.xlsx]Sheet1!R167C19</stp>
        <tr r="S167" s="1"/>
      </tp>
      <tp t="s">
        <v>912834PA0</v>
        <stp/>
        <stp>##V3_BDPV12</stp>
        <stp>912834PA Govt</stp>
        <stp>ID_CUSIP</stp>
        <stp>[STRIPS.xlsx]Sheet1!R123C19</stp>
        <tr r="S123" s="1"/>
      </tp>
      <tp t="s">
        <v>912834MA3</v>
        <stp/>
        <stp>##V3_BDPV12</stp>
        <stp>912834MA Govt</stp>
        <stp>ID_CUSIP</stp>
        <stp>[STRIPS.xlsx]Sheet1!R172C19</stp>
        <tr r="S172" s="1"/>
      </tp>
      <tp t="s">
        <v>912834VA3</v>
        <stp/>
        <stp>##V3_BDPV12</stp>
        <stp>912834VA Govt</stp>
        <stp>ID_CUSIP</stp>
        <stp>[STRIPS.xlsx]Sheet1!R178C19</stp>
        <tr r="S178" s="1"/>
      </tp>
      <tp t="s">
        <v>912834KA5</v>
        <stp/>
        <stp>##V3_BDPV12</stp>
        <stp>912834KA Govt</stp>
        <stp>ID_CUSIP</stp>
        <stp>[STRIPS.xlsx]Sheet1!R165C19</stp>
        <tr r="S165" s="1"/>
      </tp>
      <tp t="s">
        <v>912834XA1</v>
        <stp/>
        <stp>##V3_BDPV12</stp>
        <stp>912834XA Govt</stp>
        <stp>ID_CUSIP</stp>
        <stp>[STRIPS.xlsx]Sheet1!R190C19</stp>
        <tr r="S190" s="1"/>
      </tp>
      <tp t="s">
        <v>912833KA7</v>
        <stp/>
        <stp>##V3_BDPV12</stp>
        <stp>912833KA Govt</stp>
        <stp>ID_CUSIP</stp>
        <stp>[STRIPS.xlsx]Sheet1!R193C19</stp>
        <tr r="S193" s="1"/>
      </tp>
      <tp t="s">
        <v>9/3/2019</v>
        <stp/>
        <stp>##V3_BDPV12</stp>
        <stp>912834UZ Govt</stp>
        <stp>ISSUE_DT</stp>
        <stp>[STRIPS.xlsx]Sheet1!R181C15</stp>
        <tr r="O181" s="1"/>
      </tp>
      <tp t="s">
        <v>10/15/2018</v>
        <stp/>
        <stp>##V3_BDPV12</stp>
        <stp>912834TZ Govt</stp>
        <stp>ISSUE_DT</stp>
        <stp>[STRIPS.xlsx]Sheet1!R139C15</stp>
        <tr r="O139" s="1"/>
      </tp>
      <tp t="s">
        <v>2/16/2016</v>
        <stp/>
        <stp>##V3_BDPV12</stp>
        <stp>912834PZ Govt</stp>
        <stp>ISSUE_DT</stp>
        <stp>[STRIPS.xlsx]Sheet1!R126C15</stp>
        <tr r="O126" s="1"/>
      </tp>
      <tp t="s">
        <v>5/15/1990</v>
        <stp/>
        <stp>##V3_BDPV12</stp>
        <stp>912833KZ Govt</stp>
        <stp>ISSUE_DT</stp>
        <stp>[STRIPS.xlsx]Sheet1!R152C15</stp>
        <tr r="O152" s="1"/>
      </tp>
      <tp t="s">
        <v>US912834BC11</v>
        <stp/>
        <stp>##V3_BDPV12</stp>
        <stp>912834BC Govt</stp>
        <stp>ID_ISIN</stp>
        <stp>[STRIPS.xlsx]Sheet1!R458C12</stp>
        <tr r="L458" s="1"/>
      </tp>
      <tp t="s">
        <v>US912834BF42</v>
        <stp/>
        <stp>##V3_BDPV12</stp>
        <stp>912834BF Govt</stp>
        <stp>ID_ISIN</stp>
        <stp>[STRIPS.xlsx]Sheet1!R350C12</stp>
        <tr r="L350" s="1"/>
      </tp>
      <tp t="s">
        <v>US912834BA54</v>
        <stp/>
        <stp>##V3_BDPV12</stp>
        <stp>912834BA Govt</stp>
        <stp>ID_ISIN</stp>
        <stp>[STRIPS.xlsx]Sheet1!R529C12</stp>
        <tr r="L529" s="1"/>
      </tp>
      <tp t="s">
        <v>US912834BG25</v>
        <stp/>
        <stp>##V3_BDPV12</stp>
        <stp>912834BG Govt</stp>
        <stp>ID_ISIN</stp>
        <stp>[STRIPS.xlsx]Sheet1!R592C12</stp>
        <tr r="L592" s="1"/>
      </tp>
      <tp t="s">
        <v>US912834BD93</v>
        <stp/>
        <stp>##V3_BDPV12</stp>
        <stp>912834BD Govt</stp>
        <stp>ID_ISIN</stp>
        <stp>[STRIPS.xlsx]Sheet1!R643C12</stp>
        <tr r="L643" s="1"/>
      </tp>
      <tp t="s">
        <v>US912834BB38</v>
        <stp/>
        <stp>##V3_BDPV12</stp>
        <stp>912834BB Govt</stp>
        <stp>ID_ISIN</stp>
        <stp>[STRIPS.xlsx]Sheet1!R349C12</stp>
        <tr r="L349" s="1"/>
      </tp>
      <tp t="s">
        <v>US912834BE76</v>
        <stp/>
        <stp>##V3_BDPV12</stp>
        <stp>912834BE Govt</stp>
        <stp>ID_ISIN</stp>
        <stp>[STRIPS.xlsx]Sheet1!R530C12</stp>
        <tr r="L530" s="1"/>
      </tp>
      <tp t="s">
        <v>US912834BL10</v>
        <stp/>
        <stp>##V3_BDPV12</stp>
        <stp>912834BL Govt</stp>
        <stp>ID_ISIN</stp>
        <stp>[STRIPS.xlsx]Sheet1!R262C12</stp>
        <tr r="L262" s="1"/>
      </tp>
      <tp t="s">
        <v>US912834BM92</v>
        <stp/>
        <stp>##V3_BDPV12</stp>
        <stp>912834BM Govt</stp>
        <stp>ID_ISIN</stp>
        <stp>[STRIPS.xlsx]Sheet1!R353C12</stp>
        <tr r="L353" s="1"/>
      </tp>
      <tp t="s">
        <v>US912834BN75</v>
        <stp/>
        <stp>##V3_BDPV12</stp>
        <stp>912834BN Govt</stp>
        <stp>ID_ISIN</stp>
        <stp>[STRIPS.xlsx]Sheet1!R263C12</stp>
        <tr r="L263" s="1"/>
      </tp>
      <tp t="s">
        <v>US912834BH08</v>
        <stp/>
        <stp>##V3_BDPV12</stp>
        <stp>912834BH Govt</stp>
        <stp>ID_ISIN</stp>
        <stp>[STRIPS.xlsx]Sheet1!R351C12</stp>
        <tr r="L351" s="1"/>
      </tp>
      <tp t="s">
        <v>US912834BJ63</v>
        <stp/>
        <stp>##V3_BDPV12</stp>
        <stp>912834BJ Govt</stp>
        <stp>ID_ISIN</stp>
        <stp>[STRIPS.xlsx]Sheet1!R352C12</stp>
        <tr r="L352" s="1"/>
      </tp>
      <tp t="s">
        <v>US912834BK37</v>
        <stp/>
        <stp>##V3_BDPV12</stp>
        <stp>912834BK Govt</stp>
        <stp>ID_ISIN</stp>
        <stp>[STRIPS.xlsx]Sheet1!R308C12</stp>
        <tr r="L308" s="1"/>
      </tp>
      <tp t="s">
        <v>#N/A Field Not Applicable</v>
        <stp/>
        <stp>##V3_BDPV12</stp>
        <stp>912833QB Govt</stp>
        <stp>COUPON_FREQUENCY_DESCRIPTION</stp>
        <stp>[STRIPS.xlsx]Sheet1!R20C10</stp>
        <tr r="J20" s="1"/>
      </tp>
      <tp t="s">
        <v>S 0 02/15/29</v>
        <stp/>
        <stp>##V3_BDPV12</stp>
        <stp>912833XN Govt</stp>
        <stp>SECURITY_NAME</stp>
        <stp>[STRIPS.xlsx]Sheet1!R85C16</stp>
        <tr r="P85" s="1"/>
      </tp>
      <tp t="s">
        <v>S 0 05/15/23</v>
        <stp/>
        <stp>##V3_BDPV12</stp>
        <stp>912833LN Govt</stp>
        <stp>SECURITY_NAME</stp>
        <stp>[STRIPS.xlsx]Sheet1!R63C16</stp>
        <tr r="P63" s="1"/>
      </tp>
      <tp t="s">
        <v>S 0 11/15/30</v>
        <stp/>
        <stp>##V3_BDPV12</stp>
        <stp>9128337N Govt</stp>
        <stp>SECURITY_NAME</stp>
        <stp>[STRIPS.xlsx]Sheet1!R49C16</stp>
        <tr r="P49" s="1"/>
      </tp>
      <tp t="s">
        <v>#N/A Field Not Applicable</v>
        <stp/>
        <stp>##V3_BDPV12</stp>
        <stp>912834QH Govt</stp>
        <stp>COUPON_FREQUENCY_DESCRIPTION</stp>
        <stp>[STRIPS.xlsx]Sheet1!R96C10</stp>
        <tr r="J96" s="1"/>
      </tp>
      <tp>
        <v>0</v>
        <stp/>
        <stp>##V3_BDPV12</stp>
        <stp>912833XP Govt</stp>
        <stp>CPN</stp>
        <stp>[STRIPS.xlsx]Sheet1!R44C3</stp>
        <tr r="C44" s="1"/>
      </tp>
      <tp>
        <v>0</v>
        <stp/>
        <stp>##V3_BDPV12</stp>
        <stp>912833Z5 Govt</stp>
        <stp>CPN</stp>
        <stp>[STRIPS.xlsx]Sheet1!R74C3</stp>
        <tr r="C74" s="1"/>
      </tp>
      <tp>
        <v>0</v>
        <stp/>
        <stp>##V3_BDPV12</stp>
        <stp>912833WQ Govt</stp>
        <stp>CPN</stp>
        <stp>[STRIPS.xlsx]Sheet1!R24C3</stp>
        <tr r="C24" s="1"/>
      </tp>
      <tp>
        <v>0</v>
        <stp/>
        <stp>##V3_BDPV12</stp>
        <stp>912833PC Govt</stp>
        <stp>CPN</stp>
        <stp>[STRIPS.xlsx]Sheet1!R14C3</stp>
        <tr r="C14" s="1"/>
      </tp>
      <tp t="s">
        <v>UNITED STATES</v>
        <stp/>
        <stp>##V3_BDPV12</stp>
        <stp>912833LH Govt</stp>
        <stp>COUNTRY_FULL_NAME</stp>
        <stp>[STRIPS.xlsx]Sheet1!R40C8</stp>
        <tr r="H40" s="1"/>
      </tp>
      <tp>
        <v>0</v>
        <stp/>
        <stp>##V3_BDPV12</stp>
        <stp>912834JY Govt</stp>
        <stp>CPN</stp>
        <stp>[STRIPS.xlsx]Sheet1!R64C3</stp>
        <tr r="C64" s="1"/>
      </tp>
      <tp>
        <v>0</v>
        <stp/>
        <stp>##V3_BDPV12</stp>
        <stp>912834JP Govt</stp>
        <stp>CPN</stp>
        <stp>[STRIPS.xlsx]Sheet1!R34C3</stp>
        <tr r="C34" s="1"/>
      </tp>
      <tp>
        <v>0</v>
        <stp/>
        <stp>##V3_BDPV12</stp>
        <stp>912834WR Govt</stp>
        <stp>CPN</stp>
        <stp>[STRIPS.xlsx]Sheet1!R54C3</stp>
        <tr r="C54" s="1"/>
      </tp>
      <tp>
        <v>0</v>
        <stp/>
        <stp>##V3_BDPV12</stp>
        <stp>912834PM Govt</stp>
        <stp>CPN</stp>
        <stp>[STRIPS.xlsx]Sheet1!R84C3</stp>
        <tr r="C84" s="1"/>
      </tp>
      <tp>
        <v>0</v>
        <stp/>
        <stp>##V3_BDPV12</stp>
        <stp>912834SZ Govt</stp>
        <stp>CPN</stp>
        <stp>[STRIPS.xlsx]Sheet1!R94C3</stp>
        <tr r="C94" s="1"/>
      </tp>
      <tp>
        <v>1.902999999999988</v>
        <stp/>
        <stp>##V3_BDPV12</stp>
        <stp>9128334Y Govt</stp>
        <stp>YLD_YTM_BID</stp>
        <stp>[STRIPS.xlsx]Sheet1!R67C4</stp>
        <tr r="D67" s="1"/>
      </tp>
      <tp>
        <v>0.55900000000002059</v>
        <stp/>
        <stp>##V3_BDPV12</stp>
        <stp>912833LS Govt</stp>
        <stp>YLD_YTM_BID</stp>
        <stp>[STRIPS.xlsx]Sheet1!R37C4</stp>
        <tr r="D37" s="1"/>
      </tp>
      <tp>
        <v>0.26799999999997937</v>
        <stp/>
        <stp>##V3_BDPV12</stp>
        <stp>912833LM Govt</stp>
        <stp>YLD_YTM_BID</stp>
        <stp>[STRIPS.xlsx]Sheet1!R17C4</stp>
        <tr r="D17" s="1"/>
      </tp>
      <tp>
        <v>1.9680000000000142</v>
        <stp/>
        <stp>##V3_BDPV12</stp>
        <stp>912833Y2 Govt</stp>
        <stp>YLD_YTM_BID</stp>
        <stp>[STRIPS.xlsx]Sheet1!R27C4</stp>
        <tr r="D27" s="1"/>
      </tp>
      <tp>
        <v>1.5150000000000219</v>
        <stp/>
        <stp>##V3_BDPV12</stp>
        <stp>912833XS Govt</stp>
        <stp>YLD_YTM_BID</stp>
        <stp>[STRIPS.xlsx]Sheet1!R47C4</stp>
        <tr r="D47" s="1"/>
      </tp>
      <tp>
        <v>2.220000000000022</v>
        <stp/>
        <stp>##V3_BDPV12</stp>
        <stp>912834KV Govt</stp>
        <stp>YLD_YTM_BID</stp>
        <stp>[STRIPS.xlsx]Sheet1!R57C4</stp>
        <tr r="D57" s="1"/>
      </tp>
      <tp>
        <v>2.1310000000000162</v>
        <stp/>
        <stp>##V3_BDPV12</stp>
        <stp>912834EP Govt</stp>
        <stp>YLD_YTM_BID</stp>
        <stp>[STRIPS.xlsx]Sheet1!R77C4</stp>
        <tr r="D77" s="1"/>
      </tp>
      <tp>
        <v>2.1110000000000184</v>
        <stp/>
        <stp>##V3_BDPV12</stp>
        <stp>912834DU Govt</stp>
        <stp>YLD_YTM_BID</stp>
        <stp>[STRIPS.xlsx]Sheet1!R87C4</stp>
        <tr r="D87" s="1"/>
      </tp>
      <tp>
        <v>0.97499999999999254</v>
        <stp/>
        <stp>##V3_BDPV12</stp>
        <stp>912834UQ Govt</stp>
        <stp>YLD_YTM_BID</stp>
        <stp>[STRIPS.xlsx]Sheet1!R97C4</stp>
        <tr r="D97" s="1"/>
      </tp>
      <tp t="s">
        <v>UNITED STATES</v>
        <stp/>
        <stp>##V3_BDPV12</stp>
        <stp>912834MZ Govt</stp>
        <stp>COUNTRY_FULL_NAME</stp>
        <stp>[STRIPS.xlsx]Sheet1!R71C8</stp>
        <tr r="H71" s="1"/>
      </tp>
      <tp t="s">
        <v>UNITED STATES</v>
        <stp/>
        <stp>##V3_BDPV12</stp>
        <stp>912833LX Govt</stp>
        <stp>COUNTRY_FULL_NAME</stp>
        <stp>[STRIPS.xlsx]Sheet1!R10C8</stp>
        <tr r="H10" s="1"/>
      </tp>
      <tp t="s">
        <v>UNITED STATES</v>
        <stp/>
        <stp>##V3_BDPV12</stp>
        <stp>912834KV Govt</stp>
        <stp>COUNTRY_FULL_NAME</stp>
        <stp>[STRIPS.xlsx]Sheet1!R57C8</stp>
        <tr r="H57" s="1"/>
      </tp>
      <tp t="s">
        <v>UNITED STATES</v>
        <stp/>
        <stp>##V3_BDPV12</stp>
        <stp>912834MT Govt</stp>
        <stp>COUNTRY_FULL_NAME</stp>
        <stp>[STRIPS.xlsx]Sheet1!R41C8</stp>
        <tr r="H41" s="1"/>
      </tp>
      <tp t="s">
        <v>US912833C731</v>
        <stp/>
        <stp>##V3_BDPV12</stp>
        <stp>912833C7 Govt</stp>
        <stp>ID_ISIN</stp>
        <stp>[STRIPS.xlsx]Sheet1!R294C12</stp>
        <tr r="L294" s="1"/>
      </tp>
      <tp t="s">
        <v>US912833C244</v>
        <stp/>
        <stp>##V3_BDPV12</stp>
        <stp>912833C2 Govt</stp>
        <stp>ID_ISIN</stp>
        <stp>[STRIPS.xlsx]Sheet1!R611C12</stp>
        <tr r="L611" s="1"/>
      </tp>
      <tp t="s">
        <v>US912833C657</v>
        <stp/>
        <stp>##V3_BDPV12</stp>
        <stp>912833C6 Govt</stp>
        <stp>ID_ISIN</stp>
        <stp>[STRIPS.xlsx]Sheet1!R563C12</stp>
        <tr r="L563" s="1"/>
      </tp>
      <tp t="s">
        <v>US912833C400</v>
        <stp/>
        <stp>##V3_BDPV12</stp>
        <stp>912833C4 Govt</stp>
        <stp>ID_ISIN</stp>
        <stp>[STRIPS.xlsx]Sheet1!R612C12</stp>
        <tr r="L612" s="1"/>
      </tp>
      <tp t="s">
        <v>US912833C574</v>
        <stp/>
        <stp>##V3_BDPV12</stp>
        <stp>912833C5 Govt</stp>
        <stp>ID_ISIN</stp>
        <stp>[STRIPS.xlsx]Sheet1!R435C12</stp>
        <tr r="L435" s="1"/>
      </tp>
      <tp t="s">
        <v>US912833C327</v>
        <stp/>
        <stp>##V3_BDPV12</stp>
        <stp>912833C3 Govt</stp>
        <stp>ID_ISIN</stp>
        <stp>[STRIPS.xlsx]Sheet1!R362C12</stp>
        <tr r="L362" s="1"/>
      </tp>
      <tp t="s">
        <v>US912833C996</v>
        <stp/>
        <stp>##V3_BDPV12</stp>
        <stp>912833C9 Govt</stp>
        <stp>ID_ISIN</stp>
        <stp>[STRIPS.xlsx]Sheet1!R613C12</stp>
        <tr r="L613" s="1"/>
      </tp>
      <tp t="s">
        <v>ZERO</v>
        <stp/>
        <stp>##V3_BDPV12</stp>
        <stp>912833NP Govt</stp>
        <stp>CPN_TYP</stp>
        <stp>[STRIPS.xlsx]Sheet1!R373C11</stp>
        <tr r="K373" s="1"/>
      </tp>
      <tp t="s">
        <v>ZERO</v>
        <stp/>
        <stp>##V3_BDPV12</stp>
        <stp>912834NQ Govt</stp>
        <stp>CPN_TYP</stp>
        <stp>[STRIPS.xlsx]Sheet1!R273C11</stp>
        <tr r="K273" s="1"/>
      </tp>
      <tp t="s">
        <v>US912833CU27</v>
        <stp/>
        <stp>##V3_BDPV12</stp>
        <stp>912833CU Govt</stp>
        <stp>ID_ISIN</stp>
        <stp>[STRIPS.xlsx]Sheet1!R299C12</stp>
        <tr r="L299" s="1"/>
      </tp>
      <tp t="s">
        <v>ZERO</v>
        <stp/>
        <stp>##V3_BDPV12</stp>
        <stp>912834NW Govt</stp>
        <stp>CPN_TYP</stp>
        <stp>[STRIPS.xlsx]Sheet1!R548C11</stp>
        <tr r="K548" s="1"/>
      </tp>
      <tp t="s">
        <v>ZERO</v>
        <stp/>
        <stp>##V3_BDPV12</stp>
        <stp>912834NP Govt</stp>
        <stp>CPN_TYP</stp>
        <stp>[STRIPS.xlsx]Sheet1!R130C11</stp>
        <tr r="K130" s="1"/>
      </tp>
      <tp t="s">
        <v>US912833CP32</v>
        <stp/>
        <stp>##V3_BDPV12</stp>
        <stp>912833CP Govt</stp>
        <stp>ID_ISIN</stp>
        <stp>[STRIPS.xlsx]Sheet1!R564C12</stp>
        <tr r="L564" s="1"/>
      </tp>
      <tp t="s">
        <v>US912833CQ15</v>
        <stp/>
        <stp>##V3_BDPV12</stp>
        <stp>912833CQ Govt</stp>
        <stp>ID_ISIN</stp>
        <stp>[STRIPS.xlsx]Sheet1!R438C12</stp>
        <tr r="L438" s="1"/>
      </tp>
      <tp t="s">
        <v>US912833CR97</v>
        <stp/>
        <stp>##V3_BDPV12</stp>
        <stp>912833CR Govt</stp>
        <stp>ID_ISIN</stp>
        <stp>[STRIPS.xlsx]Sheet1!R617C12</stp>
        <tr r="L617" s="1"/>
      </tp>
      <tp t="s">
        <v>ZERO</v>
        <stp/>
        <stp>##V3_BDPV12</stp>
        <stp>912834NV Govt</stp>
        <stp>CPN_TYP</stp>
        <stp>[STRIPS.xlsx]Sheet1!R115C11</stp>
        <tr r="K115" s="1"/>
      </tp>
      <tp t="s">
        <v>ZERO</v>
        <stp/>
        <stp>##V3_BDPV12</stp>
        <stp>912833NR Govt</stp>
        <stp>CPN_TYP</stp>
        <stp>[STRIPS.xlsx]Sheet1!R572C11</stp>
        <tr r="K572" s="1"/>
      </tp>
      <tp t="s">
        <v>ZERO</v>
        <stp/>
        <stp>##V3_BDPV12</stp>
        <stp>912834NU Govt</stp>
        <stp>CPN_TYP</stp>
        <stp>[STRIPS.xlsx]Sheet1!R274C11</stp>
        <tr r="K274" s="1"/>
      </tp>
      <tp t="s">
        <v>ZERO</v>
        <stp/>
        <stp>##V3_BDPV12</stp>
        <stp>912833NQ Govt</stp>
        <stp>CPN_TYP</stp>
        <stp>[STRIPS.xlsx]Sheet1!R677C11</stp>
        <tr r="K677" s="1"/>
      </tp>
      <tp t="s">
        <v>ZERO</v>
        <stp/>
        <stp>##V3_BDPV12</stp>
        <stp>912834NR Govt</stp>
        <stp>CPN_TYP</stp>
        <stp>[STRIPS.xlsx]Sheet1!R422C11</stp>
        <tr r="K422" s="1"/>
      </tp>
      <tp t="s">
        <v>ZERO</v>
        <stp/>
        <stp>##V3_BDPV12</stp>
        <stp>912834NS Govt</stp>
        <stp>CPN_TYP</stp>
        <stp>[STRIPS.xlsx]Sheet1!R547C11</stp>
        <tr r="K547" s="1"/>
      </tp>
      <tp t="s">
        <v>US912833CT53</v>
        <stp/>
        <stp>##V3_BDPV12</stp>
        <stp>912833CT Govt</stp>
        <stp>ID_ISIN</stp>
        <stp>[STRIPS.xlsx]Sheet1!R657C12</stp>
        <tr r="L657" s="1"/>
      </tp>
      <tp t="s">
        <v>ZERO</v>
        <stp/>
        <stp>##V3_BDPV12</stp>
        <stp>912834NT Govt</stp>
        <stp>CPN_TYP</stp>
        <stp>[STRIPS.xlsx]Sheet1!R174C11</stp>
        <tr r="K174" s="1"/>
      </tp>
      <tp t="s">
        <v>US912833CS70</v>
        <stp/>
        <stp>##V3_BDPV12</stp>
        <stp>912833CS Govt</stp>
        <stp>ID_ISIN</stp>
        <stp>[STRIPS.xlsx]Sheet1!R298C12</stp>
        <tr r="L298" s="1"/>
      </tp>
      <tp t="s">
        <v>US912833CV00</v>
        <stp/>
        <stp>##V3_BDPV12</stp>
        <stp>912833CV Govt</stp>
        <stp>ID_ISIN</stp>
        <stp>[STRIPS.xlsx]Sheet1!R658C12</stp>
        <tr r="L658" s="1"/>
      </tp>
      <tp t="s">
        <v>US912833CW82</v>
        <stp/>
        <stp>##V3_BDPV12</stp>
        <stp>912833CW Govt</stp>
        <stp>ID_ISIN</stp>
        <stp>[STRIPS.xlsx]Sheet1!R735C12</stp>
        <tr r="L735" s="1"/>
      </tp>
      <tp t="s">
        <v>US912833CX65</v>
        <stp/>
        <stp>##V3_BDPV12</stp>
        <stp>912833CX Govt</stp>
        <stp>ID_ISIN</stp>
        <stp>[STRIPS.xlsx]Sheet1!R503C12</stp>
        <tr r="L503" s="1"/>
      </tp>
      <tp t="s">
        <v>ZERO</v>
        <stp/>
        <stp>##V3_BDPV12</stp>
        <stp>912834NZ Govt</stp>
        <stp>CPN_TYP</stp>
        <stp>[STRIPS.xlsx]Sheet1!R275C11</stp>
        <tr r="K275" s="1"/>
      </tp>
      <tp t="s">
        <v>ZERO</v>
        <stp/>
        <stp>##V3_BDPV12</stp>
        <stp>912834NY Govt</stp>
        <stp>CPN_TYP</stp>
        <stp>[STRIPS.xlsx]Sheet1!R143C11</stp>
        <tr r="K143" s="1"/>
      </tp>
      <tp t="s">
        <v>US912833CY49</v>
        <stp/>
        <stp>##V3_BDPV12</stp>
        <stp>912833CY Govt</stp>
        <stp>ID_ISIN</stp>
        <stp>[STRIPS.xlsx]Sheet1!R363C12</stp>
        <tr r="L363" s="1"/>
      </tp>
      <tp t="s">
        <v>ZERO</v>
        <stp/>
        <stp>##V3_BDPV12</stp>
        <stp>912834NX Govt</stp>
        <stp>CPN_TYP</stp>
        <stp>[STRIPS.xlsx]Sheet1!R410C11</stp>
        <tr r="K410" s="1"/>
      </tp>
      <tp t="s">
        <v>US912833CZ14</v>
        <stp/>
        <stp>##V3_BDPV12</stp>
        <stp>912833CZ Govt</stp>
        <stp>ID_ISIN</stp>
        <stp>[STRIPS.xlsx]Sheet1!R220C12</stp>
        <tr r="L220" s="1"/>
      </tp>
      <tp t="s">
        <v>US912833CC29</v>
        <stp/>
        <stp>##V3_BDPV12</stp>
        <stp>912833CC Govt</stp>
        <stp>ID_ISIN</stp>
        <stp>[STRIPS.xlsx]Sheet1!R436C12</stp>
        <tr r="L436" s="1"/>
      </tp>
      <tp t="s">
        <v>ZERO</v>
        <stp/>
        <stp>##V3_BDPV12</stp>
        <stp>912833NG Govt</stp>
        <stp>CPN_TYP</stp>
        <stp>[STRIPS.xlsx]Sheet1!R516C11</stp>
        <tr r="K516" s="1"/>
      </tp>
      <tp t="s">
        <v>ZERO</v>
        <stp/>
        <stp>##V3_BDPV12</stp>
        <stp>912833ND Govt</stp>
        <stp>CPN_TYP</stp>
        <stp>[STRIPS.xlsx]Sheet1!R676C11</stp>
        <tr r="K676" s="1"/>
      </tp>
      <tp t="s">
        <v>ZERO</v>
        <stp/>
        <stp>##V3_BDPV12</stp>
        <stp>912833NF Govt</stp>
        <stp>CPN_TYP</stp>
        <stp>[STRIPS.xlsx]Sheet1!R447C11</stp>
        <tr r="K447" s="1"/>
      </tp>
      <tp t="s">
        <v>US912833CD02</v>
        <stp/>
        <stp>##V3_BDPV12</stp>
        <stp>912833CD Govt</stp>
        <stp>ID_ISIN</stp>
        <stp>[STRIPS.xlsx]Sheet1!R295C12</stp>
        <tr r="L295" s="1"/>
      </tp>
      <tp t="s">
        <v>ZERO</v>
        <stp/>
        <stp>##V3_BDPV12</stp>
        <stp>912834ND Govt</stp>
        <stp>CPN_TYP</stp>
        <stp>[STRIPS.xlsx]Sheet1!R545C11</stp>
        <tr r="K545" s="1"/>
      </tp>
      <tp t="s">
        <v>US912833CG33</v>
        <stp/>
        <stp>##V3_BDPV12</stp>
        <stp>912833CG Govt</stp>
        <stp>ID_ISIN</stp>
        <stp>[STRIPS.xlsx]Sheet1!R296C12</stp>
        <tr r="L296" s="1"/>
      </tp>
      <tp t="s">
        <v>ZERO</v>
        <stp/>
        <stp>##V3_BDPV12</stp>
        <stp>912833NE Govt</stp>
        <stp>CPN_TYP</stp>
        <stp>[STRIPS.xlsx]Sheet1!R571C11</stp>
        <tr r="K571" s="1"/>
      </tp>
      <tp t="s">
        <v>ZERO</v>
        <stp/>
        <stp>##V3_BDPV12</stp>
        <stp>912834NE Govt</stp>
        <stp>CPN_TYP</stp>
        <stp>[STRIPS.xlsx]Sheet1!R546C11</stp>
        <tr r="K546" s="1"/>
      </tp>
      <tp t="s">
        <v>US912833CA62</v>
        <stp/>
        <stp>##V3_BDPV12</stp>
        <stp>912833CA Govt</stp>
        <stp>ID_ISIN</stp>
        <stp>[STRIPS.xlsx]Sheet1!R502C12</stp>
        <tr r="L502" s="1"/>
      </tp>
      <tp t="s">
        <v>US912833CB46</v>
        <stp/>
        <stp>##V3_BDPV12</stp>
        <stp>912833CB Govt</stp>
        <stp>ID_ISIN</stp>
        <stp>[STRIPS.xlsx]Sheet1!R614C12</stp>
        <tr r="L614" s="1"/>
      </tp>
      <tp t="s">
        <v>ZERO</v>
        <stp/>
        <stp>##V3_BDPV12</stp>
        <stp>912834NC Govt</stp>
        <stp>CPN_TYP</stp>
        <stp>[STRIPS.xlsx]Sheet1!R407C11</stp>
        <tr r="K407" s="1"/>
      </tp>
      <tp t="s">
        <v>ZERO</v>
        <stp/>
        <stp>##V3_BDPV12</stp>
        <stp>912834NB Govt</stp>
        <stp>CPN_TYP</stp>
        <stp>[STRIPS.xlsx]Sheet1!R544C11</stp>
        <tr r="K544" s="1"/>
      </tp>
      <tp t="s">
        <v>ZERO</v>
        <stp/>
        <stp>##V3_BDPV12</stp>
        <stp>912833NC Govt</stp>
        <stp>CPN_TYP</stp>
        <stp>[STRIPS.xlsx]Sheet1!R570C11</stp>
        <tr r="K570" s="1"/>
      </tp>
      <tp t="s">
        <v>ZERO</v>
        <stp/>
        <stp>##V3_BDPV12</stp>
        <stp>912834NA Govt</stp>
        <stp>CPN_TYP</stp>
        <stp>[STRIPS.xlsx]Sheet1!R476C11</stp>
        <tr r="K476" s="1"/>
      </tp>
      <tp t="s">
        <v>ZERO</v>
        <stp/>
        <stp>##V3_BDPV12</stp>
        <stp>912833NA Govt</stp>
        <stp>CPN_TYP</stp>
        <stp>[STRIPS.xlsx]Sheet1!R446C11</stp>
        <tr r="K446" s="1"/>
      </tp>
      <tp t="s">
        <v>US912833CE84</v>
        <stp/>
        <stp>##V3_BDPV12</stp>
        <stp>912833CE Govt</stp>
        <stp>ID_ISIN</stp>
        <stp>[STRIPS.xlsx]Sheet1!R437C12</stp>
        <tr r="L437" s="1"/>
      </tp>
      <tp t="s">
        <v>ZERO</v>
        <stp/>
        <stp>##V3_BDPV12</stp>
        <stp>912833NB Govt</stp>
        <stp>CPN_TYP</stp>
        <stp>[STRIPS.xlsx]Sheet1!R629C11</stp>
        <tr r="K629" s="1"/>
      </tp>
      <tp t="s">
        <v>US912833CF59</v>
        <stp/>
        <stp>##V3_BDPV12</stp>
        <stp>912833CF Govt</stp>
        <stp>ID_ISIN</stp>
        <stp>[STRIPS.xlsx]Sheet1!R655C12</stp>
        <tr r="L655" s="1"/>
      </tp>
      <tp t="s">
        <v>ZERO</v>
        <stp/>
        <stp>##V3_BDPV12</stp>
        <stp>912833NN Govt</stp>
        <stp>CPN_TYP</stp>
        <stp>[STRIPS.xlsx]Sheet1!R518C11</stp>
        <tr r="K518" s="1"/>
      </tp>
      <tp t="s">
        <v>ZERO</v>
        <stp/>
        <stp>##V3_BDPV12</stp>
        <stp>912834NN Govt</stp>
        <stp>CPN_TYP</stp>
        <stp>[STRIPS.xlsx]Sheet1!R421C11</stp>
        <tr r="K421" s="1"/>
      </tp>
      <tp t="s">
        <v>ZERO</v>
        <stp/>
        <stp>##V3_BDPV12</stp>
        <stp>912833NH Govt</stp>
        <stp>CPN_TYP</stp>
        <stp>[STRIPS.xlsx]Sheet1!R237C11</stp>
        <tr r="K237" s="1"/>
      </tp>
      <tp t="s">
        <v>US912833CH16</v>
        <stp/>
        <stp>##V3_BDPV12</stp>
        <stp>912833CH Govt</stp>
        <stp>ID_ISIN</stp>
        <stp>[STRIPS.xlsx]Sheet1!R615C12</stp>
        <tr r="L615" s="1"/>
      </tp>
      <tp t="s">
        <v>ZERO</v>
        <stp/>
        <stp>##V3_BDPV12</stp>
        <stp>912833NJ Govt</stp>
        <stp>CPN_TYP</stp>
        <stp>[STRIPS.xlsx]Sheet1!R334C11</stp>
        <tr r="K334" s="1"/>
      </tp>
      <tp t="s">
        <v>ZERO</v>
        <stp/>
        <stp>##V3_BDPV12</stp>
        <stp>912834NM Govt</stp>
        <stp>CPN_TYP</stp>
        <stp>[STRIPS.xlsx]Sheet1!R409C11</stp>
        <tr r="K409" s="1"/>
      </tp>
      <tp t="s">
        <v>ZERO</v>
        <stp/>
        <stp>##V3_BDPV12</stp>
        <stp>912834NL Govt</stp>
        <stp>CPN_TYP</stp>
        <stp>[STRIPS.xlsx]Sheet1!R408C11</stp>
        <tr r="K408" s="1"/>
      </tp>
      <tp t="s">
        <v>ZERO</v>
        <stp/>
        <stp>##V3_BDPV12</stp>
        <stp>912833NM Govt</stp>
        <stp>CPN_TYP</stp>
        <stp>[STRIPS.xlsx]Sheet1!R517C11</stp>
        <tr r="K517" s="1"/>
      </tp>
      <tp t="s">
        <v>ZERO</v>
        <stp/>
        <stp>##V3_BDPV12</stp>
        <stp>912833NK Govt</stp>
        <stp>CPN_TYP</stp>
        <stp>[STRIPS.xlsx]Sheet1!R372C11</stp>
        <tr r="K372" s="1"/>
      </tp>
      <tp t="s">
        <v>US912833CK45</v>
        <stp/>
        <stp>##V3_BDPV12</stp>
        <stp>912833CK Govt</stp>
        <stp>ID_ISIN</stp>
        <stp>[STRIPS.xlsx]Sheet1!R733C12</stp>
        <tr r="L733" s="1"/>
      </tp>
      <tp t="s">
        <v>ZERO</v>
        <stp/>
        <stp>##V3_BDPV12</stp>
        <stp>912833NL Govt</stp>
        <stp>CPN_TYP</stp>
        <stp>[STRIPS.xlsx]Sheet1!R335C11</stp>
        <tr r="K335" s="1"/>
      </tp>
      <tp t="s">
        <v>ZERO</v>
        <stp/>
        <stp>##V3_BDPV12</stp>
        <stp>912834NK Govt</stp>
        <stp>CPN_TYP</stp>
        <stp>[STRIPS.xlsx]Sheet1!R477C11</stp>
        <tr r="K477" s="1"/>
      </tp>
      <tp t="s">
        <v>US912833CM01</v>
        <stp/>
        <stp>##V3_BDPV12</stp>
        <stp>912833CM Govt</stp>
        <stp>ID_ISIN</stp>
        <stp>[STRIPS.xlsx]Sheet1!R656C12</stp>
        <tr r="L656" s="1"/>
      </tp>
      <tp t="s">
        <v>ZERO</v>
        <stp/>
        <stp>##V3_BDPV12</stp>
        <stp>912834NJ Govt</stp>
        <stp>CPN_TYP</stp>
        <stp>[STRIPS.xlsx]Sheet1!R420C11</stp>
        <tr r="K420" s="1"/>
      </tp>
      <tp t="s">
        <v>US912833CL28</v>
        <stp/>
        <stp>##V3_BDPV12</stp>
        <stp>912833CL Govt</stp>
        <stp>ID_ISIN</stp>
        <stp>[STRIPS.xlsx]Sheet1!R616C12</stp>
        <tr r="L616" s="1"/>
      </tp>
      <tp t="s">
        <v>US912833CN83</v>
        <stp/>
        <stp>##V3_BDPV12</stp>
        <stp>912833CN Govt</stp>
        <stp>ID_ISIN</stp>
        <stp>[STRIPS.xlsx]Sheet1!R734C12</stp>
        <tr r="L734" s="1"/>
      </tp>
      <tp t="s">
        <v>US912833CJ71</v>
        <stp/>
        <stp>##V3_BDPV12</stp>
        <stp>912833CJ Govt</stp>
        <stp>ID_ISIN</stp>
        <stp>[STRIPS.xlsx]Sheet1!R297C12</stp>
        <tr r="L297" s="1"/>
      </tp>
      <tp t="s">
        <v>#N/A Field Not Applicable</v>
        <stp/>
        <stp>##V3_BDPV12</stp>
        <stp>912834PG Govt</stp>
        <stp>COUPON_FREQUENCY_DESCRIPTION</stp>
        <stp>[STRIPS.xlsx]Sheet1!R83C10</stp>
        <tr r="J83" s="1"/>
      </tp>
      <tp t="s">
        <v>#N/A Field Not Applicable</v>
        <stp/>
        <stp>##V3_BDPV12</stp>
        <stp>912833PE Govt</stp>
        <stp>COUPON_FREQUENCY_DESCRIPTION</stp>
        <stp>[STRIPS.xlsx]Sheet1!R15C10</stp>
        <tr r="J15" s="1"/>
      </tp>
      <tp t="s">
        <v>#N/A Field Not Applicable</v>
        <stp/>
        <stp>##V3_BDPV12</stp>
        <stp>912833PD Govt</stp>
        <stp>COUPON_FREQUENCY_DESCRIPTION</stp>
        <stp>[STRIPS.xlsx]Sheet1!R13C10</stp>
        <tr r="J13" s="1"/>
      </tp>
      <tp t="s">
        <v>#N/A Field Not Applicable</v>
        <stp/>
        <stp>##V3_BDPV12</stp>
        <stp>912833PC Govt</stp>
        <stp>COUPON_FREQUENCY_DESCRIPTION</stp>
        <stp>[STRIPS.xlsx]Sheet1!R14C10</stp>
        <tr r="J14" s="1"/>
      </tp>
      <tp t="s">
        <v>#N/A Field Not Applicable</v>
        <stp/>
        <stp>##V3_BDPV12</stp>
        <stp>912834PM Govt</stp>
        <stp>COUPON_FREQUENCY_DESCRIPTION</stp>
        <stp>[STRIPS.xlsx]Sheet1!R84C10</stp>
        <tr r="J84" s="1"/>
      </tp>
      <tp t="s">
        <v>#N/A Field Not Applicable</v>
        <stp/>
        <stp>##V3_BDPV12</stp>
        <stp>912834PH Govt</stp>
        <stp>COUPON_FREQUENCY_DESCRIPTION</stp>
        <stp>[STRIPS.xlsx]Sheet1!R91C10</stp>
        <tr r="J91" s="1"/>
      </tp>
      <tp>
        <v>1.756000000000002</v>
        <stp/>
        <stp>##V3_BDPV12</stp>
        <stp>9128334T Govt</stp>
        <stp>YLD_YTM_BID</stp>
        <stp>[STRIPS.xlsx]Sheet1!R48C4</stp>
        <tr r="D48" s="1"/>
      </tp>
      <tp>
        <v>0.4129999999999967</v>
        <stp/>
        <stp>##V3_BDPV12</stp>
        <stp>912833LQ Govt</stp>
        <stp>YLD_YTM_BID</stp>
        <stp>[STRIPS.xlsx]Sheet1!R38C4</stp>
        <tr r="D38" s="1"/>
      </tp>
      <tp>
        <v>0.11999999999998678</v>
        <stp/>
        <stp>##V3_BDPV12</stp>
        <stp>912833LJ Govt</stp>
        <stp>YLD_YTM_BID</stp>
        <stp>[STRIPS.xlsx]Sheet1!R18C4</stp>
        <tr r="D18" s="1"/>
      </tp>
      <tp>
        <v>1.3500000000000068</v>
        <stp/>
        <stp>##V3_BDPV12</stp>
        <stp>912833RY Govt</stp>
        <stp>YLD_YTM_BID</stp>
        <stp>[STRIPS.xlsx]Sheet1!R28C4</stp>
        <tr r="D28" s="1"/>
      </tp>
      <tp t="s">
        <v>UNITED STATES</v>
        <stp/>
        <stp>##V3_BDPV12</stp>
        <stp>912834AD Govt</stp>
        <stp>COUNTRY_FULL_NAME</stp>
        <stp>[STRIPS.xlsx]Sheet1!R92C8</stp>
        <tr r="H92" s="1"/>
      </tp>
      <tp>
        <v>2.179999999999982</v>
        <stp/>
        <stp>##V3_BDPV12</stp>
        <stp>912834JH Govt</stp>
        <stp>YLD_YTM_BID</stp>
        <stp>[STRIPS.xlsx]Sheet1!R68C4</stp>
        <tr r="D68" s="1"/>
      </tp>
      <tp>
        <v>2.2499999999999964</v>
        <stp/>
        <stp>##V3_BDPV12</stp>
        <stp>912834NF Govt</stp>
        <stp>YLD_YTM_BID</stp>
        <stp>[STRIPS.xlsx]Sheet1!R58C4</stp>
        <tr r="D58" s="1"/>
      </tp>
      <tp>
        <v>2.1980000000000111</v>
        <stp/>
        <stp>##V3_BDPV12</stp>
        <stp>912834WC Govt</stp>
        <stp>YLD_YTM_BID</stp>
        <stp>[STRIPS.xlsx]Sheet1!R78C4</stp>
        <tr r="D78" s="1"/>
      </tp>
      <tp>
        <v>0.93399999999999039</v>
        <stp/>
        <stp>##V3_BDPV12</stp>
        <stp>912834UL Govt</stp>
        <stp>YLD_YTM_BID</stp>
        <stp>[STRIPS.xlsx]Sheet1!R88C4</stp>
        <tr r="D88" s="1"/>
      </tp>
      <tp>
        <v>2.2619999999999862</v>
        <stp/>
        <stp>##V3_BDPV12</stp>
        <stp>912834TF Govt</stp>
        <stp>YLD_YTM_BID</stp>
        <stp>[STRIPS.xlsx]Sheet1!R98C4</stp>
        <tr r="D98" s="1"/>
      </tp>
      <tp t="s">
        <v>UNITED STATES</v>
        <stp/>
        <stp>##V3_BDPV12</stp>
        <stp>912834DU Govt</stp>
        <stp>COUNTRY_FULL_NAME</stp>
        <stp>[STRIPS.xlsx]Sheet1!R87C8</stp>
        <tr r="H87" s="1"/>
      </tp>
      <tp t="s">
        <v>ZERO</v>
        <stp/>
        <stp>##V3_BDPV12</stp>
        <stp>912834A2 Govt</stp>
        <stp>CPN_TYP</stp>
        <stp>[STRIPS.xlsx]Sheet1!R122C11</stp>
        <tr r="K122" s="1"/>
      </tp>
      <tp t="s">
        <v>ZERO</v>
        <stp/>
        <stp>##V3_BDPV12</stp>
        <stp>912834A3 Govt</stp>
        <stp>CPN_TYP</stp>
        <stp>[STRIPS.xlsx]Sheet1!R119C11</stp>
        <tr r="K119" s="1"/>
      </tp>
      <tp t="s">
        <v>ZERO</v>
        <stp/>
        <stp>##V3_BDPV12</stp>
        <stp>912833A5 Govt</stp>
        <stp>CPN_TYP</stp>
        <stp>[STRIPS.xlsx]Sheet1!R432C11</stp>
        <tr r="K432" s="1"/>
      </tp>
      <tp t="s">
        <v>ZERO</v>
        <stp/>
        <stp>##V3_BDPV12</stp>
        <stp>912833A7 Govt</stp>
        <stp>CPN_TYP</stp>
        <stp>[STRIPS.xlsx]Sheet1!R653C11</stp>
        <tr r="K653" s="1"/>
      </tp>
      <tp t="s">
        <v>ZERO</v>
        <stp/>
        <stp>##V3_BDPV12</stp>
        <stp>912833A6 Govt</stp>
        <stp>CPN_TYP</stp>
        <stp>[STRIPS.xlsx]Sheet1!R652C11</stp>
        <tr r="K652" s="1"/>
      </tp>
      <tp t="s">
        <v>ZERO</v>
        <stp/>
        <stp>##V3_BDPV12</stp>
        <stp>912833A4 Govt</stp>
        <stp>CPN_TYP</stp>
        <stp>[STRIPS.xlsx]Sheet1!R330C11</stp>
        <tr r="K330" s="1"/>
      </tp>
      <tp t="s">
        <v>ZERO</v>
        <stp/>
        <stp>##V3_BDPV12</stp>
        <stp>912833A3 Govt</stp>
        <stp>CPN_TYP</stp>
        <stp>[STRIPS.xlsx]Sheet1!R731C11</stp>
        <tr r="K731" s="1"/>
      </tp>
      <tp t="s">
        <v>ZERO</v>
        <stp/>
        <stp>##V3_BDPV12</stp>
        <stp>912833A2 Govt</stp>
        <stp>CPN_TYP</stp>
        <stp>[STRIPS.xlsx]Sheet1!R608C11</stp>
        <tr r="K608" s="1"/>
      </tp>
      <tp t="s">
        <v>ZERO</v>
        <stp/>
        <stp>##V3_BDPV12</stp>
        <stp>912833A9 Govt</stp>
        <stp>CPN_TYP</stp>
        <stp>[STRIPS.xlsx]Sheet1!R609C11</stp>
        <tr r="K609" s="1"/>
      </tp>
      <tp t="s">
        <v>ZERO</v>
        <stp/>
        <stp>##V3_BDPV12</stp>
        <stp>912833A8 Govt</stp>
        <stp>CPN_TYP</stp>
        <stp>[STRIPS.xlsx]Sheet1!R560C11</stp>
        <tr r="K560" s="1"/>
      </tp>
      <tp t="s">
        <v>ZERO</v>
        <stp/>
        <stp>##V3_BDPV12</stp>
        <stp>912834AQ Govt</stp>
        <stp>CPN_TYP</stp>
        <stp>[STRIPS.xlsx]Sheet1!R260C11</stp>
        <tr r="K260" s="1"/>
      </tp>
      <tp t="s">
        <v>ZERO</v>
        <stp/>
        <stp>##V3_BDPV12</stp>
        <stp>912834AP Govt</stp>
        <stp>CPN_TYP</stp>
        <stp>[STRIPS.xlsx]Sheet1!R386C11</stp>
        <tr r="K386" s="1"/>
      </tp>
      <tp t="s">
        <v>US912834LT36</v>
        <stp/>
        <stp>##V3_BDPV12</stp>
        <stp>912834LT Govt</stp>
        <stp>ID_ISIN</stp>
        <stp>[STRIPS.xlsx]Sheet1!R358C12</stp>
        <tr r="L358" s="1"/>
      </tp>
      <tp t="s">
        <v>US912834LU09</v>
        <stp/>
        <stp>##V3_BDPV12</stp>
        <stp>912834LU Govt</stp>
        <stp>ID_ISIN</stp>
        <stp>[STRIPS.xlsx]Sheet1!R359C12</stp>
        <tr r="L359" s="1"/>
      </tp>
      <tp t="s">
        <v>ZERO</v>
        <stp/>
        <stp>##V3_BDPV12</stp>
        <stp>912834AW Govt</stp>
        <stp>CPN_TYP</stp>
        <stp>[STRIPS.xlsx]Sheet1!R641C11</stp>
        <tr r="K641" s="1"/>
      </tp>
      <tp t="s">
        <v>US912834LQ96</v>
        <stp/>
        <stp>##V3_BDPV12</stp>
        <stp>912834LQ Govt</stp>
        <stp>ID_ISIN</stp>
        <stp>[STRIPS.xlsx]Sheet1!R404C12</stp>
        <tr r="L404" s="1"/>
      </tp>
      <tp t="s">
        <v>US912834LW64</v>
        <stp/>
        <stp>##V3_BDPV12</stp>
        <stp>912834LW Govt</stp>
        <stp>ID_ISIN</stp>
        <stp>[STRIPS.xlsx]Sheet1!R360C12</stp>
        <tr r="L360" s="1"/>
      </tp>
      <tp t="s">
        <v>US912834LP14</v>
        <stp/>
        <stp>##V3_BDPV12</stp>
        <stp>912834LP Govt</stp>
        <stp>ID_ISIN</stp>
        <stp>[STRIPS.xlsx]Sheet1!R474C12</stp>
        <tr r="L474" s="1"/>
      </tp>
      <tp t="s">
        <v>US912834LV81</v>
        <stp/>
        <stp>##V3_BDPV12</stp>
        <stp>912834LV Govt</stp>
        <stp>ID_ISIN</stp>
        <stp>[STRIPS.xlsx]Sheet1!R232C12</stp>
        <tr r="L232" s="1"/>
      </tp>
      <tp t="s">
        <v>US912834LS52</v>
        <stp/>
        <stp>##V3_BDPV12</stp>
        <stp>912834LS Govt</stp>
        <stp>ID_ISIN</stp>
        <stp>[STRIPS.xlsx]Sheet1!R270C12</stp>
        <tr r="L270" s="1"/>
      </tp>
      <tp t="s">
        <v>ZERO</v>
        <stp/>
        <stp>##V3_BDPV12</stp>
        <stp>912834AV Govt</stp>
        <stp>CPN_TYP</stp>
        <stp>[STRIPS.xlsx]Sheet1!R387C11</stp>
        <tr r="K387" s="1"/>
      </tp>
      <tp t="s">
        <v>ZERO</v>
        <stp/>
        <stp>##V3_BDPV12</stp>
        <stp>912834AU Govt</stp>
        <stp>CPN_TYP</stp>
        <stp>[STRIPS.xlsx]Sheet1!R125C11</stp>
        <tr r="K125" s="1"/>
      </tp>
      <tp t="s">
        <v>ZERO</v>
        <stp/>
        <stp>##V3_BDPV12</stp>
        <stp>912834AX Govt</stp>
        <stp>CPN_TYP</stp>
        <stp>[STRIPS.xlsx]Sheet1!R388C11</stp>
        <tr r="K388" s="1"/>
      </tp>
      <tp t="s">
        <v>11/15/1984</v>
        <stp/>
        <stp>##V3_BDPV12</stp>
        <stp>912833FT Govt</stp>
        <stp>ISSUE_DT</stp>
        <stp>[STRIPS.xlsx]Sheet1!R621C15</stp>
        <tr r="O621" s="1"/>
      </tp>
      <tp t="s">
        <v>2/15/1985</v>
        <stp/>
        <stp>##V3_BDPV12</stp>
        <stp>912833CT Govt</stp>
        <stp>ISSUE_DT</stp>
        <stp>[STRIPS.xlsx]Sheet1!R657C15</stp>
        <tr r="O657" s="1"/>
      </tp>
      <tp t="s">
        <v>10/15/1996</v>
        <stp/>
        <stp>##V3_BDPV12</stp>
        <stp>912833MT Govt</stp>
        <stp>ISSUE_DT</stp>
        <stp>[STRIPS.xlsx]Sheet1!R674C15</stp>
        <tr r="O674" s="1"/>
      </tp>
      <tp t="s">
        <v>4/15/2020</v>
        <stp/>
        <stp>##V3_BDPV12</stp>
        <stp>912834VT Govt</stp>
        <stp>ISSUE_DT</stp>
        <stp>[STRIPS.xlsx]Sheet1!R773C15</stp>
        <tr r="O773" s="1"/>
      </tp>
      <tp t="s">
        <v>7/31/2006</v>
        <stp/>
        <stp>##V3_BDPV12</stp>
        <stp>9128336T Govt</stp>
        <stp>ISSUE_DT</stp>
        <stp>[STRIPS.xlsx]Sheet1!R714C15</stp>
        <tr r="O714" s="1"/>
      </tp>
      <tp t="s">
        <v>1/31/2005</v>
        <stp/>
        <stp>##V3_BDPV12</stp>
        <stp>9128333T Govt</stp>
        <stp>ISSUE_DT</stp>
        <stp>[STRIPS.xlsx]Sheet1!R483C15</stp>
        <tr r="O483" s="1"/>
      </tp>
      <tp t="s">
        <v>3/15/2011</v>
        <stp/>
        <stp>##V3_BDPV12</stp>
        <stp>912834JT Govt</stp>
        <stp>ISSUE_DT</stp>
        <stp>[STRIPS.xlsx]Sheet1!R467C15</stp>
        <tr r="O467" s="1"/>
      </tp>
      <tp t="s">
        <v>10/17/2016</v>
        <stp/>
        <stp>##V3_BDPV12</stp>
        <stp>912834QT Govt</stp>
        <stp>ISSUE_DT</stp>
        <stp>[STRIPS.xlsx]Sheet1!R414C15</stp>
        <tr r="O414" s="1"/>
      </tp>
      <tp t="s">
        <v>ZERO</v>
        <stp/>
        <stp>##V3_BDPV12</stp>
        <stp>912834AZ Govt</stp>
        <stp>CPN_TYP</stp>
        <stp>[STRIPS.xlsx]Sheet1!R261C11</stp>
        <tr r="K261" s="1"/>
      </tp>
      <tp t="s">
        <v>US912834LY21</v>
        <stp/>
        <stp>##V3_BDPV12</stp>
        <stp>912834LY Govt</stp>
        <stp>ID_ISIN</stp>
        <stp>[STRIPS.xlsx]Sheet1!R539C12</stp>
        <tr r="L539" s="1"/>
      </tp>
      <tp t="s">
        <v>3/2/1998</v>
        <stp/>
        <stp>##V3_BDPV12</stp>
        <stp>912833RT Govt</stp>
        <stp>ISSUE_DT</stp>
        <stp>[STRIPS.xlsx]Sheet1!R580C15</stp>
        <tr r="O580" s="1"/>
      </tp>
      <tp t="s">
        <v>5/1/2006</v>
        <stp/>
        <stp>##V3_BDPV12</stp>
        <stp>9128335T Govt</stp>
        <stp>ISSUE_DT</stp>
        <stp>[STRIPS.xlsx]Sheet1!R556C15</stp>
        <tr r="O556" s="1"/>
      </tp>
      <tp t="s">
        <v>10/31/1997</v>
        <stp/>
        <stp>##V3_BDPV12</stp>
        <stp>912833PT Govt</stp>
        <stp>ISSUE_DT</stp>
        <stp>[STRIPS.xlsx]Sheet1!R575C15</stp>
        <tr r="O575" s="1"/>
      </tp>
      <tp t="s">
        <v>ZERO</v>
        <stp/>
        <stp>##V3_BDPV12</stp>
        <stp>912834AY Govt</stp>
        <stp>CPN_TYP</stp>
        <stp>[STRIPS.xlsx]Sheet1!R642C11</stp>
        <tr r="K642" s="1"/>
      </tp>
      <tp t="s">
        <v>9/15/2017</v>
        <stp/>
        <stp>##V3_BDPV12</stp>
        <stp>912834RT Govt</stp>
        <stp>ISSUE_DT</stp>
        <stp>[STRIPS.xlsx]Sheet1!R280C15</stp>
        <tr r="O280" s="1"/>
      </tp>
      <tp t="s">
        <v>7/16/2018</v>
        <stp/>
        <stp>##V3_BDPV12</stp>
        <stp>912834TT Govt</stp>
        <stp>ISSUE_DT</stp>
        <stp>[STRIPS.xlsx]Sheet1!R283C15</stp>
        <tr r="O283" s="1"/>
      </tp>
      <tp t="s">
        <v>4/30/2002</v>
        <stp/>
        <stp>##V3_BDPV12</stp>
        <stp>912833YT Govt</stp>
        <stp>ISSUE_DT</stp>
        <stp>[STRIPS.xlsx]Sheet1!R249C15</stp>
        <tr r="O249" s="1"/>
      </tp>
      <tp t="s">
        <v>10/15/2009</v>
        <stp/>
        <stp>##V3_BDPV12</stp>
        <stp>912834ET Govt</stp>
        <stp>ISSUE_DT</stp>
        <stp>[STRIPS.xlsx]Sheet1!R393C15</stp>
        <tr r="O393" s="1"/>
      </tp>
      <tp t="s">
        <v>12/31/1997</v>
        <stp/>
        <stp>##V3_BDPV12</stp>
        <stp>912833QT Govt</stp>
        <stp>ISSUE_DT</stp>
        <stp>[STRIPS.xlsx]Sheet1!R307C15</stp>
        <tr r="O307" s="1"/>
      </tp>
      <tp t="s">
        <v>4/15/2010</v>
        <stp/>
        <stp>##V3_BDPV12</stp>
        <stp>912834HT Govt</stp>
        <stp>ISSUE_DT</stp>
        <stp>[STRIPS.xlsx]Sheet1!R355C15</stp>
        <tr r="O355" s="1"/>
      </tp>
      <tp t="s">
        <v>9/17/2012</v>
        <stp/>
        <stp>##V3_BDPV12</stp>
        <stp>912834LT Govt</stp>
        <stp>ISSUE_DT</stp>
        <stp>[STRIPS.xlsx]Sheet1!R358C15</stp>
        <tr r="O358" s="1"/>
      </tp>
      <tp t="s">
        <v>9/15/2003</v>
        <stp/>
        <stp>##V3_BDPV12</stp>
        <stp>912833ZT Govt</stp>
        <stp>ISSUE_DT</stp>
        <stp>[STRIPS.xlsx]Sheet1!R347C15</stp>
        <tr r="O347" s="1"/>
      </tp>
      <tp t="s">
        <v>10/17/2011</v>
        <stp/>
        <stp>##V3_BDPV12</stp>
        <stp>912834KT Govt</stp>
        <stp>ISSUE_DT</stp>
        <stp>[STRIPS.xlsx]Sheet1!R319C15</stp>
        <tr r="O319" s="1"/>
      </tp>
      <tp t="s">
        <v>US912834LZ95</v>
        <stp/>
        <stp>##V3_BDPV12</stp>
        <stp>912834LZ Govt</stp>
        <stp>ID_ISIN</stp>
        <stp>[STRIPS.xlsx]Sheet1!R325C12</stp>
        <tr r="L325" s="1"/>
      </tp>
      <tp t="s">
        <v>6/17/2019</v>
        <stp/>
        <stp>##V3_BDPV12</stp>
        <stp>912834UT Govt</stp>
        <stp>ISSUE_DT</stp>
        <stp>[STRIPS.xlsx]Sheet1!R184C15</stp>
        <tr r="O184" s="1"/>
      </tp>
      <tp t="s">
        <v>7/15/2014</v>
        <stp/>
        <stp>##V3_BDPV12</stp>
        <stp>912834NT Govt</stp>
        <stp>ISSUE_DT</stp>
        <stp>[STRIPS.xlsx]Sheet1!R174C15</stp>
        <tr r="O174" s="1"/>
      </tp>
      <tp t="s">
        <v>8/15/2007</v>
        <stp/>
        <stp>##V3_BDPV12</stp>
        <stp>9128337T Govt</stp>
        <stp>ISSUE_DT</stp>
        <stp>[STRIPS.xlsx]Sheet1!R121C15</stp>
        <tr r="O121" s="1"/>
      </tp>
      <tp t="s">
        <v>8/15/1985</v>
        <stp/>
        <stp>##V3_BDPV12</stp>
        <stp>912833JT Govt</stp>
        <stp>ISSUE_DT</stp>
        <stp>[STRIPS.xlsx]Sheet1!R156C15</stp>
        <tr r="O156" s="1"/>
      </tp>
      <tp t="s">
        <v>11/15/1988</v>
        <stp/>
        <stp>##V3_BDPV12</stp>
        <stp>912833KT Govt</stp>
        <stp>ISSUE_DT</stp>
        <stp>[STRIPS.xlsx]Sheet1!R161C15</stp>
        <tr r="O161" s="1"/>
      </tp>
      <tp t="s">
        <v>11/16/2015</v>
        <stp/>
        <stp>##V3_BDPV12</stp>
        <stp>912834PT Govt</stp>
        <stp>ISSUE_DT</stp>
        <stp>[STRIPS.xlsx]Sheet1!R106C15</stp>
        <tr r="O106" s="1"/>
      </tp>
      <tp t="s">
        <v>ZERO</v>
        <stp/>
        <stp>##V3_BDPV12</stp>
        <stp>912834AF Govt</stp>
        <stp>CPN_TYP</stp>
        <stp>[STRIPS.xlsx]Sheet1!R456C11</stp>
        <tr r="K456" s="1"/>
      </tp>
      <tp t="s">
        <v>ZERO</v>
        <stp/>
        <stp>##V3_BDPV12</stp>
        <stp>912834AG Govt</stp>
        <stp>CPN_TYP</stp>
        <stp>[STRIPS.xlsx]Sheet1!R590C11</stp>
        <tr r="K590" s="1"/>
      </tp>
      <tp t="s">
        <v>US912833LC28</v>
        <stp/>
        <stp>##V3_BDPV12</stp>
        <stp>912833LC Govt</stp>
        <stp>ID_ISIN</stp>
        <stp>[STRIPS.xlsx]Sheet1!R673C12</stp>
        <tr r="L673" s="1"/>
      </tp>
      <tp t="s">
        <v>US912833LD01</v>
        <stp/>
        <stp>##V3_BDPV12</stp>
        <stp>912833LD Govt</stp>
        <stp>ID_ISIN</stp>
        <stp>[STRIPS.xlsx]Sheet1!R151C12</stp>
        <tr r="L151" s="1"/>
      </tp>
      <tp t="s">
        <v>US912834LF32</v>
        <stp/>
        <stp>##V3_BDPV12</stp>
        <stp>912834LF Govt</stp>
        <stp>ID_ISIN</stp>
        <stp>[STRIPS.xlsx]Sheet1!R320C12</stp>
        <tr r="L320" s="1"/>
      </tp>
      <tp t="s">
        <v>US912834LA45</v>
        <stp/>
        <stp>##V3_BDPV12</stp>
        <stp>912834LA Govt</stp>
        <stp>ID_ISIN</stp>
        <stp>[STRIPS.xlsx]Sheet1!R402C12</stp>
        <tr r="L402" s="1"/>
      </tp>
      <tp t="s">
        <v>ZERO</v>
        <stp/>
        <stp>##V3_BDPV12</stp>
        <stp>912834AB Govt</stp>
        <stp>CPN_TYP</stp>
        <stp>[STRIPS.xlsx]Sheet1!R256C11</stp>
        <tr r="K256" s="1"/>
      </tp>
      <tp t="s">
        <v>ZERO</v>
        <stp/>
        <stp>##V3_BDPV12</stp>
        <stp>912834AC Govt</stp>
        <stp>CPN_TYP</stp>
        <stp>[STRIPS.xlsx]Sheet1!R384C11</stp>
        <tr r="K384" s="1"/>
      </tp>
      <tp t="s">
        <v>US912833LE83</v>
        <stp/>
        <stp>##V3_BDPV12</stp>
        <stp>912833LE Govt</stp>
        <stp>ID_ISIN</stp>
        <stp>[STRIPS.xlsx]Sheet1!R153C12</stp>
        <tr r="L153" s="1"/>
      </tp>
      <tp t="s">
        <v>US912834LG15</v>
        <stp/>
        <stp>##V3_BDPV12</stp>
        <stp>912834LG Govt</stp>
        <stp>ID_ISIN</stp>
        <stp>[STRIPS.xlsx]Sheet1!R321C12</stp>
        <tr r="L321" s="1"/>
      </tp>
      <tp t="s">
        <v>US912833LA61</v>
        <stp/>
        <stp>##V3_BDPV12</stp>
        <stp>912833LA Govt</stp>
        <stp>ID_ISIN</stp>
        <stp>[STRIPS.xlsx]Sheet1!R369C12</stp>
        <tr r="L369" s="1"/>
      </tp>
      <tp t="s">
        <v>US912834LE66</v>
        <stp/>
        <stp>##V3_BDPV12</stp>
        <stp>912834LE Govt</stp>
        <stp>ID_ISIN</stp>
        <stp>[STRIPS.xlsx]Sheet1!R473C12</stp>
        <tr r="L473" s="1"/>
      </tp>
      <tp t="s">
        <v>US912833LB45</v>
        <stp/>
        <stp>##V3_BDPV12</stp>
        <stp>912833LB Govt</stp>
        <stp>ID_ISIN</stp>
        <stp>[STRIPS.xlsx]Sheet1!R332C12</stp>
        <tr r="L332" s="1"/>
      </tp>
      <tp t="s">
        <v>ZERO</v>
        <stp/>
        <stp>##V3_BDPV12</stp>
        <stp>912834AE Govt</stp>
        <stp>CPN_TYP</stp>
        <stp>[STRIPS.xlsx]Sheet1!R118C11</stp>
        <tr r="K118" s="1"/>
      </tp>
      <tp t="s">
        <v>ZERO</v>
        <stp/>
        <stp>##V3_BDPV12</stp>
        <stp>912834AA Govt</stp>
        <stp>CPN_TYP</stp>
        <stp>[STRIPS.xlsx]Sheet1!R589C11</stp>
        <tr r="K589" s="1"/>
      </tp>
      <tp t="s">
        <v>ZERO</v>
        <stp/>
        <stp>##V3_BDPV12</stp>
        <stp>912834AH Govt</stp>
        <stp>CPN_TYP</stp>
        <stp>[STRIPS.xlsx]Sheet1!R385C11</stp>
        <tr r="K385" s="1"/>
      </tp>
      <tp t="s">
        <v>US912834LL00</v>
        <stp/>
        <stp>##V3_BDPV12</stp>
        <stp>912834LL Govt</stp>
        <stp>ID_ISIN</stp>
        <stp>[STRIPS.xlsx]Sheet1!R323C12</stp>
        <tr r="L323" s="1"/>
      </tp>
      <tp t="s">
        <v>US912834LM82</v>
        <stp/>
        <stp>##V3_BDPV12</stp>
        <stp>912834LM Govt</stp>
        <stp>ID_ISIN</stp>
        <stp>[STRIPS.xlsx]Sheet1!R324C12</stp>
        <tr r="L324" s="1"/>
      </tp>
      <tp t="s">
        <v>US912834LJ53</v>
        <stp/>
        <stp>##V3_BDPV12</stp>
        <stp>912834LJ Govt</stp>
        <stp>ID_ISIN</stp>
        <stp>[STRIPS.xlsx]Sheet1!R403C12</stp>
        <tr r="L403" s="1"/>
      </tp>
      <tp t="s">
        <v>ZERO</v>
        <stp/>
        <stp>##V3_BDPV12</stp>
        <stp>912834AK Govt</stp>
        <stp>CPN_TYP</stp>
        <stp>[STRIPS.xlsx]Sheet1!R257C11</stp>
        <tr r="K257" s="1"/>
      </tp>
      <tp t="s">
        <v>ZERO</v>
        <stp/>
        <stp>##V3_BDPV12</stp>
        <stp>912834AM Govt</stp>
        <stp>CPN_TYP</stp>
        <stp>[STRIPS.xlsx]Sheet1!R457C11</stp>
        <tr r="K457" s="1"/>
      </tp>
      <tp t="s">
        <v>US912834LN65</v>
        <stp/>
        <stp>##V3_BDPV12</stp>
        <stp>912834LN Govt</stp>
        <stp>ID_ISIN</stp>
        <stp>[STRIPS.xlsx]Sheet1!R231C12</stp>
        <tr r="L231" s="1"/>
      </tp>
      <tp t="s">
        <v>ZERO</v>
        <stp/>
        <stp>##V3_BDPV12</stp>
        <stp>912834AJ Govt</stp>
        <stp>CPN_TYP</stp>
        <stp>[STRIPS.xlsx]Sheet1!R591C11</stp>
        <tr r="K591" s="1"/>
      </tp>
      <tp t="s">
        <v>US912834LH97</v>
        <stp/>
        <stp>##V3_BDPV12</stp>
        <stp>912834LH Govt</stp>
        <stp>ID_ISIN</stp>
        <stp>[STRIPS.xlsx]Sheet1!R322C12</stp>
        <tr r="L322" s="1"/>
      </tp>
      <tp t="s">
        <v>ZERO</v>
        <stp/>
        <stp>##V3_BDPV12</stp>
        <stp>912834AL Govt</stp>
        <stp>CPN_TYP</stp>
        <stp>[STRIPS.xlsx]Sheet1!R258C11</stp>
        <tr r="K258" s="1"/>
      </tp>
      <tp t="s">
        <v>ZERO</v>
        <stp/>
        <stp>##V3_BDPV12</stp>
        <stp>912834AN Govt</stp>
        <stp>CPN_TYP</stp>
        <stp>[STRIPS.xlsx]Sheet1!R259C11</stp>
        <tr r="K259" s="1"/>
      </tp>
      <tp t="s">
        <v>UNITED STATES</v>
        <stp/>
        <stp>##V3_BDPV12</stp>
        <stp>912834JH Govt</stp>
        <stp>COUNTRY_FULL_NAME</stp>
        <stp>[STRIPS.xlsx]Sheet1!R68C8</stp>
        <tr r="H68" s="1"/>
      </tp>
      <tp>
        <v>1.7459999999999809</v>
        <stp/>
        <stp>##V3_BDPV12</stp>
        <stp>9128337Q Govt</stp>
        <stp>YLD_YTM_BID</stp>
        <stp>[STRIPS.xlsx]Sheet1!R29C4</stp>
        <tr r="D29" s="1"/>
      </tp>
      <tp>
        <v>1.9099999999999895</v>
        <stp/>
        <stp>##V3_BDPV12</stp>
        <stp>9128337W Govt</stp>
        <stp>YLD_YTM_BID</stp>
        <stp>[STRIPS.xlsx]Sheet1!R79C4</stp>
        <tr r="D79" s="1"/>
      </tp>
      <tp>
        <v>1.6659999999999897</v>
        <stp/>
        <stp>##V3_BDPV12</stp>
        <stp>9128337N Govt</stp>
        <stp>YLD_YTM_BID</stp>
        <stp>[STRIPS.xlsx]Sheet1!R49C4</stp>
        <tr r="D49" s="1"/>
      </tp>
      <tp>
        <v>2.010999999999985</v>
        <stp/>
        <stp>##V3_BDPV12</stp>
        <stp>9128337F Govt</stp>
        <stp>YLD_YTM_BID</stp>
        <stp>[STRIPS.xlsx]Sheet1!R99C4</stp>
        <tr r="D99" s="1"/>
      </tp>
      <tp>
        <v>1.8330000000000179</v>
        <stp/>
        <stp>##V3_BDPV12</stp>
        <stp>9128334V Govt</stp>
        <stp>YLD_YTM_BID</stp>
        <stp>[STRIPS.xlsx]Sheet1!R69C4</stp>
        <tr r="D69" s="1"/>
      </tp>
      <tp>
        <v>0.49199999999998134</v>
        <stp/>
        <stp>##V3_BDPV12</stp>
        <stp>912833LR Govt</stp>
        <stp>YLD_YTM_BID</stp>
        <stp>[STRIPS.xlsx]Sheet1!R19C4</stp>
        <tr r="D19" s="1"/>
      </tp>
      <tp>
        <v>0.74499999999999567</v>
        <stp/>
        <stp>##V3_BDPV12</stp>
        <stp>912833LV Govt</stp>
        <stp>YLD_YTM_BID</stp>
        <stp>[STRIPS.xlsx]Sheet1!R39C4</stp>
        <tr r="D39" s="1"/>
      </tp>
      <tp>
        <v>1.9509999999999916</v>
        <stp/>
        <stp>##V3_BDPV12</stp>
        <stp>912833X9 Govt</stp>
        <stp>YLD_YTM_BID</stp>
        <stp>[STRIPS.xlsx]Sheet1!R59C4</stp>
        <tr r="D59" s="1"/>
      </tp>
      <tp>
        <v>2.1939999999999849</v>
        <stp/>
        <stp>##V3_BDPV12</stp>
        <stp>912834WJ Govt</stp>
        <stp>YLD_YTM_BID</stp>
        <stp>[STRIPS.xlsx]Sheet1!R89C4</stp>
        <tr r="D89" s="1"/>
      </tp>
      <tp t="s">
        <v>UNITED STATES</v>
        <stp/>
        <stp>##V3_BDPV12</stp>
        <stp>912834EP Govt</stp>
        <stp>COUNTRY_FULL_NAME</stp>
        <stp>[STRIPS.xlsx]Sheet1!R77C8</stp>
        <tr r="H77" s="1"/>
      </tp>
      <tp t="s">
        <v>US912834VV71</v>
        <stp/>
        <stp>##V3_BDPV12</stp>
        <stp>912834VV Govt</stp>
        <stp>ID_ISIN</stp>
        <stp>[STRIPS.xlsx]Sheet1!R51C12</stp>
        <tr r="L51" s="1"/>
      </tp>
      <tp t="s">
        <v>US912834VM72</v>
        <stp/>
        <stp>##V3_BDPV12</stp>
        <stp>912834VM Govt</stp>
        <stp>ID_ISIN</stp>
        <stp>[STRIPS.xlsx]Sheet1!R81C12</stp>
        <tr r="L81" s="1"/>
      </tp>
      <tp t="s">
        <v>US912834WR50</v>
        <stp/>
        <stp>##V3_BDPV12</stp>
        <stp>912834WR Govt</stp>
        <stp>ID_ISIN</stp>
        <stp>[STRIPS.xlsx]Sheet1!R54C12</stp>
        <tr r="L54" s="1"/>
      </tp>
      <tp t="s">
        <v>US912834WC81</v>
        <stp/>
        <stp>##V3_BDPV12</stp>
        <stp>912834WC Govt</stp>
        <stp>ID_ISIN</stp>
        <stp>[STRIPS.xlsx]Sheet1!R78C12</stp>
        <tr r="L78" s="1"/>
      </tp>
      <tp t="s">
        <v>US912834WJ35</v>
        <stp/>
        <stp>##V3_BDPV12</stp>
        <stp>912834WJ Govt</stp>
        <stp>ID_ISIN</stp>
        <stp>[STRIPS.xlsx]Sheet1!R89C12</stp>
        <tr r="L89" s="1"/>
      </tp>
      <tp t="s">
        <v>US912834TV00</v>
        <stp/>
        <stp>##V3_BDPV12</stp>
        <stp>912834TV Govt</stp>
        <stp>ID_ISIN</stp>
        <stp>[STRIPS.xlsx]Sheet1!R90C12</stp>
        <tr r="L90" s="1"/>
      </tp>
      <tp t="s">
        <v>US912834TF59</v>
        <stp/>
        <stp>##V3_BDPV12</stp>
        <stp>912834TF Govt</stp>
        <stp>ID_ISIN</stp>
        <stp>[STRIPS.xlsx]Sheet1!R98C12</stp>
        <tr r="L98" s="1"/>
      </tp>
      <tp t="s">
        <v>US912834UR78</v>
        <stp/>
        <stp>##V3_BDPV12</stp>
        <stp>912834UR Govt</stp>
        <stp>ID_ISIN</stp>
        <stp>[STRIPS.xlsx]Sheet1!R65C12</stp>
        <tr r="L65" s="1"/>
      </tp>
      <tp t="s">
        <v>US912834UY20</v>
        <stp/>
        <stp>##V3_BDPV12</stp>
        <stp>912834UY Govt</stp>
        <stp>ID_ISIN</stp>
        <stp>[STRIPS.xlsx]Sheet1!R75C12</stp>
        <tr r="L75" s="1"/>
      </tp>
      <tp t="s">
        <v>US912834UQ95</v>
        <stp/>
        <stp>##V3_BDPV12</stp>
        <stp>912834UQ Govt</stp>
        <stp>ID_ISIN</stp>
        <stp>[STRIPS.xlsx]Sheet1!R97C12</stp>
        <tr r="L97" s="1"/>
      </tp>
      <tp t="s">
        <v>US912834UL09</v>
        <stp/>
        <stp>##V3_BDPV12</stp>
        <stp>912834UL Govt</stp>
        <stp>ID_ISIN</stp>
        <stp>[STRIPS.xlsx]Sheet1!R88C12</stp>
        <tr r="L88" s="1"/>
      </tp>
      <tp t="s">
        <v>US912834RR16</v>
        <stp/>
        <stp>##V3_BDPV12</stp>
        <stp>912834RR Govt</stp>
        <stp>ID_ISIN</stp>
        <stp>[STRIPS.xlsx]Sheet1!R86C12</stp>
        <tr r="L86" s="1"/>
      </tp>
      <tp t="s">
        <v>US912834SZ23</v>
        <stp/>
        <stp>##V3_BDPV12</stp>
        <stp>912834SZ Govt</stp>
        <stp>ID_ISIN</stp>
        <stp>[STRIPS.xlsx]Sheet1!R94C12</stp>
        <tr r="L94" s="1"/>
      </tp>
      <tp t="s">
        <v>US912834PM47</v>
        <stp/>
        <stp>##V3_BDPV12</stp>
        <stp>912834PM Govt</stp>
        <stp>ID_ISIN</stp>
        <stp>[STRIPS.xlsx]Sheet1!R84C12</stp>
        <tr r="L84" s="1"/>
      </tp>
      <tp t="s">
        <v>US912834PH51</v>
        <stp/>
        <stp>##V3_BDPV12</stp>
        <stp>912834PH Govt</stp>
        <stp>ID_ISIN</stp>
        <stp>[STRIPS.xlsx]Sheet1!R91C12</stp>
        <tr r="L91" s="1"/>
      </tp>
      <tp t="s">
        <v>US912834PG78</v>
        <stp/>
        <stp>##V3_BDPV12</stp>
        <stp>912834PG Govt</stp>
        <stp>ID_ISIN</stp>
        <stp>[STRIPS.xlsx]Sheet1!R83C12</stp>
        <tr r="L83" s="1"/>
      </tp>
      <tp t="s">
        <v>US912834QH43</v>
        <stp/>
        <stp>##V3_BDPV12</stp>
        <stp>912834QH Govt</stp>
        <stp>ID_ISIN</stp>
        <stp>[STRIPS.xlsx]Sheet1!R96C12</stp>
        <tr r="L96" s="1"/>
      </tp>
      <tp t="s">
        <v>US912834XG86</v>
        <stp/>
        <stp>##V3_BDPV12</stp>
        <stp>912834XG Govt</stp>
        <stp>ID_ISIN</stp>
        <stp>[STRIPS.xlsx]Sheet1!R32C12</stp>
        <tr r="L32" s="1"/>
      </tp>
      <tp t="s">
        <v>US912834DU90</v>
        <stp/>
        <stp>##V3_BDPV12</stp>
        <stp>912834DU Govt</stp>
        <stp>ID_ISIN</stp>
        <stp>[STRIPS.xlsx]Sheet1!R87C12</stp>
        <tr r="L87" s="1"/>
      </tp>
      <tp t="s">
        <v>US912834EP96</v>
        <stp/>
        <stp>##V3_BDPV12</stp>
        <stp>912834EP Govt</stp>
        <stp>ID_ISIN</stp>
        <stp>[STRIPS.xlsx]Sheet1!R77C12</stp>
        <tr r="L77" s="1"/>
      </tp>
      <tp t="s">
        <v>US912834AT54</v>
        <stp/>
        <stp>##V3_BDPV12</stp>
        <stp>912834AT Govt</stp>
        <stp>ID_ISIN</stp>
        <stp>[STRIPS.xlsx]Sheet1!R76C12</stp>
        <tr r="L76" s="1"/>
      </tp>
      <tp t="s">
        <v>US912834AD03</v>
        <stp/>
        <stp>##V3_BDPV12</stp>
        <stp>912834AD Govt</stp>
        <stp>ID_ISIN</stp>
        <stp>[STRIPS.xlsx]Sheet1!R92C12</stp>
        <tr r="L92" s="1"/>
      </tp>
      <tp t="s">
        <v>US912834NF14</v>
        <stp/>
        <stp>##V3_BDPV12</stp>
        <stp>912834NF Govt</stp>
        <stp>ID_ISIN</stp>
        <stp>[STRIPS.xlsx]Sheet1!R58C12</stp>
        <tr r="L58" s="1"/>
      </tp>
      <tp t="s">
        <v>US912834LX48</v>
        <stp/>
        <stp>##V3_BDPV12</stp>
        <stp>912834LX Govt</stp>
        <stp>ID_ISIN</stp>
        <stp>[STRIPS.xlsx]Sheet1!R93C12</stp>
        <tr r="L93" s="1"/>
      </tp>
      <tp t="s">
        <v>US912834LR79</v>
        <stp/>
        <stp>##V3_BDPV12</stp>
        <stp>912834LR Govt</stp>
        <stp>ID_ISIN</stp>
        <stp>[STRIPS.xlsx]Sheet1!R95C12</stp>
        <tr r="L95" s="1"/>
      </tp>
      <tp t="s">
        <v>US912834LB28</v>
        <stp/>
        <stp>##V3_BDPV12</stp>
        <stp>912834LB Govt</stp>
        <stp>ID_ISIN</stp>
        <stp>[STRIPS.xlsx]Sheet1!R73C12</stp>
        <tr r="L73" s="1"/>
      </tp>
      <tp t="s">
        <v>US912834LK27</v>
        <stp/>
        <stp>##V3_BDPV12</stp>
        <stp>912834LK Govt</stp>
        <stp>ID_ISIN</stp>
        <stp>[STRIPS.xlsx]Sheet1!R53C12</stp>
        <tr r="L53" s="1"/>
      </tp>
      <tp t="s">
        <v>US912834MT27</v>
        <stp/>
        <stp>##V3_BDPV12</stp>
        <stp>912834MT Govt</stp>
        <stp>ID_ISIN</stp>
        <stp>[STRIPS.xlsx]Sheet1!R41C12</stp>
        <tr r="L41" s="1"/>
      </tp>
      <tp t="s">
        <v>US912834MZ86</v>
        <stp/>
        <stp>##V3_BDPV12</stp>
        <stp>912834MZ Govt</stp>
        <stp>ID_ISIN</stp>
        <stp>[STRIPS.xlsx]Sheet1!R71C12</stp>
        <tr r="L71" s="1"/>
      </tp>
      <tp t="s">
        <v>US912834MM73</v>
        <stp/>
        <stp>##V3_BDPV12</stp>
        <stp>912834MM Govt</stp>
        <stp>ID_ISIN</stp>
        <stp>[STRIPS.xlsx]Sheet1!R80C12</stp>
        <tr r="L80" s="1"/>
      </tp>
      <tp t="s">
        <v>US912834MD74</v>
        <stp/>
        <stp>##V3_BDPV12</stp>
        <stp>912834MD Govt</stp>
        <stp>ID_ISIN</stp>
        <stp>[STRIPS.xlsx]Sheet1!R72C12</stp>
        <tr r="L72" s="1"/>
      </tp>
      <tp t="s">
        <v>US912834JP42</v>
        <stp/>
        <stp>##V3_BDPV12</stp>
        <stp>912834JP Govt</stp>
        <stp>ID_ISIN</stp>
        <stp>[STRIPS.xlsx]Sheet1!R34C12</stp>
        <tr r="L34" s="1"/>
      </tp>
      <tp t="s">
        <v>US912834JY58</v>
        <stp/>
        <stp>##V3_BDPV12</stp>
        <stp>912834JY Govt</stp>
        <stp>ID_ISIN</stp>
        <stp>[STRIPS.xlsx]Sheet1!R64C12</stp>
        <tr r="L64" s="1"/>
      </tp>
      <tp t="s">
        <v>US912834JH26</v>
        <stp/>
        <stp>##V3_BDPV12</stp>
        <stp>912834JH Govt</stp>
        <stp>ID_ISIN</stp>
        <stp>[STRIPS.xlsx]Sheet1!R68C12</stp>
        <tr r="L68" s="1"/>
      </tp>
      <tp t="s">
        <v>US912834JB55</v>
        <stp/>
        <stp>##V3_BDPV12</stp>
        <stp>912834JB Govt</stp>
        <stp>ID_ISIN</stp>
        <stp>[STRIPS.xlsx]Sheet1!R82C12</stp>
        <tr r="L82" s="1"/>
      </tp>
      <tp t="s">
        <v>US912834KV90</v>
        <stp/>
        <stp>##V3_BDPV12</stp>
        <stp>912834KV Govt</stp>
        <stp>ID_ISIN</stp>
        <stp>[STRIPS.xlsx]Sheet1!R57C12</stp>
        <tr r="L57" s="1"/>
      </tp>
      <tp t="s">
        <v>US912834KH07</v>
        <stp/>
        <stp>##V3_BDPV12</stp>
        <stp>912834KH Govt</stp>
        <stp>ID_ISIN</stp>
        <stp>[STRIPS.xlsx]Sheet1!R56C12</stp>
        <tr r="L56" s="1"/>
      </tp>
      <tp t="s">
        <v>US912834HV38</v>
        <stp/>
        <stp>##V3_BDPV12</stp>
        <stp>912834HV Govt</stp>
        <stp>ID_ISIN</stp>
        <stp>[STRIPS.xlsx]Sheet1!R70C12</stp>
        <tr r="L70" s="1"/>
      </tp>
      <tp t="s">
        <v>US912834MS44</v>
        <stp/>
        <stp>##V3_BDPV12</stp>
        <stp>912834MS Govt</stp>
        <stp>ID_ISIN</stp>
        <stp>[STRIPS.xlsx]Sheet1!R406C12</stp>
        <tr r="L406" s="1"/>
      </tp>
      <tp t="s">
        <v>US912834MP05</v>
        <stp/>
        <stp>##V3_BDPV12</stp>
        <stp>912834MP Govt</stp>
        <stp>ID_ISIN</stp>
        <stp>[STRIPS.xlsx]Sheet1!R542C12</stp>
        <tr r="L542" s="1"/>
      </tp>
      <tp t="s">
        <v>US912833MS60</v>
        <stp/>
        <stp>##V3_BDPV12</stp>
        <stp>912833MS Govt</stp>
        <stp>ID_ISIN</stp>
        <stp>[STRIPS.xlsx]Sheet1!R625C12</stp>
        <tr r="L625" s="1"/>
      </tp>
      <tp t="s">
        <v>US912834MW55</v>
        <stp/>
        <stp>##V3_BDPV12</stp>
        <stp>912834MW Govt</stp>
        <stp>ID_ISIN</stp>
        <stp>[STRIPS.xlsx]Sheet1!R234C12</stp>
        <tr r="L234" s="1"/>
      </tp>
      <tp t="s">
        <v>US912834MQ87</v>
        <stp/>
        <stp>##V3_BDPV12</stp>
        <stp>912834MQ Govt</stp>
        <stp>ID_ISIN</stp>
        <stp>[STRIPS.xlsx]Sheet1!R418C12</stp>
        <tr r="L418" s="1"/>
      </tp>
      <tp t="s">
        <v>US912834MV72</v>
        <stp/>
        <stp>##V3_BDPV12</stp>
        <stp>912834MV Govt</stp>
        <stp>ID_ISIN</stp>
        <stp>[STRIPS.xlsx]Sheet1!R543C12</stp>
        <tr r="L543" s="1"/>
      </tp>
      <tp t="s">
        <v>US912833MQ05</v>
        <stp/>
        <stp>##V3_BDPV12</stp>
        <stp>912833MQ Govt</stp>
        <stp>ID_ISIN</stp>
        <stp>[STRIPS.xlsx]Sheet1!R236C12</stp>
        <tr r="L236" s="1"/>
      </tp>
      <tp t="s">
        <v>US912833MT44</v>
        <stp/>
        <stp>##V3_BDPV12</stp>
        <stp>912833MT Govt</stp>
        <stp>ID_ISIN</stp>
        <stp>[STRIPS.xlsx]Sheet1!R674C12</stp>
        <tr r="L674" s="1"/>
      </tp>
      <tp t="s">
        <v>US912833MP22</v>
        <stp/>
        <stp>##V3_BDPV12</stp>
        <stp>912833MP Govt</stp>
        <stp>ID_ISIN</stp>
        <stp>[STRIPS.xlsx]Sheet1!R235C12</stp>
        <tr r="L235" s="1"/>
      </tp>
      <tp t="s">
        <v>US912833MW72</v>
        <stp/>
        <stp>##V3_BDPV12</stp>
        <stp>912833MW Govt</stp>
        <stp>ID_ISIN</stp>
        <stp>[STRIPS.xlsx]Sheet1!R675C12</stp>
        <tr r="L675" s="1"/>
      </tp>
      <tp t="s">
        <v>US912833MR87</v>
        <stp/>
        <stp>##V3_BDPV12</stp>
        <stp>912833MR Govt</stp>
        <stp>ID_ISIN</stp>
        <stp>[STRIPS.xlsx]Sheet1!R333C12</stp>
        <tr r="L333" s="1"/>
      </tp>
      <tp t="s">
        <v>US912834MU99</v>
        <stp/>
        <stp>##V3_BDPV12</stp>
        <stp>912834MU Govt</stp>
        <stp>ID_ISIN</stp>
        <stp>[STRIPS.xlsx]Sheet1!R419C12</stp>
        <tr r="L419" s="1"/>
      </tp>
      <tp t="s">
        <v>US912834MR60</v>
        <stp/>
        <stp>##V3_BDPV12</stp>
        <stp>912834MR Govt</stp>
        <stp>ID_ISIN</stp>
        <stp>[STRIPS.xlsx]Sheet1!R272C12</stp>
        <tr r="L272" s="1"/>
      </tp>
      <tp t="s">
        <v>US912833MV99</v>
        <stp/>
        <stp>##V3_BDPV12</stp>
        <stp>912833MV Govt</stp>
        <stp>ID_ISIN</stp>
        <stp>[STRIPS.xlsx]Sheet1!R626C12</stp>
        <tr r="L626" s="1"/>
      </tp>
      <tp t="s">
        <v>US912833MU17</v>
        <stp/>
        <stp>##V3_BDPV12</stp>
        <stp>912833MU Govt</stp>
        <stp>ID_ISIN</stp>
        <stp>[STRIPS.xlsx]Sheet1!R515C12</stp>
        <tr r="L515" s="1"/>
      </tp>
      <tp t="s">
        <v>9128335N6</v>
        <stp/>
        <stp>##V3_BDPV12</stp>
        <stp>9128335N Govt</stp>
        <stp>ID_CUSIP</stp>
        <stp>[STRIPS.xlsx]Sheet1!R746C19</stp>
        <tr r="S746" s="1"/>
      </tp>
      <tp t="s">
        <v>9128334N7</v>
        <stp/>
        <stp>##V3_BDPV12</stp>
        <stp>9128334N Govt</stp>
        <stp>ID_CUSIP</stp>
        <stp>[STRIPS.xlsx]Sheet1!R744C19</stp>
        <tr r="S744" s="1"/>
      </tp>
      <tp t="s">
        <v>912833FN5</v>
        <stp/>
        <stp>##V3_BDPV12</stp>
        <stp>912833FN Govt</stp>
        <stp>ID_CUSIP</stp>
        <stp>[STRIPS.xlsx]Sheet1!R738C19</stp>
        <tr r="S738" s="1"/>
      </tp>
      <tp t="s">
        <v>912833CN8</v>
        <stp/>
        <stp>##V3_BDPV12</stp>
        <stp>912833CN Govt</stp>
        <stp>ID_CUSIP</stp>
        <stp>[STRIPS.xlsx]Sheet1!R734C19</stp>
        <tr r="S734" s="1"/>
      </tp>
      <tp t="s">
        <v>12/31/1997</v>
        <stp/>
        <stp>##V3_BDPV12</stp>
        <stp>912833QU Govt</stp>
        <stp>ISSUE_DT</stp>
        <stp>[STRIPS.xlsx]Sheet1!R688C15</stp>
        <tr r="O688" s="1"/>
      </tp>
      <tp t="s">
        <v>10/31/1997</v>
        <stp/>
        <stp>##V3_BDPV12</stp>
        <stp>912833PU Govt</stp>
        <stp>ISSUE_DT</stp>
        <stp>[STRIPS.xlsx]Sheet1!R683C15</stp>
        <tr r="O683" s="1"/>
      </tp>
      <tp t="s">
        <v>7/31/2006</v>
        <stp/>
        <stp>##V3_BDPV12</stp>
        <stp>9128336U Govt</stp>
        <stp>ISSUE_DT</stp>
        <stp>[STRIPS.xlsx]Sheet1!R606C15</stp>
        <tr r="O606" s="1"/>
      </tp>
      <tp t="s">
        <v>3/31/1998</v>
        <stp/>
        <stp>##V3_BDPV12</stp>
        <stp>912833RU Govt</stp>
        <stp>ISSUE_DT</stp>
        <stp>[STRIPS.xlsx]Sheet1!R635C15</stp>
        <tr r="O635" s="1"/>
      </tp>
      <tp t="s">
        <v>912833KN9</v>
        <stp/>
        <stp>##V3_BDPV12</stp>
        <stp>912833KN Govt</stp>
        <stp>ID_CUSIP</stp>
        <stp>[STRIPS.xlsx]Sheet1!R672C19</stp>
        <tr r="S672" s="1"/>
      </tp>
      <tp t="s">
        <v>912833MN7</v>
        <stp/>
        <stp>##V3_BDPV12</stp>
        <stp>912833MN Govt</stp>
        <stp>ID_CUSIP</stp>
        <stp>[STRIPS.xlsx]Sheet1!R624C19</stp>
        <tr r="S624" s="1"/>
      </tp>
      <tp t="s">
        <v>912833ZN3</v>
        <stp/>
        <stp>##V3_BDPV12</stp>
        <stp>912833ZN Govt</stp>
        <stp>ID_CUSIP</stp>
        <stp>[STRIPS.xlsx]Sheet1!R638C19</stp>
        <tr r="S638" s="1"/>
      </tp>
      <tp t="s">
        <v>US912833MX55</v>
        <stp/>
        <stp>##V3_BDPV12</stp>
        <stp>912833MX Govt</stp>
        <stp>ID_ISIN</stp>
        <stp>[STRIPS.xlsx]Sheet1!R627C12</stp>
        <tr r="L627" s="1"/>
      </tp>
      <tp t="s">
        <v>912833PN4</v>
        <stp/>
        <stp>##V3_BDPV12</stp>
        <stp>912833PN Govt</stp>
        <stp>ID_CUSIP</stp>
        <stp>[STRIPS.xlsx]Sheet1!R681C19</stp>
        <tr r="S681" s="1"/>
      </tp>
      <tp t="s">
        <v>2/28/2005</v>
        <stp/>
        <stp>##V3_BDPV12</stp>
        <stp>9128333U Govt</stp>
        <stp>ISSUE_DT</stp>
        <stp>[STRIPS.xlsx]Sheet1!R706C15</stp>
        <tr r="O706" s="1"/>
      </tp>
      <tp t="s">
        <v>5/1/2006</v>
        <stp/>
        <stp>##V3_BDPV12</stp>
        <stp>9128335U Govt</stp>
        <stp>ISSUE_DT</stp>
        <stp>[STRIPS.xlsx]Sheet1!R712C15</stp>
        <tr r="O712" s="1"/>
      </tp>
      <tp t="s">
        <v>4/30/2020</v>
        <stp/>
        <stp>##V3_BDPV12</stp>
        <stp>912834VU Govt</stp>
        <stp>ISSUE_DT</stp>
        <stp>[STRIPS.xlsx]Sheet1!R769C15</stp>
        <tr r="O769" s="1"/>
      </tp>
      <tp t="s">
        <v>10/2/2017</v>
        <stp/>
        <stp>##V3_BDPV12</stp>
        <stp>912834RU Govt</stp>
        <stp>ISSUE_DT</stp>
        <stp>[STRIPS.xlsx]Sheet1!R759C15</stp>
        <tr r="O759" s="1"/>
      </tp>
      <tp t="s">
        <v>7/1/2019</v>
        <stp/>
        <stp>##V3_BDPV12</stp>
        <stp>912834UU Govt</stp>
        <stp>ISSUE_DT</stp>
        <stp>[STRIPS.xlsx]Sheet1!R755C15</stp>
        <tr r="O755" s="1"/>
      </tp>
      <tp t="s">
        <v>7/31/2018</v>
        <stp/>
        <stp>##V3_BDPV12</stp>
        <stp>912834TU Govt</stp>
        <stp>ISSUE_DT</stp>
        <stp>[STRIPS.xlsx]Sheet1!R752C15</stp>
        <tr r="O752" s="1"/>
      </tp>
      <tp t="s">
        <v>912833RN2</v>
        <stp/>
        <stp>##V3_BDPV12</stp>
        <stp>912833RN Govt</stp>
        <stp>ID_CUSIP</stp>
        <stp>[STRIPS.xlsx]Sheet1!R579C19</stp>
        <tr r="S579" s="1"/>
      </tp>
      <tp t="s">
        <v>912833QN3</v>
        <stp/>
        <stp>##V3_BDPV12</stp>
        <stp>912833QN Govt</stp>
        <stp>ID_CUSIP</stp>
        <stp>[STRIPS.xlsx]Sheet1!R577C19</stp>
        <tr r="S577" s="1"/>
      </tp>
      <tp t="s">
        <v>912833NN6</v>
        <stp/>
        <stp>##V3_BDPV12</stp>
        <stp>912833NN Govt</stp>
        <stp>ID_CUSIP</stp>
        <stp>[STRIPS.xlsx]Sheet1!R518C19</stp>
        <tr r="S518" s="1"/>
      </tp>
      <tp t="s">
        <v>2/15/1989</v>
        <stp/>
        <stp>##V3_BDPV12</stp>
        <stp>912833KU Govt</stp>
        <stp>ISSUE_DT</stp>
        <stp>[STRIPS.xlsx]Sheet1!R444C15</stp>
        <tr r="O444" s="1"/>
      </tp>
      <tp t="s">
        <v>9/3/2013</v>
        <stp/>
        <stp>##V3_BDPV12</stp>
        <stp>912834MU Govt</stp>
        <stp>ISSUE_DT</stp>
        <stp>[STRIPS.xlsx]Sheet1!R419C15</stp>
        <tr r="O419" s="1"/>
      </tp>
      <tp t="s">
        <v>10/31/2011</v>
        <stp/>
        <stp>##V3_BDPV12</stp>
        <stp>912834KU Govt</stp>
        <stp>ISSUE_DT</stp>
        <stp>[STRIPS.xlsx]Sheet1!R401C15</stp>
        <tr r="O401" s="1"/>
      </tp>
      <tp t="s">
        <v>912834MN5</v>
        <stp/>
        <stp>##V3_BDPV12</stp>
        <stp>912834MN Govt</stp>
        <stp>ID_CUSIP</stp>
        <stp>[STRIPS.xlsx]Sheet1!R417C19</stp>
        <tr r="S417" s="1"/>
      </tp>
      <tp t="s">
        <v>912834NN4</v>
        <stp/>
        <stp>##V3_BDPV12</stp>
        <stp>912834NN Govt</stp>
        <stp>ID_CUSIP</stp>
        <stp>[STRIPS.xlsx]Sheet1!R421C19</stp>
        <tr r="S421" s="1"/>
      </tp>
      <tp t="s">
        <v>9128333N8</v>
        <stp/>
        <stp>##V3_BDPV12</stp>
        <stp>9128333N Govt</stp>
        <stp>ID_CUSIP</stp>
        <stp>[STRIPS.xlsx]Sheet1!R428C19</stp>
        <tr r="S428" s="1"/>
      </tp>
      <tp t="s">
        <v>912834KN7</v>
        <stp/>
        <stp>##V3_BDPV12</stp>
        <stp>912834KN Govt</stp>
        <stp>ID_CUSIP</stp>
        <stp>[STRIPS.xlsx]Sheet1!R469C19</stp>
        <tr r="S469" s="1"/>
      </tp>
      <tp t="s">
        <v>US912833MY39</v>
        <stp/>
        <stp>##V3_BDPV12</stp>
        <stp>912833MY Govt</stp>
        <stp>ID_ISIN</stp>
        <stp>[STRIPS.xlsx]Sheet1!R569C12</stp>
        <tr r="L569" s="1"/>
      </tp>
      <tp t="s">
        <v>US912833MZ04</v>
        <stp/>
        <stp>##V3_BDPV12</stp>
        <stp>912833MZ Govt</stp>
        <stp>ID_ISIN</stp>
        <stp>[STRIPS.xlsx]Sheet1!R628C12</stp>
        <tr r="L628" s="1"/>
      </tp>
      <tp t="s">
        <v>9128336N5</v>
        <stp/>
        <stp>##V3_BDPV12</stp>
        <stp>9128336N Govt</stp>
        <stp>ID_CUSIP</stp>
        <stp>[STRIPS.xlsx]Sheet1!R497C19</stp>
        <tr r="S497" s="1"/>
      </tp>
      <tp t="s">
        <v>5/31/2002</v>
        <stp/>
        <stp>##V3_BDPV12</stp>
        <stp>912833YU Govt</stp>
        <stp>ISSUE_DT</stp>
        <stp>[STRIPS.xlsx]Sheet1!R586C15</stp>
        <tr r="O586" s="1"/>
      </tp>
      <tp t="s">
        <v>11/15/1984</v>
        <stp/>
        <stp>##V3_BDPV12</stp>
        <stp>912833FU Govt</stp>
        <stp>ISSUE_DT</stp>
        <stp>[STRIPS.xlsx]Sheet1!R509C15</stp>
        <tr r="O509" s="1"/>
      </tp>
      <tp t="s">
        <v>7/15/1996</v>
        <stp/>
        <stp>##V3_BDPV12</stp>
        <stp>912833MU Govt</stp>
        <stp>ISSUE_DT</stp>
        <stp>[STRIPS.xlsx]Sheet1!R515C15</stp>
        <tr r="O515" s="1"/>
      </tp>
      <tp t="s">
        <v>912834EN4</v>
        <stp/>
        <stp>##V3_BDPV12</stp>
        <stp>912834EN Govt</stp>
        <stp>ID_CUSIP</stp>
        <stp>[STRIPS.xlsx]Sheet1!R310C19</stp>
        <tr r="S310" s="1"/>
      </tp>
      <tp t="s">
        <v>912834JN9</v>
        <stp/>
        <stp>##V3_BDPV12</stp>
        <stp>912834JN Govt</stp>
        <stp>ID_CUSIP</stp>
        <stp>[STRIPS.xlsx]Sheet1!R357C19</stp>
        <tr r="S357" s="1"/>
      </tp>
      <tp t="s">
        <v>US912834MX39</v>
        <stp/>
        <stp>##V3_BDPV12</stp>
        <stp>912834MX Govt</stp>
        <stp>ID_ISIN</stp>
        <stp>[STRIPS.xlsx]Sheet1!R327C12</stp>
        <tr r="L327" s="1"/>
      </tp>
      <tp t="s">
        <v>2/15/1985</v>
        <stp/>
        <stp>##V3_BDPV12</stp>
        <stp>912833CU Govt</stp>
        <stp>ISSUE_DT</stp>
        <stp>[STRIPS.xlsx]Sheet1!R299C15</stp>
        <tr r="O299" s="1"/>
      </tp>
      <tp t="s">
        <v>7/31/2014</v>
        <stp/>
        <stp>##V3_BDPV12</stp>
        <stp>912834NU Govt</stp>
        <stp>ISSUE_DT</stp>
        <stp>[STRIPS.xlsx]Sheet1!R274C15</stp>
        <tr r="O274" s="1"/>
      </tp>
      <tp t="s">
        <v>4/30/2010</v>
        <stp/>
        <stp>##V3_BDPV12</stp>
        <stp>912834HU Govt</stp>
        <stp>ISSUE_DT</stp>
        <stp>[STRIPS.xlsx]Sheet1!R225C15</stp>
        <tr r="O225" s="1"/>
      </tp>
      <tp t="s">
        <v>11/30/2015</v>
        <stp/>
        <stp>##V3_BDPV12</stp>
        <stp>912834PU Govt</stp>
        <stp>ISSUE_DT</stp>
        <stp>[STRIPS.xlsx]Sheet1!R212C15</stp>
        <tr r="O212" s="1"/>
      </tp>
      <tp t="s">
        <v>10/31/2016</v>
        <stp/>
        <stp>##V3_BDPV12</stp>
        <stp>912834QU Govt</stp>
        <stp>ISSUE_DT</stp>
        <stp>[STRIPS.xlsx]Sheet1!R201C15</stp>
        <tr r="O201" s="1"/>
      </tp>
      <tp t="s">
        <v>912834UN6</v>
        <stp/>
        <stp>##V3_BDPV12</stp>
        <stp>912834UN Govt</stp>
        <stp>ID_CUSIP</stp>
        <stp>[STRIPS.xlsx]Sheet1!R206C19</stp>
        <tr r="S206" s="1"/>
      </tp>
      <tp t="s">
        <v>912834LN6</v>
        <stp/>
        <stp>##V3_BDPV12</stp>
        <stp>912834LN Govt</stp>
        <stp>ID_CUSIP</stp>
        <stp>[STRIPS.xlsx]Sheet1!R231C19</stp>
        <tr r="S231" s="1"/>
      </tp>
      <tp t="s">
        <v>912834AN8</v>
        <stp/>
        <stp>##V3_BDPV12</stp>
        <stp>912834AN Govt</stp>
        <stp>ID_CUSIP</stp>
        <stp>[STRIPS.xlsx]Sheet1!R259C19</stp>
        <tr r="S259" s="1"/>
      </tp>
      <tp t="s">
        <v>912834BN7</v>
        <stp/>
        <stp>##V3_BDPV12</stp>
        <stp>912834BN Govt</stp>
        <stp>ID_CUSIP</stp>
        <stp>[STRIPS.xlsx]Sheet1!R263C19</stp>
        <tr r="S263" s="1"/>
      </tp>
      <tp t="s">
        <v>US912834MY12</v>
        <stp/>
        <stp>##V3_BDPV12</stp>
        <stp>912834MY Govt</stp>
        <stp>ID_ISIN</stp>
        <stp>[STRIPS.xlsx]Sheet1!R328C12</stp>
        <tr r="L328" s="1"/>
      </tp>
      <tp t="s">
        <v>10/1/2012</v>
        <stp/>
        <stp>##V3_BDPV12</stp>
        <stp>912834LU Govt</stp>
        <stp>ISSUE_DT</stp>
        <stp>[STRIPS.xlsx]Sheet1!R359C15</stp>
        <tr r="O359" s="1"/>
      </tp>
      <tp t="s">
        <v>9/15/2003</v>
        <stp/>
        <stp>##V3_BDPV12</stp>
        <stp>912833ZU Govt</stp>
        <stp>ISSUE_DT</stp>
        <stp>[STRIPS.xlsx]Sheet1!R348C15</stp>
        <tr r="O348" s="1"/>
      </tp>
      <tp t="s">
        <v>11/15/1985</v>
        <stp/>
        <stp>##V3_BDPV12</stp>
        <stp>912833JU Govt</stp>
        <stp>ISSUE_DT</stp>
        <stp>[STRIPS.xlsx]Sheet1!R366C15</stp>
        <tr r="O366" s="1"/>
      </tp>
      <tp t="s">
        <v>912834TN8</v>
        <stp/>
        <stp>##V3_BDPV12</stp>
        <stp>912834TN Govt</stp>
        <stp>ID_CUSIP</stp>
        <stp>[STRIPS.xlsx]Sheet1!R158C19</stp>
        <tr r="S158" s="1"/>
      </tp>
      <tp t="s">
        <v>912834QN1</v>
        <stp/>
        <stp>##V3_BDPV12</stp>
        <stp>912834QN Govt</stp>
        <stp>ID_CUSIP</stp>
        <stp>[STRIPS.xlsx]Sheet1!R179C19</stp>
        <tr r="S179" s="1"/>
      </tp>
      <tp t="s">
        <v>912834PN2</v>
        <stp/>
        <stp>##V3_BDPV12</stp>
        <stp>912834PN Govt</stp>
        <stp>ID_CUSIP</stp>
        <stp>[STRIPS.xlsx]Sheet1!R164C19</stp>
        <tr r="S164" s="1"/>
      </tp>
      <tp t="s">
        <v>912834RN0</v>
        <stp/>
        <stp>##V3_BDPV12</stp>
        <stp>912834RN Govt</stp>
        <stp>ID_CUSIP</stp>
        <stp>[STRIPS.xlsx]Sheet1!R194C19</stp>
        <tr r="S194" s="1"/>
      </tp>
      <tp t="s">
        <v>912834WN4</v>
        <stp/>
        <stp>##V3_BDPV12</stp>
        <stp>912834WN Govt</stp>
        <stp>ID_CUSIP</stp>
        <stp>[STRIPS.xlsx]Sheet1!R191C19</stp>
        <tr r="S191" s="1"/>
      </tp>
      <tp t="s">
        <v>2/15/2006</v>
        <stp/>
        <stp>##V3_BDPV12</stp>
        <stp>9128334U Govt</stp>
        <stp>ISSUE_DT</stp>
        <stp>[STRIPS.xlsx]Sheet1!R102C15</stp>
        <tr r="O102" s="1"/>
      </tp>
      <tp t="s">
        <v>11/2/2009</v>
        <stp/>
        <stp>##V3_BDPV12</stp>
        <stp>912834EU Govt</stp>
        <stp>ISSUE_DT</stp>
        <stp>[STRIPS.xlsx]Sheet1!R175C15</stp>
        <tr r="O175" s="1"/>
      </tp>
      <tp t="s">
        <v>3/1/2021</v>
        <stp/>
        <stp>##V3_BDPV12</stp>
        <stp>912834WU Govt</stp>
        <stp>ISSUE_DT</stp>
        <stp>[STRIPS.xlsx]Sheet1!R166C15</stp>
        <tr r="O166" s="1"/>
      </tp>
      <tp t="s">
        <v>2/17/2009</v>
        <stp/>
        <stp>##V3_BDPV12</stp>
        <stp>912834AU Govt</stp>
        <stp>ISSUE_DT</stp>
        <stp>[STRIPS.xlsx]Sheet1!R125C15</stp>
        <tr r="O125" s="1"/>
      </tp>
      <tp t="s">
        <v>US912834MB19</v>
        <stp/>
        <stp>##V3_BDPV12</stp>
        <stp>912834MB Govt</stp>
        <stp>ID_ISIN</stp>
        <stp>[STRIPS.xlsx]Sheet1!R540C12</stp>
        <tr r="L540" s="1"/>
      </tp>
      <tp t="s">
        <v>US912833MD91</v>
        <stp/>
        <stp>##V3_BDPV12</stp>
        <stp>912833MD Govt</stp>
        <stp>ID_ISIN</stp>
        <stp>[STRIPS.xlsx]Sheet1!R304C12</stp>
        <tr r="L304" s="1"/>
      </tp>
      <tp t="s">
        <v>US912834MC91</v>
        <stp/>
        <stp>##V3_BDPV12</stp>
        <stp>912834MC Govt</stp>
        <stp>ID_ISIN</stp>
        <stp>[STRIPS.xlsx]Sheet1!R541C12</stp>
        <tr r="L541" s="1"/>
      </tp>
      <tp t="s">
        <v>US912834MG06</v>
        <stp/>
        <stp>##V3_BDPV12</stp>
        <stp>912834MG Govt</stp>
        <stp>ID_ISIN</stp>
        <stp>[STRIPS.xlsx]Sheet1!R271C12</stp>
        <tr r="L271" s="1"/>
      </tp>
      <tp t="s">
        <v>US912833MF40</v>
        <stp/>
        <stp>##V3_BDPV12</stp>
        <stp>912833MF Govt</stp>
        <stp>ID_ISIN</stp>
        <stp>[STRIPS.xlsx]Sheet1!R305C12</stp>
        <tr r="L305" s="1"/>
      </tp>
      <tp t="s">
        <v>US912833MG23</v>
        <stp/>
        <stp>##V3_BDPV12</stp>
        <stp>912833MG Govt</stp>
        <stp>ID_ISIN</stp>
        <stp>[STRIPS.xlsx]Sheet1!R514C12</stp>
        <tr r="L514" s="1"/>
      </tp>
      <tp t="s">
        <v>US912833ME74</v>
        <stp/>
        <stp>##V3_BDPV12</stp>
        <stp>912833ME Govt</stp>
        <stp>ID_ISIN</stp>
        <stp>[STRIPS.xlsx]Sheet1!R567C12</stp>
        <tr r="L567" s="1"/>
      </tp>
      <tp t="s">
        <v>US912834MA36</v>
        <stp/>
        <stp>##V3_BDPV12</stp>
        <stp>912834MA Govt</stp>
        <stp>ID_ISIN</stp>
        <stp>[STRIPS.xlsx]Sheet1!R172C12</stp>
        <tr r="L172" s="1"/>
      </tp>
      <tp t="s">
        <v>US912833MK35</v>
        <stp/>
        <stp>##V3_BDPV12</stp>
        <stp>912833MK Govt</stp>
        <stp>ID_ISIN</stp>
        <stp>[STRIPS.xlsx]Sheet1!R445C12</stp>
        <tr r="L445" s="1"/>
      </tp>
      <tp t="s">
        <v>US912834MK18</v>
        <stp/>
        <stp>##V3_BDPV12</stp>
        <stp>912834MK Govt</stp>
        <stp>ID_ISIN</stp>
        <stp>[STRIPS.xlsx]Sheet1!R405C12</stp>
        <tr r="L405" s="1"/>
      </tp>
      <tp t="s">
        <v>US912833MM90</v>
        <stp/>
        <stp>##V3_BDPV12</stp>
        <stp>912833MM Govt</stp>
        <stp>ID_ISIN</stp>
        <stp>[STRIPS.xlsx]Sheet1!R371C12</stp>
        <tr r="L371" s="1"/>
      </tp>
      <tp t="s">
        <v>US912834MH88</v>
        <stp/>
        <stp>##V3_BDPV12</stp>
        <stp>912834MH Govt</stp>
        <stp>ID_ISIN</stp>
        <stp>[STRIPS.xlsx]Sheet1!R326C12</stp>
        <tr r="L326" s="1"/>
      </tp>
      <tp t="s">
        <v>US912833MH06</v>
        <stp/>
        <stp>##V3_BDPV12</stp>
        <stp>912833MH Govt</stp>
        <stp>ID_ISIN</stp>
        <stp>[STRIPS.xlsx]Sheet1!R306C12</stp>
        <tr r="L306" s="1"/>
      </tp>
      <tp t="s">
        <v>US912834MN56</v>
        <stp/>
        <stp>##V3_BDPV12</stp>
        <stp>912834MN Govt</stp>
        <stp>ID_ISIN</stp>
        <stp>[STRIPS.xlsx]Sheet1!R417C12</stp>
        <tr r="L417" s="1"/>
      </tp>
      <tp t="s">
        <v>US912833ML18</v>
        <stp/>
        <stp>##V3_BDPV12</stp>
        <stp>912833ML Govt</stp>
        <stp>ID_ISIN</stp>
        <stp>[STRIPS.xlsx]Sheet1!R568C12</stp>
        <tr r="L568" s="1"/>
      </tp>
      <tp t="s">
        <v>US912833MJ61</v>
        <stp/>
        <stp>##V3_BDPV12</stp>
        <stp>912833MJ Govt</stp>
        <stp>ID_ISIN</stp>
        <stp>[STRIPS.xlsx]Sheet1!R370C12</stp>
        <tr r="L370" s="1"/>
      </tp>
      <tp t="s">
        <v>US912834ML90</v>
        <stp/>
        <stp>##V3_BDPV12</stp>
        <stp>912834ML Govt</stp>
        <stp>ID_ISIN</stp>
        <stp>[STRIPS.xlsx]Sheet1!R475C12</stp>
        <tr r="L475" s="1"/>
      </tp>
      <tp t="s">
        <v>US912833MN73</v>
        <stp/>
        <stp>##V3_BDPV12</stp>
        <stp>912833MN Govt</stp>
        <stp>ID_ISIN</stp>
        <stp>[STRIPS.xlsx]Sheet1!R624C12</stp>
        <tr r="L624" s="1"/>
      </tp>
      <tp t="s">
        <v>US912834MJ45</v>
        <stp/>
        <stp>##V3_BDPV12</stp>
        <stp>912834MJ Govt</stp>
        <stp>ID_ISIN</stp>
        <stp>[STRIPS.xlsx]Sheet1!R233C12</stp>
        <tr r="L233" s="1"/>
      </tp>
      <tp t="s">
        <v>S 0 08/15/35</v>
        <stp/>
        <stp>##V3_BDPV12</stp>
        <stp>9128335A Govt</stp>
        <stp>SECURITY_NAME</stp>
        <stp>[STRIPS.xlsx]Sheet1!R42C16</stp>
        <tr r="P42" s="1"/>
      </tp>
      <tp>
        <v>0</v>
        <stp/>
        <stp>##V3_BDPV12</stp>
        <stp>9128334V Govt</stp>
        <stp>CPN</stp>
        <stp>[STRIPS.xlsx]Sheet1!R69C3</stp>
        <tr r="C69" s="1"/>
      </tp>
      <tp>
        <v>0</v>
        <stp/>
        <stp>##V3_BDPV12</stp>
        <stp>9128337Q Govt</stp>
        <stp>CPN</stp>
        <stp>[STRIPS.xlsx]Sheet1!R29C3</stp>
        <tr r="C29" s="1"/>
      </tp>
      <tp>
        <v>0</v>
        <stp/>
        <stp>##V3_BDPV12</stp>
        <stp>9128337W Govt</stp>
        <stp>CPN</stp>
        <stp>[STRIPS.xlsx]Sheet1!R79C3</stp>
        <tr r="C79" s="1"/>
      </tp>
      <tp>
        <v>0</v>
        <stp/>
        <stp>##V3_BDPV12</stp>
        <stp>9128337N Govt</stp>
        <stp>CPN</stp>
        <stp>[STRIPS.xlsx]Sheet1!R49C3</stp>
        <tr r="C49" s="1"/>
      </tp>
      <tp>
        <v>0</v>
        <stp/>
        <stp>##V3_BDPV12</stp>
        <stp>9128337F Govt</stp>
        <stp>CPN</stp>
        <stp>[STRIPS.xlsx]Sheet1!R99C3</stp>
        <tr r="C99" s="1"/>
      </tp>
      <tp>
        <v>0</v>
        <stp/>
        <stp>##V3_BDPV12</stp>
        <stp>912833LR Govt</stp>
        <stp>CPN</stp>
        <stp>[STRIPS.xlsx]Sheet1!R19C3</stp>
        <tr r="C19" s="1"/>
      </tp>
      <tp>
        <v>0</v>
        <stp/>
        <stp>##V3_BDPV12</stp>
        <stp>912833LV Govt</stp>
        <stp>CPN</stp>
        <stp>[STRIPS.xlsx]Sheet1!R39C3</stp>
        <tr r="C39" s="1"/>
      </tp>
      <tp>
        <v>0</v>
        <stp/>
        <stp>##V3_BDPV12</stp>
        <stp>912833X9 Govt</stp>
        <stp>CPN</stp>
        <stp>[STRIPS.xlsx]Sheet1!R59C3</stp>
        <tr r="C59" s="1"/>
      </tp>
      <tp>
        <v>0</v>
        <stp/>
        <stp>##V3_BDPV12</stp>
        <stp>912834WJ Govt</stp>
        <stp>CPN</stp>
        <stp>[STRIPS.xlsx]Sheet1!R89C3</stp>
        <tr r="C89" s="1"/>
      </tp>
      <tp t="s">
        <v>ZERO</v>
        <stp/>
        <stp>##V3_BDPV12</stp>
        <stp>912833C6 Govt</stp>
        <stp>CPN_TYP</stp>
        <stp>[STRIPS.xlsx]Sheet1!R563C11</stp>
        <tr r="K563" s="1"/>
      </tp>
      <tp t="s">
        <v>ZERO</v>
        <stp/>
        <stp>##V3_BDPV12</stp>
        <stp>912833C4 Govt</stp>
        <stp>CPN_TYP</stp>
        <stp>[STRIPS.xlsx]Sheet1!R612C11</stp>
        <tr r="K612" s="1"/>
      </tp>
      <tp t="s">
        <v>ZERO</v>
        <stp/>
        <stp>##V3_BDPV12</stp>
        <stp>912833C5 Govt</stp>
        <stp>CPN_TYP</stp>
        <stp>[STRIPS.xlsx]Sheet1!R435C11</stp>
        <tr r="K435" s="1"/>
      </tp>
      <tp t="s">
        <v>ZERO</v>
        <stp/>
        <stp>##V3_BDPV12</stp>
        <stp>912833C3 Govt</stp>
        <stp>CPN_TYP</stp>
        <stp>[STRIPS.xlsx]Sheet1!R362C11</stp>
        <tr r="K362" s="1"/>
      </tp>
      <tp t="s">
        <v>ZERO</v>
        <stp/>
        <stp>##V3_BDPV12</stp>
        <stp>912833C7 Govt</stp>
        <stp>CPN_TYP</stp>
        <stp>[STRIPS.xlsx]Sheet1!R294C11</stp>
        <tr r="K294" s="1"/>
      </tp>
      <tp t="s">
        <v>ZERO</v>
        <stp/>
        <stp>##V3_BDPV12</stp>
        <stp>912833C2 Govt</stp>
        <stp>CPN_TYP</stp>
        <stp>[STRIPS.xlsx]Sheet1!R611C11</stp>
        <tr r="K611" s="1"/>
      </tp>
      <tp t="s">
        <v>ZERO</v>
        <stp/>
        <stp>##V3_BDPV12</stp>
        <stp>912833C9 Govt</stp>
        <stp>CPN_TYP</stp>
        <stp>[STRIPS.xlsx]Sheet1!R613C11</stp>
        <tr r="K613" s="1"/>
      </tp>
      <tp t="s">
        <v>US912833NQ95</v>
        <stp/>
        <stp>##V3_BDPV12</stp>
        <stp>912833NQ Govt</stp>
        <stp>ID_ISIN</stp>
        <stp>[STRIPS.xlsx]Sheet1!R677C12</stp>
        <tr r="L677" s="1"/>
      </tp>
      <tp t="s">
        <v>US912833NR78</v>
        <stp/>
        <stp>##V3_BDPV12</stp>
        <stp>912833NR Govt</stp>
        <stp>ID_ISIN</stp>
        <stp>[STRIPS.xlsx]Sheet1!R572C12</stp>
        <tr r="L572" s="1"/>
      </tp>
      <tp t="s">
        <v>US912834NU80</v>
        <stp/>
        <stp>##V3_BDPV12</stp>
        <stp>912834NU Govt</stp>
        <stp>ID_ISIN</stp>
        <stp>[STRIPS.xlsx]Sheet1!R274C12</stp>
        <tr r="L274" s="1"/>
      </tp>
      <tp t="s">
        <v>US912834NV63</v>
        <stp/>
        <stp>##V3_BDPV12</stp>
        <stp>912834NV Govt</stp>
        <stp>ID_ISIN</stp>
        <stp>[STRIPS.xlsx]Sheet1!R115C12</stp>
        <tr r="L115" s="1"/>
      </tp>
      <tp t="s">
        <v>ZERO</v>
        <stp/>
        <stp>##V3_BDPV12</stp>
        <stp>912833CT Govt</stp>
        <stp>CPN_TYP</stp>
        <stp>[STRIPS.xlsx]Sheet1!R657C11</stp>
        <tr r="K657" s="1"/>
      </tp>
      <tp t="s">
        <v>US912834NS35</v>
        <stp/>
        <stp>##V3_BDPV12</stp>
        <stp>912834NS Govt</stp>
        <stp>ID_ISIN</stp>
        <stp>[STRIPS.xlsx]Sheet1!R547C12</stp>
        <tr r="L547" s="1"/>
      </tp>
      <tp t="s">
        <v>US912834NR51</v>
        <stp/>
        <stp>##V3_BDPV12</stp>
        <stp>912834NR Govt</stp>
        <stp>ID_ISIN</stp>
        <stp>[STRIPS.xlsx]Sheet1!R422C12</stp>
        <tr r="L422" s="1"/>
      </tp>
      <tp t="s">
        <v>US912834NT18</v>
        <stp/>
        <stp>##V3_BDPV12</stp>
        <stp>912834NT Govt</stp>
        <stp>ID_ISIN</stp>
        <stp>[STRIPS.xlsx]Sheet1!R174C12</stp>
        <tr r="L174" s="1"/>
      </tp>
      <tp t="s">
        <v>ZERO</v>
        <stp/>
        <stp>##V3_BDPV12</stp>
        <stp>912833CS Govt</stp>
        <stp>CPN_TYP</stp>
        <stp>[STRIPS.xlsx]Sheet1!R298C11</stp>
        <tr r="K298" s="1"/>
      </tp>
      <tp t="s">
        <v>ZERO</v>
        <stp/>
        <stp>##V3_BDPV12</stp>
        <stp>912833CW Govt</stp>
        <stp>CPN_TYP</stp>
        <stp>[STRIPS.xlsx]Sheet1!R735C11</stp>
        <tr r="K735" s="1"/>
      </tp>
      <tp t="s">
        <v>ZERO</v>
        <stp/>
        <stp>##V3_BDPV12</stp>
        <stp>912833CV Govt</stp>
        <stp>CPN_TYP</stp>
        <stp>[STRIPS.xlsx]Sheet1!R658C11</stp>
        <tr r="K658" s="1"/>
      </tp>
      <tp t="s">
        <v>US912834NQ78</v>
        <stp/>
        <stp>##V3_BDPV12</stp>
        <stp>912834NQ Govt</stp>
        <stp>ID_ISIN</stp>
        <stp>[STRIPS.xlsx]Sheet1!R273C12</stp>
        <tr r="L273" s="1"/>
      </tp>
      <tp t="s">
        <v>US912833NP13</v>
        <stp/>
        <stp>##V3_BDPV12</stp>
        <stp>912833NP Govt</stp>
        <stp>ID_ISIN</stp>
        <stp>[STRIPS.xlsx]Sheet1!R373C12</stp>
        <tr r="L373" s="1"/>
      </tp>
      <tp t="s">
        <v>ZERO</v>
        <stp/>
        <stp>##V3_BDPV12</stp>
        <stp>912833CU Govt</stp>
        <stp>CPN_TYP</stp>
        <stp>[STRIPS.xlsx]Sheet1!R299C11</stp>
        <tr r="K299" s="1"/>
      </tp>
      <tp t="s">
        <v>US912834NW47</v>
        <stp/>
        <stp>##V3_BDPV12</stp>
        <stp>912834NW Govt</stp>
        <stp>ID_ISIN</stp>
        <stp>[STRIPS.xlsx]Sheet1!R548C12</stp>
        <tr r="L548" s="1"/>
      </tp>
      <tp t="s">
        <v>ZERO</v>
        <stp/>
        <stp>##V3_BDPV12</stp>
        <stp>912833CQ Govt</stp>
        <stp>CPN_TYP</stp>
        <stp>[STRIPS.xlsx]Sheet1!R438C11</stp>
        <tr r="K438" s="1"/>
      </tp>
      <tp t="s">
        <v>ZERO</v>
        <stp/>
        <stp>##V3_BDPV12</stp>
        <stp>912833CP Govt</stp>
        <stp>CPN_TYP</stp>
        <stp>[STRIPS.xlsx]Sheet1!R564C11</stp>
        <tr r="K564" s="1"/>
      </tp>
      <tp t="s">
        <v>US912834NP95</v>
        <stp/>
        <stp>##V3_BDPV12</stp>
        <stp>912834NP Govt</stp>
        <stp>ID_ISIN</stp>
        <stp>[STRIPS.xlsx]Sheet1!R130C12</stp>
        <tr r="L130" s="1"/>
      </tp>
      <tp t="s">
        <v>ZERO</v>
        <stp/>
        <stp>##V3_BDPV12</stp>
        <stp>912833CR Govt</stp>
        <stp>CPN_TYP</stp>
        <stp>[STRIPS.xlsx]Sheet1!R617C11</stp>
        <tr r="K617" s="1"/>
      </tp>
      <tp t="s">
        <v>9128335M8</v>
        <stp/>
        <stp>##V3_BDPV12</stp>
        <stp>9128335M Govt</stp>
        <stp>ID_CUSIP</stp>
        <stp>[STRIPS.xlsx]Sheet1!R710C19</stp>
        <tr r="S710" s="1"/>
      </tp>
      <tp t="s">
        <v>10/15/1996</v>
        <stp/>
        <stp>##V3_BDPV12</stp>
        <stp>912833MV Govt</stp>
        <stp>ISSUE_DT</stp>
        <stp>[STRIPS.xlsx]Sheet1!R626C15</stp>
        <tr r="O626" s="1"/>
      </tp>
      <tp t="s">
        <v>2/15/1985</v>
        <stp/>
        <stp>##V3_BDPV12</stp>
        <stp>912833CV Govt</stp>
        <stp>ISSUE_DT</stp>
        <stp>[STRIPS.xlsx]Sheet1!R658C15</stp>
        <tr r="O658" s="1"/>
      </tp>
      <tp t="s">
        <v>11/15/1985</v>
        <stp/>
        <stp>##V3_BDPV12</stp>
        <stp>912833JV Govt</stp>
        <stp>ISSUE_DT</stp>
        <stp>[STRIPS.xlsx]Sheet1!R668C15</stp>
        <tr r="O668" s="1"/>
      </tp>
      <tp t="s">
        <v>912833CM0</v>
        <stp/>
        <stp>##V3_BDPV12</stp>
        <stp>912833CM Govt</stp>
        <stp>ID_CUSIP</stp>
        <stp>[STRIPS.xlsx]Sheet1!R656C19</stp>
        <tr r="S656" s="1"/>
      </tp>
      <tp t="s">
        <v>ZERO</v>
        <stp/>
        <stp>##V3_BDPV12</stp>
        <stp>912833CY Govt</stp>
        <stp>CPN_TYP</stp>
        <stp>[STRIPS.xlsx]Sheet1!R363C11</stp>
        <tr r="K363" s="1"/>
      </tp>
      <tp t="s">
        <v>912833FM7</v>
        <stp/>
        <stp>##V3_BDPV12</stp>
        <stp>912833FM Govt</stp>
        <stp>ID_CUSIP</stp>
        <stp>[STRIPS.xlsx]Sheet1!R619C19</stp>
        <tr r="S619" s="1"/>
      </tp>
      <tp t="s">
        <v>912833ZM5</v>
        <stp/>
        <stp>##V3_BDPV12</stp>
        <stp>912833ZM Govt</stp>
        <stp>ID_CUSIP</stp>
        <stp>[STRIPS.xlsx]Sheet1!R699C19</stp>
        <tr r="S699" s="1"/>
      </tp>
      <tp t="s">
        <v>7/31/2006</v>
        <stp/>
        <stp>##V3_BDPV12</stp>
        <stp>9128336V Govt</stp>
        <stp>ISSUE_DT</stp>
        <stp>[STRIPS.xlsx]Sheet1!R715C15</stp>
        <tr r="O715" s="1"/>
      </tp>
      <tp t="s">
        <v>5/1/2006</v>
        <stp/>
        <stp>##V3_BDPV12</stp>
        <stp>9128335V Govt</stp>
        <stp>ISSUE_DT</stp>
        <stp>[STRIPS.xlsx]Sheet1!R724C15</stp>
        <tr r="O724" s="1"/>
      </tp>
      <tp t="s">
        <v>5/15/1990</v>
        <stp/>
        <stp>##V3_BDPV12</stp>
        <stp>912833KV Govt</stp>
        <stp>ISSUE_DT</stp>
        <stp>[STRIPS.xlsx]Sheet1!R742C15</stp>
        <tr r="O742" s="1"/>
      </tp>
      <tp t="s">
        <v>9128336M7</v>
        <stp/>
        <stp>##V3_BDPV12</stp>
        <stp>9128336M Govt</stp>
        <stp>ID_CUSIP</stp>
        <stp>[STRIPS.xlsx]Sheet1!R558C19</stp>
        <tr r="S558" s="1"/>
      </tp>
      <tp t="s">
        <v>9128337M6</v>
        <stp/>
        <stp>##V3_BDPV12</stp>
        <stp>9128337M Govt</stp>
        <stp>ID_CUSIP</stp>
        <stp>[STRIPS.xlsx]Sheet1!R559C19</stp>
        <tr r="S559" s="1"/>
      </tp>
      <tp t="s">
        <v>912833QM5</v>
        <stp/>
        <stp>##V3_BDPV12</stp>
        <stp>912833QM Govt</stp>
        <stp>ID_CUSIP</stp>
        <stp>[STRIPS.xlsx]Sheet1!R520C19</stp>
        <tr r="S520" s="1"/>
      </tp>
      <tp t="s">
        <v>912833NM8</v>
        <stp/>
        <stp>##V3_BDPV12</stp>
        <stp>912833NM Govt</stp>
        <stp>ID_CUSIP</stp>
        <stp>[STRIPS.xlsx]Sheet1!R517C19</stp>
        <tr r="S517" s="1"/>
      </tp>
      <tp t="s">
        <v>9128333M0</v>
        <stp/>
        <stp>##V3_BDPV12</stp>
        <stp>9128333M Govt</stp>
        <stp>ID_CUSIP</stp>
        <stp>[STRIPS.xlsx]Sheet1!R599C19</stp>
        <tr r="S599" s="1"/>
      </tp>
      <tp t="s">
        <v>3/15/2005</v>
        <stp/>
        <stp>##V3_BDPV12</stp>
        <stp>9128333V Govt</stp>
        <stp>ISSUE_DT</stp>
        <stp>[STRIPS.xlsx]Sheet1!R484C15</stp>
        <tr r="O484" s="1"/>
      </tp>
      <tp t="s">
        <v>10/16/2017</v>
        <stp/>
        <stp>##V3_BDPV12</stp>
        <stp>912834RV Govt</stp>
        <stp>ISSUE_DT</stp>
        <stp>[STRIPS.xlsx]Sheet1!R482C15</stp>
        <tr r="O482" s="1"/>
      </tp>
      <tp t="s">
        <v>12/15/2015</v>
        <stp/>
        <stp>##V3_BDPV12</stp>
        <stp>912834PV Govt</stp>
        <stp>ISSUE_DT</stp>
        <stp>[STRIPS.xlsx]Sheet1!R479C15</stp>
        <tr r="O479" s="1"/>
      </tp>
      <tp t="s">
        <v>ZERO</v>
        <stp/>
        <stp>##V3_BDPV12</stp>
        <stp>912833CZ Govt</stp>
        <stp>CPN_TYP</stp>
        <stp>[STRIPS.xlsx]Sheet1!R220C11</stp>
        <tr r="K220" s="1"/>
      </tp>
      <tp t="s">
        <v>912834QM3</v>
        <stp/>
        <stp>##V3_BDPV12</stp>
        <stp>912834QM Govt</stp>
        <stp>ID_CUSIP</stp>
        <stp>[STRIPS.xlsx]Sheet1!R413C19</stp>
        <tr r="S413" s="1"/>
      </tp>
      <tp t="s">
        <v>912834RM2</v>
        <stp/>
        <stp>##V3_BDPV12</stp>
        <stp>912834RM Govt</stp>
        <stp>ID_CUSIP</stp>
        <stp>[STRIPS.xlsx]Sheet1!R415C19</stp>
        <tr r="S415" s="1"/>
      </tp>
      <tp t="s">
        <v>912834NM6</v>
        <stp/>
        <stp>##V3_BDPV12</stp>
        <stp>912834NM Govt</stp>
        <stp>ID_CUSIP</stp>
        <stp>[STRIPS.xlsx]Sheet1!R409C19</stp>
        <tr r="S409" s="1"/>
      </tp>
      <tp t="s">
        <v>912822RM7</v>
        <stp/>
        <stp>##V3_BDPV12</stp>
        <stp>912833RM Govt</stp>
        <stp>ID_CUSIP</stp>
        <stp>[STRIPS.xlsx]Sheet1!R448C19</stp>
        <tr r="S448" s="1"/>
      </tp>
      <tp t="s">
        <v>912833YM6</v>
        <stp/>
        <stp>##V3_BDPV12</stp>
        <stp>912833YM Govt</stp>
        <stp>ID_CUSIP</stp>
        <stp>[STRIPS.xlsx]Sheet1!R452C19</stp>
        <tr r="S452" s="1"/>
      </tp>
      <tp t="s">
        <v>912834AM0</v>
        <stp/>
        <stp>##V3_BDPV12</stp>
        <stp>912834AM Govt</stp>
        <stp>ID_CUSIP</stp>
        <stp>[STRIPS.xlsx]Sheet1!R457C19</stp>
        <tr r="S457" s="1"/>
      </tp>
      <tp t="s">
        <v>912834EM6</v>
        <stp/>
        <stp>##V3_BDPV12</stp>
        <stp>912834EM Govt</stp>
        <stp>ID_CUSIP</stp>
        <stp>[STRIPS.xlsx]Sheet1!R463C19</stp>
        <tr r="S463" s="1"/>
      </tp>
      <tp t="s">
        <v>9128334M9</v>
        <stp/>
        <stp>##V3_BDPV12</stp>
        <stp>9128334M Govt</stp>
        <stp>ID_CUSIP</stp>
        <stp>[STRIPS.xlsx]Sheet1!R491C19</stp>
        <tr r="S491" s="1"/>
      </tp>
      <tp t="s">
        <v>US912834NX20</v>
        <stp/>
        <stp>##V3_BDPV12</stp>
        <stp>912834NX Govt</stp>
        <stp>ID_ISIN</stp>
        <stp>[STRIPS.xlsx]Sheet1!R410C12</stp>
        <tr r="L410" s="1"/>
      </tp>
      <tp t="s">
        <v>4/30/1998</v>
        <stp/>
        <stp>##V3_BDPV12</stp>
        <stp>912833RV Govt</stp>
        <stp>ISSUE_DT</stp>
        <stp>[STRIPS.xlsx]Sheet1!R581C15</stp>
        <tr r="O581" s="1"/>
      </tp>
      <tp t="s">
        <v>11/15/1984</v>
        <stp/>
        <stp>##V3_BDPV12</stp>
        <stp>912833FV Govt</stp>
        <stp>ISSUE_DT</stp>
        <stp>[STRIPS.xlsx]Sheet1!R510C15</stp>
        <tr r="O510" s="1"/>
      </tp>
      <tp t="s">
        <v>9/16/2013</v>
        <stp/>
        <stp>##V3_BDPV12</stp>
        <stp>912834MV Govt</stp>
        <stp>ISSUE_DT</stp>
        <stp>[STRIPS.xlsx]Sheet1!R543C15</stp>
        <tr r="O543" s="1"/>
      </tp>
      <tp t="s">
        <v>912833MM9</v>
        <stp/>
        <stp>##V3_BDPV12</stp>
        <stp>912833MM Govt</stp>
        <stp>ID_CUSIP</stp>
        <stp>[STRIPS.xlsx]Sheet1!R371C19</stp>
        <tr r="S371" s="1"/>
      </tp>
      <tp t="s">
        <v>912834LM8</v>
        <stp/>
        <stp>##V3_BDPV12</stp>
        <stp>912834LM Govt</stp>
        <stp>ID_CUSIP</stp>
        <stp>[STRIPS.xlsx]Sheet1!R324C19</stp>
        <tr r="S324" s="1"/>
      </tp>
      <tp t="s">
        <v>912834BM9</v>
        <stp/>
        <stp>##V3_BDPV12</stp>
        <stp>912834BM Govt</stp>
        <stp>ID_CUSIP</stp>
        <stp>[STRIPS.xlsx]Sheet1!R353C19</stp>
        <tr r="S353" s="1"/>
      </tp>
      <tp t="s">
        <v>912833KM1</v>
        <stp/>
        <stp>##V3_BDPV12</stp>
        <stp>912833KM Govt</stp>
        <stp>ID_CUSIP</stp>
        <stp>[STRIPS.xlsx]Sheet1!R303C19</stp>
        <tr r="S303" s="1"/>
      </tp>
      <tp t="s">
        <v>912834JM1</v>
        <stp/>
        <stp>##V3_BDPV12</stp>
        <stp>912834JM Govt</stp>
        <stp>ID_CUSIP</stp>
        <stp>[STRIPS.xlsx]Sheet1!R397C19</stp>
        <tr r="S397" s="1"/>
      </tp>
      <tp t="s">
        <v>912834KM9</v>
        <stp/>
        <stp>##V3_BDPV12</stp>
        <stp>912834KM Govt</stp>
        <stp>ID_CUSIP</stp>
        <stp>[STRIPS.xlsx]Sheet1!R399C19</stp>
        <tr r="S399" s="1"/>
      </tp>
      <tp t="s">
        <v>12/31/1997</v>
        <stp/>
        <stp>##V3_BDPV12</stp>
        <stp>912833QV Govt</stp>
        <stp>ISSUE_DT</stp>
        <stp>[STRIPS.xlsx]Sheet1!R242C15</stp>
        <tr r="O242" s="1"/>
      </tp>
      <tp t="s">
        <v>10/15/2012</v>
        <stp/>
        <stp>##V3_BDPV12</stp>
        <stp>912834LV Govt</stp>
        <stp>ISSUE_DT</stp>
        <stp>[STRIPS.xlsx]Sheet1!R232C15</stp>
        <tr r="O232" s="1"/>
      </tp>
      <tp t="s">
        <v>7/1/2002</v>
        <stp/>
        <stp>##V3_BDPV12</stp>
        <stp>912833YV Govt</stp>
        <stp>ISSUE_DT</stp>
        <stp>[STRIPS.xlsx]Sheet1!R250C15</stp>
        <tr r="O250" s="1"/>
      </tp>
      <tp t="s">
        <v>9/15/2003</v>
        <stp/>
        <stp>##V3_BDPV12</stp>
        <stp>912833ZV Govt</stp>
        <stp>ISSUE_DT</stp>
        <stp>[STRIPS.xlsx]Sheet1!R254C15</stp>
        <tr r="O254" s="1"/>
      </tp>
      <tp t="s">
        <v>7/15/2019</v>
        <stp/>
        <stp>##V3_BDPV12</stp>
        <stp>912834UV Govt</stp>
        <stp>ISSUE_DT</stp>
        <stp>[STRIPS.xlsx]Sheet1!R208C15</stp>
        <tr r="O208" s="1"/>
      </tp>
      <tp t="s">
        <v>912833PM6</v>
        <stp/>
        <stp>##V3_BDPV12</stp>
        <stp>912833PM Govt</stp>
        <stp>ID_CUSIP</stp>
        <stp>[STRIPS.xlsx]Sheet1!R238C19</stp>
        <tr r="S238" s="1"/>
      </tp>
      <tp t="s">
        <v>912834TM0</v>
        <stp/>
        <stp>##V3_BDPV12</stp>
        <stp>912834TM Govt</stp>
        <stp>ID_CUSIP</stp>
        <stp>[STRIPS.xlsx]Sheet1!R282C19</stp>
        <tr r="S282" s="1"/>
      </tp>
      <tp t="s">
        <v>3/2/2009</v>
        <stp/>
        <stp>##V3_BDPV12</stp>
        <stp>912834AV Govt</stp>
        <stp>ISSUE_DT</stp>
        <stp>[STRIPS.xlsx]Sheet1!R387C15</stp>
        <tr r="O387" s="1"/>
      </tp>
      <tp t="s">
        <v>10/31/1997</v>
        <stp/>
        <stp>##V3_BDPV12</stp>
        <stp>912833PV Govt</stp>
        <stp>ISSUE_DT</stp>
        <stp>[STRIPS.xlsx]Sheet1!R338C15</stp>
        <tr r="O338" s="1"/>
      </tp>
      <tp t="s">
        <v>ZERO</v>
        <stp/>
        <stp>##V3_BDPV12</stp>
        <stp>912833CX Govt</stp>
        <stp>CPN_TYP</stp>
        <stp>[STRIPS.xlsx]Sheet1!R503C11</stp>
        <tr r="K503" s="1"/>
      </tp>
      <tp t="s">
        <v>912834WM6</v>
        <stp/>
        <stp>##V3_BDPV12</stp>
        <stp>912834WM Govt</stp>
        <stp>ID_CUSIP</stp>
        <stp>[STRIPS.xlsx]Sheet1!R188C19</stp>
        <tr r="S188" s="1"/>
      </tp>
      <tp t="s">
        <v>912834UM8</v>
        <stp/>
        <stp>##V3_BDPV12</stp>
        <stp>912834UM Govt</stp>
        <stp>ID_CUSIP</stp>
        <stp>[STRIPS.xlsx]Sheet1!R180C19</stp>
        <tr r="S180" s="1"/>
      </tp>
      <tp t="s">
        <v>US912834NZ77</v>
        <stp/>
        <stp>##V3_BDPV12</stp>
        <stp>912834NZ Govt</stp>
        <stp>ID_ISIN</stp>
        <stp>[STRIPS.xlsx]Sheet1!R275C12</stp>
        <tr r="L275" s="1"/>
      </tp>
      <tp t="s">
        <v>US912834NY03</v>
        <stp/>
        <stp>##V3_BDPV12</stp>
        <stp>912834NY Govt</stp>
        <stp>ID_ISIN</stp>
        <stp>[STRIPS.xlsx]Sheet1!R143C12</stp>
        <tr r="L143" s="1"/>
      </tp>
      <tp t="s">
        <v>8/15/2007</v>
        <stp/>
        <stp>##V3_BDPV12</stp>
        <stp>9128337V Govt</stp>
        <stp>ISSUE_DT</stp>
        <stp>[STRIPS.xlsx]Sheet1!R100C15</stp>
        <tr r="O100" s="1"/>
      </tp>
      <tp t="s">
        <v>3/15/2021</v>
        <stp/>
        <stp>##V3_BDPV12</stp>
        <stp>912834WV Govt</stp>
        <stp>ISSUE_DT</stp>
        <stp>[STRIPS.xlsx]Sheet1!R129C15</stp>
        <tr r="O129" s="1"/>
      </tp>
      <tp t="s">
        <v>5/15/2009</v>
        <stp/>
        <stp>##V3_BDPV12</stp>
        <stp>912834DV Govt</stp>
        <stp>ISSUE_DT</stp>
        <stp>[STRIPS.xlsx]Sheet1!R127C15</stp>
        <tr r="O127" s="1"/>
      </tp>
      <tp t="s">
        <v>8/15/2014</v>
        <stp/>
        <stp>##V3_BDPV12</stp>
        <stp>912834NV Govt</stp>
        <stp>ISSUE_DT</stp>
        <stp>[STRIPS.xlsx]Sheet1!R115C15</stp>
        <tr r="O115" s="1"/>
      </tp>
      <tp t="s">
        <v>11/15/2016</v>
        <stp/>
        <stp>##V3_BDPV12</stp>
        <stp>912834QV Govt</stp>
        <stp>ISSUE_DT</stp>
        <stp>[STRIPS.xlsx]Sheet1!R104C15</stp>
        <tr r="O104" s="1"/>
      </tp>
      <tp t="s">
        <v>11/16/2009</v>
        <stp/>
        <stp>##V3_BDPV12</stp>
        <stp>912834EV Govt</stp>
        <stp>ISSUE_DT</stp>
        <stp>[STRIPS.xlsx]Sheet1!R101C15</stp>
        <tr r="O101" s="1"/>
      </tp>
      <tp t="s">
        <v>US912834NB00</v>
        <stp/>
        <stp>##V3_BDPV12</stp>
        <stp>912834NB Govt</stp>
        <stp>ID_ISIN</stp>
        <stp>[STRIPS.xlsx]Sheet1!R544C12</stp>
        <tr r="L544" s="1"/>
      </tp>
      <tp t="s">
        <v>US912834NC82</v>
        <stp/>
        <stp>##V3_BDPV12</stp>
        <stp>912834NC Govt</stp>
        <stp>ID_ISIN</stp>
        <stp>[STRIPS.xlsx]Sheet1!R407C12</stp>
        <tr r="L407" s="1"/>
      </tp>
      <tp t="s">
        <v>US912833NC00</v>
        <stp/>
        <stp>##V3_BDPV12</stp>
        <stp>912833NC Govt</stp>
        <stp>ID_ISIN</stp>
        <stp>[STRIPS.xlsx]Sheet1!R570C12</stp>
        <tr r="L570" s="1"/>
      </tp>
      <tp t="s">
        <v>ZERO</v>
        <stp/>
        <stp>##V3_BDPV12</stp>
        <stp>912833CE Govt</stp>
        <stp>CPN_TYP</stp>
        <stp>[STRIPS.xlsx]Sheet1!R437C11</stp>
        <tr r="K437" s="1"/>
      </tp>
      <tp t="s">
        <v>US912834NA27</v>
        <stp/>
        <stp>##V3_BDPV12</stp>
        <stp>912834NA Govt</stp>
        <stp>ID_ISIN</stp>
        <stp>[STRIPS.xlsx]Sheet1!R476C12</stp>
        <tr r="L476" s="1"/>
      </tp>
      <tp t="s">
        <v>US912833NA44</v>
        <stp/>
        <stp>##V3_BDPV12</stp>
        <stp>912833NA Govt</stp>
        <stp>ID_ISIN</stp>
        <stp>[STRIPS.xlsx]Sheet1!R446C12</stp>
        <tr r="L446" s="1"/>
      </tp>
      <tp t="s">
        <v>ZERO</v>
        <stp/>
        <stp>##V3_BDPV12</stp>
        <stp>912833CF Govt</stp>
        <stp>CPN_TYP</stp>
        <stp>[STRIPS.xlsx]Sheet1!R655C11</stp>
        <tr r="K655" s="1"/>
      </tp>
      <tp t="s">
        <v>US912833NB27</v>
        <stp/>
        <stp>##V3_BDPV12</stp>
        <stp>912833NB Govt</stp>
        <stp>ID_ISIN</stp>
        <stp>[STRIPS.xlsx]Sheet1!R629C12</stp>
        <tr r="L629" s="1"/>
      </tp>
      <tp t="s">
        <v>ZERO</v>
        <stp/>
        <stp>##V3_BDPV12</stp>
        <stp>912833CC Govt</stp>
        <stp>CPN_TYP</stp>
        <stp>[STRIPS.xlsx]Sheet1!R436C11</stp>
        <tr r="K436" s="1"/>
      </tp>
      <tp t="s">
        <v>US912833ND82</v>
        <stp/>
        <stp>##V3_BDPV12</stp>
        <stp>912833ND Govt</stp>
        <stp>ID_ISIN</stp>
        <stp>[STRIPS.xlsx]Sheet1!R676C12</stp>
        <tr r="L676" s="1"/>
      </tp>
      <tp t="s">
        <v>US912833NF31</v>
        <stp/>
        <stp>##V3_BDPV12</stp>
        <stp>912833NF Govt</stp>
        <stp>ID_ISIN</stp>
        <stp>[STRIPS.xlsx]Sheet1!R447C12</stp>
        <tr r="L447" s="1"/>
      </tp>
      <tp t="s">
        <v>ZERO</v>
        <stp/>
        <stp>##V3_BDPV12</stp>
        <stp>912833CD Govt</stp>
        <stp>CPN_TYP</stp>
        <stp>[STRIPS.xlsx]Sheet1!R295C11</stp>
        <tr r="K295" s="1"/>
      </tp>
      <tp t="s">
        <v>US912833NG14</v>
        <stp/>
        <stp>##V3_BDPV12</stp>
        <stp>912833NG Govt</stp>
        <stp>ID_ISIN</stp>
        <stp>[STRIPS.xlsx]Sheet1!R516C12</stp>
        <tr r="L516" s="1"/>
      </tp>
      <tp t="s">
        <v>US912834ND65</v>
        <stp/>
        <stp>##V3_BDPV12</stp>
        <stp>912834ND Govt</stp>
        <stp>ID_ISIN</stp>
        <stp>[STRIPS.xlsx]Sheet1!R545C12</stp>
        <tr r="L545" s="1"/>
      </tp>
      <tp t="s">
        <v>ZERO</v>
        <stp/>
        <stp>##V3_BDPV12</stp>
        <stp>912833CG Govt</stp>
        <stp>CPN_TYP</stp>
        <stp>[STRIPS.xlsx]Sheet1!R296C11</stp>
        <tr r="K296" s="1"/>
      </tp>
      <tp t="s">
        <v>ZERO</v>
        <stp/>
        <stp>##V3_BDPV12</stp>
        <stp>912833CA Govt</stp>
        <stp>CPN_TYP</stp>
        <stp>[STRIPS.xlsx]Sheet1!R502C11</stp>
        <tr r="K502" s="1"/>
      </tp>
      <tp t="s">
        <v>ZERO</v>
        <stp/>
        <stp>##V3_BDPV12</stp>
        <stp>912833CB Govt</stp>
        <stp>CPN_TYP</stp>
        <stp>[STRIPS.xlsx]Sheet1!R614C11</stp>
        <tr r="K614" s="1"/>
      </tp>
      <tp t="s">
        <v>US912833NE65</v>
        <stp/>
        <stp>##V3_BDPV12</stp>
        <stp>912833NE Govt</stp>
        <stp>ID_ISIN</stp>
        <stp>[STRIPS.xlsx]Sheet1!R571C12</stp>
        <tr r="L571" s="1"/>
      </tp>
      <tp t="s">
        <v>US912834NE49</v>
        <stp/>
        <stp>##V3_BDPV12</stp>
        <stp>912834NE Govt</stp>
        <stp>ID_ISIN</stp>
        <stp>[STRIPS.xlsx]Sheet1!R546C12</stp>
        <tr r="L546" s="1"/>
      </tp>
      <tp t="s">
        <v>ZERO</v>
        <stp/>
        <stp>##V3_BDPV12</stp>
        <stp>912833CM Govt</stp>
        <stp>CPN_TYP</stp>
        <stp>[STRIPS.xlsx]Sheet1!R656C11</stp>
        <tr r="K656" s="1"/>
      </tp>
      <tp t="s">
        <v>US912834NK09</v>
        <stp/>
        <stp>##V3_BDPV12</stp>
        <stp>912834NK Govt</stp>
        <stp>ID_ISIN</stp>
        <stp>[STRIPS.xlsx]Sheet1!R477C12</stp>
        <tr r="L477" s="1"/>
      </tp>
      <tp t="s">
        <v>US912833NL09</v>
        <stp/>
        <stp>##V3_BDPV12</stp>
        <stp>912833NL Govt</stp>
        <stp>ID_ISIN</stp>
        <stp>[STRIPS.xlsx]Sheet1!R335C12</stp>
        <tr r="L335" s="1"/>
      </tp>
      <tp t="s">
        <v>ZERO</v>
        <stp/>
        <stp>##V3_BDPV12</stp>
        <stp>912833CL Govt</stp>
        <stp>CPN_TYP</stp>
        <stp>[STRIPS.xlsx]Sheet1!R616C11</stp>
        <tr r="K616" s="1"/>
      </tp>
      <tp t="s">
        <v>US912834NJ36</v>
        <stp/>
        <stp>##V3_BDPV12</stp>
        <stp>912834NJ Govt</stp>
        <stp>ID_ISIN</stp>
        <stp>[STRIPS.xlsx]Sheet1!R420C12</stp>
        <tr r="L420" s="1"/>
      </tp>
      <tp t="s">
        <v>ZERO</v>
        <stp/>
        <stp>##V3_BDPV12</stp>
        <stp>912833CN Govt</stp>
        <stp>CPN_TYP</stp>
        <stp>[STRIPS.xlsx]Sheet1!R734C11</stp>
        <tr r="K734" s="1"/>
      </tp>
      <tp t="s">
        <v>ZERO</v>
        <stp/>
        <stp>##V3_BDPV12</stp>
        <stp>912833CJ Govt</stp>
        <stp>CPN_TYP</stp>
        <stp>[STRIPS.xlsx]Sheet1!R297C11</stp>
        <tr r="K297" s="1"/>
      </tp>
      <tp t="s">
        <v>US912833NN64</v>
        <stp/>
        <stp>##V3_BDPV12</stp>
        <stp>912833NN Govt</stp>
        <stp>ID_ISIN</stp>
        <stp>[STRIPS.xlsx]Sheet1!R518C12</stp>
        <tr r="L518" s="1"/>
      </tp>
      <tp t="s">
        <v>ZERO</v>
        <stp/>
        <stp>##V3_BDPV12</stp>
        <stp>912833CH Govt</stp>
        <stp>CPN_TYP</stp>
        <stp>[STRIPS.xlsx]Sheet1!R615C11</stp>
        <tr r="K615" s="1"/>
      </tp>
      <tp t="s">
        <v>US912834NN48</v>
        <stp/>
        <stp>##V3_BDPV12</stp>
        <stp>912834NN Govt</stp>
        <stp>ID_ISIN</stp>
        <stp>[STRIPS.xlsx]Sheet1!R421C12</stp>
        <tr r="L421" s="1"/>
      </tp>
      <tp t="s">
        <v>US912833NH96</v>
        <stp/>
        <stp>##V3_BDPV12</stp>
        <stp>912833NH Govt</stp>
        <stp>ID_ISIN</stp>
        <stp>[STRIPS.xlsx]Sheet1!R237C12</stp>
        <tr r="L237" s="1"/>
      </tp>
      <tp t="s">
        <v>US912833NJ52</v>
        <stp/>
        <stp>##V3_BDPV12</stp>
        <stp>912833NJ Govt</stp>
        <stp>ID_ISIN</stp>
        <stp>[STRIPS.xlsx]Sheet1!R334C12</stp>
        <tr r="L334" s="1"/>
      </tp>
      <tp t="s">
        <v>US912834NM64</v>
        <stp/>
        <stp>##V3_BDPV12</stp>
        <stp>912834NM Govt</stp>
        <stp>ID_ISIN</stp>
        <stp>[STRIPS.xlsx]Sheet1!R409C12</stp>
        <tr r="L409" s="1"/>
      </tp>
      <tp t="s">
        <v>ZERO</v>
        <stp/>
        <stp>##V3_BDPV12</stp>
        <stp>912833CK Govt</stp>
        <stp>CPN_TYP</stp>
        <stp>[STRIPS.xlsx]Sheet1!R733C11</stp>
        <tr r="K733" s="1"/>
      </tp>
      <tp t="s">
        <v>US912833NK26</v>
        <stp/>
        <stp>##V3_BDPV12</stp>
        <stp>912833NK Govt</stp>
        <stp>ID_ISIN</stp>
        <stp>[STRIPS.xlsx]Sheet1!R372C12</stp>
        <tr r="L372" s="1"/>
      </tp>
      <tp t="s">
        <v>US912834NL81</v>
        <stp/>
        <stp>##V3_BDPV12</stp>
        <stp>912834NL Govt</stp>
        <stp>ID_ISIN</stp>
        <stp>[STRIPS.xlsx]Sheet1!R408C12</stp>
        <tr r="L408" s="1"/>
      </tp>
      <tp t="s">
        <v>US912833NM81</v>
        <stp/>
        <stp>##V3_BDPV12</stp>
        <stp>912833NM Govt</stp>
        <stp>ID_ISIN</stp>
        <stp>[STRIPS.xlsx]Sheet1!R517C12</stp>
        <tr r="L517" s="1"/>
      </tp>
      <tp t="s">
        <v>S 0 08/15/40</v>
        <stp/>
        <stp>##V3_BDPV12</stp>
        <stp>912834JB Govt</stp>
        <stp>SECURITY_NAME</stp>
        <stp>[STRIPS.xlsx]Sheet1!R82C16</stp>
        <tr r="P82" s="1"/>
      </tp>
      <tp t="s">
        <v>S 0 11/15/27</v>
        <stp/>
        <stp>##V3_BDPV12</stp>
        <stp>912833QB Govt</stp>
        <stp>SECURITY_NAME</stp>
        <stp>[STRIPS.xlsx]Sheet1!R20C16</stp>
        <tr r="P20" s="1"/>
      </tp>
      <tp t="s">
        <v>S 0 02/15/42</v>
        <stp/>
        <stp>##V3_BDPV12</stp>
        <stp>912834LB Govt</stp>
        <stp>SECURITY_NAME</stp>
        <stp>[STRIPS.xlsx]Sheet1!R73C16</stp>
        <tr r="P73" s="1"/>
      </tp>
      <tp t="s">
        <v>S 0 02/15/36</v>
        <stp/>
        <stp>##V3_BDPV12</stp>
        <stp>9128335B Govt</stp>
        <stp>SECURITY_NAME</stp>
        <stp>[STRIPS.xlsx]Sheet1!R43C16</stp>
        <tr r="P43" s="1"/>
      </tp>
      <tp>
        <v>0</v>
        <stp/>
        <stp>##V3_BDPV12</stp>
        <stp>9128334T Govt</stp>
        <stp>CPN</stp>
        <stp>[STRIPS.xlsx]Sheet1!R48C3</stp>
        <tr r="C48" s="1"/>
      </tp>
      <tp>
        <v>0</v>
        <stp/>
        <stp>##V3_BDPV12</stp>
        <stp>912833LQ Govt</stp>
        <stp>CPN</stp>
        <stp>[STRIPS.xlsx]Sheet1!R38C3</stp>
        <tr r="C38" s="1"/>
      </tp>
      <tp>
        <v>0</v>
        <stp/>
        <stp>##V3_BDPV12</stp>
        <stp>912833LJ Govt</stp>
        <stp>CPN</stp>
        <stp>[STRIPS.xlsx]Sheet1!R18C3</stp>
        <tr r="C18" s="1"/>
      </tp>
      <tp>
        <v>0</v>
        <stp/>
        <stp>##V3_BDPV12</stp>
        <stp>912833RY Govt</stp>
        <stp>CPN</stp>
        <stp>[STRIPS.xlsx]Sheet1!R28C3</stp>
        <tr r="C28" s="1"/>
      </tp>
      <tp>
        <v>0</v>
        <stp/>
        <stp>##V3_BDPV12</stp>
        <stp>912834NF Govt</stp>
        <stp>CPN</stp>
        <stp>[STRIPS.xlsx]Sheet1!R58C3</stp>
        <tr r="C58" s="1"/>
      </tp>
      <tp>
        <v>0</v>
        <stp/>
        <stp>##V3_BDPV12</stp>
        <stp>912834JH Govt</stp>
        <stp>CPN</stp>
        <stp>[STRIPS.xlsx]Sheet1!R68C3</stp>
        <tr r="C68" s="1"/>
      </tp>
      <tp>
        <v>0</v>
        <stp/>
        <stp>##V3_BDPV12</stp>
        <stp>912834UL Govt</stp>
        <stp>CPN</stp>
        <stp>[STRIPS.xlsx]Sheet1!R88C3</stp>
        <tr r="C88" s="1"/>
      </tp>
      <tp>
        <v>0</v>
        <stp/>
        <stp>##V3_BDPV12</stp>
        <stp>912834TF Govt</stp>
        <stp>CPN</stp>
        <stp>[STRIPS.xlsx]Sheet1!R98C3</stp>
        <tr r="C98" s="1"/>
      </tp>
      <tp>
        <v>0</v>
        <stp/>
        <stp>##V3_BDPV12</stp>
        <stp>912834WC Govt</stp>
        <stp>CPN</stp>
        <stp>[STRIPS.xlsx]Sheet1!R78C3</stp>
        <tr r="C78" s="1"/>
      </tp>
      <tp t="s">
        <v>ZERO</v>
        <stp/>
        <stp>##V3_BDPV12</stp>
        <stp>912833B7 Govt</stp>
        <stp>CPN_TYP</stp>
        <stp>[STRIPS.xlsx]Sheet1!R433C11</stp>
        <tr r="K433" s="1"/>
      </tp>
      <tp t="s">
        <v>ZERO</v>
        <stp/>
        <stp>##V3_BDPV12</stp>
        <stp>912833B6 Govt</stp>
        <stp>CPN_TYP</stp>
        <stp>[STRIPS.xlsx]Sheet1!R500C11</stp>
        <tr r="K500" s="1"/>
      </tp>
      <tp t="s">
        <v>ZERO</v>
        <stp/>
        <stp>##V3_BDPV12</stp>
        <stp>912833B4 Govt</stp>
        <stp>CPN_TYP</stp>
        <stp>[STRIPS.xlsx]Sheet1!R654C11</stp>
        <tr r="K654" s="1"/>
      </tp>
      <tp t="s">
        <v>ZERO</v>
        <stp/>
        <stp>##V3_BDPV12</stp>
        <stp>912833B2 Govt</stp>
        <stp>CPN_TYP</stp>
        <stp>[STRIPS.xlsx]Sheet1!R561C11</stp>
        <tr r="K561" s="1"/>
      </tp>
      <tp t="s">
        <v>ZERO</v>
        <stp/>
        <stp>##V3_BDPV12</stp>
        <stp>912833B5 Govt</stp>
        <stp>CPN_TYP</stp>
        <stp>[STRIPS.xlsx]Sheet1!R331C11</stp>
        <tr r="K331" s="1"/>
      </tp>
      <tp t="s">
        <v>ZERO</v>
        <stp/>
        <stp>##V3_BDPV12</stp>
        <stp>912833B3 Govt</stp>
        <stp>CPN_TYP</stp>
        <stp>[STRIPS.xlsx]Sheet1!R732C11</stp>
        <tr r="K732" s="1"/>
      </tp>
      <tp t="s">
        <v>ZERO</v>
        <stp/>
        <stp>##V3_BDPV12</stp>
        <stp>912833B8 Govt</stp>
        <stp>CPN_TYP</stp>
        <stp>[STRIPS.xlsx]Sheet1!R293C11</stp>
        <tr r="K293" s="1"/>
      </tp>
      <tp t="s">
        <v>ZERO</v>
        <stp/>
        <stp>##V3_BDPV12</stp>
        <stp>912833B9 Govt</stp>
        <stp>CPN_TYP</stp>
        <stp>[STRIPS.xlsx]Sheet1!R434C11</stp>
        <tr r="K434" s="1"/>
      </tp>
      <tp t="s">
        <v>ZERO</v>
        <stp/>
        <stp>##V3_BDPV12</stp>
        <stp>912834BP Govt</stp>
        <stp>CPN_TYP</stp>
        <stp>[STRIPS.xlsx]Sheet1!R389C11</stp>
        <tr r="K389" s="1"/>
      </tp>
      <tp t="s">
        <v>ZERO</v>
        <stp/>
        <stp>##V3_BDPV12</stp>
        <stp>912833BW Govt</stp>
        <stp>CPN_TYP</stp>
        <stp>[STRIPS.xlsx]Sheet1!R610C11</stp>
        <tr r="K610" s="1"/>
      </tp>
      <tp t="s">
        <v>ZERO</v>
        <stp/>
        <stp>##V3_BDPV12</stp>
        <stp>912834BR Govt</stp>
        <stp>CPN_TYP</stp>
        <stp>[STRIPS.xlsx]Sheet1!R531C11</stp>
        <tr r="K531" s="1"/>
      </tp>
      <tp t="s">
        <v>ZERO</v>
        <stp/>
        <stp>##V3_BDPV12</stp>
        <stp>912834BQ Govt</stp>
        <stp>CPN_TYP</stp>
        <stp>[STRIPS.xlsx]Sheet1!R459C11</stp>
        <tr r="K459" s="1"/>
      </tp>
      <tp t="s">
        <v>ZERO</v>
        <stp/>
        <stp>##V3_BDPV12</stp>
        <stp>912833BX Govt</stp>
        <stp>CPN_TYP</stp>
        <stp>[STRIPS.xlsx]Sheet1!R361C11</stp>
        <tr r="K361" s="1"/>
      </tp>
      <tp t="s">
        <v>912834WL8</v>
        <stp/>
        <stp>##V3_BDPV12</stp>
        <stp>912834WL Govt</stp>
        <stp>ID_CUSIP</stp>
        <stp>[STRIPS.xlsx]Sheet1!R768C19</stp>
        <tr r="S768" s="1"/>
      </tp>
      <tp t="s">
        <v>8/31/2006</v>
        <stp/>
        <stp>##V3_BDPV12</stp>
        <stp>9128336W Govt</stp>
        <stp>ISSUE_DT</stp>
        <stp>[STRIPS.xlsx]Sheet1!R607C15</stp>
        <tr r="O607" s="1"/>
      </tp>
      <tp t="s">
        <v>2/15/1985</v>
        <stp/>
        <stp>##V3_BDPV12</stp>
        <stp>912833BW Govt</stp>
        <stp>ISSUE_DT</stp>
        <stp>[STRIPS.xlsx]Sheet1!R610C15</stp>
        <tr r="O610" s="1"/>
      </tp>
      <tp t="s">
        <v>3/2/2009</v>
        <stp/>
        <stp>##V3_BDPV12</stp>
        <stp>912834AW Govt</stp>
        <stp>ISSUE_DT</stp>
        <stp>[STRIPS.xlsx]Sheet1!R641C15</stp>
        <tr r="O641" s="1"/>
      </tp>
      <tp t="s">
        <v>9/15/2003</v>
        <stp/>
        <stp>##V3_BDPV12</stp>
        <stp>912833ZW Govt</stp>
        <stp>ISSUE_DT</stp>
        <stp>[STRIPS.xlsx]Sheet1!R640C15</stp>
        <tr r="O640" s="1"/>
      </tp>
      <tp t="s">
        <v>7/15/1996</v>
        <stp/>
        <stp>##V3_BDPV12</stp>
        <stp>912833MW Govt</stp>
        <stp>ISSUE_DT</stp>
        <stp>[STRIPS.xlsx]Sheet1!R675C15</stp>
        <tr r="O675" s="1"/>
      </tp>
      <tp t="s">
        <v>912833FL9</v>
        <stp/>
        <stp>##V3_BDPV12</stp>
        <stp>912833FL Govt</stp>
        <stp>ID_CUSIP</stp>
        <stp>[STRIPS.xlsx]Sheet1!R663C19</stp>
        <tr r="S663" s="1"/>
      </tp>
      <tp t="s">
        <v>9128337L8</v>
        <stp/>
        <stp>##V3_BDPV12</stp>
        <stp>9128337L Govt</stp>
        <stp>ID_CUSIP</stp>
        <stp>[STRIPS.xlsx]Sheet1!R651C19</stp>
        <tr r="S651" s="1"/>
      </tp>
      <tp t="s">
        <v>912833QL7</v>
        <stp/>
        <stp>##V3_BDPV12</stp>
        <stp>912833QL Govt</stp>
        <stp>ID_CUSIP</stp>
        <stp>[STRIPS.xlsx]Sheet1!R631C19</stp>
        <tr r="S631" s="1"/>
      </tp>
      <tp t="s">
        <v>912833CL2</v>
        <stp/>
        <stp>##V3_BDPV12</stp>
        <stp>912833CL Govt</stp>
        <stp>ID_CUSIP</stp>
        <stp>[STRIPS.xlsx]Sheet1!R616C19</stp>
        <tr r="S616" s="1"/>
      </tp>
      <tp t="s">
        <v>8/31/2018</v>
        <stp/>
        <stp>##V3_BDPV12</stp>
        <stp>912834TW Govt</stp>
        <stp>ISSUE_DT</stp>
        <stp>[STRIPS.xlsx]Sheet1!R760C15</stp>
        <tr r="O760" s="1"/>
      </tp>
      <tp t="s">
        <v>5/1/2006</v>
        <stp/>
        <stp>##V3_BDPV12</stp>
        <stp>9128335W Govt</stp>
        <stp>ISSUE_DT</stp>
        <stp>[STRIPS.xlsx]Sheet1!R725C15</stp>
        <tr r="O725" s="1"/>
      </tp>
      <tp t="s">
        <v>10/31/2017</v>
        <stp/>
        <stp>##V3_BDPV12</stp>
        <stp>912834RW Govt</stp>
        <stp>ISSUE_DT</stp>
        <stp>[STRIPS.xlsx]Sheet1!R753C15</stp>
        <tr r="O753" s="1"/>
      </tp>
      <tp t="s">
        <v>11/15/1984</v>
        <stp/>
        <stp>##V3_BDPV12</stp>
        <stp>912833FW Govt</stp>
        <stp>ISSUE_DT</stp>
        <stp>[STRIPS.xlsx]Sheet1!R739C15</stp>
        <tr r="O739" s="1"/>
      </tp>
      <tp t="s">
        <v>2/15/1985</v>
        <stp/>
        <stp>##V3_BDPV12</stp>
        <stp>912833CW Govt</stp>
        <stp>ISSUE_DT</stp>
        <stp>[STRIPS.xlsx]Sheet1!R735C15</stp>
        <tr r="O735" s="1"/>
      </tp>
      <tp t="s">
        <v>11/15/1985</v>
        <stp/>
        <stp>##V3_BDPV12</stp>
        <stp>912833JW Govt</stp>
        <stp>ISSUE_DT</stp>
        <stp>[STRIPS.xlsx]Sheet1!R740C15</stp>
        <tr r="O740" s="1"/>
      </tp>
      <tp t="s">
        <v>912833ML1</v>
        <stp/>
        <stp>##V3_BDPV12</stp>
        <stp>912833ML Govt</stp>
        <stp>ID_CUSIP</stp>
        <stp>[STRIPS.xlsx]Sheet1!R568C19</stp>
        <tr r="S568" s="1"/>
      </tp>
      <tp t="s">
        <v>912834JL3</v>
        <stp/>
        <stp>##V3_BDPV12</stp>
        <stp>912834JL Govt</stp>
        <stp>ID_CUSIP</stp>
        <stp>[STRIPS.xlsx]Sheet1!R538C19</stp>
        <tr r="S538" s="1"/>
      </tp>
      <tp t="s">
        <v>9128333L2</v>
        <stp/>
        <stp>##V3_BDPV12</stp>
        <stp>9128333L Govt</stp>
        <stp>ID_CUSIP</stp>
        <stp>[STRIPS.xlsx]Sheet1!R552C19</stp>
        <tr r="S552" s="1"/>
      </tp>
      <tp t="s">
        <v>9128336L9</v>
        <stp/>
        <stp>##V3_BDPV12</stp>
        <stp>9128336L Govt</stp>
        <stp>ID_CUSIP</stp>
        <stp>[STRIPS.xlsx]Sheet1!R557C19</stp>
        <tr r="S557" s="1"/>
      </tp>
      <tp t="s">
        <v>912833RL6</v>
        <stp/>
        <stp>##V3_BDPV12</stp>
        <stp>912833RL Govt</stp>
        <stp>ID_CUSIP</stp>
        <stp>[STRIPS.xlsx]Sheet1!R523C19</stp>
        <tr r="S523" s="1"/>
      </tp>
      <tp t="s">
        <v>3/31/2005</v>
        <stp/>
        <stp>##V3_BDPV12</stp>
        <stp>9128333W Govt</stp>
        <stp>ISSUE_DT</stp>
        <stp>[STRIPS.xlsx]Sheet1!R485C15</stp>
        <tr r="O485" s="1"/>
      </tp>
      <tp t="s">
        <v>11/30/2011</v>
        <stp/>
        <stp>##V3_BDPV12</stp>
        <stp>912834KW Govt</stp>
        <stp>ISSUE_DT</stp>
        <stp>[STRIPS.xlsx]Sheet1!R470C15</stp>
        <tr r="O470" s="1"/>
      </tp>
      <tp t="s">
        <v>912834NL8</v>
        <stp/>
        <stp>##V3_BDPV12</stp>
        <stp>912834NL Govt</stp>
        <stp>ID_CUSIP</stp>
        <stp>[STRIPS.xlsx]Sheet1!R408C19</stp>
        <tr r="S408" s="1"/>
      </tp>
      <tp t="s">
        <v>912834ML9</v>
        <stp/>
        <stp>##V3_BDPV12</stp>
        <stp>912834ML Govt</stp>
        <stp>ID_CUSIP</stp>
        <stp>[STRIPS.xlsx]Sheet1!R475C19</stp>
        <tr r="S475" s="1"/>
      </tp>
      <tp t="s">
        <v>912834KL1</v>
        <stp/>
        <stp>##V3_BDPV12</stp>
        <stp>912834KL Govt</stp>
        <stp>ID_CUSIP</stp>
        <stp>[STRIPS.xlsx]Sheet1!R468C19</stp>
        <tr r="S468" s="1"/>
      </tp>
      <tp t="s">
        <v>912834EL8</v>
        <stp/>
        <stp>##V3_BDPV12</stp>
        <stp>912834EL Govt</stp>
        <stp>ID_CUSIP</stp>
        <stp>[STRIPS.xlsx]Sheet1!R462C19</stp>
        <tr r="S462" s="1"/>
      </tp>
      <tp t="s">
        <v>8/31/2014</v>
        <stp/>
        <stp>##V3_BDPV12</stp>
        <stp>912834NW Govt</stp>
        <stp>ISSUE_DT</stp>
        <stp>[STRIPS.xlsx]Sheet1!R548C15</stp>
        <tr r="O548" s="1"/>
      </tp>
      <tp t="s">
        <v>6/1/2010</v>
        <stp/>
        <stp>##V3_BDPV12</stp>
        <stp>912834HW Govt</stp>
        <stp>ISSUE_DT</stp>
        <stp>[STRIPS.xlsx]Sheet1!R536C15</stp>
        <tr r="O536" s="1"/>
      </tp>
      <tp t="s">
        <v>912833PL8</v>
        <stp/>
        <stp>##V3_BDPV12</stp>
        <stp>912833PL Govt</stp>
        <stp>ID_CUSIP</stp>
        <stp>[STRIPS.xlsx]Sheet1!R374C19</stp>
        <tr r="S374" s="1"/>
      </tp>
      <tp t="s">
        <v>912833YL8</v>
        <stp/>
        <stp>##V3_BDPV12</stp>
        <stp>912833YL Govt</stp>
        <stp>ID_CUSIP</stp>
        <stp>[STRIPS.xlsx]Sheet1!R343C19</stp>
        <tr r="S343" s="1"/>
      </tp>
      <tp t="s">
        <v>912834LL0</v>
        <stp/>
        <stp>##V3_BDPV12</stp>
        <stp>912834LL Govt</stp>
        <stp>ID_CUSIP</stp>
        <stp>[STRIPS.xlsx]Sheet1!R323C19</stp>
        <tr r="S323" s="1"/>
      </tp>
      <tp t="s">
        <v>ZERO</v>
        <stp/>
        <stp>##V3_BDPV12</stp>
        <stp>912833BZ Govt</stp>
        <stp>CPN_TYP</stp>
        <stp>[STRIPS.xlsx]Sheet1!R562C11</stp>
        <tr r="K562" s="1"/>
      </tp>
      <tp t="s">
        <v>912833NL0</v>
        <stp/>
        <stp>##V3_BDPV12</stp>
        <stp>912833NL Govt</stp>
        <stp>ID_CUSIP</stp>
        <stp>[STRIPS.xlsx]Sheet1!R335C19</stp>
        <tr r="S335" s="1"/>
      </tp>
      <tp t="s">
        <v>912833KL3</v>
        <stp/>
        <stp>##V3_BDPV12</stp>
        <stp>912833KL Govt</stp>
        <stp>ID_CUSIP</stp>
        <stp>[STRIPS.xlsx]Sheet1!R302C19</stp>
        <tr r="S302" s="1"/>
      </tp>
      <tp t="s">
        <v>10/31/1997</v>
        <stp/>
        <stp>##V3_BDPV12</stp>
        <stp>912833PW Govt</stp>
        <stp>ISSUE_DT</stp>
        <stp>[STRIPS.xlsx]Sheet1!R239C15</stp>
        <tr r="O239" s="1"/>
      </tp>
      <tp t="s">
        <v>6/1/1998</v>
        <stp/>
        <stp>##V3_BDPV12</stp>
        <stp>912833RW Govt</stp>
        <stp>ISSUE_DT</stp>
        <stp>[STRIPS.xlsx]Sheet1!R246C15</stp>
        <tr r="O246" s="1"/>
      </tp>
      <tp t="s">
        <v>9/30/2013</v>
        <stp/>
        <stp>##V3_BDPV12</stp>
        <stp>912834MW Govt</stp>
        <stp>ISSUE_DT</stp>
        <stp>[STRIPS.xlsx]Sheet1!R234C15</stp>
        <tr r="O234" s="1"/>
      </tp>
      <tp t="s">
        <v>3/2/2015</v>
        <stp/>
        <stp>##V3_BDPV12</stp>
        <stp>912834JW Govt</stp>
        <stp>ISSUE_DT</stp>
        <stp>[STRIPS.xlsx]Sheet1!R210C15</stp>
        <tr r="O210" s="1"/>
      </tp>
      <tp t="s">
        <v>912834AL2</v>
        <stp/>
        <stp>##V3_BDPV12</stp>
        <stp>912834AL Govt</stp>
        <stp>ID_CUSIP</stp>
        <stp>[STRIPS.xlsx]Sheet1!R258C19</stp>
        <tr r="S258" s="1"/>
      </tp>
      <tp t="s">
        <v>912834BL1</v>
        <stp/>
        <stp>##V3_BDPV12</stp>
        <stp>912834BL Govt</stp>
        <stp>ID_CUSIP</stp>
        <stp>[STRIPS.xlsx]Sheet1!R262C19</stp>
        <tr r="S262" s="1"/>
      </tp>
      <tp t="s">
        <v>9128335L0</v>
        <stp/>
        <stp>##V3_BDPV12</stp>
        <stp>9128335L Govt</stp>
        <stp>ID_CUSIP</stp>
        <stp>[STRIPS.xlsx]Sheet1!R287C19</stp>
        <tr r="S287" s="1"/>
      </tp>
      <tp t="s">
        <v>9128334L1</v>
        <stp/>
        <stp>##V3_BDPV12</stp>
        <stp>9128334L Govt</stp>
        <stp>ID_CUSIP</stp>
        <stp>[STRIPS.xlsx]Sheet1!R284C19</stp>
        <tr r="S284" s="1"/>
      </tp>
      <tp t="s">
        <v>6/1/2009</v>
        <stp/>
        <stp>##V3_BDPV12</stp>
        <stp>912834DW Govt</stp>
        <stp>ISSUE_DT</stp>
        <stp>[STRIPS.xlsx]Sheet1!R390C15</stp>
        <tr r="O390" s="1"/>
      </tp>
      <tp t="s">
        <v>10/31/2012</v>
        <stp/>
        <stp>##V3_BDPV12</stp>
        <stp>912834LW Govt</stp>
        <stp>ISSUE_DT</stp>
        <stp>[STRIPS.xlsx]Sheet1!R360C15</stp>
        <tr r="O360" s="1"/>
      </tp>
      <tp t="s">
        <v>11/30/2009</v>
        <stp/>
        <stp>##V3_BDPV12</stp>
        <stp>912834EW Govt</stp>
        <stp>ISSUE_DT</stp>
        <stp>[STRIPS.xlsx]Sheet1!R312C15</stp>
        <tr r="O312" s="1"/>
      </tp>
      <tp t="s">
        <v>12/31/1997</v>
        <stp/>
        <stp>##V3_BDPV12</stp>
        <stp>912833QW Govt</stp>
        <stp>ISSUE_DT</stp>
        <stp>[STRIPS.xlsx]Sheet1!R378C15</stp>
        <tr r="O378" s="1"/>
      </tp>
      <tp t="s">
        <v>912834VL9</v>
        <stp/>
        <stp>##V3_BDPV12</stp>
        <stp>912834VL Govt</stp>
        <stp>ID_CUSIP</stp>
        <stp>[STRIPS.xlsx]Sheet1!R138C19</stp>
        <tr r="S138" s="1"/>
      </tp>
      <tp t="s">
        <v>912834PL6</v>
        <stp/>
        <stp>##V3_BDPV12</stp>
        <stp>912834PL Govt</stp>
        <stp>ID_CUSIP</stp>
        <stp>[STRIPS.xlsx]Sheet1!R128C19</stp>
        <tr r="S128" s="1"/>
      </tp>
      <tp t="s">
        <v>912834QL5</v>
        <stp/>
        <stp>##V3_BDPV12</stp>
        <stp>912834QL Govt</stp>
        <stp>ID_CUSIP</stp>
        <stp>[STRIPS.xlsx]Sheet1!R142C19</stp>
        <tr r="S142" s="1"/>
      </tp>
      <tp t="s">
        <v>912834RL4</v>
        <stp/>
        <stp>##V3_BDPV12</stp>
        <stp>912834RL Govt</stp>
        <stp>ID_CUSIP</stp>
        <stp>[STRIPS.xlsx]Sheet1!R198C19</stp>
        <tr r="S198" s="1"/>
      </tp>
      <tp t="s">
        <v>912834TL2</v>
        <stp/>
        <stp>##V3_BDPV12</stp>
        <stp>912834TL Govt</stp>
        <stp>ID_CUSIP</stp>
        <stp>[STRIPS.xlsx]Sheet1!R195C19</stp>
        <tr r="S195" s="1"/>
      </tp>
      <tp t="s">
        <v>ZERO</v>
        <stp/>
        <stp>##V3_BDPV12</stp>
        <stp>912833BY Govt</stp>
        <stp>CPN_TYP</stp>
        <stp>[STRIPS.xlsx]Sheet1!R501C11</stp>
        <tr r="K501" s="1"/>
      </tp>
      <tp t="s">
        <v>3/31/2021</v>
        <stp/>
        <stp>##V3_BDPV12</stp>
        <stp>912834WW Govt</stp>
        <stp>ISSUE_DT</stp>
        <stp>[STRIPS.xlsx]Sheet1!R185C15</stp>
        <tr r="O185" s="1"/>
      </tp>
      <tp t="s">
        <v>11/30/2016</v>
        <stp/>
        <stp>##V3_BDPV12</stp>
        <stp>912834QW Govt</stp>
        <stp>ISSUE_DT</stp>
        <stp>[STRIPS.xlsx]Sheet1!R171C15</stp>
        <tr r="O171" s="1"/>
      </tp>
      <tp t="s">
        <v>12/31/2015</v>
        <stp/>
        <stp>##V3_BDPV12</stp>
        <stp>912834PW Govt</stp>
        <stp>ISSUE_DT</stp>
        <stp>[STRIPS.xlsx]Sheet1!R154C15</stp>
        <tr r="O154" s="1"/>
      </tp>
      <tp t="s">
        <v>6/1/2020</v>
        <stp/>
        <stp>##V3_BDPV12</stp>
        <stp>912834VW Govt</stp>
        <stp>ISSUE_DT</stp>
        <stp>[STRIPS.xlsx]Sheet1!R131C15</stp>
        <tr r="O131" s="1"/>
      </tp>
      <tp t="s">
        <v>8/15/1989</v>
        <stp/>
        <stp>##V3_BDPV12</stp>
        <stp>912833KW Govt</stp>
        <stp>ISSUE_DT</stp>
        <stp>[STRIPS.xlsx]Sheet1!R177C15</stp>
        <tr r="O177" s="1"/>
      </tp>
      <tp t="s">
        <v>ZERO</v>
        <stp/>
        <stp>##V3_BDPV12</stp>
        <stp>912834BD Govt</stp>
        <stp>CPN_TYP</stp>
        <stp>[STRIPS.xlsx]Sheet1!R643C11</stp>
        <tr r="K643" s="1"/>
      </tp>
      <tp t="s">
        <v>ZERO</v>
        <stp/>
        <stp>##V3_BDPV12</stp>
        <stp>912834BG Govt</stp>
        <stp>CPN_TYP</stp>
        <stp>[STRIPS.xlsx]Sheet1!R592C11</stp>
        <tr r="K592" s="1"/>
      </tp>
      <tp t="s">
        <v>ZERO</v>
        <stp/>
        <stp>##V3_BDPV12</stp>
        <stp>912834BB Govt</stp>
        <stp>CPN_TYP</stp>
        <stp>[STRIPS.xlsx]Sheet1!R349C11</stp>
        <tr r="K349" s="1"/>
      </tp>
      <tp t="s">
        <v>ZERO</v>
        <stp/>
        <stp>##V3_BDPV12</stp>
        <stp>912834BE Govt</stp>
        <stp>CPN_TYP</stp>
        <stp>[STRIPS.xlsx]Sheet1!R530C11</stp>
        <tr r="K530" s="1"/>
      </tp>
      <tp t="s">
        <v>ZERO</v>
        <stp/>
        <stp>##V3_BDPV12</stp>
        <stp>912834BC Govt</stp>
        <stp>CPN_TYP</stp>
        <stp>[STRIPS.xlsx]Sheet1!R458C11</stp>
        <tr r="K458" s="1"/>
      </tp>
      <tp t="s">
        <v>ZERO</v>
        <stp/>
        <stp>##V3_BDPV12</stp>
        <stp>912834BF Govt</stp>
        <stp>CPN_TYP</stp>
        <stp>[STRIPS.xlsx]Sheet1!R350C11</stp>
        <tr r="K350" s="1"/>
      </tp>
      <tp t="s">
        <v>ZERO</v>
        <stp/>
        <stp>##V3_BDPV12</stp>
        <stp>912834BA Govt</stp>
        <stp>CPN_TYP</stp>
        <stp>[STRIPS.xlsx]Sheet1!R529C11</stp>
        <tr r="K529" s="1"/>
      </tp>
      <tp t="s">
        <v>ZERO</v>
        <stp/>
        <stp>##V3_BDPV12</stp>
        <stp>912834BH Govt</stp>
        <stp>CPN_TYP</stp>
        <stp>[STRIPS.xlsx]Sheet1!R351C11</stp>
        <tr r="K351" s="1"/>
      </tp>
      <tp t="s">
        <v>ZERO</v>
        <stp/>
        <stp>##V3_BDPV12</stp>
        <stp>912834BJ Govt</stp>
        <stp>CPN_TYP</stp>
        <stp>[STRIPS.xlsx]Sheet1!R352C11</stp>
        <tr r="K352" s="1"/>
      </tp>
      <tp t="s">
        <v>ZERO</v>
        <stp/>
        <stp>##V3_BDPV12</stp>
        <stp>912834BK Govt</stp>
        <stp>CPN_TYP</stp>
        <stp>[STRIPS.xlsx]Sheet1!R308C11</stp>
        <tr r="K308" s="1"/>
      </tp>
      <tp t="s">
        <v>ZERO</v>
        <stp/>
        <stp>##V3_BDPV12</stp>
        <stp>912834BL Govt</stp>
        <stp>CPN_TYP</stp>
        <stp>[STRIPS.xlsx]Sheet1!R262C11</stp>
        <tr r="K262" s="1"/>
      </tp>
      <tp t="s">
        <v>ZERO</v>
        <stp/>
        <stp>##V3_BDPV12</stp>
        <stp>912834BM Govt</stp>
        <stp>CPN_TYP</stp>
        <stp>[STRIPS.xlsx]Sheet1!R353C11</stp>
        <tr r="K353" s="1"/>
      </tp>
      <tp t="s">
        <v>ZERO</v>
        <stp/>
        <stp>##V3_BDPV12</stp>
        <stp>912834BN Govt</stp>
        <stp>CPN_TYP</stp>
        <stp>[STRIPS.xlsx]Sheet1!R263C11</stp>
        <tr r="K263" s="1"/>
      </tp>
      <tp t="s">
        <v>S 0 02/15/27</v>
        <stp/>
        <stp>##V3_BDPV12</stp>
        <stp>912833PC Govt</stp>
        <stp>SECURITY_NAME</stp>
        <stp>[STRIPS.xlsx]Sheet1!R14C16</stp>
        <tr r="P14" s="1"/>
      </tp>
      <tp t="s">
        <v>S 0 08/15/50</v>
        <stp/>
        <stp>##V3_BDPV12</stp>
        <stp>912834WC Govt</stp>
        <stp>SECURITY_NAME</stp>
        <stp>[STRIPS.xlsx]Sheet1!R78C16</stp>
        <tr r="P78" s="1"/>
      </tp>
      <tp t="s">
        <v>UNITED STATES</v>
        <stp/>
        <stp>##V3_BDPV12</stp>
        <stp>912834AT Govt</stp>
        <stp>COUNTRY_FULL_NAME</stp>
        <stp>[STRIPS.xlsx]Sheet1!R76C8</stp>
        <tr r="H76" s="1"/>
      </tp>
      <tp t="s">
        <v>US912834HT81</v>
        <stp/>
        <stp>##V3_BDPV12</stp>
        <stp>912834HT Govt</stp>
        <stp>ID_ISIN</stp>
        <stp>[STRIPS.xlsx]Sheet1!R355C12</stp>
        <tr r="L355" s="1"/>
      </tp>
      <tp t="s">
        <v>US912834HU54</v>
        <stp/>
        <stp>##V3_BDPV12</stp>
        <stp>912834HU Govt</stp>
        <stp>ID_ISIN</stp>
        <stp>[STRIPS.xlsx]Sheet1!R225C12</stp>
        <tr r="L225" s="1"/>
      </tp>
      <tp t="s">
        <v>US912834HR26</v>
        <stp/>
        <stp>##V3_BDPV12</stp>
        <stp>912834HR Govt</stp>
        <stp>ID_ISIN</stp>
        <stp>[STRIPS.xlsx]Sheet1!R535C12</stp>
        <tr r="L535" s="1"/>
      </tp>
      <tp t="s">
        <v>ZERO</v>
        <stp/>
        <stp>##V3_BDPV12</stp>
        <stp>912834EQ Govt</stp>
        <stp>CPN_TYP</stp>
        <stp>[STRIPS.xlsx]Sheet1!R311C11</stp>
        <tr r="K311" s="1"/>
      </tp>
      <tp t="s">
        <v>ZERO</v>
        <stp/>
        <stp>##V3_BDPV12</stp>
        <stp>912834EV Govt</stp>
        <stp>CPN_TYP</stp>
        <stp>[STRIPS.xlsx]Sheet1!R101C11</stp>
        <tr r="K101" s="1"/>
      </tp>
      <tp t="s">
        <v>ZERO</v>
        <stp/>
        <stp>##V3_BDPV12</stp>
        <stp>912834ES Govt</stp>
        <stp>CPN_TYP</stp>
        <stp>[STRIPS.xlsx]Sheet1!R464C11</stp>
        <tr r="K464" s="1"/>
      </tp>
      <tp t="s">
        <v>ZERO</v>
        <stp/>
        <stp>##V3_BDPV12</stp>
        <stp>912834ER Govt</stp>
        <stp>CPN_TYP</stp>
        <stp>[STRIPS.xlsx]Sheet1!R596C11</stp>
        <tr r="K596" s="1"/>
      </tp>
      <tp t="s">
        <v>ZERO</v>
        <stp/>
        <stp>##V3_BDPV12</stp>
        <stp>912834ET Govt</stp>
        <stp>CPN_TYP</stp>
        <stp>[STRIPS.xlsx]Sheet1!R393C11</stp>
        <tr r="K393" s="1"/>
      </tp>
      <tp t="s">
        <v>US912834HW11</v>
        <stp/>
        <stp>##V3_BDPV12</stp>
        <stp>912834HW Govt</stp>
        <stp>ID_ISIN</stp>
        <stp>[STRIPS.xlsx]Sheet1!R536C12</stp>
        <tr r="L536" s="1"/>
      </tp>
      <tp t="s">
        <v>ZERO</v>
        <stp/>
        <stp>##V3_BDPV12</stp>
        <stp>912834EW Govt</stp>
        <stp>CPN_TYP</stp>
        <stp>[STRIPS.xlsx]Sheet1!R312C11</stp>
        <tr r="K312" s="1"/>
      </tp>
      <tp t="s">
        <v>ZERO</v>
        <stp/>
        <stp>##V3_BDPV12</stp>
        <stp>912834EU Govt</stp>
        <stp>CPN_TYP</stp>
        <stp>[STRIPS.xlsx]Sheet1!R175C11</stp>
        <tr r="K175" s="1"/>
      </tp>
      <tp t="s">
        <v>US912834HS09</v>
        <stp/>
        <stp>##V3_BDPV12</stp>
        <stp>912834HS Govt</stp>
        <stp>ID_ISIN</stp>
        <stp>[STRIPS.xlsx]Sheet1!R396C12</stp>
        <tr r="L396" s="1"/>
      </tp>
      <tp t="s">
        <v>9128333K4</v>
        <stp/>
        <stp>##V3_BDPV12</stp>
        <stp>9128333K Govt</stp>
        <stp>ID_CUSIP</stp>
        <stp>[STRIPS.xlsx]Sheet1!R743C19</stp>
        <tr r="S743" s="1"/>
      </tp>
      <tp t="s">
        <v>912833CK4</v>
        <stp/>
        <stp>##V3_BDPV12</stp>
        <stp>912833CK Govt</stp>
        <stp>ID_CUSIP</stp>
        <stp>[STRIPS.xlsx]Sheet1!R733C19</stp>
        <tr r="S733" s="1"/>
      </tp>
      <tp t="s">
        <v>912834WK0</v>
        <stp/>
        <stp>##V3_BDPV12</stp>
        <stp>912834WK Govt</stp>
        <stp>ID_CUSIP</stp>
        <stp>[STRIPS.xlsx]Sheet1!R775C19</stp>
        <tr r="S775" s="1"/>
      </tp>
      <tp t="s">
        <v>ZERO</v>
        <stp/>
        <stp>##V3_BDPV12</stp>
        <stp>912834EX Govt</stp>
        <stp>CPN_TYP</stp>
        <stp>[STRIPS.xlsx]Sheet1!R354C11</stp>
        <tr r="K354" s="1"/>
      </tp>
      <tp t="s">
        <v>12/31/1997</v>
        <stp/>
        <stp>##V3_BDPV12</stp>
        <stp>912833QP Govt</stp>
        <stp>ISSUE_DT</stp>
        <stp>[STRIPS.xlsx]Sheet1!R687C15</stp>
        <tr r="O687" s="1"/>
      </tp>
      <tp t="s">
        <v>5/16/1988</v>
        <stp/>
        <stp>##V3_BDPV12</stp>
        <stp>912833KP Govt</stp>
        <stp>ISSUE_DT</stp>
        <stp>[STRIPS.xlsx]Sheet1!R623C15</stp>
        <tr r="O623" s="1"/>
      </tp>
      <tp t="s">
        <v>11/15/1984</v>
        <stp/>
        <stp>##V3_BDPV12</stp>
        <stp>912833FP Govt</stp>
        <stp>ISSUE_DT</stp>
        <stp>[STRIPS.xlsx]Sheet1!R664C15</stp>
        <tr r="O664" s="1"/>
      </tp>
      <tp t="s">
        <v>912833FK1</v>
        <stp/>
        <stp>##V3_BDPV12</stp>
        <stp>912833FK Govt</stp>
        <stp>ID_CUSIP</stp>
        <stp>[STRIPS.xlsx]Sheet1!R662C19</stp>
        <tr r="S662" s="1"/>
      </tp>
      <tp t="s">
        <v>ZERO</v>
        <stp/>
        <stp>##V3_BDPV12</stp>
        <stp>912834EY Govt</stp>
        <stp>CPN_TYP</stp>
        <stp>[STRIPS.xlsx]Sheet1!R313C11</stp>
        <tr r="K313" s="1"/>
      </tp>
      <tp t="s">
        <v>11/30/2004</v>
        <stp/>
        <stp>##V3_BDPV12</stp>
        <stp>9128333P Govt</stp>
        <stp>ISSUE_DT</stp>
        <stp>[STRIPS.xlsx]Sheet1!R704C15</stp>
        <tr r="O704" s="1"/>
      </tp>
      <tp t="s">
        <v>7/31/2006</v>
        <stp/>
        <stp>##V3_BDPV12</stp>
        <stp>9128336P Govt</stp>
        <stp>ISSUE_DT</stp>
        <stp>[STRIPS.xlsx]Sheet1!R729C15</stp>
        <tr r="O729" s="1"/>
      </tp>
      <tp t="s">
        <v>3/31/2006</v>
        <stp/>
        <stp>##V3_BDPV12</stp>
        <stp>9128335P Govt</stp>
        <stp>ISSUE_DT</stp>
        <stp>[STRIPS.xlsx]Sheet1!R723C15</stp>
        <tr r="O723" s="1"/>
      </tp>
      <tp t="s">
        <v>4/15/2019</v>
        <stp/>
        <stp>##V3_BDPV12</stp>
        <stp>912834UP Govt</stp>
        <stp>ISSUE_DT</stp>
        <stp>[STRIPS.xlsx]Sheet1!R754C15</stp>
        <tr r="O754" s="1"/>
      </tp>
      <tp t="s">
        <v>912833RK8</v>
        <stp/>
        <stp>##V3_BDPV12</stp>
        <stp>912833RK Govt</stp>
        <stp>ID_CUSIP</stp>
        <stp>[STRIPS.xlsx]Sheet1!R578C19</stp>
        <tr r="S578" s="1"/>
      </tp>
      <tp t="s">
        <v>912833PK0</v>
        <stp/>
        <stp>##V3_BDPV12</stp>
        <stp>912833PK Govt</stp>
        <stp>ID_CUSIP</stp>
        <stp>[STRIPS.xlsx]Sheet1!R573C19</stp>
        <tr r="S573" s="1"/>
      </tp>
      <tp t="s">
        <v>912833QK9</v>
        <stp/>
        <stp>##V3_BDPV12</stp>
        <stp>912833QK Govt</stp>
        <stp>ID_CUSIP</stp>
        <stp>[STRIPS.xlsx]Sheet1!R519C19</stp>
        <tr r="S519" s="1"/>
      </tp>
      <tp t="s">
        <v>ZERO</v>
        <stp/>
        <stp>##V3_BDPV12</stp>
        <stp>912834EZ Govt</stp>
        <stp>CPN_TYP</stp>
        <stp>[STRIPS.xlsx]Sheet1!R394C11</stp>
        <tr r="K394" s="1"/>
      </tp>
      <tp t="s">
        <v>912833YK0</v>
        <stp/>
        <stp>##V3_BDPV12</stp>
        <stp>912833YK Govt</stp>
        <stp>ID_CUSIP</stp>
        <stp>[STRIPS.xlsx]Sheet1!R584C19</stp>
        <tr r="S584" s="1"/>
      </tp>
      <tp t="s">
        <v>7/16/2012</v>
        <stp/>
        <stp>##V3_BDPV12</stp>
        <stp>912834LP Govt</stp>
        <stp>ISSUE_DT</stp>
        <stp>[STRIPS.xlsx]Sheet1!R474C15</stp>
        <tr r="O474" s="1"/>
      </tp>
      <tp t="s">
        <v>7/17/2017</v>
        <stp/>
        <stp>##V3_BDPV12</stp>
        <stp>912834RP Govt</stp>
        <stp>ISSUE_DT</stp>
        <stp>[STRIPS.xlsx]Sheet1!R416C15</stp>
        <tr r="O416" s="1"/>
      </tp>
      <tp t="s">
        <v>912834MK1</v>
        <stp/>
        <stp>##V3_BDPV12</stp>
        <stp>912834MK Govt</stp>
        <stp>ID_CUSIP</stp>
        <stp>[STRIPS.xlsx]Sheet1!R405C19</stp>
        <tr r="S405" s="1"/>
      </tp>
      <tp t="s">
        <v>912833MK3</v>
        <stp/>
        <stp>##V3_BDPV12</stp>
        <stp>912833MK Govt</stp>
        <stp>ID_CUSIP</stp>
        <stp>[STRIPS.xlsx]Sheet1!R445C19</stp>
        <tr r="S445" s="1"/>
      </tp>
      <tp t="s">
        <v>912834TK4</v>
        <stp/>
        <stp>##V3_BDPV12</stp>
        <stp>912834TK Govt</stp>
        <stp>ID_CUSIP</stp>
        <stp>[STRIPS.xlsx]Sheet1!R425C19</stp>
        <tr r="S425" s="1"/>
      </tp>
      <tp t="s">
        <v>912834NK0</v>
        <stp/>
        <stp>##V3_BDPV12</stp>
        <stp>912834NK Govt</stp>
        <stp>ID_CUSIP</stp>
        <stp>[STRIPS.xlsx]Sheet1!R477C19</stp>
        <tr r="S477" s="1"/>
      </tp>
      <tp t="s">
        <v>912834JK5</v>
        <stp/>
        <stp>##V3_BDPV12</stp>
        <stp>912834JK Govt</stp>
        <stp>ID_CUSIP</stp>
        <stp>[STRIPS.xlsx]Sheet1!R466C19</stp>
        <tr r="S466" s="1"/>
      </tp>
      <tp t="s">
        <v>9128336K1</v>
        <stp/>
        <stp>##V3_BDPV12</stp>
        <stp>9128336K Govt</stp>
        <stp>ID_CUSIP</stp>
        <stp>[STRIPS.xlsx]Sheet1!R496C19</stp>
        <tr r="S496" s="1"/>
      </tp>
      <tp t="s">
        <v>9128335K2</v>
        <stp/>
        <stp>##V3_BDPV12</stp>
        <stp>9128335K Govt</stp>
        <stp>ID_CUSIP</stp>
        <stp>[STRIPS.xlsx]Sheet1!R493C19</stp>
        <tr r="S493" s="1"/>
      </tp>
      <tp t="s">
        <v>9128334K3</v>
        <stp/>
        <stp>##V3_BDPV12</stp>
        <stp>9128334K Govt</stp>
        <stp>ID_CUSIP</stp>
        <stp>[STRIPS.xlsx]Sheet1!R490C19</stp>
        <tr r="S490" s="1"/>
      </tp>
      <tp t="s">
        <v>3/2/1998</v>
        <stp/>
        <stp>##V3_BDPV12</stp>
        <stp>912833RP Govt</stp>
        <stp>ISSUE_DT</stp>
        <stp>[STRIPS.xlsx]Sheet1!R524C15</stp>
        <tr r="O524" s="1"/>
      </tp>
      <tp t="s">
        <v>6/17/2013</v>
        <stp/>
        <stp>##V3_BDPV12</stp>
        <stp>912834MP Govt</stp>
        <stp>ISSUE_DT</stp>
        <stp>[STRIPS.xlsx]Sheet1!R542C15</stp>
        <tr r="O542" s="1"/>
      </tp>
      <tp t="s">
        <v>2/15/1985</v>
        <stp/>
        <stp>##V3_BDPV12</stp>
        <stp>912833CP Govt</stp>
        <stp>ISSUE_DT</stp>
        <stp>[STRIPS.xlsx]Sheet1!R564C15</stp>
        <tr r="O564" s="1"/>
      </tp>
      <tp t="s">
        <v>912834KK3</v>
        <stp/>
        <stp>##V3_BDPV12</stp>
        <stp>912834KK Govt</stp>
        <stp>ID_CUSIP</stp>
        <stp>[STRIPS.xlsx]Sheet1!R317C19</stp>
        <tr r="S317" s="1"/>
      </tp>
      <tp t="s">
        <v>912834BK3</v>
        <stp/>
        <stp>##V3_BDPV12</stp>
        <stp>912834BK Govt</stp>
        <stp>ID_CUSIP</stp>
        <stp>[STRIPS.xlsx]Sheet1!R308C19</stp>
        <tr r="S308" s="1"/>
      </tp>
      <tp t="s">
        <v>912833NK2</v>
        <stp/>
        <stp>##V3_BDPV12</stp>
        <stp>912833NK Govt</stp>
        <stp>ID_CUSIP</stp>
        <stp>[STRIPS.xlsx]Sheet1!R372C19</stp>
        <tr r="S372" s="1"/>
      </tp>
      <tp t="s">
        <v>912834PK8</v>
        <stp/>
        <stp>##V3_BDPV12</stp>
        <stp>912834PK Govt</stp>
        <stp>ID_CUSIP</stp>
        <stp>[STRIPS.xlsx]Sheet1!R329C19</stp>
        <tr r="S329" s="1"/>
      </tp>
      <tp t="s">
        <v>912833KK5</v>
        <stp/>
        <stp>##V3_BDPV12</stp>
        <stp>912833KK Govt</stp>
        <stp>ID_CUSIP</stp>
        <stp>[STRIPS.xlsx]Sheet1!R301C19</stp>
        <tr r="S301" s="1"/>
      </tp>
      <tp t="s">
        <v>912834EK0</v>
        <stp/>
        <stp>##V3_BDPV12</stp>
        <stp>912834EK Govt</stp>
        <stp>ID_CUSIP</stp>
        <stp>[STRIPS.xlsx]Sheet1!R392C19</stp>
        <tr r="S392" s="1"/>
      </tp>
      <tp t="s">
        <v>US912834HX93</v>
        <stp/>
        <stp>##V3_BDPV12</stp>
        <stp>912834HX Govt</stp>
        <stp>ID_ISIN</stp>
        <stp>[STRIPS.xlsx]Sheet1!R356C12</stp>
        <tr r="L356" s="1"/>
      </tp>
      <tp t="s">
        <v>US912834HY76</v>
        <stp/>
        <stp>##V3_BDPV12</stp>
        <stp>912834HY Govt</stp>
        <stp>ID_ISIN</stp>
        <stp>[STRIPS.xlsx]Sheet1!R226C12</stp>
        <tr r="L226" s="1"/>
      </tp>
      <tp t="s">
        <v>9/15/2015</v>
        <stp/>
        <stp>##V3_BDPV12</stp>
        <stp>912834PP Govt</stp>
        <stp>ISSUE_DT</stp>
        <stp>[STRIPS.xlsx]Sheet1!R276C15</stp>
        <tr r="O276" s="1"/>
      </tp>
      <tp t="s">
        <v>10/15/1996</v>
        <stp/>
        <stp>##V3_BDPV12</stp>
        <stp>912833MP Govt</stp>
        <stp>ISSUE_DT</stp>
        <stp>[STRIPS.xlsx]Sheet1!R235C15</stp>
        <tr r="O235" s="1"/>
      </tp>
      <tp t="s">
        <v>912834AK4</v>
        <stp/>
        <stp>##V3_BDPV12</stp>
        <stp>912834AK Govt</stp>
        <stp>ID_CUSIP</stp>
        <stp>[STRIPS.xlsx]Sheet1!R257C19</stp>
        <tr r="S257" s="1"/>
      </tp>
      <tp t="s">
        <v>912834QK7</v>
        <stp/>
        <stp>##V3_BDPV12</stp>
        <stp>912834QK Govt</stp>
        <stp>ID_CUSIP</stp>
        <stp>[STRIPS.xlsx]Sheet1!R278C19</stp>
        <tr r="S278" s="1"/>
      </tp>
      <tp t="s">
        <v>9128337K0</v>
        <stp/>
        <stp>##V3_BDPV12</stp>
        <stp>9128337K Govt</stp>
        <stp>ID_CUSIP</stp>
        <stp>[STRIPS.xlsx]Sheet1!R292C19</stp>
        <tr r="S292" s="1"/>
      </tp>
      <tp t="s">
        <v>4/30/2009</v>
        <stp/>
        <stp>##V3_BDPV12</stp>
        <stp>912834BP Govt</stp>
        <stp>ISSUE_DT</stp>
        <stp>[STRIPS.xlsx]Sheet1!R389C15</stp>
        <tr r="O389" s="1"/>
      </tp>
      <tp t="s">
        <v>1/15/2009</v>
        <stp/>
        <stp>##V3_BDPV12</stp>
        <stp>912834AP Govt</stp>
        <stp>ISSUE_DT</stp>
        <stp>[STRIPS.xlsx]Sheet1!R386C15</stp>
        <tr r="O386" s="1"/>
      </tp>
      <tp t="s">
        <v>9/30/1997</v>
        <stp/>
        <stp>##V3_BDPV12</stp>
        <stp>912833PP Govt</stp>
        <stp>ISSUE_DT</stp>
        <stp>[STRIPS.xlsx]Sheet1!R337C15</stp>
        <tr r="O337" s="1"/>
      </tp>
      <tp t="s">
        <v>10/15/1996</v>
        <stp/>
        <stp>##V3_BDPV12</stp>
        <stp>912833NP Govt</stp>
        <stp>ISSUE_DT</stp>
        <stp>[STRIPS.xlsx]Sheet1!R373C15</stp>
        <tr r="O373" s="1"/>
      </tp>
      <tp t="s">
        <v>912834RK6</v>
        <stp/>
        <stp>##V3_BDPV12</stp>
        <stp>912834RK Govt</stp>
        <stp>ID_CUSIP</stp>
        <stp>[STRIPS.xlsx]Sheet1!R124C19</stp>
        <tr r="S124" s="1"/>
      </tp>
      <tp t="s">
        <v>US912834HZ42</v>
        <stp/>
        <stp>##V3_BDPV12</stp>
        <stp>912834HZ Govt</stp>
        <stp>ID_ISIN</stp>
        <stp>[STRIPS.xlsx]Sheet1!R265C12</stp>
        <tr r="L265" s="1"/>
      </tp>
      <tp t="s">
        <v>9/15/2003</v>
        <stp/>
        <stp>##V3_BDPV12</stp>
        <stp>912833ZP Govt</stp>
        <stp>ISSUE_DT</stp>
        <stp>[STRIPS.xlsx]Sheet1!R192C15</stp>
        <tr r="O192" s="1"/>
      </tp>
      <tp t="s">
        <v>5/15/2014</v>
        <stp/>
        <stp>##V3_BDPV12</stp>
        <stp>912834NP Govt</stp>
        <stp>ISSUE_DT</stp>
        <stp>[STRIPS.xlsx]Sheet1!R130C15</stp>
        <tr r="O130" s="1"/>
      </tp>
      <tp t="s">
        <v>5/15/2018</v>
        <stp/>
        <stp>##V3_BDPV12</stp>
        <stp>912834TP Govt</stp>
        <stp>ISSUE_DT</stp>
        <stp>[STRIPS.xlsx]Sheet1!R117C15</stp>
        <tr r="O117" s="1"/>
      </tp>
      <tp t="s">
        <v>8/15/2016</v>
        <stp/>
        <stp>##V3_BDPV12</stp>
        <stp>912834QP Govt</stp>
        <stp>ISSUE_DT</stp>
        <stp>[STRIPS.xlsx]Sheet1!R108C15</stp>
        <tr r="O108" s="1"/>
      </tp>
      <tp t="s">
        <v>ZERO</v>
        <stp/>
        <stp>##V3_BDPV12</stp>
        <stp>912834EF Govt</stp>
        <stp>CPN_TYP</stp>
        <stp>[STRIPS.xlsx]Sheet1!R594C11</stp>
        <tr r="K594" s="1"/>
      </tp>
      <tp t="s">
        <v>ZERO</v>
        <stp/>
        <stp>##V3_BDPV12</stp>
        <stp>912834EG Govt</stp>
        <stp>CPN_TYP</stp>
        <stp>[STRIPS.xlsx]Sheet1!R533C11</stp>
        <tr r="K533" s="1"/>
      </tp>
      <tp t="s">
        <v>ZERO</v>
        <stp/>
        <stp>##V3_BDPV12</stp>
        <stp>912834ED Govt</stp>
        <stp>CPN_TYP</stp>
        <stp>[STRIPS.xlsx]Sheet1!R645C11</stp>
        <tr r="K645" s="1"/>
      </tp>
      <tp t="s">
        <v>ZERO</v>
        <stp/>
        <stp>##V3_BDPV12</stp>
        <stp>912834EE Govt</stp>
        <stp>CPN_TYP</stp>
        <stp>[STRIPS.xlsx]Sheet1!R532C11</stp>
        <tr r="K532" s="1"/>
      </tp>
      <tp t="s">
        <v>ZERO</v>
        <stp/>
        <stp>##V3_BDPV12</stp>
        <stp>912834EC Govt</stp>
        <stp>CPN_TYP</stp>
        <stp>[STRIPS.xlsx]Sheet1!R461C11</stp>
        <tr r="K461" s="1"/>
      </tp>
      <tp t="s">
        <v>ZERO</v>
        <stp/>
        <stp>##V3_BDPV12</stp>
        <stp>912834EB Govt</stp>
        <stp>CPN_TYP</stp>
        <stp>[STRIPS.xlsx]Sheet1!R644C11</stp>
        <tr r="K644" s="1"/>
      </tp>
      <tp t="s">
        <v>ZERO</v>
        <stp/>
        <stp>##V3_BDPV12</stp>
        <stp>912834EA Govt</stp>
        <stp>CPN_TYP</stp>
        <stp>[STRIPS.xlsx]Sheet1!R593C11</stp>
        <tr r="K593" s="1"/>
      </tp>
      <tp t="s">
        <v>ZERO</v>
        <stp/>
        <stp>##V3_BDPV12</stp>
        <stp>912834EH Govt</stp>
        <stp>CPN_TYP</stp>
        <stp>[STRIPS.xlsx]Sheet1!R309C11</stp>
        <tr r="K309" s="1"/>
      </tp>
      <tp t="s">
        <v>ZERO</v>
        <stp/>
        <stp>##V3_BDPV12</stp>
        <stp>912834EM Govt</stp>
        <stp>CPN_TYP</stp>
        <stp>[STRIPS.xlsx]Sheet1!R463C11</stp>
        <tr r="K463" s="1"/>
      </tp>
      <tp t="s">
        <v>ZERO</v>
        <stp/>
        <stp>##V3_BDPV12</stp>
        <stp>912834EL Govt</stp>
        <stp>CPN_TYP</stp>
        <stp>[STRIPS.xlsx]Sheet1!R462C11</stp>
        <tr r="K462" s="1"/>
      </tp>
      <tp t="s">
        <v>ZERO</v>
        <stp/>
        <stp>##V3_BDPV12</stp>
        <stp>912834EK Govt</stp>
        <stp>CPN_TYP</stp>
        <stp>[STRIPS.xlsx]Sheet1!R392C11</stp>
        <tr r="K392" s="1"/>
      </tp>
      <tp t="s">
        <v>ZERO</v>
        <stp/>
        <stp>##V3_BDPV12</stp>
        <stp>912834EJ Govt</stp>
        <stp>CPN_TYP</stp>
        <stp>[STRIPS.xlsx]Sheet1!R595C11</stp>
        <tr r="K595" s="1"/>
      </tp>
      <tp t="s">
        <v>ZERO</v>
        <stp/>
        <stp>##V3_BDPV12</stp>
        <stp>912834EN Govt</stp>
        <stp>CPN_TYP</stp>
        <stp>[STRIPS.xlsx]Sheet1!R310C11</stp>
        <tr r="K310" s="1"/>
      </tp>
      <tp t="s">
        <v>S 0 11/15/37</v>
        <stp/>
        <stp>##V3_BDPV12</stp>
        <stp>912834AD Govt</stp>
        <stp>SECURITY_NAME</stp>
        <stp>[STRIPS.xlsx]Sheet1!R92C16</stp>
        <tr r="P92" s="1"/>
      </tp>
      <tp t="s">
        <v>S 0 05/15/27</v>
        <stp/>
        <stp>##V3_BDPV12</stp>
        <stp>912833PD Govt</stp>
        <stp>SECURITY_NAME</stp>
        <stp>[STRIPS.xlsx]Sheet1!R13C16</stp>
        <tr r="P13" s="1"/>
      </tp>
      <tp t="s">
        <v>S 0 02/15/43</v>
        <stp/>
        <stp>##V3_BDPV12</stp>
        <stp>912834MD Govt</stp>
        <stp>SECURITY_NAME</stp>
        <stp>[STRIPS.xlsx]Sheet1!R72C16</stp>
        <tr r="P72" s="1"/>
      </tp>
      <tp t="s">
        <v>#N/A Field Not Applicable</v>
        <stp/>
        <stp>##V3_BDPV12</stp>
        <stp>912833Z5 Govt</stp>
        <stp>COUPON_FREQUENCY_DESCRIPTION</stp>
        <stp>[STRIPS.xlsx]Sheet1!R74C10</stp>
        <tr r="J74" s="1"/>
      </tp>
      <tp t="s">
        <v>UNITED STATES</v>
        <stp/>
        <stp>##V3_BDPV12</stp>
        <stp>912834NF Govt</stp>
        <stp>COUNTRY_FULL_NAME</stp>
        <stp>[STRIPS.xlsx]Sheet1!R58C8</stp>
        <tr r="H58" s="1"/>
      </tp>
      <tp t="s">
        <v>ZERO</v>
        <stp/>
        <stp>##V3_BDPV12</stp>
        <stp>912834DV Govt</stp>
        <stp>CPN_TYP</stp>
        <stp>[STRIPS.xlsx]Sheet1!R127C11</stp>
        <tr r="K127" s="1"/>
      </tp>
      <tp t="s">
        <v>ZERO</v>
        <stp/>
        <stp>##V3_BDPV12</stp>
        <stp>912834DW Govt</stp>
        <stp>CPN_TYP</stp>
        <stp>[STRIPS.xlsx]Sheet1!R390C11</stp>
        <tr r="K390" s="1"/>
      </tp>
      <tp t="s">
        <v>ZERO</v>
        <stp/>
        <stp>##V3_BDPV12</stp>
        <stp>912834DY Govt</stp>
        <stp>CPN_TYP</stp>
        <stp>[STRIPS.xlsx]Sheet1!R264C11</stp>
        <tr r="K264" s="1"/>
      </tp>
      <tp t="s">
        <v>912834TJ7</v>
        <stp/>
        <stp>##V3_BDPV12</stp>
        <stp>912834TJ Govt</stp>
        <stp>ID_CUSIP</stp>
        <stp>[STRIPS.xlsx]Sheet1!R757C19</stp>
        <tr r="S757" s="1"/>
      </tp>
      <tp t="s">
        <v>9128337J3</v>
        <stp/>
        <stp>##V3_BDPV12</stp>
        <stp>9128337J Govt</stp>
        <stp>ID_CUSIP</stp>
        <stp>[STRIPS.xlsx]Sheet1!R730C19</stp>
        <tr r="S730" s="1"/>
      </tp>
      <tp t="s">
        <v>912833FJ4</v>
        <stp/>
        <stp>##V3_BDPV12</stp>
        <stp>912833FJ Govt</stp>
        <stp>ID_CUSIP</stp>
        <stp>[STRIPS.xlsx]Sheet1!R737C19</stp>
        <tr r="S737" s="1"/>
      </tp>
      <tp t="s">
        <v>912834VJ4</v>
        <stp/>
        <stp>##V3_BDPV12</stp>
        <stp>912834VJ Govt</stp>
        <stp>ID_CUSIP</stp>
        <stp>[STRIPS.xlsx]Sheet1!R774C19</stp>
        <tr r="S774" s="1"/>
      </tp>
      <tp t="s">
        <v>ZERO</v>
        <stp/>
        <stp>##V3_BDPV12</stp>
        <stp>912834DX Govt</stp>
        <stp>CPN_TYP</stp>
        <stp>[STRIPS.xlsx]Sheet1!R391C11</stp>
        <tr r="K391" s="1"/>
      </tp>
      <tp t="s">
        <v>9/30/1997</v>
        <stp/>
        <stp>##V3_BDPV12</stp>
        <stp>912833PQ Govt</stp>
        <stp>ISSUE_DT</stp>
        <stp>[STRIPS.xlsx]Sheet1!R682C15</stp>
        <tr r="O682" s="1"/>
      </tp>
      <tp t="s">
        <v>3/2/1998</v>
        <stp/>
        <stp>##V3_BDPV12</stp>
        <stp>912833RQ Govt</stp>
        <stp>ISSUE_DT</stp>
        <stp>[STRIPS.xlsx]Sheet1!R692C15</stp>
        <tr r="O692" s="1"/>
      </tp>
      <tp t="s">
        <v>11/15/1984</v>
        <stp/>
        <stp>##V3_BDPV12</stp>
        <stp>912833FQ Govt</stp>
        <stp>ISSUE_DT</stp>
        <stp>[STRIPS.xlsx]Sheet1!R620C15</stp>
        <tr r="O620" s="1"/>
      </tp>
      <tp t="s">
        <v>9/15/2003</v>
        <stp/>
        <stp>##V3_BDPV12</stp>
        <stp>912833ZQ Govt</stp>
        <stp>ISSUE_DT</stp>
        <stp>[STRIPS.xlsx]Sheet1!R639C15</stp>
        <tr r="O639" s="1"/>
      </tp>
      <tp t="s">
        <v>7/15/1996</v>
        <stp/>
        <stp>##V3_BDPV12</stp>
        <stp>912833NQ Govt</stp>
        <stp>ISSUE_DT</stp>
        <stp>[STRIPS.xlsx]Sheet1!R677C15</stp>
        <tr r="O677" s="1"/>
      </tp>
      <tp t="s">
        <v>9128334J6</v>
        <stp/>
        <stp>##V3_BDPV12</stp>
        <stp>9128334J Govt</stp>
        <stp>ID_CUSIP</stp>
        <stp>[STRIPS.xlsx]Sheet1!R605C19</stp>
        <tr r="S605" s="1"/>
      </tp>
      <tp t="s">
        <v>912833PJ3</v>
        <stp/>
        <stp>##V3_BDPV12</stp>
        <stp>912833PJ Govt</stp>
        <stp>ID_CUSIP</stp>
        <stp>[STRIPS.xlsx]Sheet1!R680C19</stp>
        <tr r="S680" s="1"/>
      </tp>
      <tp t="s">
        <v>912833QJ2</v>
        <stp/>
        <stp>##V3_BDPV12</stp>
        <stp>912833QJ Govt</stp>
        <stp>ID_CUSIP</stp>
        <stp>[STRIPS.xlsx]Sheet1!R686C19</stp>
        <tr r="S686" s="1"/>
      </tp>
      <tp t="s">
        <v>12/15/2004</v>
        <stp/>
        <stp>##V3_BDPV12</stp>
        <stp>9128333Q Govt</stp>
        <stp>ISSUE_DT</stp>
        <stp>[STRIPS.xlsx]Sheet1!R719C15</stp>
        <tr r="O719" s="1"/>
      </tp>
      <tp t="s">
        <v>3/31/2006</v>
        <stp/>
        <stp>##V3_BDPV12</stp>
        <stp>9128335Q Govt</stp>
        <stp>ISSUE_DT</stp>
        <stp>[STRIPS.xlsx]Sheet1!R711C15</stp>
        <tr r="O711" s="1"/>
      </tp>
      <tp t="s">
        <v>5/31/2018</v>
        <stp/>
        <stp>##V3_BDPV12</stp>
        <stp>912834TQ Govt</stp>
        <stp>ISSUE_DT</stp>
        <stp>[STRIPS.xlsx]Sheet1!R758C15</stp>
        <tr r="O758" s="1"/>
      </tp>
      <tp t="s">
        <v>7/31/2006</v>
        <stp/>
        <stp>##V3_BDPV12</stp>
        <stp>9128336Q Govt</stp>
        <stp>ISSUE_DT</stp>
        <stp>[STRIPS.xlsx]Sheet1!R750C15</stp>
        <tr r="O750" s="1"/>
      </tp>
      <tp t="s">
        <v>912833ZJ2</v>
        <stp/>
        <stp>##V3_BDPV12</stp>
        <stp>912833ZJ Govt</stp>
        <stp>ID_CUSIP</stp>
        <stp>[STRIPS.xlsx]Sheet1!R527C19</stp>
        <tr r="S527" s="1"/>
      </tp>
      <tp t="s">
        <v>912833KJ8</v>
        <stp/>
        <stp>##V3_BDPV12</stp>
        <stp>912833KJ Govt</stp>
        <stp>ID_CUSIP</stp>
        <stp>[STRIPS.xlsx]Sheet1!R512C19</stp>
        <tr r="S512" s="1"/>
      </tp>
      <tp t="s">
        <v>912834AJ7</v>
        <stp/>
        <stp>##V3_BDPV12</stp>
        <stp>912834AJ Govt</stp>
        <stp>ID_CUSIP</stp>
        <stp>[STRIPS.xlsx]Sheet1!R591C19</stp>
        <tr r="S591" s="1"/>
      </tp>
      <tp t="s">
        <v>912834EJ3</v>
        <stp/>
        <stp>##V3_BDPV12</stp>
        <stp>912834EJ Govt</stp>
        <stp>ID_CUSIP</stp>
        <stp>[STRIPS.xlsx]Sheet1!R595C19</stp>
        <tr r="S595" s="1"/>
      </tp>
      <tp t="s">
        <v>9128332J8</v>
        <stp/>
        <stp>##V3_BDPV12</stp>
        <stp>9128332J Govt</stp>
        <stp>ID_CUSIP</stp>
        <stp>[STRIPS.xlsx]Sheet1!R598C19</stp>
        <tr r="S598" s="1"/>
      </tp>
      <tp t="s">
        <v>4/30/2009</v>
        <stp/>
        <stp>##V3_BDPV12</stp>
        <stp>912834BQ Govt</stp>
        <stp>ISSUE_DT</stp>
        <stp>[STRIPS.xlsx]Sheet1!R459C15</stp>
        <tr r="O459" s="1"/>
      </tp>
      <tp t="s">
        <v>2/15/1985</v>
        <stp/>
        <stp>##V3_BDPV12</stp>
        <stp>912833CQ Govt</stp>
        <stp>ISSUE_DT</stp>
        <stp>[STRIPS.xlsx]Sheet1!R438C15</stp>
        <tr r="O438" s="1"/>
      </tp>
      <tp t="s">
        <v>7/1/2013</v>
        <stp/>
        <stp>##V3_BDPV12</stp>
        <stp>912834MQ Govt</stp>
        <stp>ISSUE_DT</stp>
        <stp>[STRIPS.xlsx]Sheet1!R418C15</stp>
        <tr r="O418" s="1"/>
      </tp>
      <tp t="s">
        <v>7/31/2012</v>
        <stp/>
        <stp>##V3_BDPV12</stp>
        <stp>912834LQ Govt</stp>
        <stp>ISSUE_DT</stp>
        <stp>[STRIPS.xlsx]Sheet1!R404C15</stp>
        <tr r="O404" s="1"/>
      </tp>
      <tp t="s">
        <v>912834LJ5</v>
        <stp/>
        <stp>##V3_BDPV12</stp>
        <stp>912834LJ Govt</stp>
        <stp>ID_CUSIP</stp>
        <stp>[STRIPS.xlsx]Sheet1!R403C19</stp>
        <tr r="S403" s="1"/>
      </tp>
      <tp t="s">
        <v>912834NJ3</v>
        <stp/>
        <stp>##V3_BDPV12</stp>
        <stp>912834NJ Govt</stp>
        <stp>ID_CUSIP</stp>
        <stp>[STRIPS.xlsx]Sheet1!R420C19</stp>
        <tr r="S420" s="1"/>
      </tp>
      <tp t="s">
        <v>9128333J7</v>
        <stp/>
        <stp>##V3_BDPV12</stp>
        <stp>9128333J Govt</stp>
        <stp>ID_CUSIP</stp>
        <stp>[STRIPS.xlsx]Sheet1!R427C19</stp>
        <tr r="S427" s="1"/>
      </tp>
      <tp t="s">
        <v>912834JJ8</v>
        <stp/>
        <stp>##V3_BDPV12</stp>
        <stp>912834JJ Govt</stp>
        <stp>ID_CUSIP</stp>
        <stp>[STRIPS.xlsx]Sheet1!R465C19</stp>
        <tr r="S465" s="1"/>
      </tp>
      <tp t="s">
        <v>9128335J5</v>
        <stp/>
        <stp>##V3_BDPV12</stp>
        <stp>9128335J Govt</stp>
        <stp>ID_CUSIP</stp>
        <stp>[STRIPS.xlsx]Sheet1!R492C19</stp>
        <tr r="S492" s="1"/>
      </tp>
      <tp t="s">
        <v>5/16/1988</v>
        <stp/>
        <stp>##V3_BDPV12</stp>
        <stp>912833KQ Govt</stp>
        <stp>ISSUE_DT</stp>
        <stp>[STRIPS.xlsx]Sheet1!R566C15</stp>
        <tr r="O566" s="1"/>
      </tp>
      <tp t="s">
        <v>912833MJ6</v>
        <stp/>
        <stp>##V3_BDPV12</stp>
        <stp>912833MJ Govt</stp>
        <stp>ID_CUSIP</stp>
        <stp>[STRIPS.xlsx]Sheet1!R370C19</stp>
        <tr r="S370" s="1"/>
      </tp>
      <tp t="s">
        <v>912834BJ6</v>
        <stp/>
        <stp>##V3_BDPV12</stp>
        <stp>912834BJ Govt</stp>
        <stp>ID_CUSIP</stp>
        <stp>[STRIPS.xlsx]Sheet1!R352C19</stp>
        <tr r="S352" s="1"/>
      </tp>
      <tp t="s">
        <v>912833NJ5</v>
        <stp/>
        <stp>##V3_BDPV12</stp>
        <stp>912833NJ Govt</stp>
        <stp>ID_CUSIP</stp>
        <stp>[STRIPS.xlsx]Sheet1!R334C19</stp>
        <tr r="S334" s="1"/>
      </tp>
      <tp t="s">
        <v>6/2/2014</v>
        <stp/>
        <stp>##V3_BDPV12</stp>
        <stp>912834NQ Govt</stp>
        <stp>ISSUE_DT</stp>
        <stp>[STRIPS.xlsx]Sheet1!R273C15</stp>
        <tr r="O273" s="1"/>
      </tp>
      <tp t="s">
        <v>1/31/2009</v>
        <stp/>
        <stp>##V3_BDPV12</stp>
        <stp>912834AQ Govt</stp>
        <stp>ISSUE_DT</stp>
        <stp>[STRIPS.xlsx]Sheet1!R260C15</stp>
        <tr r="O260" s="1"/>
      </tp>
      <tp t="s">
        <v>7/15/1996</v>
        <stp/>
        <stp>##V3_BDPV12</stp>
        <stp>912833MQ Govt</stp>
        <stp>ISSUE_DT</stp>
        <stp>[STRIPS.xlsx]Sheet1!R236C15</stp>
        <tr r="O236" s="1"/>
      </tp>
      <tp t="s">
        <v>3/2/2020</v>
        <stp/>
        <stp>##V3_BDPV12</stp>
        <stp>912834VQ Govt</stp>
        <stp>ISSUE_DT</stp>
        <stp>[STRIPS.xlsx]Sheet1!R222C15</stp>
        <tr r="O222" s="1"/>
      </tp>
      <tp t="s">
        <v>7/31/2017</v>
        <stp/>
        <stp>##V3_BDPV12</stp>
        <stp>912834RQ Govt</stp>
        <stp>ISSUE_DT</stp>
        <stp>[STRIPS.xlsx]Sheet1!R204C15</stp>
        <tr r="O204" s="1"/>
      </tp>
      <tp t="s">
        <v>8/31/2016</v>
        <stp/>
        <stp>##V3_BDPV12</stp>
        <stp>912834QQ Govt</stp>
        <stp>ISSUE_DT</stp>
        <stp>[STRIPS.xlsx]Sheet1!R205C15</stp>
        <tr r="O205" s="1"/>
      </tp>
      <tp t="s">
        <v>912834QJ0</v>
        <stp/>
        <stp>##V3_BDPV12</stp>
        <stp>912834QJ Govt</stp>
        <stp>ID_CUSIP</stp>
        <stp>[STRIPS.xlsx]Sheet1!R213C19</stp>
        <tr r="S213" s="1"/>
      </tp>
      <tp t="s">
        <v>912834RJ9</v>
        <stp/>
        <stp>##V3_BDPV12</stp>
        <stp>912834RJ Govt</stp>
        <stp>ID_CUSIP</stp>
        <stp>[STRIPS.xlsx]Sheet1!R203C19</stp>
        <tr r="S203" s="1"/>
      </tp>
      <tp t="s">
        <v>912834MJ4</v>
        <stp/>
        <stp>##V3_BDPV12</stp>
        <stp>912834MJ Govt</stp>
        <stp>ID_CUSIP</stp>
        <stp>[STRIPS.xlsx]Sheet1!R233C19</stp>
        <tr r="S233" s="1"/>
      </tp>
      <tp t="s">
        <v>912833RJ1</v>
        <stp/>
        <stp>##V3_BDPV12</stp>
        <stp>912833RJ Govt</stp>
        <stp>ID_CUSIP</stp>
        <stp>[STRIPS.xlsx]Sheet1!R245C19</stp>
        <tr r="S245" s="1"/>
      </tp>
      <tp t="s">
        <v>ZERO</v>
        <stp/>
        <stp>##V3_BDPV12</stp>
        <stp>912834DZ Govt</stp>
        <stp>CPN_TYP</stp>
        <stp>[STRIPS.xlsx]Sheet1!R460C11</stp>
        <tr r="K460" s="1"/>
      </tp>
      <tp t="s">
        <v>912834KJ6</v>
        <stp/>
        <stp>##V3_BDPV12</stp>
        <stp>912834KJ Govt</stp>
        <stp>ID_CUSIP</stp>
        <stp>[STRIPS.xlsx]Sheet1!R267C19</stp>
        <tr r="S267" s="1"/>
      </tp>
      <tp t="s">
        <v>9128336J4</v>
        <stp/>
        <stp>##V3_BDPV12</stp>
        <stp>9128336J Govt</stp>
        <stp>ID_CUSIP</stp>
        <stp>[STRIPS.xlsx]Sheet1!R289C19</stp>
        <tr r="S289" s="1"/>
      </tp>
      <tp t="s">
        <v>912833CJ7</v>
        <stp/>
        <stp>##V3_BDPV12</stp>
        <stp>912833CJ Govt</stp>
        <stp>ID_CUSIP</stp>
        <stp>[STRIPS.xlsx]Sheet1!R297C19</stp>
        <tr r="S297" s="1"/>
      </tp>
      <tp t="s">
        <v>1/31/2002</v>
        <stp/>
        <stp>##V3_BDPV12</stp>
        <stp>912833YQ Govt</stp>
        <stp>ISSUE_DT</stp>
        <stp>[STRIPS.xlsx]Sheet1!R344C15</stp>
        <tr r="O344" s="1"/>
      </tp>
      <tp t="s">
        <v>8/31/2011</v>
        <stp/>
        <stp>##V3_BDPV12</stp>
        <stp>912834KQ Govt</stp>
        <stp>ISSUE_DT</stp>
        <stp>[STRIPS.xlsx]Sheet1!R318C15</stp>
        <tr r="O318" s="1"/>
      </tp>
      <tp t="s">
        <v>8/31/2009</v>
        <stp/>
        <stp>##V3_BDPV12</stp>
        <stp>912834EQ Govt</stp>
        <stp>ISSUE_DT</stp>
        <stp>[STRIPS.xlsx]Sheet1!R311C15</stp>
        <tr r="O311" s="1"/>
      </tp>
      <tp t="s">
        <v>12/31/1997</v>
        <stp/>
        <stp>##V3_BDPV12</stp>
        <stp>912833QQ Govt</stp>
        <stp>ISSUE_DT</stp>
        <stp>[STRIPS.xlsx]Sheet1!R377C15</stp>
        <tr r="O377" s="1"/>
      </tp>
      <tp t="s">
        <v>912834PJ1</v>
        <stp/>
        <stp>##V3_BDPV12</stp>
        <stp>912834PJ Govt</stp>
        <stp>ID_CUSIP</stp>
        <stp>[STRIPS.xlsx]Sheet1!R144C19</stp>
        <tr r="S144" s="1"/>
      </tp>
      <tp t="s">
        <v>9/30/2015</v>
        <stp/>
        <stp>##V3_BDPV12</stp>
        <stp>912834PQ Govt</stp>
        <stp>ISSUE_DT</stp>
        <stp>[STRIPS.xlsx]Sheet1!R140C15</stp>
        <tr r="O140" s="1"/>
      </tp>
      <tp t="s">
        <v>2/1/2021</v>
        <stp/>
        <stp>##V3_BDPV12</stp>
        <stp>912834WQ Govt</stp>
        <stp>ISSUE_DT</stp>
        <stp>[STRIPS.xlsx]Sheet1!R136C15</stp>
        <tr r="O136" s="1"/>
      </tp>
      <tp t="s">
        <v>ZERO</v>
        <stp/>
        <stp>##V3_BDPV12</stp>
        <stp>912833DB Govt</stp>
        <stp>CPN_TYP</stp>
        <stp>[STRIPS.xlsx]Sheet1!R162C11</stp>
        <tr r="K162" s="1"/>
      </tp>
      <tp t="s">
        <v>ZERO</v>
        <stp/>
        <stp>##V3_BDPV12</stp>
        <stp>912833DD Govt</stp>
        <stp>CPN_TYP</stp>
        <stp>[STRIPS.xlsx]Sheet1!R659C11</stp>
        <tr r="K659" s="1"/>
      </tp>
      <tp t="s">
        <v>ZERO</v>
        <stp/>
        <stp>##V3_BDPV12</stp>
        <stp>912833DG Govt</stp>
        <stp>CPN_TYP</stp>
        <stp>[STRIPS.xlsx]Sheet1!R736C11</stp>
        <tr r="K736" s="1"/>
      </tp>
      <tp t="s">
        <v>ZERO</v>
        <stp/>
        <stp>##V3_BDPV12</stp>
        <stp>912833DE Govt</stp>
        <stp>CPN_TYP</stp>
        <stp>[STRIPS.xlsx]Sheet1!R505C11</stp>
        <tr r="K505" s="1"/>
      </tp>
      <tp t="s">
        <v>ZERO</v>
        <stp/>
        <stp>##V3_BDPV12</stp>
        <stp>912833DF Govt</stp>
        <stp>CPN_TYP</stp>
        <stp>[STRIPS.xlsx]Sheet1!R660C11</stp>
        <tr r="K660" s="1"/>
      </tp>
      <tp t="s">
        <v>ZERO</v>
        <stp/>
        <stp>##V3_BDPV12</stp>
        <stp>912833DA Govt</stp>
        <stp>CPN_TYP</stp>
        <stp>[STRIPS.xlsx]Sheet1!R167C11</stp>
        <tr r="K167" s="1"/>
      </tp>
      <tp t="s">
        <v>ZERO</v>
        <stp/>
        <stp>##V3_BDPV12</stp>
        <stp>912833DC Govt</stp>
        <stp>CPN_TYP</stp>
        <stp>[STRIPS.xlsx]Sheet1!R504C11</stp>
        <tr r="K504" s="1"/>
      </tp>
      <tp t="s">
        <v>ZERO</v>
        <stp/>
        <stp>##V3_BDPV12</stp>
        <stp>912833DH Govt</stp>
        <stp>CPN_TYP</stp>
        <stp>[STRIPS.xlsx]Sheet1!R506C11</stp>
        <tr r="K506" s="1"/>
      </tp>
      <tp t="s">
        <v>S 0 08/15/36</v>
        <stp/>
        <stp>##V3_BDPV12</stp>
        <stp>9128337E Govt</stp>
        <stp>SECURITY_NAME</stp>
        <stp>[STRIPS.xlsx]Sheet1!R23C16</stp>
        <tr r="P23" s="1"/>
      </tp>
      <tp t="s">
        <v>S 0 08/15/27</v>
        <stp/>
        <stp>##V3_BDPV12</stp>
        <stp>912833PE Govt</stp>
        <stp>SECURITY_NAME</stp>
        <stp>[STRIPS.xlsx]Sheet1!R15C16</stp>
        <tr r="P15" s="1"/>
      </tp>
      <tp t="s">
        <v>#N/A Field Not Applicable</v>
        <stp/>
        <stp>##V3_BDPV12</stp>
        <stp>912833Y4 Govt</stp>
        <stp>COUPON_FREQUENCY_DESCRIPTION</stp>
        <stp>[STRIPS.xlsx]Sheet1!R60C10</stp>
        <tr r="J60" s="1"/>
      </tp>
      <tp t="s">
        <v>#N/A Field Not Applicable</v>
        <stp/>
        <stp>##V3_BDPV12</stp>
        <stp>912833Y2 Govt</stp>
        <stp>COUPON_FREQUENCY_DESCRIPTION</stp>
        <stp>[STRIPS.xlsx]Sheet1!R27C10</stp>
        <tr r="J27" s="1"/>
      </tp>
      <tp t="s">
        <v>UNITED STATES</v>
        <stp/>
        <stp>##V3_BDPV12</stp>
        <stp>912833LV Govt</stp>
        <stp>COUNTRY_FULL_NAME</stp>
        <stp>[STRIPS.xlsx]Sheet1!R39C8</stp>
        <tr r="H39" s="1"/>
      </tp>
      <tp t="s">
        <v>UNITED STATES</v>
        <stp/>
        <stp>##V3_BDPV12</stp>
        <stp>912833LR Govt</stp>
        <stp>COUNTRY_FULL_NAME</stp>
        <stp>[STRIPS.xlsx]Sheet1!R19C8</stp>
        <tr r="H19" s="1"/>
      </tp>
      <tp t="s">
        <v>US912833WR77</v>
        <stp/>
        <stp>##V3_BDPV12</stp>
        <stp>912833WR Govt</stp>
        <stp>ID_ISIN</stp>
        <stp>[STRIPS.xlsx]Sheet1!R52C12</stp>
        <tr r="L52" s="1"/>
      </tp>
      <tp t="s">
        <v>US912833WQ94</v>
        <stp/>
        <stp>##V3_BDPV12</stp>
        <stp>912833WQ Govt</stp>
        <stp>ID_ISIN</stp>
        <stp>[STRIPS.xlsx]Sheet1!R24C12</stp>
        <tr r="L24" s="1"/>
      </tp>
      <tp t="s">
        <v>US912833RZ58</v>
        <stp/>
        <stp>##V3_BDPV12</stp>
        <stp>912833RZ Govt</stp>
        <stp>ID_ISIN</stp>
        <stp>[STRIPS.xlsx]Sheet1!R26C12</stp>
        <tr r="L26" s="1"/>
      </tp>
      <tp t="s">
        <v>US912833RY83</v>
        <stp/>
        <stp>##V3_BDPV12</stp>
        <stp>912833RY Govt</stp>
        <stp>ID_ISIN</stp>
        <stp>[STRIPS.xlsx]Sheet1!R28C12</stp>
        <tr r="L28" s="1"/>
      </tp>
      <tp t="s">
        <v>US912833PE48</v>
        <stp/>
        <stp>##V3_BDPV12</stp>
        <stp>912833PE Govt</stp>
        <stp>ID_ISIN</stp>
        <stp>[STRIPS.xlsx]Sheet1!R15C12</stp>
        <tr r="L15" s="1"/>
      </tp>
      <tp t="s">
        <v>US912833PD64</v>
        <stp/>
        <stp>##V3_BDPV12</stp>
        <stp>912833PD Govt</stp>
        <stp>ID_ISIN</stp>
        <stp>[STRIPS.xlsx]Sheet1!R13C12</stp>
        <tr r="L13" s="1"/>
      </tp>
      <tp t="s">
        <v>US912833PC81</v>
        <stp/>
        <stp>##V3_BDPV12</stp>
        <stp>912833PC Govt</stp>
        <stp>ID_ISIN</stp>
        <stp>[STRIPS.xlsx]Sheet1!R14C12</stp>
        <tr r="L14" s="1"/>
      </tp>
      <tp t="s">
        <v>US912833QB99</v>
        <stp/>
        <stp>##V3_BDPV12</stp>
        <stp>912833QB Govt</stp>
        <stp>ID_ISIN</stp>
        <stp>[STRIPS.xlsx]Sheet1!R20C12</stp>
        <tr r="L20" s="1"/>
      </tp>
      <tp t="s">
        <v>US912833Z526</v>
        <stp/>
        <stp>##V3_BDPV12</stp>
        <stp>912833Z5 Govt</stp>
        <stp>ID_ISIN</stp>
        <stp>[STRIPS.xlsx]Sheet1!R74C12</stp>
        <tr r="L74" s="1"/>
      </tp>
      <tp t="s">
        <v>US912833X968</v>
        <stp/>
        <stp>##V3_BDPV12</stp>
        <stp>912833X9 Govt</stp>
        <stp>ID_ISIN</stp>
        <stp>[STRIPS.xlsx]Sheet1!R59C12</stp>
        <tr r="L59" s="1"/>
      </tp>
      <tp t="s">
        <v>US912833X885</v>
        <stp/>
        <stp>##V3_BDPV12</stp>
        <stp>912833X8 Govt</stp>
        <stp>ID_ISIN</stp>
        <stp>[STRIPS.xlsx]Sheet1!R66C12</stp>
        <tr r="L66" s="1"/>
      </tp>
      <tp t="s">
        <v>US912833XP03</v>
        <stp/>
        <stp>##V3_BDPV12</stp>
        <stp>912833XP Govt</stp>
        <stp>ID_ISIN</stp>
        <stp>[STRIPS.xlsx]Sheet1!R44C12</stp>
        <tr r="L44" s="1"/>
      </tp>
      <tp t="s">
        <v>US912833XU97</v>
        <stp/>
        <stp>##V3_BDPV12</stp>
        <stp>912833XU Govt</stp>
        <stp>ID_ISIN</stp>
        <stp>[STRIPS.xlsx]Sheet1!R30C12</stp>
        <tr r="L30" s="1"/>
      </tp>
      <tp t="s">
        <v>US912833XS42</v>
        <stp/>
        <stp>##V3_BDPV12</stp>
        <stp>912833XS Govt</stp>
        <stp>ID_ISIN</stp>
        <stp>[STRIPS.xlsx]Sheet1!R47C12</stp>
        <tr r="L47" s="1"/>
      </tp>
      <tp t="s">
        <v>US912833XT25</v>
        <stp/>
        <stp>##V3_BDPV12</stp>
        <stp>912833XT Govt</stp>
        <stp>ID_ISIN</stp>
        <stp>[STRIPS.xlsx]Sheet1!R55C12</stp>
        <tr r="L55" s="1"/>
      </tp>
      <tp t="s">
        <v>US912833XY10</v>
        <stp/>
        <stp>##V3_BDPV12</stp>
        <stp>912833XY Govt</stp>
        <stp>ID_ISIN</stp>
        <stp>[STRIPS.xlsx]Sheet1!R50C12</stp>
        <tr r="L50" s="1"/>
      </tp>
      <tp t="s">
        <v>US912833XX37</v>
        <stp/>
        <stp>##V3_BDPV12</stp>
        <stp>912833XX Govt</stp>
        <stp>ID_ISIN</stp>
        <stp>[STRIPS.xlsx]Sheet1!R62C12</stp>
        <tr r="L62" s="1"/>
      </tp>
      <tp t="s">
        <v>US912833XZ84</v>
        <stp/>
        <stp>##V3_BDPV12</stp>
        <stp>912833XZ Govt</stp>
        <stp>ID_ISIN</stp>
        <stp>[STRIPS.xlsx]Sheet1!R31C12</stp>
        <tr r="L31" s="1"/>
      </tp>
      <tp t="s">
        <v>US912833XN54</v>
        <stp/>
        <stp>##V3_BDPV12</stp>
        <stp>912833XN Govt</stp>
        <stp>ID_ISIN</stp>
        <stp>[STRIPS.xlsx]Sheet1!R85C12</stp>
        <tr r="L85" s="1"/>
      </tp>
      <tp t="s">
        <v>US912833Y206</v>
        <stp/>
        <stp>##V3_BDPV12</stp>
        <stp>912833Y2 Govt</stp>
        <stp>ID_ISIN</stp>
        <stp>[STRIPS.xlsx]Sheet1!R27C12</stp>
        <tr r="L27" s="1"/>
      </tp>
      <tp t="s">
        <v>US912833Y461</v>
        <stp/>
        <stp>##V3_BDPV12</stp>
        <stp>912833Y4 Govt</stp>
        <stp>ID_ISIN</stp>
        <stp>[STRIPS.xlsx]Sheet1!R60C12</stp>
        <tr r="L60" s="1"/>
      </tp>
      <tp t="s">
        <v>US912833LV09</v>
        <stp/>
        <stp>##V3_BDPV12</stp>
        <stp>912833LV Govt</stp>
        <stp>ID_ISIN</stp>
        <stp>[STRIPS.xlsx]Sheet1!R39C12</stp>
        <tr r="L39" s="1"/>
      </tp>
      <tp t="s">
        <v>US912833LT52</v>
        <stp/>
        <stp>##V3_BDPV12</stp>
        <stp>912833LT Govt</stp>
        <stp>ID_ISIN</stp>
        <stp>[STRIPS.xlsx]Sheet1!R11C12</stp>
        <tr r="L11" s="1"/>
      </tp>
      <tp t="s">
        <v>US912833LU26</v>
        <stp/>
        <stp>##V3_BDPV12</stp>
        <stp>912833LU Govt</stp>
        <stp>ID_ISIN</stp>
        <stp>[STRIPS.xlsx]Sheet1!R22C12</stp>
        <tr r="L22" s="1"/>
      </tp>
      <tp t="s">
        <v>US912833LS79</v>
        <stp/>
        <stp>##V3_BDPV12</stp>
        <stp>912833LS Govt</stp>
        <stp>ID_ISIN</stp>
        <stp>[STRIPS.xlsx]Sheet1!R37C12</stp>
        <tr r="L37" s="1"/>
      </tp>
      <tp t="s">
        <v>US912833LP31</v>
        <stp/>
        <stp>##V3_BDPV12</stp>
        <stp>912833LP Govt</stp>
        <stp>ID_ISIN</stp>
        <stp>[STRIPS.xlsx]Sheet1!R12C12</stp>
        <tr r="L12" s="1"/>
      </tp>
      <tp t="s">
        <v>US912833LQ14</v>
        <stp/>
        <stp>##V3_BDPV12</stp>
        <stp>912833LQ Govt</stp>
        <stp>ID_ISIN</stp>
        <stp>[STRIPS.xlsx]Sheet1!R38C12</stp>
        <tr r="L38" s="1"/>
      </tp>
      <tp t="s">
        <v>US912833LR96</v>
        <stp/>
        <stp>##V3_BDPV12</stp>
        <stp>912833LR Govt</stp>
        <stp>ID_ISIN</stp>
        <stp>[STRIPS.xlsx]Sheet1!R19C12</stp>
        <tr r="L19" s="1"/>
      </tp>
      <tp t="s">
        <v>US912833LY48</v>
        <stp/>
        <stp>##V3_BDPV12</stp>
        <stp>912833LY Govt</stp>
        <stp>ID_ISIN</stp>
        <stp>[STRIPS.xlsx]Sheet1!R16C12</stp>
        <tr r="L16" s="1"/>
      </tp>
      <tp t="s">
        <v>US912833LX64</v>
        <stp/>
        <stp>##V3_BDPV12</stp>
        <stp>912833LX Govt</stp>
        <stp>ID_ISIN</stp>
        <stp>[STRIPS.xlsx]Sheet1!R10C12</stp>
        <tr r="L10" s="1"/>
      </tp>
      <tp t="s">
        <v>US912833LG32</v>
        <stp/>
        <stp>##V3_BDPV12</stp>
        <stp>912833LG Govt</stp>
        <stp>ID_ISIN</stp>
        <stp>[STRIPS.xlsx]Sheet1!R33C12</stp>
        <tr r="L33" s="1"/>
      </tp>
      <tp t="s">
        <v>US912833LM00</v>
        <stp/>
        <stp>##V3_BDPV12</stp>
        <stp>912833LM Govt</stp>
        <stp>ID_ISIN</stp>
        <stp>[STRIPS.xlsx]Sheet1!R17C12</stp>
        <tr r="L17" s="1"/>
      </tp>
      <tp t="s">
        <v>US912833LH15</v>
        <stp/>
        <stp>##V3_BDPV12</stp>
        <stp>912833LH Govt</stp>
        <stp>ID_ISIN</stp>
        <stp>[STRIPS.xlsx]Sheet1!R40C12</stp>
        <tr r="L40" s="1"/>
      </tp>
      <tp t="s">
        <v>US912833LL27</v>
        <stp/>
        <stp>##V3_BDPV12</stp>
        <stp>912833LL Govt</stp>
        <stp>ID_ISIN</stp>
        <stp>[STRIPS.xlsx]Sheet1!R36C12</stp>
        <tr r="L36" s="1"/>
      </tp>
      <tp t="s">
        <v>US912833LN82</v>
        <stp/>
        <stp>##V3_BDPV12</stp>
        <stp>912833LN Govt</stp>
        <stp>ID_ISIN</stp>
        <stp>[STRIPS.xlsx]Sheet1!R63C12</stp>
        <tr r="L63" s="1"/>
      </tp>
      <tp t="s">
        <v>US912833LK44</v>
        <stp/>
        <stp>##V3_BDPV12</stp>
        <stp>912833LK Govt</stp>
        <stp>ID_ISIN</stp>
        <stp>[STRIPS.xlsx]Sheet1!R21C12</stp>
        <tr r="L21" s="1"/>
      </tp>
      <tp t="s">
        <v>US912833LJ70</v>
        <stp/>
        <stp>##V3_BDPV12</stp>
        <stp>912833LJ Govt</stp>
        <stp>ID_ISIN</stp>
        <stp>[STRIPS.xlsx]Sheet1!R18C12</stp>
        <tr r="L18" s="1"/>
      </tp>
      <tp t="s">
        <v>US912833JU53</v>
        <stp/>
        <stp>##V3_BDPV12</stp>
        <stp>912833JU Govt</stp>
        <stp>ID_ISIN</stp>
        <stp>[STRIPS.xlsx]Sheet1!R366C12</stp>
        <tr r="L366" s="1"/>
      </tp>
      <tp t="s">
        <v>US9128337W46</v>
        <stp/>
        <stp>##V3_BDPV12</stp>
        <stp>9128337W Govt</stp>
        <stp>ID_ISIN</stp>
        <stp>[STRIPS.xlsx]Sheet1!R79C12</stp>
        <tr r="L79" s="1"/>
      </tp>
      <tp t="s">
        <v>US9128337S34</v>
        <stp/>
        <stp>##V3_BDPV12</stp>
        <stp>9128337S Govt</stp>
        <stp>ID_ISIN</stp>
        <stp>[STRIPS.xlsx]Sheet1!R35C12</stp>
        <tr r="L35" s="1"/>
      </tp>
      <tp t="s">
        <v>US9128337U89</v>
        <stp/>
        <stp>##V3_BDPV12</stp>
        <stp>9128337U Govt</stp>
        <stp>ID_ISIN</stp>
        <stp>[STRIPS.xlsx]Sheet1!R46C12</stp>
        <tr r="L46" s="1"/>
      </tp>
      <tp t="s">
        <v>US9128337P94</v>
        <stp/>
        <stp>##V3_BDPV12</stp>
        <stp>9128337P Govt</stp>
        <stp>ID_ISIN</stp>
        <stp>[STRIPS.xlsx]Sheet1!R25C12</stp>
        <tr r="L25" s="1"/>
      </tp>
      <tp t="s">
        <v>US9128337Q77</v>
        <stp/>
        <stp>##V3_BDPV12</stp>
        <stp>9128337Q Govt</stp>
        <stp>ID_ISIN</stp>
        <stp>[STRIPS.xlsx]Sheet1!R29C12</stp>
        <tr r="L29" s="1"/>
      </tp>
      <tp t="s">
        <v>US9128337E48</v>
        <stp/>
        <stp>##V3_BDPV12</stp>
        <stp>9128337E Govt</stp>
        <stp>ID_ISIN</stp>
        <stp>[STRIPS.xlsx]Sheet1!R23C12</stp>
        <tr r="L23" s="1"/>
      </tp>
      <tp t="s">
        <v>US9128337F13</v>
        <stp/>
        <stp>##V3_BDPV12</stp>
        <stp>9128337F Govt</stp>
        <stp>ID_ISIN</stp>
        <stp>[STRIPS.xlsx]Sheet1!R99C12</stp>
        <tr r="L99" s="1"/>
      </tp>
      <tp t="s">
        <v>US9128337N47</v>
        <stp/>
        <stp>##V3_BDPV12</stp>
        <stp>9128337N Govt</stp>
        <stp>ID_ISIN</stp>
        <stp>[STRIPS.xlsx]Sheet1!R49C12</stp>
        <tr r="L49" s="1"/>
      </tp>
      <tp t="s">
        <v>US912833JT80</v>
        <stp/>
        <stp>##V3_BDPV12</stp>
        <stp>912833JT Govt</stp>
        <stp>ID_ISIN</stp>
        <stp>[STRIPS.xlsx]Sheet1!R156C12</stp>
        <tr r="L156" s="1"/>
      </tp>
      <tp t="s">
        <v>US912834JW92</v>
        <stp/>
        <stp>##V3_BDPV12</stp>
        <stp>912834JW Govt</stp>
        <stp>ID_ISIN</stp>
        <stp>[STRIPS.xlsx]Sheet1!R210C12</stp>
        <tr r="L210" s="1"/>
      </tp>
      <tp t="s">
        <v>US9128334T44</v>
        <stp/>
        <stp>##V3_BDPV12</stp>
        <stp>9128334T Govt</stp>
        <stp>ID_ISIN</stp>
        <stp>[STRIPS.xlsx]Sheet1!R48C12</stp>
        <tr r="L48" s="1"/>
      </tp>
      <tp t="s">
        <v>US9128334V99</v>
        <stp/>
        <stp>##V3_BDPV12</stp>
        <stp>9128334V Govt</stp>
        <stp>ID_ISIN</stp>
        <stp>[STRIPS.xlsx]Sheet1!R69C12</stp>
        <tr r="L69" s="1"/>
      </tp>
      <tp t="s">
        <v>US9128334W72</v>
        <stp/>
        <stp>##V3_BDPV12</stp>
        <stp>9128334W Govt</stp>
        <stp>ID_ISIN</stp>
        <stp>[STRIPS.xlsx]Sheet1!R61C12</stp>
        <tr r="L61" s="1"/>
      </tp>
      <tp t="s">
        <v>US9128334Z04</v>
        <stp/>
        <stp>##V3_BDPV12</stp>
        <stp>9128334Z Govt</stp>
        <stp>ID_ISIN</stp>
        <stp>[STRIPS.xlsx]Sheet1!R45C12</stp>
        <tr r="L45" s="1"/>
      </tp>
      <tp t="s">
        <v>US9128334Y39</v>
        <stp/>
        <stp>##V3_BDPV12</stp>
        <stp>9128334Y Govt</stp>
        <stp>ID_ISIN</stp>
        <stp>[STRIPS.xlsx]Sheet1!R67C12</stp>
        <tr r="L67" s="1"/>
      </tp>
      <tp t="s">
        <v>US9128335A44</v>
        <stp/>
        <stp>##V3_BDPV12</stp>
        <stp>9128335A Govt</stp>
        <stp>ID_ISIN</stp>
        <stp>[STRIPS.xlsx]Sheet1!R42C12</stp>
        <tr r="L42" s="1"/>
      </tp>
      <tp t="s">
        <v>US9128335B27</v>
        <stp/>
        <stp>##V3_BDPV12</stp>
        <stp>9128335B Govt</stp>
        <stp>ID_ISIN</stp>
        <stp>[STRIPS.xlsx]Sheet1!R43C12</stp>
        <tr r="L43" s="1"/>
      </tp>
      <tp t="s">
        <v>US912833JV37</v>
        <stp/>
        <stp>##V3_BDPV12</stp>
        <stp>912833JV Govt</stp>
        <stp>ID_ISIN</stp>
        <stp>[STRIPS.xlsx]Sheet1!R668C12</stp>
        <tr r="L668" s="1"/>
      </tp>
      <tp t="s">
        <v>US912834JT63</v>
        <stp/>
        <stp>##V3_BDPV12</stp>
        <stp>912834JT Govt</stp>
        <stp>ID_ISIN</stp>
        <stp>[STRIPS.xlsx]Sheet1!R467C12</stp>
        <tr r="L467" s="1"/>
      </tp>
      <tp t="s">
        <v>US912833JW10</v>
        <stp/>
        <stp>##V3_BDPV12</stp>
        <stp>912833JW Govt</stp>
        <stp>ID_ISIN</stp>
        <stp>[STRIPS.xlsx]Sheet1!R740C12</stp>
        <tr r="L740" s="1"/>
      </tp>
      <tp t="s">
        <v>US912834JS80</v>
        <stp/>
        <stp>##V3_BDPV12</stp>
        <stp>912834JS Govt</stp>
        <stp>ID_ISIN</stp>
        <stp>[STRIPS.xlsx]Sheet1!R315C12</stp>
        <tr r="L315" s="1"/>
      </tp>
      <tp t="s">
        <v>3/2/1998</v>
        <stp/>
        <stp>##V3_BDPV12</stp>
        <stp>912833RR Govt</stp>
        <stp>ISSUE_DT</stp>
        <stp>[STRIPS.xlsx]Sheet1!R693C15</stp>
        <tr r="O693" s="1"/>
      </tp>
      <tp t="s">
        <v>2/15/1985</v>
        <stp/>
        <stp>##V3_BDPV12</stp>
        <stp>912833CR Govt</stp>
        <stp>ISSUE_DT</stp>
        <stp>[STRIPS.xlsx]Sheet1!R617C15</stp>
        <tr r="O617" s="1"/>
      </tp>
      <tp t="s">
        <v>US912833JX92</v>
        <stp/>
        <stp>##V3_BDPV12</stp>
        <stp>912833JX Govt</stp>
        <stp>ID_ISIN</stp>
        <stp>[STRIPS.xlsx]Sheet1!R669C12</stp>
        <tr r="L669" s="1"/>
      </tp>
      <tp t="s">
        <v>12/31/2004</v>
        <stp/>
        <stp>##V3_BDPV12</stp>
        <stp>9128333R Govt</stp>
        <stp>ISSUE_DT</stp>
        <stp>[STRIPS.xlsx]Sheet1!R705C15</stp>
        <tr r="O705" s="1"/>
      </tp>
      <tp t="s">
        <v>US912833JZ41</v>
        <stp/>
        <stp>##V3_BDPV12</stp>
        <stp>912833JZ Govt</stp>
        <stp>ID_ISIN</stp>
        <stp>[STRIPS.xlsx]Sheet1!R741C12</stp>
        <tr r="L741" s="1"/>
      </tp>
      <tp t="s">
        <v>7/31/2006</v>
        <stp/>
        <stp>##V3_BDPV12</stp>
        <stp>9128336R Govt</stp>
        <stp>ISSUE_DT</stp>
        <stp>[STRIPS.xlsx]Sheet1!R498C15</stp>
        <tr r="O498" s="1"/>
      </tp>
      <tp t="s">
        <v>9/15/2016</v>
        <stp/>
        <stp>##V3_BDPV12</stp>
        <stp>912834QR Govt</stp>
        <stp>ISSUE_DT</stp>
        <stp>[STRIPS.xlsx]Sheet1!R480C15</stp>
        <tr r="O480" s="1"/>
      </tp>
      <tp t="s">
        <v>5/15/1988</v>
        <stp/>
        <stp>##V3_BDPV12</stp>
        <stp>912833KR Govt</stp>
        <stp>ISSUE_DT</stp>
        <stp>[STRIPS.xlsx]Sheet1!R443C15</stp>
        <tr r="O443" s="1"/>
      </tp>
      <tp t="s">
        <v>6/15/2018</v>
        <stp/>
        <stp>##V3_BDPV12</stp>
        <stp>912834TR Govt</stp>
        <stp>ISSUE_DT</stp>
        <stp>[STRIPS.xlsx]Sheet1!R426C15</stp>
        <tr r="O426" s="1"/>
      </tp>
      <tp t="s">
        <v>6/16/2014</v>
        <stp/>
        <stp>##V3_BDPV12</stp>
        <stp>912834NR Govt</stp>
        <stp>ISSUE_DT</stp>
        <stp>[STRIPS.xlsx]Sheet1!R422C15</stp>
        <tr r="O422" s="1"/>
      </tp>
      <tp t="s">
        <v>9/15/2011</v>
        <stp/>
        <stp>##V3_BDPV12</stp>
        <stp>912834KR Govt</stp>
        <stp>ISSUE_DT</stp>
        <stp>[STRIPS.xlsx]Sheet1!R400C15</stp>
        <tr r="O400" s="1"/>
      </tp>
      <tp t="s">
        <v>9/15/2009</v>
        <stp/>
        <stp>##V3_BDPV12</stp>
        <stp>912834ER Govt</stp>
        <stp>ISSUE_DT</stp>
        <stp>[STRIPS.xlsx]Sheet1!R596C15</stp>
        <tr r="O596" s="1"/>
      </tp>
      <tp t="s">
        <v>12/31/1997</v>
        <stp/>
        <stp>##V3_BDPV12</stp>
        <stp>912833QR Govt</stp>
        <stp>ISSUE_DT</stp>
        <stp>[STRIPS.xlsx]Sheet1!R521C15</stp>
        <tr r="O521" s="1"/>
      </tp>
      <tp t="s">
        <v>10/15/2015</v>
        <stp/>
        <stp>##V3_BDPV12</stp>
        <stp>912834PR Govt</stp>
        <stp>ISSUE_DT</stp>
        <stp>[STRIPS.xlsx]Sheet1!R549C15</stp>
        <tr r="O549" s="1"/>
      </tp>
      <tp t="s">
        <v>3/15/2010</v>
        <stp/>
        <stp>##V3_BDPV12</stp>
        <stp>912834HR Govt</stp>
        <stp>ISSUE_DT</stp>
        <stp>[STRIPS.xlsx]Sheet1!R535C15</stp>
        <tr r="O535" s="1"/>
      </tp>
      <tp t="s">
        <v>4/30/2009</v>
        <stp/>
        <stp>##V3_BDPV12</stp>
        <stp>912834BR Govt</stp>
        <stp>ISSUE_DT</stp>
        <stp>[STRIPS.xlsx]Sheet1!R531C15</stp>
        <tr r="O531" s="1"/>
      </tp>
      <tp t="s">
        <v>1/31/2006</v>
        <stp/>
        <stp>##V3_BDPV12</stp>
        <stp>9128334R Govt</stp>
        <stp>ISSUE_DT</stp>
        <stp>[STRIPS.xlsx]Sheet1!R554C15</stp>
        <tr r="O554" s="1"/>
      </tp>
      <tp t="s">
        <v>3/31/2006</v>
        <stp/>
        <stp>##V3_BDPV12</stp>
        <stp>9128335R Govt</stp>
        <stp>ISSUE_DT</stp>
        <stp>[STRIPS.xlsx]Sheet1!R555C15</stp>
        <tr r="O555" s="1"/>
      </tp>
      <tp t="s">
        <v>10/15/1996</v>
        <stp/>
        <stp>##V3_BDPV12</stp>
        <stp>912833NR Govt</stp>
        <stp>ISSUE_DT</stp>
        <stp>[STRIPS.xlsx]Sheet1!R572C15</stp>
        <tr r="O572" s="1"/>
      </tp>
      <tp t="s">
        <v>7/15/2013</v>
        <stp/>
        <stp>##V3_BDPV12</stp>
        <stp>912834MR Govt</stp>
        <stp>ISSUE_DT</stp>
        <stp>[STRIPS.xlsx]Sheet1!R272C15</stp>
        <tr r="O272" s="1"/>
      </tp>
      <tp t="s">
        <v>3/16/2020</v>
        <stp/>
        <stp>##V3_BDPV12</stp>
        <stp>912834VR Govt</stp>
        <stp>ISSUE_DT</stp>
        <stp>[STRIPS.xlsx]Sheet1!R224C15</stp>
        <tr r="O224" s="1"/>
      </tp>
      <tp t="s">
        <v>US912834JX75</v>
        <stp/>
        <stp>##V3_BDPV12</stp>
        <stp>912834JX Govt</stp>
        <stp>ID_ISIN</stp>
        <stp>[STRIPS.xlsx]Sheet1!R221C12</stp>
        <tr r="L221" s="1"/>
      </tp>
      <tp t="s">
        <v>9/15/2003</v>
        <stp/>
        <stp>##V3_BDPV12</stp>
        <stp>912833ZR Govt</stp>
        <stp>ISSUE_DT</stp>
        <stp>[STRIPS.xlsx]Sheet1!R383C15</stp>
        <tr r="O383" s="1"/>
      </tp>
      <tp t="s">
        <v>10/15/1996</v>
        <stp/>
        <stp>##V3_BDPV12</stp>
        <stp>912833MR Govt</stp>
        <stp>ISSUE_DT</stp>
        <stp>[STRIPS.xlsx]Sheet1!R333C15</stp>
        <tr r="O333" s="1"/>
      </tp>
      <tp t="s">
        <v>2/28/2002</v>
        <stp/>
        <stp>##V3_BDPV12</stp>
        <stp>912833YR Govt</stp>
        <stp>ISSUE_DT</stp>
        <stp>[STRIPS.xlsx]Sheet1!R345C15</stp>
        <tr r="O345" s="1"/>
      </tp>
      <tp t="s">
        <v>11/15/1984</v>
        <stp/>
        <stp>##V3_BDPV12</stp>
        <stp>912833FR Govt</stp>
        <stp>ISSUE_DT</stp>
        <stp>[STRIPS.xlsx]Sheet1!R364C15</stp>
        <tr r="O364" s="1"/>
      </tp>
      <tp t="s">
        <v>10/31/1997</v>
        <stp/>
        <stp>##V3_BDPV12</stp>
        <stp>912833PR Govt</stp>
        <stp>ISSUE_DT</stp>
        <stp>[STRIPS.xlsx]Sheet1!R375C15</stp>
        <tr r="O375" s="1"/>
      </tp>
      <tp t="s">
        <v>US912834JZ24</v>
        <stp/>
        <stp>##V3_BDPV12</stp>
        <stp>912834JZ Govt</stp>
        <stp>ID_ISIN</stp>
        <stp>[STRIPS.xlsx]Sheet1!R266C12</stp>
        <tr r="L266" s="1"/>
      </tp>
      <tp t="s">
        <v>US912833JY75</v>
        <stp/>
        <stp>##V3_BDPV12</stp>
        <stp>912833JY Govt</stp>
        <stp>ID_ISIN</stp>
        <stp>[STRIPS.xlsx]Sheet1!R173C12</stp>
        <tr r="L173" s="1"/>
      </tp>
      <tp t="s">
        <v>8/15/2007</v>
        <stp/>
        <stp>##V3_BDPV12</stp>
        <stp>9128337R Govt</stp>
        <stp>ISSUE_DT</stp>
        <stp>[STRIPS.xlsx]Sheet1!R114C15</stp>
        <tr r="O114" s="1"/>
      </tp>
      <tp t="s">
        <v>US912834JD12</v>
        <stp/>
        <stp>##V3_BDPV12</stp>
        <stp>912834JD Govt</stp>
        <stp>ID_ISIN</stp>
        <stp>[STRIPS.xlsx]Sheet1!R314C12</stp>
        <tr r="L314" s="1"/>
      </tp>
      <tp t="s">
        <v>ZERO</v>
        <stp/>
        <stp>##V3_BDPV12</stp>
        <stp>912833GE Govt</stp>
        <stp>CPN_TYP</stp>
        <stp>[STRIPS.xlsx]Sheet1!R441C11</stp>
        <tr r="K441" s="1"/>
      </tp>
      <tp t="s">
        <v>US912834JG43</v>
        <stp/>
        <stp>##V3_BDPV12</stp>
        <stp>912834JG Govt</stp>
        <stp>ID_ISIN</stp>
        <stp>[STRIPS.xlsx]Sheet1!R228C12</stp>
        <tr r="L228" s="1"/>
      </tp>
      <tp t="s">
        <v>ZERO</v>
        <stp/>
        <stp>##V3_BDPV12</stp>
        <stp>912833GF Govt</stp>
        <stp>CPN_TYP</stp>
        <stp>[STRIPS.xlsx]Sheet1!R667C11</stp>
        <tr r="K667" s="1"/>
      </tp>
      <tp t="s">
        <v>US912834JA72</v>
        <stp/>
        <stp>##V3_BDPV12</stp>
        <stp>912834JA Govt</stp>
        <stp>ID_ISIN</stp>
        <stp>[STRIPS.xlsx]Sheet1!R537C12</stp>
        <tr r="L537" s="1"/>
      </tp>
      <tp t="s">
        <v>ZERO</v>
        <stp/>
        <stp>##V3_BDPV12</stp>
        <stp>912833GD Govt</stp>
        <stp>CPN_TYP</stp>
        <stp>[STRIPS.xlsx]Sheet1!R365C11</stp>
        <tr r="K365" s="1"/>
      </tp>
      <tp t="s">
        <v>ZERO</v>
        <stp/>
        <stp>##V3_BDPV12</stp>
        <stp>912833GC Govt</stp>
        <stp>CPN_TYP</stp>
        <stp>[STRIPS.xlsx]Sheet1!R440C11</stp>
        <tr r="K440" s="1"/>
      </tp>
      <tp t="s">
        <v>US912834JE94</v>
        <stp/>
        <stp>##V3_BDPV12</stp>
        <stp>912834JE Govt</stp>
        <stp>ID_ISIN</stp>
        <stp>[STRIPS.xlsx]Sheet1!R646C12</stp>
        <tr r="L646" s="1"/>
      </tp>
      <tp t="s">
        <v>ZERO</v>
        <stp/>
        <stp>##V3_BDPV12</stp>
        <stp>912833GA Govt</stp>
        <stp>CPN_TYP</stp>
        <stp>[STRIPS.xlsx]Sheet1!R439C11</stp>
        <tr r="K439" s="1"/>
      </tp>
      <tp t="s">
        <v>US912834JC39</v>
        <stp/>
        <stp>##V3_BDPV12</stp>
        <stp>912834JC Govt</stp>
        <stp>ID_ISIN</stp>
        <stp>[STRIPS.xlsx]Sheet1!R227C12</stp>
        <tr r="L227" s="1"/>
      </tp>
      <tp t="s">
        <v>ZERO</v>
        <stp/>
        <stp>##V3_BDPV12</stp>
        <stp>912833GB Govt</stp>
        <stp>CPN_TYP</stp>
        <stp>[STRIPS.xlsx]Sheet1!R666C11</stp>
        <tr r="K666" s="1"/>
      </tp>
      <tp t="s">
        <v>US912834JF69</v>
        <stp/>
        <stp>##V3_BDPV12</stp>
        <stp>912834JF Govt</stp>
        <stp>ID_ISIN</stp>
        <stp>[STRIPS.xlsx]Sheet1!R647C12</stp>
        <tr r="L647" s="1"/>
      </tp>
      <tp t="s">
        <v>US912834JK54</v>
        <stp/>
        <stp>##V3_BDPV12</stp>
        <stp>912834JK Govt</stp>
        <stp>ID_ISIN</stp>
        <stp>[STRIPS.xlsx]Sheet1!R466C12</stp>
        <tr r="L466" s="1"/>
      </tp>
      <tp t="s">
        <v>US912834JM11</v>
        <stp/>
        <stp>##V3_BDPV12</stp>
        <stp>912834JM Govt</stp>
        <stp>ID_ISIN</stp>
        <stp>[STRIPS.xlsx]Sheet1!R397C12</stp>
        <tr r="L397" s="1"/>
      </tp>
      <tp t="s">
        <v>US912834JJ81</v>
        <stp/>
        <stp>##V3_BDPV12</stp>
        <stp>912834JJ Govt</stp>
        <stp>ID_ISIN</stp>
        <stp>[STRIPS.xlsx]Sheet1!R465C12</stp>
        <tr r="L465" s="1"/>
      </tp>
      <tp t="s">
        <v>US912834JN93</v>
        <stp/>
        <stp>##V3_BDPV12</stp>
        <stp>912834JN Govt</stp>
        <stp>ID_ISIN</stp>
        <stp>[STRIPS.xlsx]Sheet1!R357C12</stp>
        <tr r="L357" s="1"/>
      </tp>
      <tp t="s">
        <v>US912834JL38</v>
        <stp/>
        <stp>##V3_BDPV12</stp>
        <stp>912834JL Govt</stp>
        <stp>ID_ISIN</stp>
        <stp>[STRIPS.xlsx]Sheet1!R538C12</stp>
        <tr r="L538" s="1"/>
      </tp>
      <tp t="s">
        <v>S 0 02/15/37</v>
        <stp/>
        <stp>##V3_BDPV12</stp>
        <stp>9128337F Govt</stp>
        <stp>SECURITY_NAME</stp>
        <stp>[STRIPS.xlsx]Sheet1!R99C16</stp>
        <tr r="P99" s="1"/>
      </tp>
      <tp t="s">
        <v>S 0 02/15/48</v>
        <stp/>
        <stp>##V3_BDPV12</stp>
        <stp>912834TF Govt</stp>
        <stp>SECURITY_NAME</stp>
        <stp>[STRIPS.xlsx]Sheet1!R98C16</stp>
        <tr r="P98" s="1"/>
      </tp>
      <tp t="s">
        <v>S 0 02/15/44</v>
        <stp/>
        <stp>##V3_BDPV12</stp>
        <stp>912834NF Govt</stp>
        <stp>SECURITY_NAME</stp>
        <stp>[STRIPS.xlsx]Sheet1!R58C16</stp>
        <tr r="P58" s="1"/>
      </tp>
      <tp t="s">
        <v>UNITED STATES</v>
        <stp/>
        <stp>##V3_BDPV12</stp>
        <stp>912833LJ Govt</stp>
        <stp>COUNTRY_FULL_NAME</stp>
        <stp>[STRIPS.xlsx]Sheet1!R18C8</stp>
        <tr r="H18" s="1"/>
      </tp>
      <tp t="s">
        <v>#N/A Field Not Applicable</v>
        <stp/>
        <stp>##V3_BDPV12</stp>
        <stp>912833X9 Govt</stp>
        <stp>COUPON_FREQUENCY_DESCRIPTION</stp>
        <stp>[STRIPS.xlsx]Sheet1!R59C10</stp>
        <tr r="J59" s="1"/>
      </tp>
      <tp t="s">
        <v>#N/A Field Not Applicable</v>
        <stp/>
        <stp>##V3_BDPV12</stp>
        <stp>912833X8 Govt</stp>
        <stp>COUPON_FREQUENCY_DESCRIPTION</stp>
        <stp>[STRIPS.xlsx]Sheet1!R66C10</stp>
        <tr r="J66" s="1"/>
      </tp>
      <tp t="s">
        <v>UNITED STATES</v>
        <stp/>
        <stp>##V3_BDPV12</stp>
        <stp>912833LQ Govt</stp>
        <stp>COUNTRY_FULL_NAME</stp>
        <stp>[STRIPS.xlsx]Sheet1!R38C8</stp>
        <tr r="H38" s="1"/>
      </tp>
      <tp t="s">
        <v>ZERO</v>
        <stp/>
        <stp>##V3_BDPV12</stp>
        <stp>912833FV Govt</stp>
        <stp>CPN_TYP</stp>
        <stp>[STRIPS.xlsx]Sheet1!R510C11</stp>
        <tr r="K510" s="1"/>
      </tp>
      <tp t="s">
        <v>US912834KT45</v>
        <stp/>
        <stp>##V3_BDPV12</stp>
        <stp>912834KT Govt</stp>
        <stp>ID_ISIN</stp>
        <stp>[STRIPS.xlsx]Sheet1!R319C12</stp>
        <tr r="L319" s="1"/>
      </tp>
      <tp t="s">
        <v>ZERO</v>
        <stp/>
        <stp>##V3_BDPV12</stp>
        <stp>912833FT Govt</stp>
        <stp>CPN_TYP</stp>
        <stp>[STRIPS.xlsx]Sheet1!R621C11</stp>
        <tr r="K621" s="1"/>
      </tp>
      <tp t="s">
        <v>US912833KW90</v>
        <stp/>
        <stp>##V3_BDPV12</stp>
        <stp>912833KW Govt</stp>
        <stp>ID_ISIN</stp>
        <stp>[STRIPS.xlsx]Sheet1!R177C12</stp>
        <tr r="L177" s="1"/>
      </tp>
      <tp t="s">
        <v>US912833KR06</v>
        <stp/>
        <stp>##V3_BDPV12</stp>
        <stp>912833KR Govt</stp>
        <stp>ID_ISIN</stp>
        <stp>[STRIPS.xlsx]Sheet1!R443C12</stp>
        <tr r="L443" s="1"/>
      </tp>
      <tp t="s">
        <v>US912833KP40</v>
        <stp/>
        <stp>##V3_BDPV12</stp>
        <stp>912833KP Govt</stp>
        <stp>ID_ISIN</stp>
        <stp>[STRIPS.xlsx]Sheet1!R623C12</stp>
        <tr r="L623" s="1"/>
      </tp>
      <tp t="s">
        <v>US912834KR88</v>
        <stp/>
        <stp>##V3_BDPV12</stp>
        <stp>912834KR Govt</stp>
        <stp>ID_ISIN</stp>
        <stp>[STRIPS.xlsx]Sheet1!R400C12</stp>
        <tr r="L400" s="1"/>
      </tp>
      <tp t="s">
        <v>ZERO</v>
        <stp/>
        <stp>##V3_BDPV12</stp>
        <stp>912833FR Govt</stp>
        <stp>CPN_TYP</stp>
        <stp>[STRIPS.xlsx]Sheet1!R364C11</stp>
        <tr r="K364" s="1"/>
      </tp>
      <tp t="s">
        <v>US912833KT61</v>
        <stp/>
        <stp>##V3_BDPV12</stp>
        <stp>912833KT Govt</stp>
        <stp>ID_ISIN</stp>
        <stp>[STRIPS.xlsx]Sheet1!R161C12</stp>
        <tr r="L161" s="1"/>
      </tp>
      <tp t="s">
        <v>ZERO</v>
        <stp/>
        <stp>##V3_BDPV12</stp>
        <stp>912833FW Govt</stp>
        <stp>CPN_TYP</stp>
        <stp>[STRIPS.xlsx]Sheet1!R739C11</stp>
        <tr r="K739" s="1"/>
      </tp>
      <tp t="s">
        <v>ZERO</v>
        <stp/>
        <stp>##V3_BDPV12</stp>
        <stp>912833FU Govt</stp>
        <stp>CPN_TYP</stp>
        <stp>[STRIPS.xlsx]Sheet1!R509C11</stp>
        <tr r="K509" s="1"/>
      </tp>
      <tp t="s">
        <v>US912833KQ23</v>
        <stp/>
        <stp>##V3_BDPV12</stp>
        <stp>912833KQ Govt</stp>
        <stp>ID_ISIN</stp>
        <stp>[STRIPS.xlsx]Sheet1!R566C12</stp>
        <tr r="L566" s="1"/>
      </tp>
      <tp t="s">
        <v>ZERO</v>
        <stp/>
        <stp>##V3_BDPV12</stp>
        <stp>912833FQ Govt</stp>
        <stp>CPN_TYP</stp>
        <stp>[STRIPS.xlsx]Sheet1!R620C11</stp>
        <tr r="K620" s="1"/>
      </tp>
      <tp t="s">
        <v>US912834KW73</v>
        <stp/>
        <stp>##V3_BDPV12</stp>
        <stp>912834KW Govt</stp>
        <stp>ID_ISIN</stp>
        <stp>[STRIPS.xlsx]Sheet1!R470C12</stp>
        <tr r="L470" s="1"/>
      </tp>
      <tp t="s">
        <v>ZERO</v>
        <stp/>
        <stp>##V3_BDPV12</stp>
        <stp>912833FS Govt</stp>
        <stp>CPN_TYP</stp>
        <stp>[STRIPS.xlsx]Sheet1!R508C11</stp>
        <tr r="K508" s="1"/>
      </tp>
      <tp t="s">
        <v>ZERO</v>
        <stp/>
        <stp>##V3_BDPV12</stp>
        <stp>912833FP Govt</stp>
        <stp>CPN_TYP</stp>
        <stp>[STRIPS.xlsx]Sheet1!R664C11</stp>
        <tr r="K664" s="1"/>
      </tp>
      <tp t="s">
        <v>US912833KS88</v>
        <stp/>
        <stp>##V3_BDPV12</stp>
        <stp>912833KS Govt</stp>
        <stp>ID_ISIN</stp>
        <stp>[STRIPS.xlsx]Sheet1!R176C12</stp>
        <tr r="L176" s="1"/>
      </tp>
      <tp t="s">
        <v>US912834KQ06</v>
        <stp/>
        <stp>##V3_BDPV12</stp>
        <stp>912834KQ Govt</stp>
        <stp>ID_ISIN</stp>
        <stp>[STRIPS.xlsx]Sheet1!R318C12</stp>
        <tr r="L318" s="1"/>
      </tp>
      <tp t="s">
        <v>US912834KS61</v>
        <stp/>
        <stp>##V3_BDPV12</stp>
        <stp>912834KS Govt</stp>
        <stp>ID_ISIN</stp>
        <stp>[STRIPS.xlsx]Sheet1!R268C12</stp>
        <tr r="L268" s="1"/>
      </tp>
      <tp t="s">
        <v>US912833KU35</v>
        <stp/>
        <stp>##V3_BDPV12</stp>
        <stp>912833KU Govt</stp>
        <stp>ID_ISIN</stp>
        <stp>[STRIPS.xlsx]Sheet1!R444C12</stp>
        <tr r="L444" s="1"/>
      </tp>
      <tp t="s">
        <v>US912833KV18</v>
        <stp/>
        <stp>##V3_BDPV12</stp>
        <stp>912833KV Govt</stp>
        <stp>ID_ISIN</stp>
        <stp>[STRIPS.xlsx]Sheet1!R742C12</stp>
        <tr r="L742" s="1"/>
      </tp>
      <tp t="s">
        <v>US912834KU18</v>
        <stp/>
        <stp>##V3_BDPV12</stp>
        <stp>912834KU Govt</stp>
        <stp>ID_ISIN</stp>
        <stp>[STRIPS.xlsx]Sheet1!R401C12</stp>
        <tr r="L401" s="1"/>
      </tp>
      <tp t="s">
        <v>9128335H9</v>
        <stp/>
        <stp>##V3_BDPV12</stp>
        <stp>9128335H Govt</stp>
        <stp>ID_CUSIP</stp>
        <stp>[STRIPS.xlsx]Sheet1!R722C19</stp>
        <tr r="S722" s="1"/>
      </tp>
      <tp t="s">
        <v>9128332H2</v>
        <stp/>
        <stp>##V3_BDPV12</stp>
        <stp>9128332H Govt</stp>
        <stp>ID_CUSIP</stp>
        <stp>[STRIPS.xlsx]Sheet1!R718C19</stp>
        <tr r="S718" s="1"/>
      </tp>
      <tp t="s">
        <v>7/15/1996</v>
        <stp/>
        <stp>##V3_BDPV12</stp>
        <stp>912833MS Govt</stp>
        <stp>ISSUE_DT</stp>
        <stp>[STRIPS.xlsx]Sheet1!R625C15</stp>
        <tr r="O625" s="1"/>
      </tp>
      <tp t="s">
        <v>12/31/1997</v>
        <stp/>
        <stp>##V3_BDPV12</stp>
        <stp>912833QS Govt</stp>
        <stp>ISSUE_DT</stp>
        <stp>[STRIPS.xlsx]Sheet1!R632C15</stp>
        <tr r="O632" s="1"/>
      </tp>
      <tp t="s">
        <v>5/1/2006</v>
        <stp/>
        <stp>##V3_BDPV12</stp>
        <stp>9128335S Govt</stp>
        <stp>ISSUE_DT</stp>
        <stp>[STRIPS.xlsx]Sheet1!R649C15</stp>
        <tr r="O649" s="1"/>
      </tp>
      <tp t="s">
        <v>912833QH6</v>
        <stp/>
        <stp>##V3_BDPV12</stp>
        <stp>912833QH Govt</stp>
        <stp>ID_CUSIP</stp>
        <stp>[STRIPS.xlsx]Sheet1!R630C19</stp>
        <tr r="S630" s="1"/>
      </tp>
      <tp t="s">
        <v>912833RH5</v>
        <stp/>
        <stp>##V3_BDPV12</stp>
        <stp>912833RH Govt</stp>
        <stp>ID_CUSIP</stp>
        <stp>[STRIPS.xlsx]Sheet1!R634C19</stp>
        <tr r="S634" s="1"/>
      </tp>
      <tp t="s">
        <v>9128333H1</v>
        <stp/>
        <stp>##V3_BDPV12</stp>
        <stp>9128333H Govt</stp>
        <stp>ID_CUSIP</stp>
        <stp>[STRIPS.xlsx]Sheet1!R600C19</stp>
        <tr r="S600" s="1"/>
      </tp>
      <tp t="s">
        <v>912833CH1</v>
        <stp/>
        <stp>##V3_BDPV12</stp>
        <stp>912833CH Govt</stp>
        <stp>ID_CUSIP</stp>
        <stp>[STRIPS.xlsx]Sheet1!R615C19</stp>
        <tr r="S615" s="1"/>
      </tp>
      <tp t="s">
        <v>912833ZH6</v>
        <stp/>
        <stp>##V3_BDPV12</stp>
        <stp>912833ZH Govt</stp>
        <stp>ID_CUSIP</stp>
        <stp>[STRIPS.xlsx]Sheet1!R698C19</stp>
        <tr r="S698" s="1"/>
      </tp>
      <tp t="s">
        <v>5/31/2019</v>
        <stp/>
        <stp>##V3_BDPV12</stp>
        <stp>912834US Govt</stp>
        <stp>ISSUE_DT</stp>
        <stp>[STRIPS.xlsx]Sheet1!R762C15</stp>
        <tr r="O762" s="1"/>
      </tp>
      <tp t="s">
        <v>7/31/2006</v>
        <stp/>
        <stp>##V3_BDPV12</stp>
        <stp>9128336S Govt</stp>
        <stp>ISSUE_DT</stp>
        <stp>[STRIPS.xlsx]Sheet1!R751C15</stp>
        <tr r="O751" s="1"/>
      </tp>
      <tp t="s">
        <v>912833KH2</v>
        <stp/>
        <stp>##V3_BDPV12</stp>
        <stp>912833KH Govt</stp>
        <stp>ID_CUSIP</stp>
        <stp>[STRIPS.xlsx]Sheet1!R565C19</stp>
        <tr r="S565" s="1"/>
      </tp>
      <tp t="s">
        <v>912833DH0</v>
        <stp/>
        <stp>##V3_BDPV12</stp>
        <stp>912833DH Govt</stp>
        <stp>ID_CUSIP</stp>
        <stp>[STRIPS.xlsx]Sheet1!R506C19</stp>
        <tr r="S506" s="1"/>
      </tp>
      <tp t="s">
        <v>912833FH8</v>
        <stp/>
        <stp>##V3_BDPV12</stp>
        <stp>912833FH Govt</stp>
        <stp>ID_CUSIP</stp>
        <stp>[STRIPS.xlsx]Sheet1!R507C19</stp>
        <tr r="S507" s="1"/>
      </tp>
      <tp t="s">
        <v>US912834KY30</v>
        <stp/>
        <stp>##V3_BDPV12</stp>
        <stp>912834KY Govt</stp>
        <stp>ID_ISIN</stp>
        <stp>[STRIPS.xlsx]Sheet1!R472C12</stp>
        <tr r="L472" s="1"/>
      </tp>
      <tp t="s">
        <v>9/30/2009</v>
        <stp/>
        <stp>##V3_BDPV12</stp>
        <stp>912834ES Govt</stp>
        <stp>ISSUE_DT</stp>
        <stp>[STRIPS.xlsx]Sheet1!R464C15</stp>
        <tr r="O464" s="1"/>
      </tp>
      <tp t="s">
        <v>9/15/2003</v>
        <stp/>
        <stp>##V3_BDPV12</stp>
        <stp>912833ZS Govt</stp>
        <stp>ISSUE_DT</stp>
        <stp>[STRIPS.xlsx]Sheet1!R455C15</stp>
        <tr r="O455" s="1"/>
      </tp>
      <tp t="s">
        <v>7/31/2013</v>
        <stp/>
        <stp>##V3_BDPV12</stp>
        <stp>912834MS Govt</stp>
        <stp>ISSUE_DT</stp>
        <stp>[STRIPS.xlsx]Sheet1!R406C15</stp>
        <tr r="O406" s="1"/>
      </tp>
      <tp t="s">
        <v>9128337H7</v>
        <stp/>
        <stp>##V3_BDPV12</stp>
        <stp>9128337H Govt</stp>
        <stp>ID_CUSIP</stp>
        <stp>[STRIPS.xlsx]Sheet1!R431C19</stp>
        <tr r="S431" s="1"/>
      </tp>
      <tp t="s">
        <v>US912834KX56</v>
        <stp/>
        <stp>##V3_BDPV12</stp>
        <stp>912834KX Govt</stp>
        <stp>ID_ISIN</stp>
        <stp>[STRIPS.xlsx]Sheet1!R471C12</stp>
        <tr r="L471" s="1"/>
      </tp>
      <tp t="s">
        <v>912834RH3</v>
        <stp/>
        <stp>##V3_BDPV12</stp>
        <stp>912834RH Govt</stp>
        <stp>ID_CUSIP</stp>
        <stp>[STRIPS.xlsx]Sheet1!R481C19</stp>
        <tr r="S481" s="1"/>
      </tp>
      <tp t="s">
        <v>9128334H0</v>
        <stp/>
        <stp>##V3_BDPV12</stp>
        <stp>9128334H Govt</stp>
        <stp>ID_CUSIP</stp>
        <stp>[STRIPS.xlsx]Sheet1!R489C19</stp>
        <tr r="S489" s="1"/>
      </tp>
      <tp t="s">
        <v>9128336H8</v>
        <stp/>
        <stp>##V3_BDPV12</stp>
        <stp>9128336H Govt</stp>
        <stp>ID_CUSIP</stp>
        <stp>[STRIPS.xlsx]Sheet1!R495C19</stp>
        <tr r="S495" s="1"/>
      </tp>
      <tp t="s">
        <v>US912833KY56</v>
        <stp/>
        <stp>##V3_BDPV12</stp>
        <stp>912833KY Govt</stp>
        <stp>ID_ISIN</stp>
        <stp>[STRIPS.xlsx]Sheet1!R513C12</stp>
        <tr r="L513" s="1"/>
      </tp>
      <tp t="s">
        <v>4/1/2002</v>
        <stp/>
        <stp>##V3_BDPV12</stp>
        <stp>912833YS Govt</stp>
        <stp>ISSUE_DT</stp>
        <stp>[STRIPS.xlsx]Sheet1!R585C15</stp>
        <tr r="O585" s="1"/>
      </tp>
      <tp t="s">
        <v>11/15/1984</v>
        <stp/>
        <stp>##V3_BDPV12</stp>
        <stp>912833FS Govt</stp>
        <stp>ISSUE_DT</stp>
        <stp>[STRIPS.xlsx]Sheet1!R508C15</stp>
        <tr r="O508" s="1"/>
      </tp>
      <tp t="s">
        <v>3/2/1998</v>
        <stp/>
        <stp>##V3_BDPV12</stp>
        <stp>912833RS Govt</stp>
        <stp>ISSUE_DT</stp>
        <stp>[STRIPS.xlsx]Sheet1!R525C15</stp>
        <tr r="O525" s="1"/>
      </tp>
      <tp t="s">
        <v>6/30/2014</v>
        <stp/>
        <stp>##V3_BDPV12</stp>
        <stp>912834NS Govt</stp>
        <stp>ISSUE_DT</stp>
        <stp>[STRIPS.xlsx]Sheet1!R547C15</stp>
        <tr r="O547" s="1"/>
      </tp>
      <tp t="s">
        <v>1/18/2005</v>
        <stp/>
        <stp>##V3_BDPV12</stp>
        <stp>9128333S Govt</stp>
        <stp>ISSUE_DT</stp>
        <stp>[STRIPS.xlsx]Sheet1!R553C15</stp>
        <tr r="O553" s="1"/>
      </tp>
      <tp t="s">
        <v>10/31/1997</v>
        <stp/>
        <stp>##V3_BDPV12</stp>
        <stp>912833PS Govt</stp>
        <stp>ISSUE_DT</stp>
        <stp>[STRIPS.xlsx]Sheet1!R574C15</stp>
        <tr r="O574" s="1"/>
      </tp>
      <tp t="s">
        <v>912834EH7</v>
        <stp/>
        <stp>##V3_BDPV12</stp>
        <stp>912834EH Govt</stp>
        <stp>ID_CUSIP</stp>
        <stp>[STRIPS.xlsx]Sheet1!R309C19</stp>
        <tr r="S309" s="1"/>
      </tp>
      <tp t="s">
        <v>ZERO</v>
        <stp/>
        <stp>##V3_BDPV12</stp>
        <stp>912833FZ Govt</stp>
        <stp>CPN_TYP</stp>
        <stp>[STRIPS.xlsx]Sheet1!R511C11</stp>
        <tr r="K511" s="1"/>
      </tp>
      <tp t="s">
        <v>912834MH8</v>
        <stp/>
        <stp>##V3_BDPV12</stp>
        <stp>912834MH Govt</stp>
        <stp>ID_CUSIP</stp>
        <stp>[STRIPS.xlsx]Sheet1!R326C19</stp>
        <tr r="S326" s="1"/>
      </tp>
      <tp t="s">
        <v>912834LH9</v>
        <stp/>
        <stp>##V3_BDPV12</stp>
        <stp>912834LH Govt</stp>
        <stp>ID_CUSIP</stp>
        <stp>[STRIPS.xlsx]Sheet1!R322C19</stp>
        <tr r="S322" s="1"/>
      </tp>
      <tp t="s">
        <v>ZERO</v>
        <stp/>
        <stp>##V3_BDPV12</stp>
        <stp>912833FY Govt</stp>
        <stp>CPN_TYP</stp>
        <stp>[STRIPS.xlsx]Sheet1!R665C11</stp>
        <tr r="K665" s="1"/>
      </tp>
      <tp t="s">
        <v>912834BH0</v>
        <stp/>
        <stp>##V3_BDPV12</stp>
        <stp>912834BH Govt</stp>
        <stp>ID_CUSIP</stp>
        <stp>[STRIPS.xlsx]Sheet1!R351C19</stp>
        <tr r="S351" s="1"/>
      </tp>
      <tp t="s">
        <v>912833PH7</v>
        <stp/>
        <stp>##V3_BDPV12</stp>
        <stp>912833PH Govt</stp>
        <stp>ID_CUSIP</stp>
        <stp>[STRIPS.xlsx]Sheet1!R336C19</stp>
        <tr r="S336" s="1"/>
      </tp>
      <tp t="s">
        <v>912833MH0</v>
        <stp/>
        <stp>##V3_BDPV12</stp>
        <stp>912833MH Govt</stp>
        <stp>ID_CUSIP</stp>
        <stp>[STRIPS.xlsx]Sheet1!R306C19</stp>
        <tr r="S306" s="1"/>
      </tp>
      <tp t="s">
        <v>912834AH1</v>
        <stp/>
        <stp>##V3_BDPV12</stp>
        <stp>912834AH Govt</stp>
        <stp>ID_CUSIP</stp>
        <stp>[STRIPS.xlsx]Sheet1!R385C19</stp>
        <tr r="S385" s="1"/>
      </tp>
      <tp t="s">
        <v>US912833KZ22</v>
        <stp/>
        <stp>##V3_BDPV12</stp>
        <stp>912833KZ Govt</stp>
        <stp>ID_ISIN</stp>
        <stp>[STRIPS.xlsx]Sheet1!R152C12</stp>
        <tr r="L152" s="1"/>
      </tp>
      <tp t="s">
        <v>2/15/1985</v>
        <stp/>
        <stp>##V3_BDPV12</stp>
        <stp>912833CS Govt</stp>
        <stp>ISSUE_DT</stp>
        <stp>[STRIPS.xlsx]Sheet1!R298C15</stp>
        <tr r="O298" s="1"/>
      </tp>
      <tp t="s">
        <v>8/31/2012</v>
        <stp/>
        <stp>##V3_BDPV12</stp>
        <stp>912834LS Govt</stp>
        <stp>ISSUE_DT</stp>
        <stp>[STRIPS.xlsx]Sheet1!R270C15</stp>
        <tr r="O270" s="1"/>
      </tp>
      <tp t="s">
        <v>9/30/2011</v>
        <stp/>
        <stp>##V3_BDPV12</stp>
        <stp>912834KS Govt</stp>
        <stp>ISSUE_DT</stp>
        <stp>[STRIPS.xlsx]Sheet1!R268C15</stp>
        <tr r="O268" s="1"/>
      </tp>
      <tp t="s">
        <v>11/2/2015</v>
        <stp/>
        <stp>##V3_BDPV12</stp>
        <stp>912834PS Govt</stp>
        <stp>ISSUE_DT</stp>
        <stp>[STRIPS.xlsx]Sheet1!R209C15</stp>
        <tr r="O209" s="1"/>
      </tp>
      <tp t="s">
        <v>ZERO</v>
        <stp/>
        <stp>##V3_BDPV12</stp>
        <stp>912833FX Govt</stp>
        <stp>CPN_TYP</stp>
        <stp>[STRIPS.xlsx]Sheet1!R622C11</stp>
        <tr r="K622" s="1"/>
      </tp>
      <tp t="s">
        <v>912834WH7</v>
        <stp/>
        <stp>##V3_BDPV12</stp>
        <stp>912834WH Govt</stp>
        <stp>ID_CUSIP</stp>
        <stp>[STRIPS.xlsx]Sheet1!R215C19</stp>
        <tr r="S215" s="1"/>
      </tp>
      <tp t="s">
        <v>912833NH9</v>
        <stp/>
        <stp>##V3_BDPV12</stp>
        <stp>912833NH Govt</stp>
        <stp>ID_CUSIP</stp>
        <stp>[STRIPS.xlsx]Sheet1!R237C19</stp>
        <tr r="S237" s="1"/>
      </tp>
      <tp t="s">
        <v>3/31/2010</v>
        <stp/>
        <stp>##V3_BDPV12</stp>
        <stp>912834HS Govt</stp>
        <stp>ISSUE_DT</stp>
        <stp>[STRIPS.xlsx]Sheet1!R396C15</stp>
        <tr r="O396" s="1"/>
      </tp>
      <tp t="s">
        <v>2/28/2011</v>
        <stp/>
        <stp>##V3_BDPV12</stp>
        <stp>912834JS Govt</stp>
        <stp>ISSUE_DT</stp>
        <stp>[STRIPS.xlsx]Sheet1!R315C15</stp>
        <tr r="O315" s="1"/>
      </tp>
      <tp t="s">
        <v>912834UH9</v>
        <stp/>
        <stp>##V3_BDPV12</stp>
        <stp>912834UH Govt</stp>
        <stp>ID_CUSIP</stp>
        <stp>[STRIPS.xlsx]Sheet1!R105C19</stp>
        <tr r="S105" s="1"/>
      </tp>
      <tp t="s">
        <v>912834XH6</v>
        <stp/>
        <stp>##V3_BDPV12</stp>
        <stp>912834XH Govt</stp>
        <stp>ID_CUSIP</stp>
        <stp>[STRIPS.xlsx]Sheet1!R150C19</stp>
        <tr r="S150" s="1"/>
      </tp>
      <tp t="s">
        <v>912834VH8</v>
        <stp/>
        <stp>##V3_BDPV12</stp>
        <stp>912834VH Govt</stp>
        <stp>ID_CUSIP</stp>
        <stp>[STRIPS.xlsx]Sheet1!R146C19</stp>
        <tr r="S146" s="1"/>
      </tp>
      <tp t="s">
        <v>US912833KX73</v>
        <stp/>
        <stp>##V3_BDPV12</stp>
        <stp>912833KX Govt</stp>
        <stp>ID_ISIN</stp>
        <stp>[STRIPS.xlsx]Sheet1!R157C12</stp>
        <tr r="L157" s="1"/>
      </tp>
      <tp t="s">
        <v>US912834KZ05</v>
        <stp/>
        <stp>##V3_BDPV12</stp>
        <stp>912834KZ Govt</stp>
        <stp>ID_ISIN</stp>
        <stp>[STRIPS.xlsx]Sheet1!R269C12</stp>
        <tr r="L269" s="1"/>
      </tp>
      <tp t="s">
        <v>7/2/2018</v>
        <stp/>
        <stp>##V3_BDPV12</stp>
        <stp>912834TS Govt</stp>
        <stp>ISSUE_DT</stp>
        <stp>[STRIPS.xlsx]Sheet1!R196C15</stp>
        <tr r="O196" s="1"/>
      </tp>
      <tp t="s">
        <v>3/31/2020</v>
        <stp/>
        <stp>##V3_BDPV12</stp>
        <stp>912834VS Govt</stp>
        <stp>ISSUE_DT</stp>
        <stp>[STRIPS.xlsx]Sheet1!R170C15</stp>
        <tr r="O170" s="1"/>
      </tp>
      <tp t="s">
        <v>8/31/2017</v>
        <stp/>
        <stp>##V3_BDPV12</stp>
        <stp>912834RS Govt</stp>
        <stp>ISSUE_DT</stp>
        <stp>[STRIPS.xlsx]Sheet1!R169C15</stp>
        <tr r="O169" s="1"/>
      </tp>
      <tp t="s">
        <v>9/30/2016</v>
        <stp/>
        <stp>##V3_BDPV12</stp>
        <stp>912834QS Govt</stp>
        <stp>ISSUE_DT</stp>
        <stp>[STRIPS.xlsx]Sheet1!R135C15</stp>
        <tr r="O135" s="1"/>
      </tp>
      <tp t="s">
        <v>11/22/1988</v>
        <stp/>
        <stp>##V3_BDPV12</stp>
        <stp>912833KS Govt</stp>
        <stp>ISSUE_DT</stp>
        <stp>[STRIPS.xlsx]Sheet1!R176C15</stp>
        <tr r="O176" s="1"/>
      </tp>
      <tp t="s">
        <v>ZERO</v>
        <stp/>
        <stp>##V3_BDPV12</stp>
        <stp>912834FB Govt</stp>
        <stp>CPN_TYP</stp>
        <stp>[STRIPS.xlsx]Sheet1!R120C11</stp>
        <tr r="K120" s="1"/>
      </tp>
      <tp t="s">
        <v>US912834KD92</v>
        <stp/>
        <stp>##V3_BDPV12</stp>
        <stp>912834KD Govt</stp>
        <stp>ID_ISIN</stp>
        <stp>[STRIPS.xlsx]Sheet1!R398C12</stp>
        <tr r="L398" s="1"/>
      </tp>
      <tp t="s">
        <v>US912833KC37</v>
        <stp/>
        <stp>##V3_BDPV12</stp>
        <stp>912833KC Govt</stp>
        <stp>ID_ISIN</stp>
        <stp>[STRIPS.xlsx]Sheet1!R442C12</stp>
        <tr r="L442" s="1"/>
      </tp>
      <tp t="s">
        <v>US912833KD10</v>
        <stp/>
        <stp>##V3_BDPV12</stp>
        <stp>912833KD Govt</stp>
        <stp>ID_ISIN</stp>
        <stp>[STRIPS.xlsx]Sheet1!R300C12</stp>
        <tr r="L300" s="1"/>
      </tp>
      <tp t="s">
        <v>ZERO</v>
        <stp/>
        <stp>##V3_BDPV12</stp>
        <stp>912834FA Govt</stp>
        <stp>CPN_TYP</stp>
        <stp>[STRIPS.xlsx]Sheet1!R395C11</stp>
        <tr r="K395" s="1"/>
      </tp>
      <tp t="s">
        <v>US912834KE75</v>
        <stp/>
        <stp>##V3_BDPV12</stp>
        <stp>912834KE Govt</stp>
        <stp>ID_ISIN</stp>
        <stp>[STRIPS.xlsx]Sheet1!R316C12</stp>
        <tr r="L316" s="1"/>
      </tp>
      <tp t="s">
        <v>ZERO</v>
        <stp/>
        <stp>##V3_BDPV12</stp>
        <stp>912833FG Govt</stp>
        <stp>CPN_TYP</stp>
        <stp>[STRIPS.xlsx]Sheet1!R661C11</stp>
        <tr r="K661" s="1"/>
      </tp>
      <tp t="s">
        <v>US912833KF67</v>
        <stp/>
        <stp>##V3_BDPV12</stp>
        <stp>912833KF Govt</stp>
        <stp>ID_ISIN</stp>
        <stp>[STRIPS.xlsx]Sheet1!R368C12</stp>
        <tr r="L368" s="1"/>
      </tp>
      <tp t="s">
        <v>US912834KG24</v>
        <stp/>
        <stp>##V3_BDPV12</stp>
        <stp>912834KG Govt</stp>
        <stp>ID_ISIN</stp>
        <stp>[STRIPS.xlsx]Sheet1!R230C12</stp>
        <tr r="L230" s="1"/>
      </tp>
      <tp t="s">
        <v>ZERO</v>
        <stp/>
        <stp>##V3_BDPV12</stp>
        <stp>912833FF Govt</stp>
        <stp>CPN_TYP</stp>
        <stp>[STRIPS.xlsx]Sheet1!R618C11</stp>
        <tr r="K618" s="1"/>
      </tp>
      <tp t="s">
        <v>US912834KF41</v>
        <stp/>
        <stp>##V3_BDPV12</stp>
        <stp>912834KF Govt</stp>
        <stp>ID_ISIN</stp>
        <stp>[STRIPS.xlsx]Sheet1!R229C12</stp>
        <tr r="L229" s="1"/>
      </tp>
      <tp t="s">
        <v>US912833KE92</v>
        <stp/>
        <stp>##V3_BDPV12</stp>
        <stp>912833KE Govt</stp>
        <stp>ID_ISIN</stp>
        <stp>[STRIPS.xlsx]Sheet1!R670C12</stp>
        <tr r="L670" s="1"/>
      </tp>
      <tp t="s">
        <v>US912834KB37</v>
        <stp/>
        <stp>##V3_BDPV12</stp>
        <stp>912834KB Govt</stp>
        <stp>ID_ISIN</stp>
        <stp>[STRIPS.xlsx]Sheet1!R110C12</stp>
        <tr r="L110" s="1"/>
      </tp>
      <tp t="s">
        <v>ZERO</v>
        <stp/>
        <stp>##V3_BDPV12</stp>
        <stp>912834FC Govt</stp>
        <stp>CPN_TYP</stp>
        <stp>[STRIPS.xlsx]Sheet1!R534C11</stp>
        <tr r="K534" s="1"/>
      </tp>
      <tp t="s">
        <v>US912834KC10</v>
        <stp/>
        <stp>##V3_BDPV12</stp>
        <stp>912834KC Govt</stp>
        <stp>ID_ISIN</stp>
        <stp>[STRIPS.xlsx]Sheet1!R133C12</stp>
        <tr r="L133" s="1"/>
      </tp>
      <tp t="s">
        <v>US912833KB53</v>
        <stp/>
        <stp>##V3_BDPV12</stp>
        <stp>912833KB Govt</stp>
        <stp>ID_ISIN</stp>
        <stp>[STRIPS.xlsx]Sheet1!R367C12</stp>
        <tr r="L367" s="1"/>
      </tp>
      <tp t="s">
        <v>US912833KG41</v>
        <stp/>
        <stp>##V3_BDPV12</stp>
        <stp>912833KG Govt</stp>
        <stp>ID_ISIN</stp>
        <stp>[STRIPS.xlsx]Sheet1!R671C12</stp>
        <tr r="L671" s="1"/>
      </tp>
      <tp t="s">
        <v>US912833KA70</v>
        <stp/>
        <stp>##V3_BDPV12</stp>
        <stp>912833KA Govt</stp>
        <stp>ID_ISIN</stp>
        <stp>[STRIPS.xlsx]Sheet1!R193C12</stp>
        <tr r="L193" s="1"/>
      </tp>
      <tp t="s">
        <v>US912834KA53</v>
        <stp/>
        <stp>##V3_BDPV12</stp>
        <stp>912834KA Govt</stp>
        <stp>ID_ISIN</stp>
        <stp>[STRIPS.xlsx]Sheet1!R165C12</stp>
        <tr r="L165" s="1"/>
      </tp>
      <tp t="s">
        <v>ZERO</v>
        <stp/>
        <stp>##V3_BDPV12</stp>
        <stp>912833FM Govt</stp>
        <stp>CPN_TYP</stp>
        <stp>[STRIPS.xlsx]Sheet1!R619C11</stp>
        <tr r="K619" s="1"/>
      </tp>
      <tp t="s">
        <v>US912833KL36</v>
        <stp/>
        <stp>##V3_BDPV12</stp>
        <stp>912833KL Govt</stp>
        <stp>ID_ISIN</stp>
        <stp>[STRIPS.xlsx]Sheet1!R302C12</stp>
        <tr r="L302" s="1"/>
      </tp>
      <tp t="s">
        <v>US912833KJ89</v>
        <stp/>
        <stp>##V3_BDPV12</stp>
        <stp>912833KJ Govt</stp>
        <stp>ID_ISIN</stp>
        <stp>[STRIPS.xlsx]Sheet1!R512C12</stp>
        <tr r="L512" s="1"/>
      </tp>
      <tp t="s">
        <v>ZERO</v>
        <stp/>
        <stp>##V3_BDPV12</stp>
        <stp>912833FL Govt</stp>
        <stp>CPN_TYP</stp>
        <stp>[STRIPS.xlsx]Sheet1!R663C11</stp>
        <tr r="K663" s="1"/>
      </tp>
      <tp t="s">
        <v>US912834KM91</v>
        <stp/>
        <stp>##V3_BDPV12</stp>
        <stp>912834KM Govt</stp>
        <stp>ID_ISIN</stp>
        <stp>[STRIPS.xlsx]Sheet1!R399C12</stp>
        <tr r="L399" s="1"/>
      </tp>
      <tp t="s">
        <v>US912833KM19</v>
        <stp/>
        <stp>##V3_BDPV12</stp>
        <stp>912833KM Govt</stp>
        <stp>ID_ISIN</stp>
        <stp>[STRIPS.xlsx]Sheet1!R303C12</stp>
        <tr r="L303" s="1"/>
      </tp>
      <tp t="s">
        <v>ZERO</v>
        <stp/>
        <stp>##V3_BDPV12</stp>
        <stp>912833FN Govt</stp>
        <stp>CPN_TYP</stp>
        <stp>[STRIPS.xlsx]Sheet1!R738C11</stp>
        <tr r="K738" s="1"/>
      </tp>
      <tp t="s">
        <v>US912833KH24</v>
        <stp/>
        <stp>##V3_BDPV12</stp>
        <stp>912833KH Govt</stp>
        <stp>ID_ISIN</stp>
        <stp>[STRIPS.xlsx]Sheet1!R565C12</stp>
        <tr r="L565" s="1"/>
      </tp>
      <tp t="s">
        <v>US912834KN74</v>
        <stp/>
        <stp>##V3_BDPV12</stp>
        <stp>912834KN Govt</stp>
        <stp>ID_ISIN</stp>
        <stp>[STRIPS.xlsx]Sheet1!R469C12</stp>
        <tr r="L469" s="1"/>
      </tp>
      <tp t="s">
        <v>ZERO</v>
        <stp/>
        <stp>##V3_BDPV12</stp>
        <stp>912833FJ Govt</stp>
        <stp>CPN_TYP</stp>
        <stp>[STRIPS.xlsx]Sheet1!R737C11</stp>
        <tr r="K737" s="1"/>
      </tp>
      <tp t="s">
        <v>ZERO</v>
        <stp/>
        <stp>##V3_BDPV12</stp>
        <stp>912833FH Govt</stp>
        <stp>CPN_TYP</stp>
        <stp>[STRIPS.xlsx]Sheet1!R507C11</stp>
        <tr r="K507" s="1"/>
      </tp>
      <tp t="s">
        <v>ZERO</v>
        <stp/>
        <stp>##V3_BDPV12</stp>
        <stp>912833FK Govt</stp>
        <stp>CPN_TYP</stp>
        <stp>[STRIPS.xlsx]Sheet1!R662C11</stp>
        <tr r="K662" s="1"/>
      </tp>
      <tp t="s">
        <v>US912834KL19</v>
        <stp/>
        <stp>##V3_BDPV12</stp>
        <stp>912834KL Govt</stp>
        <stp>ID_ISIN</stp>
        <stp>[STRIPS.xlsx]Sheet1!R468C12</stp>
        <tr r="L468" s="1"/>
      </tp>
      <tp t="s">
        <v>US912834KJ62</v>
        <stp/>
        <stp>##V3_BDPV12</stp>
        <stp>912834KJ Govt</stp>
        <stp>ID_ISIN</stp>
        <stp>[STRIPS.xlsx]Sheet1!R267C12</stp>
        <tr r="L267" s="1"/>
      </tp>
      <tp t="s">
        <v>US912833KN91</v>
        <stp/>
        <stp>##V3_BDPV12</stp>
        <stp>912833KN Govt</stp>
        <stp>ID_ISIN</stp>
        <stp>[STRIPS.xlsx]Sheet1!R672C12</stp>
        <tr r="L672" s="1"/>
      </tp>
      <tp t="s">
        <v>US912833KK52</v>
        <stp/>
        <stp>##V3_BDPV12</stp>
        <stp>912833KK Govt</stp>
        <stp>ID_ISIN</stp>
        <stp>[STRIPS.xlsx]Sheet1!R301C12</stp>
        <tr r="L301" s="1"/>
      </tp>
      <tp t="s">
        <v>US912834KK36</v>
        <stp/>
        <stp>##V3_BDPV12</stp>
        <stp>912834KK Govt</stp>
        <stp>ID_ISIN</stp>
        <stp>[STRIPS.xlsx]Sheet1!R317C12</stp>
        <tr r="L317" s="1"/>
      </tp>
      <tp t="s">
        <v>#N/A Field Not Applicable</v>
        <stp/>
        <stp>##V3_BDPV12</stp>
        <stp>912833XU Govt</stp>
        <stp>COUPON_FREQUENCY_DESCRIPTION</stp>
        <stp>[STRIPS.xlsx]Sheet1!R30C10</stp>
        <tr r="J30" s="1"/>
      </tp>
      <tp t="s">
        <v>#N/A Field Not Applicable</v>
        <stp/>
        <stp>##V3_BDPV12</stp>
        <stp>912833XT Govt</stp>
        <stp>COUPON_FREQUENCY_DESCRIPTION</stp>
        <stp>[STRIPS.xlsx]Sheet1!R55C10</stp>
        <tr r="J55" s="1"/>
      </tp>
      <tp t="s">
        <v>#N/A Field Not Applicable</v>
        <stp/>
        <stp>##V3_BDPV12</stp>
        <stp>912833XS Govt</stp>
        <stp>COUPON_FREQUENCY_DESCRIPTION</stp>
        <stp>[STRIPS.xlsx]Sheet1!R47C10</stp>
        <tr r="J47" s="1"/>
      </tp>
      <tp t="s">
        <v>#N/A Field Not Applicable</v>
        <stp/>
        <stp>##V3_BDPV12</stp>
        <stp>912833XP Govt</stp>
        <stp>COUPON_FREQUENCY_DESCRIPTION</stp>
        <stp>[STRIPS.xlsx]Sheet1!R44C10</stp>
        <tr r="J44" s="1"/>
      </tp>
      <tp t="s">
        <v>#N/A Field Not Applicable</v>
        <stp/>
        <stp>##V3_BDPV12</stp>
        <stp>912833XZ Govt</stp>
        <stp>COUPON_FREQUENCY_DESCRIPTION</stp>
        <stp>[STRIPS.xlsx]Sheet1!R31C10</stp>
        <tr r="J31" s="1"/>
      </tp>
      <tp t="s">
        <v>#N/A Field Not Applicable</v>
        <stp/>
        <stp>##V3_BDPV12</stp>
        <stp>912833XY Govt</stp>
        <stp>COUPON_FREQUENCY_DESCRIPTION</stp>
        <stp>[STRIPS.xlsx]Sheet1!R50C10</stp>
        <tr r="J50" s="1"/>
      </tp>
      <tp t="s">
        <v>#N/A Field Not Applicable</v>
        <stp/>
        <stp>##V3_BDPV12</stp>
        <stp>912833XX Govt</stp>
        <stp>COUPON_FREQUENCY_DESCRIPTION</stp>
        <stp>[STRIPS.xlsx]Sheet1!R62C10</stp>
        <tr r="J62" s="1"/>
      </tp>
      <tp t="s">
        <v>#N/A Field Not Applicable</v>
        <stp/>
        <stp>##V3_BDPV12</stp>
        <stp>912834XG Govt</stp>
        <stp>COUPON_FREQUENCY_DESCRIPTION</stp>
        <stp>[STRIPS.xlsx]Sheet1!R32C10</stp>
        <tr r="J32" s="1"/>
      </tp>
      <tp t="s">
        <v>S 0 01/31/22</v>
        <stp/>
        <stp>##V3_BDPV12</stp>
        <stp>912834PG Govt</stp>
        <stp>SECURITY_NAME</stp>
        <stp>[STRIPS.xlsx]Sheet1!R83C16</stp>
        <tr r="P83" s="1"/>
      </tp>
      <tp t="s">
        <v>S 0 02/15/22</v>
        <stp/>
        <stp>##V3_BDPV12</stp>
        <stp>912833LG Govt</stp>
        <stp>SECURITY_NAME</stp>
        <stp>[STRIPS.xlsx]Sheet1!R33C16</stp>
        <tr r="P33" s="1"/>
      </tp>
      <tp t="s">
        <v>S 0 08/15/51</v>
        <stp/>
        <stp>##V3_BDPV12</stp>
        <stp>912834XG Govt</stp>
        <stp>SECURITY_NAME</stp>
        <stp>[STRIPS.xlsx]Sheet1!R32C16</stp>
        <tr r="P32" s="1"/>
      </tp>
      <tp t="s">
        <v>#N/A Field Not Applicable</v>
        <stp/>
        <stp>##V3_BDPV12</stp>
        <stp>912833XN Govt</stp>
        <stp>COUPON_FREQUENCY_DESCRIPTION</stp>
        <stp>[STRIPS.xlsx]Sheet1!R85C10</stp>
        <tr r="J85" s="1"/>
      </tp>
      <tp t="s">
        <v>#N/A Field Not Applicable</v>
        <stp/>
        <stp>##V3_BDPV12</stp>
        <stp>9128333N Govt</stp>
        <stp>FIRST_CPN_DT</stp>
        <stp>[STRIPS.xlsx]Sheet1!R428C9</stp>
        <tr r="I428" s="1"/>
      </tp>
      <tp t="s">
        <v>USD</v>
        <stp/>
        <stp>##V3_BDPV12</stp>
        <stp>912833B8 Govt</stp>
        <stp>CRNCY</stp>
        <stp>[STRIPS.xlsx]Sheet1!R293C7</stp>
        <tr r="G293" s="1"/>
      </tp>
      <tp t="s">
        <v>ZERO</v>
        <stp/>
        <stp>##V3_BDPV12</stp>
        <stp>912833Y3 Govt</stp>
        <stp>CPN_TYP</stp>
        <stp>[STRIPS.xlsx]Sheet1!R103C11</stp>
        <tr r="K103" s="1"/>
      </tp>
      <tp t="s">
        <v>ZERO</v>
        <stp/>
        <stp>##V3_BDPV12</stp>
        <stp>912833Y7 Govt</stp>
        <stp>CPN_TYP</stp>
        <stp>[STRIPS.xlsx]Sheet1!R583C11</stp>
        <tr r="K583" s="1"/>
      </tp>
      <tp t="s">
        <v>ZERO</v>
        <stp/>
        <stp>##V3_BDPV12</stp>
        <stp>912833Y5 Govt</stp>
        <stp>CPN_TYP</stp>
        <stp>[STRIPS.xlsx]Sheet1!R582C11</stp>
        <tr r="K582" s="1"/>
      </tp>
      <tp t="s">
        <v>ZERO</v>
        <stp/>
        <stp>##V3_BDPV12</stp>
        <stp>912833Y6 Govt</stp>
        <stp>CPN_TYP</stp>
        <stp>[STRIPS.xlsx]Sheet1!R247C11</stp>
        <tr r="K247" s="1"/>
      </tp>
      <tp t="s">
        <v>ZERO</v>
        <stp/>
        <stp>##V3_BDPV12</stp>
        <stp>912833Y8 Govt</stp>
        <stp>CPN_TYP</stp>
        <stp>[STRIPS.xlsx]Sheet1!R248C11</stp>
        <tr r="K248" s="1"/>
      </tp>
      <tp t="s">
        <v>ZERO</v>
        <stp/>
        <stp>##V3_BDPV12</stp>
        <stp>912833Y9 Govt</stp>
        <stp>CPN_TYP</stp>
        <stp>[STRIPS.xlsx]Sheet1!R450C11</stp>
        <tr r="K450" s="1"/>
      </tp>
      <tp t="s">
        <v>ZERO</v>
        <stp/>
        <stp>##V3_BDPV12</stp>
        <stp>912833YQ Govt</stp>
        <stp>CPN_TYP</stp>
        <stp>[STRIPS.xlsx]Sheet1!R344C11</stp>
        <tr r="K344" s="1"/>
      </tp>
      <tp t="s">
        <v>US912834TT53</v>
        <stp/>
        <stp>##V3_BDPV12</stp>
        <stp>912834TT Govt</stp>
        <stp>ID_ISIN</stp>
        <stp>[STRIPS.xlsx]Sheet1!R283C12</stp>
        <tr r="L283" s="1"/>
      </tp>
      <tp t="s">
        <v>US912834TQ15</v>
        <stp/>
        <stp>##V3_BDPV12</stp>
        <stp>912834TQ Govt</stp>
        <stp>ID_ISIN</stp>
        <stp>[STRIPS.xlsx]Sheet1!R758C12</stp>
        <tr r="L758" s="1"/>
      </tp>
      <tp t="s">
        <v>US912834TR97</v>
        <stp/>
        <stp>##V3_BDPV12</stp>
        <stp>912834TR Govt</stp>
        <stp>ID_ISIN</stp>
        <stp>[STRIPS.xlsx]Sheet1!R426C12</stp>
        <tr r="L426" s="1"/>
      </tp>
      <tp t="s">
        <v>ZERO</v>
        <stp/>
        <stp>##V3_BDPV12</stp>
        <stp>912833YR Govt</stp>
        <stp>CPN_TYP</stp>
        <stp>[STRIPS.xlsx]Sheet1!R345C11</stp>
        <tr r="K345" s="1"/>
      </tp>
      <tp t="s">
        <v>ZERO</v>
        <stp/>
        <stp>##V3_BDPV12</stp>
        <stp>912833YU Govt</stp>
        <stp>CPN_TYP</stp>
        <stp>[STRIPS.xlsx]Sheet1!R586C11</stp>
        <tr r="K586" s="1"/>
      </tp>
      <tp t="s">
        <v>ZERO</v>
        <stp/>
        <stp>##V3_BDPV12</stp>
        <stp>912833YT Govt</stp>
        <stp>CPN_TYP</stp>
        <stp>[STRIPS.xlsx]Sheet1!R249C11</stp>
        <tr r="K249" s="1"/>
      </tp>
      <tp t="s">
        <v>US912834TS70</v>
        <stp/>
        <stp>##V3_BDPV12</stp>
        <stp>912834TS Govt</stp>
        <stp>ID_ISIN</stp>
        <stp>[STRIPS.xlsx]Sheet1!R196C12</stp>
        <tr r="L196" s="1"/>
      </tp>
      <tp t="s">
        <v>ZERO</v>
        <stp/>
        <stp>##V3_BDPV12</stp>
        <stp>912833YS Govt</stp>
        <stp>CPN_TYP</stp>
        <stp>[STRIPS.xlsx]Sheet1!R585C11</stp>
        <tr r="K585" s="1"/>
      </tp>
      <tp t="s">
        <v>US912834TU27</v>
        <stp/>
        <stp>##V3_BDPV12</stp>
        <stp>912834TU Govt</stp>
        <stp>ID_ISIN</stp>
        <stp>[STRIPS.xlsx]Sheet1!R752C12</stp>
        <tr r="L752" s="1"/>
      </tp>
      <tp t="s">
        <v>US912834TP32</v>
        <stp/>
        <stp>##V3_BDPV12</stp>
        <stp>912834TP Govt</stp>
        <stp>ID_ISIN</stp>
        <stp>[STRIPS.xlsx]Sheet1!R117C12</stp>
        <tr r="L117" s="1"/>
      </tp>
      <tp t="s">
        <v>ZERO</v>
        <stp/>
        <stp>##V3_BDPV12</stp>
        <stp>912833YV Govt</stp>
        <stp>CPN_TYP</stp>
        <stp>[STRIPS.xlsx]Sheet1!R250C11</stp>
        <tr r="K250" s="1"/>
      </tp>
      <tp t="s">
        <v>US912834TW82</v>
        <stp/>
        <stp>##V3_BDPV12</stp>
        <stp>912834TW Govt</stp>
        <stp>ID_ISIN</stp>
        <stp>[STRIPS.xlsx]Sheet1!R760C12</stp>
        <tr r="L760" s="1"/>
      </tp>
      <tp t="s">
        <v>912833JW1</v>
        <stp/>
        <stp>##V3_BDPV12</stp>
        <stp>912833JW Govt</stp>
        <stp>ID_CUSIP</stp>
        <stp>[STRIPS.xlsx]Sheet1!R740C19</stp>
        <tr r="S740" s="1"/>
      </tp>
      <tp t="s">
        <v>9128335W6</v>
        <stp/>
        <stp>##V3_BDPV12</stp>
        <stp>9128335W Govt</stp>
        <stp>ID_CUSIP</stp>
        <stp>[STRIPS.xlsx]Sheet1!R725C19</stp>
        <tr r="S725" s="1"/>
      </tp>
      <tp t="s">
        <v>912834RW0</v>
        <stp/>
        <stp>##V3_BDPV12</stp>
        <stp>912834RW Govt</stp>
        <stp>ID_CUSIP</stp>
        <stp>[STRIPS.xlsx]Sheet1!R753C19</stp>
        <tr r="S753" s="1"/>
      </tp>
      <tp t="s">
        <v>912833FW5</v>
        <stp/>
        <stp>##V3_BDPV12</stp>
        <stp>912833FW Govt</stp>
        <stp>ID_CUSIP</stp>
        <stp>[STRIPS.xlsx]Sheet1!R739C19</stp>
        <tr r="S739" s="1"/>
      </tp>
      <tp t="s">
        <v>912833CW8</v>
        <stp/>
        <stp>##V3_BDPV12</stp>
        <stp>912833CW Govt</stp>
        <stp>ID_CUSIP</stp>
        <stp>[STRIPS.xlsx]Sheet1!R735C19</stp>
        <tr r="S735" s="1"/>
      </tp>
      <tp t="s">
        <v>912834TW8</v>
        <stp/>
        <stp>##V3_BDPV12</stp>
        <stp>912834TW Govt</stp>
        <stp>ID_CUSIP</stp>
        <stp>[STRIPS.xlsx]Sheet1!R760C19</stp>
        <tr r="S760" s="1"/>
      </tp>
      <tp t="s">
        <v>ZERO</v>
        <stp/>
        <stp>##V3_BDPV12</stp>
        <stp>912833YX Govt</stp>
        <stp>CPN_TYP</stp>
        <stp>[STRIPS.xlsx]Sheet1!R381C11</stp>
        <tr r="K381" s="1"/>
      </tp>
      <tp t="s">
        <v>2/15/1985</v>
        <stp/>
        <stp>##V3_BDPV12</stp>
        <stp>912833CL Govt</stp>
        <stp>ISSUE_DT</stp>
        <stp>[STRIPS.xlsx]Sheet1!R616C15</stp>
        <tr r="O616" s="1"/>
      </tp>
      <tp t="s">
        <v>12/1/1997</v>
        <stp/>
        <stp>##V3_BDPV12</stp>
        <stp>912833QL Govt</stp>
        <stp>ISSUE_DT</stp>
        <stp>[STRIPS.xlsx]Sheet1!R631C15</stp>
        <tr r="O631" s="1"/>
      </tp>
      <tp t="s">
        <v>7/2/2007</v>
        <stp/>
        <stp>##V3_BDPV12</stp>
        <stp>9128337L Govt</stp>
        <stp>ISSUE_DT</stp>
        <stp>[STRIPS.xlsx]Sheet1!R651C15</stp>
        <tr r="O651" s="1"/>
      </tp>
      <tp t="s">
        <v>11/15/1984</v>
        <stp/>
        <stp>##V3_BDPV12</stp>
        <stp>912833FL Govt</stp>
        <stp>ISSUE_DT</stp>
        <stp>[STRIPS.xlsx]Sheet1!R663C15</stp>
        <tr r="O663" s="1"/>
      </tp>
      <tp t="s">
        <v>912833MW7</v>
        <stp/>
        <stp>##V3_BDPV12</stp>
        <stp>912833MW Govt</stp>
        <stp>ID_CUSIP</stp>
        <stp>[STRIPS.xlsx]Sheet1!R675C19</stp>
        <tr r="S675" s="1"/>
      </tp>
      <tp t="s">
        <v>912833ZW3</v>
        <stp/>
        <stp>##V3_BDPV12</stp>
        <stp>912833ZW Govt</stp>
        <stp>ID_CUSIP</stp>
        <stp>[STRIPS.xlsx]Sheet1!R640C19</stp>
        <tr r="S640" s="1"/>
      </tp>
      <tp t="s">
        <v>912834AW8</v>
        <stp/>
        <stp>##V3_BDPV12</stp>
        <stp>912834AW Govt</stp>
        <stp>ID_CUSIP</stp>
        <stp>[STRIPS.xlsx]Sheet1!R641C19</stp>
        <tr r="S641" s="1"/>
      </tp>
      <tp t="s">
        <v>9128336W5</v>
        <stp/>
        <stp>##V3_BDPV12</stp>
        <stp>9128336W Govt</stp>
        <stp>ID_CUSIP</stp>
        <stp>[STRIPS.xlsx]Sheet1!R607C19</stp>
        <tr r="S607" s="1"/>
      </tp>
      <tp t="s">
        <v>912833BW9</v>
        <stp/>
        <stp>##V3_BDPV12</stp>
        <stp>912833BW Govt</stp>
        <stp>ID_CUSIP</stp>
        <stp>[STRIPS.xlsx]Sheet1!R610C19</stp>
        <tr r="S610" s="1"/>
      </tp>
      <tp t="s">
        <v>12/15/2020</v>
        <stp/>
        <stp>##V3_BDPV12</stp>
        <stp>912834WL Govt</stp>
        <stp>ISSUE_DT</stp>
        <stp>[STRIPS.xlsx]Sheet1!R768C15</stp>
        <tr r="O768" s="1"/>
      </tp>
      <tp t="s">
        <v>912834HW1</v>
        <stp/>
        <stp>##V3_BDPV12</stp>
        <stp>912834HW Govt</stp>
        <stp>ID_CUSIP</stp>
        <stp>[STRIPS.xlsx]Sheet1!R536C19</stp>
        <tr r="S536" s="1"/>
      </tp>
      <tp t="s">
        <v>912834NW4</v>
        <stp/>
        <stp>##V3_BDPV12</stp>
        <stp>912834NW Govt</stp>
        <stp>ID_CUSIP</stp>
        <stp>[STRIPS.xlsx]Sheet1!R548C19</stp>
        <tr r="S548" s="1"/>
      </tp>
      <tp t="s">
        <v>4/30/2013</v>
        <stp/>
        <stp>##V3_BDPV12</stp>
        <stp>912834ML Govt</stp>
        <stp>ISSUE_DT</stp>
        <stp>[STRIPS.xlsx]Sheet1!R475C15</stp>
        <tr r="O475" s="1"/>
      </tp>
      <tp t="s">
        <v>6/30/2011</v>
        <stp/>
        <stp>##V3_BDPV12</stp>
        <stp>912834KL Govt</stp>
        <stp>ISSUE_DT</stp>
        <stp>[STRIPS.xlsx]Sheet1!R468C15</stp>
        <tr r="O468" s="1"/>
      </tp>
      <tp t="s">
        <v>7/31/2009</v>
        <stp/>
        <stp>##V3_BDPV12</stp>
        <stp>912834EL Govt</stp>
        <stp>ISSUE_DT</stp>
        <stp>[STRIPS.xlsx]Sheet1!R462C15</stp>
        <tr r="O462" s="1"/>
      </tp>
      <tp t="s">
        <v>3/31/2014</v>
        <stp/>
        <stp>##V3_BDPV12</stp>
        <stp>912834NL Govt</stp>
        <stp>ISSUE_DT</stp>
        <stp>[STRIPS.xlsx]Sheet1!R408C15</stp>
        <tr r="O408" s="1"/>
      </tp>
      <tp t="s">
        <v>912834KW7</v>
        <stp/>
        <stp>##V3_BDPV12</stp>
        <stp>912834KW Govt</stp>
        <stp>ID_CUSIP</stp>
        <stp>[STRIPS.xlsx]Sheet1!R470C19</stp>
        <tr r="S470" s="1"/>
      </tp>
      <tp t="s">
        <v>9128333W8</v>
        <stp/>
        <stp>##V3_BDPV12</stp>
        <stp>9128333W Govt</stp>
        <stp>ID_CUSIP</stp>
        <stp>[STRIPS.xlsx]Sheet1!R485C19</stp>
        <tr r="S485" s="1"/>
      </tp>
      <tp t="s">
        <v>3/2/1998</v>
        <stp/>
        <stp>##V3_BDPV12</stp>
        <stp>912833RL Govt</stp>
        <stp>ISSUE_DT</stp>
        <stp>[STRIPS.xlsx]Sheet1!R523C15</stp>
        <tr r="O523" s="1"/>
      </tp>
      <tp t="s">
        <v>12/31/2010</v>
        <stp/>
        <stp>##V3_BDPV12</stp>
        <stp>912834JL Govt</stp>
        <stp>ISSUE_DT</stp>
        <stp>[STRIPS.xlsx]Sheet1!R538C15</stp>
        <tr r="O538" s="1"/>
      </tp>
      <tp t="s">
        <v>9/30/2004</v>
        <stp/>
        <stp>##V3_BDPV12</stp>
        <stp>9128333L Govt</stp>
        <stp>ISSUE_DT</stp>
        <stp>[STRIPS.xlsx]Sheet1!R552C15</stp>
        <tr r="O552" s="1"/>
      </tp>
      <tp t="s">
        <v>6/30/2006</v>
        <stp/>
        <stp>##V3_BDPV12</stp>
        <stp>9128336L Govt</stp>
        <stp>ISSUE_DT</stp>
        <stp>[STRIPS.xlsx]Sheet1!R557C15</stp>
        <tr r="O557" s="1"/>
      </tp>
      <tp t="s">
        <v>7/15/1996</v>
        <stp/>
        <stp>##V3_BDPV12</stp>
        <stp>912833ML Govt</stp>
        <stp>ISSUE_DT</stp>
        <stp>[STRIPS.xlsx]Sheet1!R568C15</stp>
        <tr r="O568" s="1"/>
      </tp>
      <tp t="s">
        <v>912834EW4</v>
        <stp/>
        <stp>##V3_BDPV12</stp>
        <stp>912834EW Govt</stp>
        <stp>ID_CUSIP</stp>
        <stp>[STRIPS.xlsx]Sheet1!R312C19</stp>
        <tr r="S312" s="1"/>
      </tp>
      <tp t="s">
        <v>912833QW3</v>
        <stp/>
        <stp>##V3_BDPV12</stp>
        <stp>912833QW Govt</stp>
        <stp>ID_CUSIP</stp>
        <stp>[STRIPS.xlsx]Sheet1!R378C19</stp>
        <tr r="S378" s="1"/>
      </tp>
      <tp t="s">
        <v>912834LW6</v>
        <stp/>
        <stp>##V3_BDPV12</stp>
        <stp>912834LW Govt</stp>
        <stp>ID_CUSIP</stp>
        <stp>[STRIPS.xlsx]Sheet1!R360C19</stp>
        <tr r="S360" s="1"/>
      </tp>
      <tp t="s">
        <v>912834DW5</v>
        <stp/>
        <stp>##V3_BDPV12</stp>
        <stp>912834DW Govt</stp>
        <stp>ID_CUSIP</stp>
        <stp>[STRIPS.xlsx]Sheet1!R390C19</stp>
        <tr r="S390" s="1"/>
      </tp>
      <tp t="s">
        <v>US912834TZ14</v>
        <stp/>
        <stp>##V3_BDPV12</stp>
        <stp>912834TZ Govt</stp>
        <stp>ID_ISIN</stp>
        <stp>[STRIPS.xlsx]Sheet1!R139C12</stp>
        <tr r="L139" s="1"/>
      </tp>
      <tp t="s">
        <v>3/31/2006</v>
        <stp/>
        <stp>##V3_BDPV12</stp>
        <stp>9128335L Govt</stp>
        <stp>ISSUE_DT</stp>
        <stp>[STRIPS.xlsx]Sheet1!R287C15</stp>
        <tr r="O287" s="1"/>
      </tp>
      <tp t="s">
        <v>12/15/2005</v>
        <stp/>
        <stp>##V3_BDPV12</stp>
        <stp>9128334L Govt</stp>
        <stp>ISSUE_DT</stp>
        <stp>[STRIPS.xlsx]Sheet1!R284C15</stp>
        <tr r="O284" s="1"/>
      </tp>
      <tp t="s">
        <v>4/15/2009</v>
        <stp/>
        <stp>##V3_BDPV12</stp>
        <stp>912834BL Govt</stp>
        <stp>ISSUE_DT</stp>
        <stp>[STRIPS.xlsx]Sheet1!R262C15</stp>
        <tr r="O262" s="1"/>
      </tp>
      <tp t="s">
        <v>12/15/2008</v>
        <stp/>
        <stp>##V3_BDPV12</stp>
        <stp>912834AL Govt</stp>
        <stp>ISSUE_DT</stp>
        <stp>[STRIPS.xlsx]Sheet1!R258C15</stp>
        <tr r="O258" s="1"/>
      </tp>
      <tp t="s">
        <v>#N/A Field Not Applicable</v>
        <stp/>
        <stp>##V3_BDPV12</stp>
        <stp>912834WC Govt</stp>
        <stp>FIRST_CPN_DT</stp>
        <stp>[STRIPS.xlsx]Sheet1!R78C9</stp>
        <tr r="I78" s="1"/>
      </tp>
      <tp t="s">
        <v>912834JW9</v>
        <stp/>
        <stp>##V3_BDPV12</stp>
        <stp>912834JW Govt</stp>
        <stp>ID_CUSIP</stp>
        <stp>[STRIPS.xlsx]Sheet1!R210C19</stp>
        <tr r="S210" s="1"/>
      </tp>
      <tp t="s">
        <v>912834MW5</v>
        <stp/>
        <stp>##V3_BDPV12</stp>
        <stp>912834MW Govt</stp>
        <stp>ID_CUSIP</stp>
        <stp>[STRIPS.xlsx]Sheet1!R234C19</stp>
        <tr r="S234" s="1"/>
      </tp>
      <tp t="s">
        <v>912833RW2</v>
        <stp/>
        <stp>##V3_BDPV12</stp>
        <stp>912833RW Govt</stp>
        <stp>ID_CUSIP</stp>
        <stp>[STRIPS.xlsx]Sheet1!R246C19</stp>
        <tr r="S246" s="1"/>
      </tp>
      <tp t="s">
        <v>912833PW4</v>
        <stp/>
        <stp>##V3_BDPV12</stp>
        <stp>912833PW Govt</stp>
        <stp>ID_CUSIP</stp>
        <stp>[STRIPS.xlsx]Sheet1!R239C19</stp>
        <tr r="S239" s="1"/>
      </tp>
      <tp t="s">
        <v>8/15/1987</v>
        <stp/>
        <stp>##V3_BDPV12</stp>
        <stp>912833KL Govt</stp>
        <stp>ISSUE_DT</stp>
        <stp>[STRIPS.xlsx]Sheet1!R302C15</stp>
        <tr r="O302" s="1"/>
      </tp>
      <tp t="s">
        <v>7/15/1996</v>
        <stp/>
        <stp>##V3_BDPV12</stp>
        <stp>912833NL Govt</stp>
        <stp>ISSUE_DT</stp>
        <stp>[STRIPS.xlsx]Sheet1!R335C15</stp>
        <tr r="O335" s="1"/>
      </tp>
      <tp t="s">
        <v>11/30/2001</v>
        <stp/>
        <stp>##V3_BDPV12</stp>
        <stp>912833YL Govt</stp>
        <stp>ISSUE_DT</stp>
        <stp>[STRIPS.xlsx]Sheet1!R343C15</stp>
        <tr r="O343" s="1"/>
      </tp>
      <tp t="s">
        <v>5/31/2012</v>
        <stp/>
        <stp>##V3_BDPV12</stp>
        <stp>912834LL Govt</stp>
        <stp>ISSUE_DT</stp>
        <stp>[STRIPS.xlsx]Sheet1!R323C15</stp>
        <tr r="O323" s="1"/>
      </tp>
      <tp t="s">
        <v>9/30/1997</v>
        <stp/>
        <stp>##V3_BDPV12</stp>
        <stp>912833PL Govt</stp>
        <stp>ISSUE_DT</stp>
        <stp>[STRIPS.xlsx]Sheet1!R374C15</stp>
        <tr r="O374" s="1"/>
      </tp>
      <tp t="s">
        <v>912833KW9</v>
        <stp/>
        <stp>##V3_BDPV12</stp>
        <stp>912833KW Govt</stp>
        <stp>ID_CUSIP</stp>
        <stp>[STRIPS.xlsx]Sheet1!R177C19</stp>
        <tr r="S177" s="1"/>
      </tp>
      <tp t="s">
        <v>912834VW5</v>
        <stp/>
        <stp>##V3_BDPV12</stp>
        <stp>912834VW Govt</stp>
        <stp>ID_CUSIP</stp>
        <stp>[STRIPS.xlsx]Sheet1!R131C19</stp>
        <tr r="S131" s="1"/>
      </tp>
      <tp t="s">
        <v>912834PW2</v>
        <stp/>
        <stp>##V3_BDPV12</stp>
        <stp>912834PW Govt</stp>
        <stp>ID_CUSIP</stp>
        <stp>[STRIPS.xlsx]Sheet1!R154C19</stp>
        <tr r="S154" s="1"/>
      </tp>
      <tp t="s">
        <v>912834QW1</v>
        <stp/>
        <stp>##V3_BDPV12</stp>
        <stp>912834QW Govt</stp>
        <stp>ID_CUSIP</stp>
        <stp>[STRIPS.xlsx]Sheet1!R171C19</stp>
        <tr r="S171" s="1"/>
      </tp>
      <tp t="s">
        <v>ZERO</v>
        <stp/>
        <stp>##V3_BDPV12</stp>
        <stp>912833YY Govt</stp>
        <stp>CPN_TYP</stp>
        <stp>[STRIPS.xlsx]Sheet1!R453C11</stp>
        <tr r="K453" s="1"/>
      </tp>
      <tp t="s">
        <v>912834WW4</v>
        <stp/>
        <stp>##V3_BDPV12</stp>
        <stp>912834WW Govt</stp>
        <stp>ID_CUSIP</stp>
        <stp>[STRIPS.xlsx]Sheet1!R185C19</stp>
        <tr r="S185" s="1"/>
      </tp>
      <tp t="s">
        <v>US912834TX65</v>
        <stp/>
        <stp>##V3_BDPV12</stp>
        <stp>912834TX Govt</stp>
        <stp>ID_ISIN</stp>
        <stp>[STRIPS.xlsx]Sheet1!R145C12</stp>
        <tr r="L145" s="1"/>
      </tp>
      <tp t="s">
        <v>#N/A Field Not Applicable</v>
        <stp/>
        <stp>##V3_BDPV12</stp>
        <stp>912834UL Govt</stp>
        <stp>FIRST_CPN_DT</stp>
        <stp>[STRIPS.xlsx]Sheet1!R88C9</stp>
        <tr r="I88" s="1"/>
      </tp>
      <tp t="s">
        <v>US912834TY49</v>
        <stp/>
        <stp>##V3_BDPV12</stp>
        <stp>912834TY Govt</stp>
        <stp>ID_ISIN</stp>
        <stp>[STRIPS.xlsx]Sheet1!R199C12</stp>
        <tr r="L199" s="1"/>
      </tp>
      <tp t="s">
        <v>ZERO</v>
        <stp/>
        <stp>##V3_BDPV12</stp>
        <stp>912833YZ Govt</stp>
        <stp>CPN_TYP</stp>
        <stp>[STRIPS.xlsx]Sheet1!R695C11</stp>
        <tr r="K695" s="1"/>
      </tp>
      <tp t="s">
        <v>5/31/2017</v>
        <stp/>
        <stp>##V3_BDPV12</stp>
        <stp>912834RL Govt</stp>
        <stp>ISSUE_DT</stp>
        <stp>[STRIPS.xlsx]Sheet1!R198C15</stp>
        <tr r="O198" s="1"/>
      </tp>
      <tp t="s">
        <v>4/2/2018</v>
        <stp/>
        <stp>##V3_BDPV12</stp>
        <stp>912834TL Govt</stp>
        <stp>ISSUE_DT</stp>
        <stp>[STRIPS.xlsx]Sheet1!R195C15</stp>
        <tr r="O195" s="1"/>
      </tp>
      <tp t="s">
        <v>6/30/2016</v>
        <stp/>
        <stp>##V3_BDPV12</stp>
        <stp>912834QL Govt</stp>
        <stp>ISSUE_DT</stp>
        <stp>[STRIPS.xlsx]Sheet1!R142C15</stp>
        <tr r="O142" s="1"/>
      </tp>
      <tp t="s">
        <v>1/31/2020</v>
        <stp/>
        <stp>##V3_BDPV12</stp>
        <stp>912834VL Govt</stp>
        <stp>ISSUE_DT</stp>
        <stp>[STRIPS.xlsx]Sheet1!R138C15</stp>
        <tr r="O138" s="1"/>
      </tp>
      <tp t="s">
        <v>7/31/2015</v>
        <stp/>
        <stp>##V3_BDPV12</stp>
        <stp>912834PL Govt</stp>
        <stp>ISSUE_DT</stp>
        <stp>[STRIPS.xlsx]Sheet1!R128C15</stp>
        <tr r="O128" s="1"/>
      </tp>
      <tp t="s">
        <v>#N/A Field Not Applicable</v>
        <stp/>
        <stp>##V3_BDPV12</stp>
        <stp>912834TF Govt</stp>
        <stp>FIRST_CPN_DT</stp>
        <stp>[STRIPS.xlsx]Sheet1!R98C9</stp>
        <tr r="I98" s="1"/>
      </tp>
      <tp t="s">
        <v>US912834TD02</v>
        <stp/>
        <stp>##V3_BDPV12</stp>
        <stp>912834TD Govt</stp>
        <stp>ID_ISIN</stp>
        <stp>[STRIPS.xlsx]Sheet1!R281C12</stp>
        <tr r="L281" s="1"/>
      </tp>
      <tp t="s">
        <v>US912834TA62</v>
        <stp/>
        <stp>##V3_BDPV12</stp>
        <stp>912834TA Govt</stp>
        <stp>ID_ISIN</stp>
        <stp>[STRIPS.xlsx]Sheet1!R756C12</stp>
        <tr r="L756" s="1"/>
      </tp>
      <tp t="s">
        <v>US912834TB46</v>
        <stp/>
        <stp>##V3_BDPV12</stp>
        <stp>912834TB Govt</stp>
        <stp>ID_ISIN</stp>
        <stp>[STRIPS.xlsx]Sheet1!R424C12</stp>
        <tr r="L424" s="1"/>
      </tp>
      <tp t="s">
        <v>#N/A Field Not Applicable</v>
        <stp/>
        <stp>##V3_BDPV12</stp>
        <stp>912834JH Govt</stp>
        <stp>FIRST_CPN_DT</stp>
        <stp>[STRIPS.xlsx]Sheet1!R68C9</stp>
        <tr r="I68" s="1"/>
      </tp>
      <tp t="s">
        <v>US912834TE84</v>
        <stp/>
        <stp>##V3_BDPV12</stp>
        <stp>912834TE Govt</stp>
        <stp>ID_ISIN</stp>
        <stp>[STRIPS.xlsx]Sheet1!R155C12</stp>
        <tr r="L155" s="1"/>
      </tp>
      <tp t="s">
        <v>ZERO</v>
        <stp/>
        <stp>##V3_BDPV12</stp>
        <stp>912833YA Govt</stp>
        <stp>CPN_TYP</stp>
        <stp>[STRIPS.xlsx]Sheet1!R694C11</stp>
        <tr r="K694" s="1"/>
      </tp>
      <tp t="s">
        <v>ZERO</v>
        <stp/>
        <stp>##V3_BDPV12</stp>
        <stp>912833YB Govt</stp>
        <stp>CPN_TYP</stp>
        <stp>[STRIPS.xlsx]Sheet1!R451C11</stp>
        <tr r="K451" s="1"/>
      </tp>
      <tp t="s">
        <v>US912834TC29</v>
        <stp/>
        <stp>##V3_BDPV12</stp>
        <stp>912834TC Govt</stp>
        <stp>ID_ISIN</stp>
        <stp>[STRIPS.xlsx]Sheet1!R163C12</stp>
        <tr r="L163" s="1"/>
      </tp>
      <tp t="s">
        <v>#N/A Field Not Applicable</v>
        <stp/>
        <stp>##V3_BDPV12</stp>
        <stp>912834NF Govt</stp>
        <stp>FIRST_CPN_DT</stp>
        <stp>[STRIPS.xlsx]Sheet1!R58C9</stp>
        <tr r="I58" s="1"/>
      </tp>
      <tp t="s">
        <v>ZERO</v>
        <stp/>
        <stp>##V3_BDPV12</stp>
        <stp>912833YC Govt</stp>
        <stp>CPN_TYP</stp>
        <stp>[STRIPS.xlsx]Sheet1!R636C11</stp>
        <tr r="K636" s="1"/>
      </tp>
      <tp t="s">
        <v>US912834TM01</v>
        <stp/>
        <stp>##V3_BDPV12</stp>
        <stp>912834TM Govt</stp>
        <stp>ID_ISIN</stp>
        <stp>[STRIPS.xlsx]Sheet1!R282C12</stp>
        <tr r="L282" s="1"/>
      </tp>
      <tp t="s">
        <v>US912834TN83</v>
        <stp/>
        <stp>##V3_BDPV12</stp>
        <stp>912834TN Govt</stp>
        <stp>ID_ISIN</stp>
        <stp>[STRIPS.xlsx]Sheet1!R158C12</stp>
        <tr r="L158" s="1"/>
      </tp>
      <tp t="s">
        <v>US912834TK45</v>
        <stp/>
        <stp>##V3_BDPV12</stp>
        <stp>912834TK Govt</stp>
        <stp>ID_ISIN</stp>
        <stp>[STRIPS.xlsx]Sheet1!R425C12</stp>
        <tr r="L425" s="1"/>
      </tp>
      <tp t="s">
        <v>ZERO</v>
        <stp/>
        <stp>##V3_BDPV12</stp>
        <stp>912833YM Govt</stp>
        <stp>CPN_TYP</stp>
        <stp>[STRIPS.xlsx]Sheet1!R452C11</stp>
        <tr r="K452" s="1"/>
      </tp>
      <tp t="s">
        <v>US912834TL28</v>
        <stp/>
        <stp>##V3_BDPV12</stp>
        <stp>912834TL Govt</stp>
        <stp>ID_ISIN</stp>
        <stp>[STRIPS.xlsx]Sheet1!R195C12</stp>
        <tr r="L195" s="1"/>
      </tp>
      <tp t="s">
        <v>US912834TJ71</v>
        <stp/>
        <stp>##V3_BDPV12</stp>
        <stp>912834TJ Govt</stp>
        <stp>ID_ISIN</stp>
        <stp>[STRIPS.xlsx]Sheet1!R757C12</stp>
        <tr r="L757" s="1"/>
      </tp>
      <tp t="s">
        <v>ZERO</v>
        <stp/>
        <stp>##V3_BDPV12</stp>
        <stp>912833YL Govt</stp>
        <stp>CPN_TYP</stp>
        <stp>[STRIPS.xlsx]Sheet1!R343C11</stp>
        <tr r="K343" s="1"/>
      </tp>
      <tp t="s">
        <v>ZERO</v>
        <stp/>
        <stp>##V3_BDPV12</stp>
        <stp>912833YK Govt</stp>
        <stp>CPN_TYP</stp>
        <stp>[STRIPS.xlsx]Sheet1!R584C11</stp>
        <tr r="K584" s="1"/>
      </tp>
      <tp t="s">
        <v>S 0 11/15/42</v>
        <stp/>
        <stp>##V3_BDPV12</stp>
        <stp>912834LX Govt</stp>
        <stp>SECURITY_NAME</stp>
        <stp>[STRIPS.xlsx]Sheet1!R93C16</stp>
        <tr r="P93" s="1"/>
      </tp>
      <tp t="s">
        <v>S 0 11/15/25</v>
        <stp/>
        <stp>##V3_BDPV12</stp>
        <stp>912833LX Govt</stp>
        <stp>SECURITY_NAME</stp>
        <stp>[STRIPS.xlsx]Sheet1!R10C16</stp>
        <tr r="P10" s="1"/>
      </tp>
      <tp t="s">
        <v>S 0 02/15/30</v>
        <stp/>
        <stp>##V3_BDPV12</stp>
        <stp>912833XX Govt</stp>
        <stp>SECURITY_NAME</stp>
        <stp>[STRIPS.xlsx]Sheet1!R62C16</stp>
        <tr r="P62" s="1"/>
      </tp>
      <tp t="s">
        <v>#N/A Field Not Applicable</v>
        <stp/>
        <stp>##V3_BDPV12</stp>
        <stp>9128333Q Govt</stp>
        <stp>FIRST_CPN_DT</stp>
        <stp>[STRIPS.xlsx]Sheet1!R719C9</stp>
        <tr r="I719" s="1"/>
      </tp>
      <tp t="s">
        <v>UNITED STATES</v>
        <stp/>
        <stp>##V3_BDPV12</stp>
        <stp>912834XG Govt</stp>
        <stp>COUNTRY_FULL_NAME</stp>
        <stp>[STRIPS.xlsx]Sheet1!R32C8</stp>
        <tr r="H32" s="1"/>
      </tp>
      <tp t="s">
        <v>#N/A Field Not Applicable</v>
        <stp/>
        <stp>##V3_BDPV12</stp>
        <stp>9128332H Govt</stp>
        <stp>FIRST_CPN_DT</stp>
        <stp>[STRIPS.xlsx]Sheet1!R718C9</stp>
        <tr r="I718" s="1"/>
      </tp>
      <tp t="s">
        <v>#N/A Field Not Applicable</v>
        <stp/>
        <stp>##V3_BDPV12</stp>
        <stp>9128332J Govt</stp>
        <stp>FIRST_CPN_DT</stp>
        <stp>[STRIPS.xlsx]Sheet1!R598C9</stp>
        <tr r="I598" s="1"/>
      </tp>
      <tp t="s">
        <v>#N/A Field Not Applicable</v>
        <stp/>
        <stp>##V3_BDPV12</stp>
        <stp>9128333M Govt</stp>
        <stp>FIRST_CPN_DT</stp>
        <stp>[STRIPS.xlsx]Sheet1!R599C9</stp>
        <tr r="I599" s="1"/>
      </tp>
      <tp t="s">
        <v>UNITED STATES</v>
        <stp/>
        <stp>##V3_BDPV12</stp>
        <stp>912833RY Govt</stp>
        <stp>COUNTRY_FULL_NAME</stp>
        <stp>[STRIPS.xlsx]Sheet1!R28C8</stp>
        <tr r="H28" s="1"/>
      </tp>
      <tp t="s">
        <v>UNITED STATES</v>
        <stp/>
        <stp>##V3_BDPV12</stp>
        <stp>912833XX Govt</stp>
        <stp>COUNTRY_FULL_NAME</stp>
        <stp>[STRIPS.xlsx]Sheet1!R62C8</stp>
        <tr r="H62" s="1"/>
      </tp>
      <tp t="s">
        <v>#N/A Field Not Applicable</v>
        <stp/>
        <stp>##V3_BDPV12</stp>
        <stp>9128332D Govt</stp>
        <stp>FIRST_CPN_DT</stp>
        <stp>[STRIPS.xlsx]Sheet1!R648C9</stp>
        <tr r="I648" s="1"/>
      </tp>
      <tp t="s">
        <v>USD</v>
        <stp/>
        <stp>##V3_BDPV12</stp>
        <stp>912833C9 Govt</stp>
        <stp>CRNCY</stp>
        <stp>[STRIPS.xlsx]Sheet1!R613C7</stp>
        <tr r="G613" s="1"/>
      </tp>
      <tp t="s">
        <v>USD</v>
        <stp/>
        <stp>##V3_BDPV12</stp>
        <stp>912834A3 Govt</stp>
        <stp>CRNCY</stp>
        <stp>[STRIPS.xlsx]Sheet1!R119C7</stp>
        <tr r="G119" s="1"/>
      </tp>
      <tp t="s">
        <v>USD</v>
        <stp/>
        <stp>##V3_BDPV12</stp>
        <stp>912833A2 Govt</stp>
        <stp>CRNCY</stp>
        <stp>[STRIPS.xlsx]Sheet1!R608C7</stp>
        <tr r="G608" s="1"/>
      </tp>
      <tp t="s">
        <v>US912834UP13</v>
        <stp/>
        <stp>##V3_BDPV12</stp>
        <stp>912834UP Govt</stp>
        <stp>ID_ISIN</stp>
        <stp>[STRIPS.xlsx]Sheet1!R754C12</stp>
        <tr r="L754" s="1"/>
      </tp>
      <tp t="s">
        <v>US912834UT35</v>
        <stp/>
        <stp>##V3_BDPV12</stp>
        <stp>912834UT Govt</stp>
        <stp>ID_ISIN</stp>
        <stp>[STRIPS.xlsx]Sheet1!R184C12</stp>
        <tr r="L184" s="1"/>
      </tp>
      <tp t="s">
        <v>US912834US51</v>
        <stp/>
        <stp>##V3_BDPV12</stp>
        <stp>912834US Govt</stp>
        <stp>ID_ISIN</stp>
        <stp>[STRIPS.xlsx]Sheet1!R762C12</stp>
        <tr r="L762" s="1"/>
      </tp>
      <tp t="s">
        <v>US912834UV80</v>
        <stp/>
        <stp>##V3_BDPV12</stp>
        <stp>912834UV Govt</stp>
        <stp>ID_ISIN</stp>
        <stp>[STRIPS.xlsx]Sheet1!R208C12</stp>
        <tr r="L208" s="1"/>
      </tp>
      <tp t="s">
        <v>US912834UU08</v>
        <stp/>
        <stp>##V3_BDPV12</stp>
        <stp>912834UU Govt</stp>
        <stp>ID_ISIN</stp>
        <stp>[STRIPS.xlsx]Sheet1!R755C12</stp>
        <tr r="L755" s="1"/>
      </tp>
      <tp t="s">
        <v>912833KV1</v>
        <stp/>
        <stp>##V3_BDPV12</stp>
        <stp>912833KV Govt</stp>
        <stp>ID_CUSIP</stp>
        <stp>[STRIPS.xlsx]Sheet1!R742C19</stp>
        <tr r="S742" s="1"/>
      </tp>
      <tp t="s">
        <v>9128335V8</v>
        <stp/>
        <stp>##V3_BDPV12</stp>
        <stp>9128335V Govt</stp>
        <stp>ID_CUSIP</stp>
        <stp>[STRIPS.xlsx]Sheet1!R724C19</stp>
        <tr r="S724" s="1"/>
      </tp>
      <tp t="s">
        <v>9128336V7</v>
        <stp/>
        <stp>##V3_BDPV12</stp>
        <stp>9128336V Govt</stp>
        <stp>ID_CUSIP</stp>
        <stp>[STRIPS.xlsx]Sheet1!R715C19</stp>
        <tr r="S715" s="1"/>
      </tp>
      <tp t="s">
        <v>7/31/2003</v>
        <stp/>
        <stp>##V3_BDPV12</stp>
        <stp>912833ZM Govt</stp>
        <stp>ISSUE_DT</stp>
        <stp>[STRIPS.xlsx]Sheet1!R699C15</stp>
        <tr r="O699" s="1"/>
      </tp>
      <tp t="s">
        <v>11/15/1984</v>
        <stp/>
        <stp>##V3_BDPV12</stp>
        <stp>912833FM Govt</stp>
        <stp>ISSUE_DT</stp>
        <stp>[STRIPS.xlsx]Sheet1!R619C15</stp>
        <tr r="O619" s="1"/>
      </tp>
      <tp t="s">
        <v>2/15/1985</v>
        <stp/>
        <stp>##V3_BDPV12</stp>
        <stp>912833CM Govt</stp>
        <stp>ISSUE_DT</stp>
        <stp>[STRIPS.xlsx]Sheet1!R656C15</stp>
        <tr r="O656" s="1"/>
      </tp>
      <tp t="s">
        <v>912833JV3</v>
        <stp/>
        <stp>##V3_BDPV12</stp>
        <stp>912833JV Govt</stp>
        <stp>ID_CUSIP</stp>
        <stp>[STRIPS.xlsx]Sheet1!R668C19</stp>
        <tr r="S668" s="1"/>
      </tp>
      <tp t="s">
        <v>912833CV0</v>
        <stp/>
        <stp>##V3_BDPV12</stp>
        <stp>912833CV Govt</stp>
        <stp>ID_CUSIP</stp>
        <stp>[STRIPS.xlsx]Sheet1!R658C19</stp>
        <tr r="S658" s="1"/>
      </tp>
      <tp t="s">
        <v>912833MV9</v>
        <stp/>
        <stp>##V3_BDPV12</stp>
        <stp>912833MV Govt</stp>
        <stp>ID_CUSIP</stp>
        <stp>[STRIPS.xlsx]Sheet1!R626C19</stp>
        <tr r="S626" s="1"/>
      </tp>
      <tp t="s">
        <v>3/31/2006</v>
        <stp/>
        <stp>##V3_BDPV12</stp>
        <stp>9128335M Govt</stp>
        <stp>ISSUE_DT</stp>
        <stp>[STRIPS.xlsx]Sheet1!R710C15</stp>
        <tr r="O710" s="1"/>
      </tp>
      <tp t="s">
        <v>912834MV7</v>
        <stp/>
        <stp>##V3_BDPV12</stp>
        <stp>912834MV Govt</stp>
        <stp>ID_CUSIP</stp>
        <stp>[STRIPS.xlsx]Sheet1!R543C19</stp>
        <tr r="S543" s="1"/>
      </tp>
      <tp t="s">
        <v>912833FV7</v>
        <stp/>
        <stp>##V3_BDPV12</stp>
        <stp>912833FV Govt</stp>
        <stp>ID_CUSIP</stp>
        <stp>[STRIPS.xlsx]Sheet1!R510C19</stp>
        <tr r="S510" s="1"/>
      </tp>
      <tp t="s">
        <v>912833RV4</v>
        <stp/>
        <stp>##V3_BDPV12</stp>
        <stp>912833RV Govt</stp>
        <stp>ID_CUSIP</stp>
        <stp>[STRIPS.xlsx]Sheet1!R581C19</stp>
        <tr r="S581" s="1"/>
      </tp>
      <tp t="s">
        <v>1/3/2006</v>
        <stp/>
        <stp>##V3_BDPV12</stp>
        <stp>9128334M Govt</stp>
        <stp>ISSUE_DT</stp>
        <stp>[STRIPS.xlsx]Sheet1!R491C15</stp>
        <tr r="O491" s="1"/>
      </tp>
      <tp t="s">
        <v>7/31/2009</v>
        <stp/>
        <stp>##V3_BDPV12</stp>
        <stp>912834EM Govt</stp>
        <stp>ISSUE_DT</stp>
        <stp>[STRIPS.xlsx]Sheet1!R463C15</stp>
        <tr r="O463" s="1"/>
      </tp>
      <tp t="s">
        <v>12/31/2008</v>
        <stp/>
        <stp>##V3_BDPV12</stp>
        <stp>912834AM Govt</stp>
        <stp>ISSUE_DT</stp>
        <stp>[STRIPS.xlsx]Sheet1!R457C15</stp>
        <tr r="O457" s="1"/>
      </tp>
      <tp t="s">
        <v>3/2/1998</v>
        <stp/>
        <stp>##V3_BDPV12</stp>
        <stp>912833RM Govt</stp>
        <stp>ISSUE_DT</stp>
        <stp>[STRIPS.xlsx]Sheet1!R448C15</stp>
        <tr r="O448" s="1"/>
      </tp>
      <tp t="s">
        <v>12/31/2001</v>
        <stp/>
        <stp>##V3_BDPV12</stp>
        <stp>912833YM Govt</stp>
        <stp>ISSUE_DT</stp>
        <stp>[STRIPS.xlsx]Sheet1!R452C15</stp>
        <tr r="O452" s="1"/>
      </tp>
      <tp t="s">
        <v>7/15/2016</v>
        <stp/>
        <stp>##V3_BDPV12</stp>
        <stp>912834QM Govt</stp>
        <stp>ISSUE_DT</stp>
        <stp>[STRIPS.xlsx]Sheet1!R413C15</stp>
        <tr r="O413" s="1"/>
      </tp>
      <tp t="s">
        <v>6/15/2017</v>
        <stp/>
        <stp>##V3_BDPV12</stp>
        <stp>912834RM Govt</stp>
        <stp>ISSUE_DT</stp>
        <stp>[STRIPS.xlsx]Sheet1!R415C15</stp>
        <tr r="O415" s="1"/>
      </tp>
      <tp t="s">
        <v>4/15/2014</v>
        <stp/>
        <stp>##V3_BDPV12</stp>
        <stp>912834NM Govt</stp>
        <stp>ISSUE_DT</stp>
        <stp>[STRIPS.xlsx]Sheet1!R409C15</stp>
        <tr r="O409" s="1"/>
      </tp>
      <tp t="s">
        <v>912834PV4</v>
        <stp/>
        <stp>##V3_BDPV12</stp>
        <stp>912834PV Govt</stp>
        <stp>ID_CUSIP</stp>
        <stp>[STRIPS.xlsx]Sheet1!R479C19</stp>
        <tr r="S479" s="1"/>
      </tp>
      <tp t="s">
        <v>912834RV2</v>
        <stp/>
        <stp>##V3_BDPV12</stp>
        <stp>912834RV Govt</stp>
        <stp>ID_CUSIP</stp>
        <stp>[STRIPS.xlsx]Sheet1!R482C19</stp>
        <tr r="S482" s="1"/>
      </tp>
      <tp t="s">
        <v>9128333V0</v>
        <stp/>
        <stp>##V3_BDPV12</stp>
        <stp>9128333V Govt</stp>
        <stp>ID_CUSIP</stp>
        <stp>[STRIPS.xlsx]Sheet1!R484C19</stp>
        <tr r="S484" s="1"/>
      </tp>
      <tp t="s">
        <v>10/15/2004</v>
        <stp/>
        <stp>##V3_BDPV12</stp>
        <stp>9128333M Govt</stp>
        <stp>ISSUE_DT</stp>
        <stp>[STRIPS.xlsx]Sheet1!R599C15</stp>
        <tr r="O599" s="1"/>
      </tp>
      <tp t="s">
        <v>10/15/1996</v>
        <stp/>
        <stp>##V3_BDPV12</stp>
        <stp>912833NM Govt</stp>
        <stp>ISSUE_DT</stp>
        <stp>[STRIPS.xlsx]Sheet1!R517C15</stp>
        <tr r="O517" s="1"/>
      </tp>
      <tp t="s">
        <v>12/1/1997</v>
        <stp/>
        <stp>##V3_BDPV12</stp>
        <stp>912833QM Govt</stp>
        <stp>ISSUE_DT</stp>
        <stp>[STRIPS.xlsx]Sheet1!R520C15</stp>
        <tr r="O520" s="1"/>
      </tp>
      <tp t="s">
        <v>6/30/2006</v>
        <stp/>
        <stp>##V3_BDPV12</stp>
        <stp>9128336M Govt</stp>
        <stp>ISSUE_DT</stp>
        <stp>[STRIPS.xlsx]Sheet1!R558C15</stp>
        <tr r="O558" s="1"/>
      </tp>
      <tp t="s">
        <v>7/31/2007</v>
        <stp/>
        <stp>##V3_BDPV12</stp>
        <stp>9128337M Govt</stp>
        <stp>ISSUE_DT</stp>
        <stp>[STRIPS.xlsx]Sheet1!R559C15</stp>
        <tr r="O559" s="1"/>
      </tp>
      <tp t="s">
        <v>912833PV6</v>
        <stp/>
        <stp>##V3_BDPV12</stp>
        <stp>912833PV Govt</stp>
        <stp>ID_CUSIP</stp>
        <stp>[STRIPS.xlsx]Sheet1!R338C19</stp>
        <tr r="S338" s="1"/>
      </tp>
      <tp t="s">
        <v>US912834UZ94</v>
        <stp/>
        <stp>##V3_BDPV12</stp>
        <stp>912834UZ Govt</stp>
        <stp>ID_ISIN</stp>
        <stp>[STRIPS.xlsx]Sheet1!R181C12</stp>
        <tr r="L181" s="1"/>
      </tp>
      <tp t="s">
        <v>912834AV0</v>
        <stp/>
        <stp>##V3_BDPV12</stp>
        <stp>912834AV Govt</stp>
        <stp>ID_CUSIP</stp>
        <stp>[STRIPS.xlsx]Sheet1!R387C19</stp>
        <tr r="S387" s="1"/>
      </tp>
      <tp t="s">
        <v>4/16/2018</v>
        <stp/>
        <stp>##V3_BDPV12</stp>
        <stp>912834TM Govt</stp>
        <stp>ISSUE_DT</stp>
        <stp>[STRIPS.xlsx]Sheet1!R282C15</stp>
        <tr r="O282" s="1"/>
      </tp>
      <tp t="s">
        <v>9/30/1997</v>
        <stp/>
        <stp>##V3_BDPV12</stp>
        <stp>912833PM Govt</stp>
        <stp>ISSUE_DT</stp>
        <stp>[STRIPS.xlsx]Sheet1!R238C15</stp>
        <tr r="O238" s="1"/>
      </tp>
      <tp t="s">
        <v>#N/A Field Not Applicable</v>
        <stp/>
        <stp>##V3_BDPV12</stp>
        <stp>912834WJ Govt</stp>
        <stp>FIRST_CPN_DT</stp>
        <stp>[STRIPS.xlsx]Sheet1!R89C9</stp>
        <tr r="I89" s="1"/>
      </tp>
      <tp t="s">
        <v>912834UV8</v>
        <stp/>
        <stp>##V3_BDPV12</stp>
        <stp>912834UV Govt</stp>
        <stp>ID_CUSIP</stp>
        <stp>[STRIPS.xlsx]Sheet1!R208C19</stp>
        <tr r="S208" s="1"/>
      </tp>
      <tp t="s">
        <v>912834LV8</v>
        <stp/>
        <stp>##V3_BDPV12</stp>
        <stp>912834LV Govt</stp>
        <stp>ID_CUSIP</stp>
        <stp>[STRIPS.xlsx]Sheet1!R232C19</stp>
        <tr r="S232" s="1"/>
      </tp>
      <tp t="s">
        <v>912833QV5</v>
        <stp/>
        <stp>##V3_BDPV12</stp>
        <stp>912833QV Govt</stp>
        <stp>ID_CUSIP</stp>
        <stp>[STRIPS.xlsx]Sheet1!R242C19</stp>
        <tr r="S242" s="1"/>
      </tp>
      <tp t="s">
        <v>912833YV6</v>
        <stp/>
        <stp>##V3_BDPV12</stp>
        <stp>912833YV Govt</stp>
        <stp>ID_CUSIP</stp>
        <stp>[STRIPS.xlsx]Sheet1!R250C19</stp>
        <tr r="S250" s="1"/>
      </tp>
      <tp t="s">
        <v>912833ZV5</v>
        <stp/>
        <stp>##V3_BDPV12</stp>
        <stp>912833ZV Govt</stp>
        <stp>ID_CUSIP</stp>
        <stp>[STRIPS.xlsx]Sheet1!R254C19</stp>
        <tr r="S254" s="1"/>
      </tp>
      <tp t="s">
        <v>1/15/2011</v>
        <stp/>
        <stp>##V3_BDPV12</stp>
        <stp>912834JM Govt</stp>
        <stp>ISSUE_DT</stp>
        <stp>[STRIPS.xlsx]Sheet1!R397C15</stp>
        <tr r="O397" s="1"/>
      </tp>
      <tp t="s">
        <v>7/15/2011</v>
        <stp/>
        <stp>##V3_BDPV12</stp>
        <stp>912834KM Govt</stp>
        <stp>ISSUE_DT</stp>
        <stp>[STRIPS.xlsx]Sheet1!R399C15</stp>
        <tr r="O399" s="1"/>
      </tp>
      <tp t="s">
        <v>5/15/1987</v>
        <stp/>
        <stp>##V3_BDPV12</stp>
        <stp>912833KM Govt</stp>
        <stp>ISSUE_DT</stp>
        <stp>[STRIPS.xlsx]Sheet1!R303C15</stp>
        <tr r="O303" s="1"/>
      </tp>
      <tp t="s">
        <v>4/30/2009</v>
        <stp/>
        <stp>##V3_BDPV12</stp>
        <stp>912834BM Govt</stp>
        <stp>ISSUE_DT</stp>
        <stp>[STRIPS.xlsx]Sheet1!R353C15</stp>
        <tr r="O353" s="1"/>
      </tp>
      <tp t="s">
        <v>6/15/2012</v>
        <stp/>
        <stp>##V3_BDPV12</stp>
        <stp>912834LM Govt</stp>
        <stp>ISSUE_DT</stp>
        <stp>[STRIPS.xlsx]Sheet1!R324C15</stp>
        <tr r="O324" s="1"/>
      </tp>
      <tp t="s">
        <v>10/15/1996</v>
        <stp/>
        <stp>##V3_BDPV12</stp>
        <stp>912833MM Govt</stp>
        <stp>ISSUE_DT</stp>
        <stp>[STRIPS.xlsx]Sheet1!R371C15</stp>
        <tr r="O371" s="1"/>
      </tp>
      <tp t="s">
        <v>912834NV6</v>
        <stp/>
        <stp>##V3_BDPV12</stp>
        <stp>912834NV Govt</stp>
        <stp>ID_CUSIP</stp>
        <stp>[STRIPS.xlsx]Sheet1!R115C19</stp>
        <tr r="S115" s="1"/>
      </tp>
      <tp t="s">
        <v>912834EV6</v>
        <stp/>
        <stp>##V3_BDPV12</stp>
        <stp>912834EV Govt</stp>
        <stp>ID_CUSIP</stp>
        <stp>[STRIPS.xlsx]Sheet1!R101C19</stp>
        <tr r="S101" s="1"/>
      </tp>
      <tp t="s">
        <v>912834QV3</v>
        <stp/>
        <stp>##V3_BDPV12</stp>
        <stp>912834QV Govt</stp>
        <stp>ID_CUSIP</stp>
        <stp>[STRIPS.xlsx]Sheet1!R104C19</stp>
        <tr r="S104" s="1"/>
      </tp>
      <tp t="s">
        <v>912834DV7</v>
        <stp/>
        <stp>##V3_BDPV12</stp>
        <stp>912834DV Govt</stp>
        <stp>ID_CUSIP</stp>
        <stp>[STRIPS.xlsx]Sheet1!R127C19</stp>
        <tr r="S127" s="1"/>
      </tp>
      <tp t="s">
        <v>912834WV6</v>
        <stp/>
        <stp>##V3_BDPV12</stp>
        <stp>912834WV Govt</stp>
        <stp>ID_CUSIP</stp>
        <stp>[STRIPS.xlsx]Sheet1!R129C19</stp>
        <tr r="S129" s="1"/>
      </tp>
      <tp t="s">
        <v>9128337V6</v>
        <stp/>
        <stp>##V3_BDPV12</stp>
        <stp>9128337V Govt</stp>
        <stp>ID_CUSIP</stp>
        <stp>[STRIPS.xlsx]Sheet1!R100C19</stp>
        <tr r="S100" s="1"/>
      </tp>
      <tp t="s">
        <v>US912834UX47</v>
        <stp/>
        <stp>##V3_BDPV12</stp>
        <stp>912834UX Govt</stp>
        <stp>ID_ISIN</stp>
        <stp>[STRIPS.xlsx]Sheet1!R182C12</stp>
        <tr r="L182" s="1"/>
      </tp>
      <tp t="s">
        <v>12/31/2020</v>
        <stp/>
        <stp>##V3_BDPV12</stp>
        <stp>912834WM Govt</stp>
        <stp>ISSUE_DT</stp>
        <stp>[STRIPS.xlsx]Sheet1!R188C15</stp>
        <tr r="O188" s="1"/>
      </tp>
      <tp t="s">
        <v>3/15/2019</v>
        <stp/>
        <stp>##V3_BDPV12</stp>
        <stp>912834UM Govt</stp>
        <stp>ISSUE_DT</stp>
        <stp>[STRIPS.xlsx]Sheet1!R180C15</stp>
        <tr r="O180" s="1"/>
      </tp>
      <tp t="s">
        <v>ZERO</v>
        <stp/>
        <stp>##V3_BDPV12</stp>
        <stp>912834XD Govt</stp>
        <stp>CPN_TYP</stp>
        <stp>[STRIPS.xlsx]Sheet1!R764C11</stp>
        <tr r="K764" s="1"/>
      </tp>
      <tp t="s">
        <v>ZERO</v>
        <stp/>
        <stp>##V3_BDPV12</stp>
        <stp>912834XB Govt</stp>
        <stp>CPN_TYP</stp>
        <stp>[STRIPS.xlsx]Sheet1!R183C11</stp>
        <tr r="K183" s="1"/>
      </tp>
      <tp t="s">
        <v>US912834UF31</v>
        <stp/>
        <stp>##V3_BDPV12</stp>
        <stp>912834UF Govt</stp>
        <stp>ID_ISIN</stp>
        <stp>[STRIPS.xlsx]Sheet1!R147C12</stp>
        <tr r="L147" s="1"/>
      </tp>
      <tp t="s">
        <v>US912834UE65</v>
        <stp/>
        <stp>##V3_BDPV12</stp>
        <stp>912834UE Govt</stp>
        <stp>ID_ISIN</stp>
        <stp>[STRIPS.xlsx]Sheet1!R207C12</stp>
        <tr r="L207" s="1"/>
      </tp>
      <tp t="s">
        <v>US912834UG14</v>
        <stp/>
        <stp>##V3_BDPV12</stp>
        <stp>912834UG Govt</stp>
        <stp>ID_ISIN</stp>
        <stp>[STRIPS.xlsx]Sheet1!R137C12</stp>
        <tr r="L137" s="1"/>
      </tp>
      <tp t="s">
        <v>ZERO</v>
        <stp/>
        <stp>##V3_BDPV12</stp>
        <stp>912834XC Govt</stp>
        <stp>CPN_TYP</stp>
        <stp>[STRIPS.xlsx]Sheet1!R214C11</stp>
        <tr r="K214" s="1"/>
      </tp>
      <tp t="s">
        <v>US912834UD82</v>
        <stp/>
        <stp>##V3_BDPV12</stp>
        <stp>912834UD Govt</stp>
        <stp>ID_ISIN</stp>
        <stp>[STRIPS.xlsx]Sheet1!R197C12</stp>
        <tr r="L197" s="1"/>
      </tp>
      <tp t="s">
        <v>US912834UC00</v>
        <stp/>
        <stp>##V3_BDPV12</stp>
        <stp>912834UC Govt</stp>
        <stp>ID_ISIN</stp>
        <stp>[STRIPS.xlsx]Sheet1!R761C12</stp>
        <tr r="L761" s="1"/>
      </tp>
      <tp t="s">
        <v>ZERO</v>
        <stp/>
        <stp>##V3_BDPV12</stp>
        <stp>912834XA Govt</stp>
        <stp>CPN_TYP</stp>
        <stp>[STRIPS.xlsx]Sheet1!R190C11</stp>
        <tr r="K190" s="1"/>
      </tp>
      <tp t="s">
        <v>ZERO</v>
        <stp/>
        <stp>##V3_BDPV12</stp>
        <stp>912834XF Govt</stp>
        <stp>CPN_TYP</stp>
        <stp>[STRIPS.xlsx]Sheet1!R187C11</stp>
        <tr r="K187" s="1"/>
      </tp>
      <tp t="s">
        <v>US912834UA44</v>
        <stp/>
        <stp>##V3_BDPV12</stp>
        <stp>912834UA Govt</stp>
        <stp>ID_ISIN</stp>
        <stp>[STRIPS.xlsx]Sheet1!R200C12</stp>
        <tr r="L200" s="1"/>
      </tp>
      <tp t="s">
        <v>US912834UB27</v>
        <stp/>
        <stp>##V3_BDPV12</stp>
        <stp>912834UB Govt</stp>
        <stp>ID_ISIN</stp>
        <stp>[STRIPS.xlsx]Sheet1!R113C12</stp>
        <tr r="L113" s="1"/>
      </tp>
      <tp t="s">
        <v>ZERO</v>
        <stp/>
        <stp>##V3_BDPV12</stp>
        <stp>912834XH Govt</stp>
        <stp>CPN_TYP</stp>
        <stp>[STRIPS.xlsx]Sheet1!R150C11</stp>
        <tr r="K150" s="1"/>
      </tp>
      <tp t="s">
        <v>US912834UM81</v>
        <stp/>
        <stp>##V3_BDPV12</stp>
        <stp>912834UM Govt</stp>
        <stp>ID_ISIN</stp>
        <stp>[STRIPS.xlsx]Sheet1!R180C12</stp>
        <tr r="L180" s="1"/>
      </tp>
      <tp t="s">
        <v>US912834UN64</v>
        <stp/>
        <stp>##V3_BDPV12</stp>
        <stp>912834UN Govt</stp>
        <stp>ID_ISIN</stp>
        <stp>[STRIPS.xlsx]Sheet1!R206C12</stp>
        <tr r="L206" s="1"/>
      </tp>
      <tp t="s">
        <v>US912834UH96</v>
        <stp/>
        <stp>##V3_BDPV12</stp>
        <stp>912834UH Govt</stp>
        <stp>ID_ISIN</stp>
        <stp>[STRIPS.xlsx]Sheet1!R105C12</stp>
        <tr r="L105" s="1"/>
      </tp>
      <tp t="s">
        <v>S 0 02/15/28</v>
        <stp/>
        <stp>##V3_BDPV12</stp>
        <stp>912833RY Govt</stp>
        <stp>SECURITY_NAME</stp>
        <stp>[STRIPS.xlsx]Sheet1!R28C16</stp>
        <tr r="P28" s="1"/>
      </tp>
      <tp t="s">
        <v>S 0 02/15/26</v>
        <stp/>
        <stp>##V3_BDPV12</stp>
        <stp>912833LY Govt</stp>
        <stp>SECURITY_NAME</stp>
        <stp>[STRIPS.xlsx]Sheet1!R16C16</stp>
        <tr r="P16" s="1"/>
      </tp>
      <tp t="s">
        <v>S 0 03/31/22</v>
        <stp/>
        <stp>##V3_BDPV12</stp>
        <stp>912834JY Govt</stp>
        <stp>SECURITY_NAME</stp>
        <stp>[STRIPS.xlsx]Sheet1!R64C16</stp>
        <tr r="P64" s="1"/>
      </tp>
      <tp t="s">
        <v>S 0 08/15/49</v>
        <stp/>
        <stp>##V3_BDPV12</stp>
        <stp>912834UY Govt</stp>
        <stp>SECURITY_NAME</stp>
        <stp>[STRIPS.xlsx]Sheet1!R75C16</stp>
        <tr r="P75" s="1"/>
      </tp>
      <tp t="s">
        <v>S 0 08/15/34</v>
        <stp/>
        <stp>##V3_BDPV12</stp>
        <stp>9128334Y Govt</stp>
        <stp>SECURITY_NAME</stp>
        <stp>[STRIPS.xlsx]Sheet1!R67C16</stp>
        <tr r="P67" s="1"/>
      </tp>
      <tp t="s">
        <v>S 0 08/15/30</v>
        <stp/>
        <stp>##V3_BDPV12</stp>
        <stp>912833XY Govt</stp>
        <stp>SECURITY_NAME</stp>
        <stp>[STRIPS.xlsx]Sheet1!R50C16</stp>
        <tr r="P50" s="1"/>
      </tp>
      <tp t="s">
        <v>UNITED STATES</v>
        <stp/>
        <stp>##V3_BDPV12</stp>
        <stp>912833XZ Govt</stp>
        <stp>COUNTRY_FULL_NAME</stp>
        <stp>[STRIPS.xlsx]Sheet1!R31C8</stp>
        <tr r="H31" s="1"/>
      </tp>
      <tp t="s">
        <v>USD</v>
        <stp/>
        <stp>##V3_BDPV12</stp>
        <stp>912833Y9 Govt</stp>
        <stp>CRNCY</stp>
        <stp>[STRIPS.xlsx]Sheet1!R450C7</stp>
        <tr r="G450" s="1"/>
      </tp>
      <tp t="s">
        <v>US912834VW54</v>
        <stp/>
        <stp>##V3_BDPV12</stp>
        <stp>912834VW Govt</stp>
        <stp>ID_ISIN</stp>
        <stp>[STRIPS.xlsx]Sheet1!R131C12</stp>
        <tr r="L131" s="1"/>
      </tp>
      <tp t="s">
        <v>US912834VT26</v>
        <stp/>
        <stp>##V3_BDPV12</stp>
        <stp>912834VT Govt</stp>
        <stp>ID_ISIN</stp>
        <stp>[STRIPS.xlsx]Sheet1!R773C12</stp>
        <tr r="L773" s="1"/>
      </tp>
      <tp t="s">
        <v>US912834VQ86</v>
        <stp/>
        <stp>##V3_BDPV12</stp>
        <stp>912834VQ Govt</stp>
        <stp>ID_ISIN</stp>
        <stp>[STRIPS.xlsx]Sheet1!R222C12</stp>
        <tr r="L222" s="1"/>
      </tp>
      <tp t="s">
        <v>US912834VU98</v>
        <stp/>
        <stp>##V3_BDPV12</stp>
        <stp>912834VU Govt</stp>
        <stp>ID_ISIN</stp>
        <stp>[STRIPS.xlsx]Sheet1!R769C12</stp>
        <tr r="L769" s="1"/>
      </tp>
      <tp t="s">
        <v>US912834VS43</v>
        <stp/>
        <stp>##V3_BDPV12</stp>
        <stp>912834VS Govt</stp>
        <stp>ID_ISIN</stp>
        <stp>[STRIPS.xlsx]Sheet1!R170C12</stp>
        <tr r="L170" s="1"/>
      </tp>
      <tp t="s">
        <v>US912834VR69</v>
        <stp/>
        <stp>##V3_BDPV12</stp>
        <stp>912834VR Govt</stp>
        <stp>ID_ISIN</stp>
        <stp>[STRIPS.xlsx]Sheet1!R224C12</stp>
        <tr r="L224" s="1"/>
      </tp>
      <tp t="s">
        <v>912834RU4</v>
        <stp/>
        <stp>##V3_BDPV12</stp>
        <stp>912834RU Govt</stp>
        <stp>ID_CUSIP</stp>
        <stp>[STRIPS.xlsx]Sheet1!R759C19</stp>
        <tr r="S759" s="1"/>
      </tp>
      <tp t="s">
        <v>912834UU0</v>
        <stp/>
        <stp>##V3_BDPV12</stp>
        <stp>912834UU Govt</stp>
        <stp>ID_CUSIP</stp>
        <stp>[STRIPS.xlsx]Sheet1!R755C19</stp>
        <tr r="S755" s="1"/>
      </tp>
      <tp t="s">
        <v>912834TU2</v>
        <stp/>
        <stp>##V3_BDPV12</stp>
        <stp>912834TU Govt</stp>
        <stp>ID_CUSIP</stp>
        <stp>[STRIPS.xlsx]Sheet1!R752C19</stp>
        <tr r="S752" s="1"/>
      </tp>
      <tp t="s">
        <v>9128333U2</v>
        <stp/>
        <stp>##V3_BDPV12</stp>
        <stp>9128333U Govt</stp>
        <stp>ID_CUSIP</stp>
        <stp>[STRIPS.xlsx]Sheet1!R706C19</stp>
        <tr r="S706" s="1"/>
      </tp>
      <tp t="s">
        <v>9128335U0</v>
        <stp/>
        <stp>##V3_BDPV12</stp>
        <stp>9128335U Govt</stp>
        <stp>ID_CUSIP</stp>
        <stp>[STRIPS.xlsx]Sheet1!R712C19</stp>
        <tr r="S712" s="1"/>
      </tp>
      <tp t="s">
        <v>912834VU9</v>
        <stp/>
        <stp>##V3_BDPV12</stp>
        <stp>912834VU Govt</stp>
        <stp>ID_CUSIP</stp>
        <stp>[STRIPS.xlsx]Sheet1!R769C19</stp>
        <tr r="S769" s="1"/>
      </tp>
      <tp t="s">
        <v>US912834VX38</v>
        <stp/>
        <stp>##V3_BDPV12</stp>
        <stp>912834VX Govt</stp>
        <stp>ID_ISIN</stp>
        <stp>[STRIPS.xlsx]Sheet1!R767C12</stp>
        <tr r="L767" s="1"/>
      </tp>
      <tp t="s">
        <v>9/30/1997</v>
        <stp/>
        <stp>##V3_BDPV12</stp>
        <stp>912833PN Govt</stp>
        <stp>ISSUE_DT</stp>
        <stp>[STRIPS.xlsx]Sheet1!R681C15</stp>
        <tr r="O681" s="1"/>
      </tp>
      <tp t="s">
        <v>7/15/1996</v>
        <stp/>
        <stp>##V3_BDPV12</stp>
        <stp>912833MN Govt</stp>
        <stp>ISSUE_DT</stp>
        <stp>[STRIPS.xlsx]Sheet1!R624C15</stp>
        <tr r="O624" s="1"/>
      </tp>
      <tp t="s">
        <v>9/2/2003</v>
        <stp/>
        <stp>##V3_BDPV12</stp>
        <stp>912833ZN Govt</stp>
        <stp>ISSUE_DT</stp>
        <stp>[STRIPS.xlsx]Sheet1!R638C15</stp>
        <tr r="O638" s="1"/>
      </tp>
      <tp t="s">
        <v>8/15/1987</v>
        <stp/>
        <stp>##V3_BDPV12</stp>
        <stp>912833KN Govt</stp>
        <stp>ISSUE_DT</stp>
        <stp>[STRIPS.xlsx]Sheet1!R672C15</stp>
        <tr r="O672" s="1"/>
      </tp>
      <tp t="s">
        <v>912833RU6</v>
        <stp/>
        <stp>##V3_BDPV12</stp>
        <stp>912833RU Govt</stp>
        <stp>ID_CUSIP</stp>
        <stp>[STRIPS.xlsx]Sheet1!R635C19</stp>
        <tr r="S635" s="1"/>
      </tp>
      <tp t="s">
        <v>9128336U9</v>
        <stp/>
        <stp>##V3_BDPV12</stp>
        <stp>9128336U Govt</stp>
        <stp>ID_CUSIP</stp>
        <stp>[STRIPS.xlsx]Sheet1!R606C19</stp>
        <tr r="S606" s="1"/>
      </tp>
      <tp t="s">
        <v>912833QU7</v>
        <stp/>
        <stp>##V3_BDPV12</stp>
        <stp>912833QU Govt</stp>
        <stp>ID_CUSIP</stp>
        <stp>[STRIPS.xlsx]Sheet1!R688C19</stp>
        <tr r="S688" s="1"/>
      </tp>
      <tp t="s">
        <v>912833PU8</v>
        <stp/>
        <stp>##V3_BDPV12</stp>
        <stp>912833PU Govt</stp>
        <stp>ID_CUSIP</stp>
        <stp>[STRIPS.xlsx]Sheet1!R683C19</stp>
        <tr r="S683" s="1"/>
      </tp>
      <tp t="s">
        <v>11/15/1984</v>
        <stp/>
        <stp>##V3_BDPV12</stp>
        <stp>912833FN Govt</stp>
        <stp>ISSUE_DT</stp>
        <stp>[STRIPS.xlsx]Sheet1!R738C15</stp>
        <tr r="O738" s="1"/>
      </tp>
      <tp t="s">
        <v>2/15/1985</v>
        <stp/>
        <stp>##V3_BDPV12</stp>
        <stp>912833CN Govt</stp>
        <stp>ISSUE_DT</stp>
        <stp>[STRIPS.xlsx]Sheet1!R734C15</stp>
        <tr r="O734" s="1"/>
      </tp>
      <tp t="s">
        <v>3/31/2006</v>
        <stp/>
        <stp>##V3_BDPV12</stp>
        <stp>9128335N Govt</stp>
        <stp>ISSUE_DT</stp>
        <stp>[STRIPS.xlsx]Sheet1!R746C15</stp>
        <tr r="O746" s="1"/>
      </tp>
      <tp t="s">
        <v>1/17/2006</v>
        <stp/>
        <stp>##V3_BDPV12</stp>
        <stp>9128334N Govt</stp>
        <stp>ISSUE_DT</stp>
        <stp>[STRIPS.xlsx]Sheet1!R744C15</stp>
        <tr r="O744" s="1"/>
      </tp>
      <tp t="s">
        <v>912833FU9</v>
        <stp/>
        <stp>##V3_BDPV12</stp>
        <stp>912833FU Govt</stp>
        <stp>ID_CUSIP</stp>
        <stp>[STRIPS.xlsx]Sheet1!R509C19</stp>
        <tr r="S509" s="1"/>
      </tp>
      <tp t="s">
        <v>912833MU1</v>
        <stp/>
        <stp>##V3_BDPV12</stp>
        <stp>912833MU Govt</stp>
        <stp>ID_CUSIP</stp>
        <stp>[STRIPS.xlsx]Sheet1!R515C19</stp>
        <tr r="S515" s="1"/>
      </tp>
      <tp t="s">
        <v>US912834VZ85</v>
        <stp/>
        <stp>##V3_BDPV12</stp>
        <stp>912834VZ Govt</stp>
        <stp>ID_ISIN</stp>
        <stp>[STRIPS.xlsx]Sheet1!R766C12</stp>
        <tr r="L766" s="1"/>
      </tp>
      <tp t="s">
        <v>912833YU8</v>
        <stp/>
        <stp>##V3_BDPV12</stp>
        <stp>912833YU Govt</stp>
        <stp>ID_CUSIP</stp>
        <stp>[STRIPS.xlsx]Sheet1!R586C19</stp>
        <tr r="S586" s="1"/>
      </tp>
      <tp t="s">
        <v>6/30/2006</v>
        <stp/>
        <stp>##V3_BDPV12</stp>
        <stp>9128336N Govt</stp>
        <stp>ISSUE_DT</stp>
        <stp>[STRIPS.xlsx]Sheet1!R497C15</stp>
        <tr r="O497" s="1"/>
      </tp>
      <tp t="s">
        <v>8/1/2011</v>
        <stp/>
        <stp>##V3_BDPV12</stp>
        <stp>912834KN Govt</stp>
        <stp>ISSUE_DT</stp>
        <stp>[STRIPS.xlsx]Sheet1!R469C15</stp>
        <tr r="O469" s="1"/>
      </tp>
      <tp t="s">
        <v>11/1/2004</v>
        <stp/>
        <stp>##V3_BDPV12</stp>
        <stp>9128333N Govt</stp>
        <stp>ISSUE_DT</stp>
        <stp>[STRIPS.xlsx]Sheet1!R428C15</stp>
        <tr r="O428" s="1"/>
      </tp>
      <tp t="s">
        <v>4/30/2014</v>
        <stp/>
        <stp>##V3_BDPV12</stp>
        <stp>912834NN Govt</stp>
        <stp>ISSUE_DT</stp>
        <stp>[STRIPS.xlsx]Sheet1!R421C15</stp>
        <tr r="O421" s="1"/>
      </tp>
      <tp t="s">
        <v>5/31/2013</v>
        <stp/>
        <stp>##V3_BDPV12</stp>
        <stp>912834MN Govt</stp>
        <stp>ISSUE_DT</stp>
        <stp>[STRIPS.xlsx]Sheet1!R417C15</stp>
        <tr r="O417" s="1"/>
      </tp>
      <tp t="s">
        <v>912834MU9</v>
        <stp/>
        <stp>##V3_BDPV12</stp>
        <stp>912834MU Govt</stp>
        <stp>ID_CUSIP</stp>
        <stp>[STRIPS.xlsx]Sheet1!R419C19</stp>
        <tr r="S419" s="1"/>
      </tp>
      <tp t="s">
        <v>912834KU1</v>
        <stp/>
        <stp>##V3_BDPV12</stp>
        <stp>912834KU Govt</stp>
        <stp>ID_CUSIP</stp>
        <stp>[STRIPS.xlsx]Sheet1!R401C19</stp>
        <tr r="S401" s="1"/>
      </tp>
      <tp t="s">
        <v>912833KU3</v>
        <stp/>
        <stp>##V3_BDPV12</stp>
        <stp>912833KU Govt</stp>
        <stp>ID_CUSIP</stp>
        <stp>[STRIPS.xlsx]Sheet1!R444C19</stp>
        <tr r="S444" s="1"/>
      </tp>
      <tp t="s">
        <v>7/15/1996</v>
        <stp/>
        <stp>##V3_BDPV12</stp>
        <stp>912833NN Govt</stp>
        <stp>ISSUE_DT</stp>
        <stp>[STRIPS.xlsx]Sheet1!R518C15</stp>
        <tr r="O518" s="1"/>
      </tp>
      <tp t="s">
        <v>3/2/1998</v>
        <stp/>
        <stp>##V3_BDPV12</stp>
        <stp>912833RN Govt</stp>
        <stp>ISSUE_DT</stp>
        <stp>[STRIPS.xlsx]Sheet1!R579C15</stp>
        <tr r="O579" s="1"/>
      </tp>
      <tp t="s">
        <v>12/31/1997</v>
        <stp/>
        <stp>##V3_BDPV12</stp>
        <stp>912833QN Govt</stp>
        <stp>ISSUE_DT</stp>
        <stp>[STRIPS.xlsx]Sheet1!R577C15</stp>
        <tr r="O577" s="1"/>
      </tp>
      <tp t="s">
        <v>912833JU5</v>
        <stp/>
        <stp>##V3_BDPV12</stp>
        <stp>912833JU Govt</stp>
        <stp>ID_CUSIP</stp>
        <stp>[STRIPS.xlsx]Sheet1!R366C19</stp>
        <tr r="S366" s="1"/>
      </tp>
      <tp t="s">
        <v>912833ZU7</v>
        <stp/>
        <stp>##V3_BDPV12</stp>
        <stp>912833ZU Govt</stp>
        <stp>ID_CUSIP</stp>
        <stp>[STRIPS.xlsx]Sheet1!R348C19</stp>
        <tr r="S348" s="1"/>
      </tp>
      <tp t="s">
        <v>912834LU0</v>
        <stp/>
        <stp>##V3_BDPV12</stp>
        <stp>912834LU Govt</stp>
        <stp>ID_CUSIP</stp>
        <stp>[STRIPS.xlsx]Sheet1!R359C19</stp>
        <tr r="S359" s="1"/>
      </tp>
      <tp t="s">
        <v>US912834VY11</v>
        <stp/>
        <stp>##V3_BDPV12</stp>
        <stp>912834VY Govt</stp>
        <stp>ID_ISIN</stp>
        <stp>[STRIPS.xlsx]Sheet1!R218C12</stp>
        <tr r="L218" s="1"/>
      </tp>
      <tp t="s">
        <v>4/30/2009</v>
        <stp/>
        <stp>##V3_BDPV12</stp>
        <stp>912834BN Govt</stp>
        <stp>ISSUE_DT</stp>
        <stp>[STRIPS.xlsx]Sheet1!R263C15</stp>
        <tr r="O263" s="1"/>
      </tp>
      <tp t="s">
        <v>1/15/2009</v>
        <stp/>
        <stp>##V3_BDPV12</stp>
        <stp>912834AN Govt</stp>
        <stp>ISSUE_DT</stp>
        <stp>[STRIPS.xlsx]Sheet1!R259C15</stp>
        <tr r="O259" s="1"/>
      </tp>
      <tp t="s">
        <v>7/2/2012</v>
        <stp/>
        <stp>##V3_BDPV12</stp>
        <stp>912834LN Govt</stp>
        <stp>ISSUE_DT</stp>
        <stp>[STRIPS.xlsx]Sheet1!R231C15</stp>
        <tr r="O231" s="1"/>
      </tp>
      <tp t="s">
        <v>4/1/2019</v>
        <stp/>
        <stp>##V3_BDPV12</stp>
        <stp>912834UN Govt</stp>
        <stp>ISSUE_DT</stp>
        <stp>[STRIPS.xlsx]Sheet1!R206C15</stp>
        <tr r="O206" s="1"/>
      </tp>
      <tp t="s">
        <v>912834PU6</v>
        <stp/>
        <stp>##V3_BDPV12</stp>
        <stp>912834PU Govt</stp>
        <stp>ID_CUSIP</stp>
        <stp>[STRIPS.xlsx]Sheet1!R212C19</stp>
        <tr r="S212" s="1"/>
      </tp>
      <tp t="s">
        <v>912834QU5</v>
        <stp/>
        <stp>##V3_BDPV12</stp>
        <stp>912834QU Govt</stp>
        <stp>ID_CUSIP</stp>
        <stp>[STRIPS.xlsx]Sheet1!R201C19</stp>
        <tr r="S201" s="1"/>
      </tp>
      <tp t="s">
        <v>912834HU5</v>
        <stp/>
        <stp>##V3_BDPV12</stp>
        <stp>912834HU Govt</stp>
        <stp>ID_CUSIP</stp>
        <stp>[STRIPS.xlsx]Sheet1!R225C19</stp>
        <tr r="S225" s="1"/>
      </tp>
      <tp t="s">
        <v>912834NU8</v>
        <stp/>
        <stp>##V3_BDPV12</stp>
        <stp>912834NU Govt</stp>
        <stp>ID_CUSIP</stp>
        <stp>[STRIPS.xlsx]Sheet1!R274C19</stp>
        <tr r="S274" s="1"/>
      </tp>
      <tp t="s">
        <v>912833CU2</v>
        <stp/>
        <stp>##V3_BDPV12</stp>
        <stp>912833CU Govt</stp>
        <stp>ID_CUSIP</stp>
        <stp>[STRIPS.xlsx]Sheet1!R299C19</stp>
        <tr r="S299" s="1"/>
      </tp>
      <tp t="s">
        <v>1/31/2011</v>
        <stp/>
        <stp>##V3_BDPV12</stp>
        <stp>912834JN Govt</stp>
        <stp>ISSUE_DT</stp>
        <stp>[STRIPS.xlsx]Sheet1!R357C15</stp>
        <tr r="O357" s="1"/>
      </tp>
      <tp t="s">
        <v>7/31/2009</v>
        <stp/>
        <stp>##V3_BDPV12</stp>
        <stp>912834EN Govt</stp>
        <stp>ISSUE_DT</stp>
        <stp>[STRIPS.xlsx]Sheet1!R310C15</stp>
        <tr r="O310" s="1"/>
      </tp>
      <tp t="s">
        <v>912834AU2</v>
        <stp/>
        <stp>##V3_BDPV12</stp>
        <stp>912834AU Govt</stp>
        <stp>ID_CUSIP</stp>
        <stp>[STRIPS.xlsx]Sheet1!R125C19</stp>
        <tr r="S125" s="1"/>
      </tp>
      <tp t="s">
        <v>9128334U1</v>
        <stp/>
        <stp>##V3_BDPV12</stp>
        <stp>9128334U Govt</stp>
        <stp>ID_CUSIP</stp>
        <stp>[STRIPS.xlsx]Sheet1!R102C19</stp>
        <tr r="S102" s="1"/>
      </tp>
      <tp t="s">
        <v>912834EU8</v>
        <stp/>
        <stp>##V3_BDPV12</stp>
        <stp>912834EU Govt</stp>
        <stp>ID_CUSIP</stp>
        <stp>[STRIPS.xlsx]Sheet1!R175C19</stp>
        <tr r="S175" s="1"/>
      </tp>
      <tp t="s">
        <v>912834WU8</v>
        <stp/>
        <stp>##V3_BDPV12</stp>
        <stp>912834WU Govt</stp>
        <stp>ID_CUSIP</stp>
        <stp>[STRIPS.xlsx]Sheet1!R166C19</stp>
        <tr r="S166" s="1"/>
      </tp>
      <tp t="s">
        <v>6/30/2017</v>
        <stp/>
        <stp>##V3_BDPV12</stp>
        <stp>912834RN Govt</stp>
        <stp>ISSUE_DT</stp>
        <stp>[STRIPS.xlsx]Sheet1!R194C15</stp>
        <tr r="O194" s="1"/>
      </tp>
      <tp t="s">
        <v>1/15/2021</v>
        <stp/>
        <stp>##V3_BDPV12</stp>
        <stp>912834WN Govt</stp>
        <stp>ISSUE_DT</stp>
        <stp>[STRIPS.xlsx]Sheet1!R191C15</stp>
        <tr r="O191" s="1"/>
      </tp>
      <tp t="s">
        <v>8/1/2016</v>
        <stp/>
        <stp>##V3_BDPV12</stp>
        <stp>912834QN Govt</stp>
        <stp>ISSUE_DT</stp>
        <stp>[STRIPS.xlsx]Sheet1!R179C15</stp>
        <tr r="O179" s="1"/>
      </tp>
      <tp t="s">
        <v>8/31/2015</v>
        <stp/>
        <stp>##V3_BDPV12</stp>
        <stp>912834PN Govt</stp>
        <stp>ISSUE_DT</stp>
        <stp>[STRIPS.xlsx]Sheet1!R164C15</stp>
        <tr r="O164" s="1"/>
      </tp>
      <tp t="s">
        <v>4/30/2018</v>
        <stp/>
        <stp>##V3_BDPV12</stp>
        <stp>912834TN Govt</stp>
        <stp>ISSUE_DT</stp>
        <stp>[STRIPS.xlsx]Sheet1!R158C15</stp>
        <tr r="O158" s="1"/>
      </tp>
      <tp t="s">
        <v>US912834VG05</v>
        <stp/>
        <stp>##V3_BDPV12</stp>
        <stp>912834VG Govt</stp>
        <stp>ID_ISIN</stp>
        <stp>[STRIPS.xlsx]Sheet1!R160C12</stp>
        <tr r="L160" s="1"/>
      </tp>
      <tp t="s">
        <v>US912834VC90</v>
        <stp/>
        <stp>##V3_BDPV12</stp>
        <stp>912834VC Govt</stp>
        <stp>ID_ISIN</stp>
        <stp>[STRIPS.xlsx]Sheet1!R763C12</stp>
        <tr r="L763" s="1"/>
      </tp>
      <tp t="s">
        <v>US912834VF22</v>
        <stp/>
        <stp>##V3_BDPV12</stp>
        <stp>912834VF Govt</stp>
        <stp>ID_ISIN</stp>
        <stp>[STRIPS.xlsx]Sheet1!R219C12</stp>
        <tr r="L219" s="1"/>
      </tp>
      <tp t="s">
        <v>US912834VE56</v>
        <stp/>
        <stp>##V3_BDPV12</stp>
        <stp>912834VE Govt</stp>
        <stp>ID_ISIN</stp>
        <stp>[STRIPS.xlsx]Sheet1!R116C12</stp>
        <tr r="L116" s="1"/>
      </tp>
      <tp t="s">
        <v>US912834VD73</v>
        <stp/>
        <stp>##V3_BDPV12</stp>
        <stp>912834VD Govt</stp>
        <stp>ID_ISIN</stp>
        <stp>[STRIPS.xlsx]Sheet1!R765C12</stp>
        <tr r="L765" s="1"/>
      </tp>
      <tp t="s">
        <v>US912834VB18</v>
        <stp/>
        <stp>##V3_BDPV12</stp>
        <stp>912834VB Govt</stp>
        <stp>ID_ISIN</stp>
        <stp>[STRIPS.xlsx]Sheet1!R159C12</stp>
        <tr r="L159" s="1"/>
      </tp>
      <tp t="s">
        <v>US912834VA35</v>
        <stp/>
        <stp>##V3_BDPV12</stp>
        <stp>912834VA Govt</stp>
        <stp>ID_ISIN</stp>
        <stp>[STRIPS.xlsx]Sheet1!R178C12</stp>
        <tr r="L178" s="1"/>
      </tp>
      <tp t="s">
        <v>US912834VJ44</v>
        <stp/>
        <stp>##V3_BDPV12</stp>
        <stp>912834VJ Govt</stp>
        <stp>ID_ISIN</stp>
        <stp>[STRIPS.xlsx]Sheet1!R774C12</stp>
        <tr r="L774" s="1"/>
      </tp>
      <tp t="s">
        <v>US912834VL99</v>
        <stp/>
        <stp>##V3_BDPV12</stp>
        <stp>912834VL Govt</stp>
        <stp>ID_ISIN</stp>
        <stp>[STRIPS.xlsx]Sheet1!R138C12</stp>
        <tr r="L138" s="1"/>
      </tp>
      <tp t="s">
        <v>US912834VH87</v>
        <stp/>
        <stp>##V3_BDPV12</stp>
        <stp>912834VH Govt</stp>
        <stp>ID_ISIN</stp>
        <stp>[STRIPS.xlsx]Sheet1!R146C12</stp>
        <tr r="L146" s="1"/>
      </tp>
      <tp t="s">
        <v>#N/A Field Not Applicable</v>
        <stp/>
        <stp>##V3_BDPV12</stp>
        <stp>912834EP Govt</stp>
        <stp>COUPON_FREQUENCY_DESCRIPTION</stp>
        <stp>[STRIPS.xlsx]Sheet1!R77C10</stp>
        <tr r="J77" s="1"/>
      </tp>
      <tp t="s">
        <v>S 0 11/15/47</v>
        <stp/>
        <stp>##V3_BDPV12</stp>
        <stp>912834SZ Govt</stp>
        <stp>SECURITY_NAME</stp>
        <stp>[STRIPS.xlsx]Sheet1!R94C16</stp>
        <tr r="P94" s="1"/>
      </tp>
      <tp t="s">
        <v>S 0 02/15/31</v>
        <stp/>
        <stp>##V3_BDPV12</stp>
        <stp>912833XZ Govt</stp>
        <stp>SECURITY_NAME</stp>
        <stp>[STRIPS.xlsx]Sheet1!R31C16</stp>
        <tr r="P31" s="1"/>
      </tp>
      <tp t="s">
        <v>S 0 08/15/28</v>
        <stp/>
        <stp>##V3_BDPV12</stp>
        <stp>912833RZ Govt</stp>
        <stp>SECURITY_NAME</stp>
        <stp>[STRIPS.xlsx]Sheet1!R26C16</stp>
        <tr r="P26" s="1"/>
      </tp>
      <tp t="s">
        <v>S 0 11/15/43</v>
        <stp/>
        <stp>##V3_BDPV12</stp>
        <stp>912834MZ Govt</stp>
        <stp>SECURITY_NAME</stp>
        <stp>[STRIPS.xlsx]Sheet1!R71C16</stp>
        <tr r="P71" s="1"/>
      </tp>
      <tp t="s">
        <v>S 0 02/15/35</v>
        <stp/>
        <stp>##V3_BDPV12</stp>
        <stp>9128334Z Govt</stp>
        <stp>SECURITY_NAME</stp>
        <stp>[STRIPS.xlsx]Sheet1!R45C16</stp>
        <tr r="P45" s="1"/>
      </tp>
      <tp t="s">
        <v>UNITED STATES</v>
        <stp/>
        <stp>##V3_BDPV12</stp>
        <stp>912833Y4 Govt</stp>
        <stp>COUNTRY_FULL_NAME</stp>
        <stp>[STRIPS.xlsx]Sheet1!R60C8</stp>
        <tr r="H60" s="1"/>
      </tp>
      <tp t="s">
        <v>UNITED STATES</v>
        <stp/>
        <stp>##V3_BDPV12</stp>
        <stp>912833XY Govt</stp>
        <stp>COUNTRY_FULL_NAME</stp>
        <stp>[STRIPS.xlsx]Sheet1!R50C8</stp>
        <tr r="H50" s="1"/>
      </tp>
      <tp t="s">
        <v>UNITED STATES</v>
        <stp/>
        <stp>##V3_BDPV12</stp>
        <stp>912833XU Govt</stp>
        <stp>COUNTRY_FULL_NAME</stp>
        <stp>[STRIPS.xlsx]Sheet1!R30C8</stp>
        <tr r="H30" s="1"/>
      </tp>
      <tp t="s">
        <v>USD</v>
        <stp/>
        <stp>##V3_BDPV12</stp>
        <stp>912833A8 Govt</stp>
        <stp>CRNCY</stp>
        <stp>[STRIPS.xlsx]Sheet1!R560C7</stp>
        <tr r="G560" s="1"/>
      </tp>
      <tp t="s">
        <v>ZERO</v>
        <stp/>
        <stp>##V3_BDPV12</stp>
        <stp>912833Z7 Govt</stp>
        <stp>CPN_TYP</stp>
        <stp>[STRIPS.xlsx]Sheet1!R696C11</stp>
        <tr r="K696" s="1"/>
      </tp>
      <tp t="s">
        <v>ZERO</v>
        <stp/>
        <stp>##V3_BDPV12</stp>
        <stp>912833Z6 Govt</stp>
        <stp>CPN_TYP</stp>
        <stp>[STRIPS.xlsx]Sheet1!R111C11</stp>
        <tr r="K111" s="1"/>
      </tp>
      <tp t="s">
        <v>ZERO</v>
        <stp/>
        <stp>##V3_BDPV12</stp>
        <stp>912833Z4 Govt</stp>
        <stp>CPN_TYP</stp>
        <stp>[STRIPS.xlsx]Sheet1!R382C11</stp>
        <tr r="K382" s="1"/>
      </tp>
      <tp t="s">
        <v>ZERO</v>
        <stp/>
        <stp>##V3_BDPV12</stp>
        <stp>912833Z8 Govt</stp>
        <stp>CPN_TYP</stp>
        <stp>[STRIPS.xlsx]Sheet1!R697C11</stp>
        <tr r="K697" s="1"/>
      </tp>
      <tp t="s">
        <v>ZERO</v>
        <stp/>
        <stp>##V3_BDPV12</stp>
        <stp>912833Z9 Govt</stp>
        <stp>CPN_TYP</stp>
        <stp>[STRIPS.xlsx]Sheet1!R526C11</stp>
        <tr r="K526" s="1"/>
      </tp>
      <tp t="s">
        <v>US912834WV62</v>
        <stp/>
        <stp>##V3_BDPV12</stp>
        <stp>912834WV Govt</stp>
        <stp>ID_ISIN</stp>
        <stp>[STRIPS.xlsx]Sheet1!R129C12</stp>
        <tr r="L129" s="1"/>
      </tp>
      <tp t="s">
        <v>US912834WW46</v>
        <stp/>
        <stp>##V3_BDPV12</stp>
        <stp>912834WW Govt</stp>
        <stp>ID_ISIN</stp>
        <stp>[STRIPS.xlsx]Sheet1!R185C12</stp>
        <tr r="L185" s="1"/>
      </tp>
      <tp t="s">
        <v>ZERO</v>
        <stp/>
        <stp>##V3_BDPV12</stp>
        <stp>912833ZW Govt</stp>
        <stp>CPN_TYP</stp>
        <stp>[STRIPS.xlsx]Sheet1!R640C11</stp>
        <tr r="K640" s="1"/>
      </tp>
      <tp t="s">
        <v>ZERO</v>
        <stp/>
        <stp>##V3_BDPV12</stp>
        <stp>912833ZR Govt</stp>
        <stp>CPN_TYP</stp>
        <stp>[STRIPS.xlsx]Sheet1!R383C11</stp>
        <tr r="K383" s="1"/>
      </tp>
      <tp t="s">
        <v>ZERO</v>
        <stp/>
        <stp>##V3_BDPV12</stp>
        <stp>912833ZP Govt</stp>
        <stp>CPN_TYP</stp>
        <stp>[STRIPS.xlsx]Sheet1!R192C11</stp>
        <tr r="K192" s="1"/>
      </tp>
      <tp t="s">
        <v>US912834WU89</v>
        <stp/>
        <stp>##V3_BDPV12</stp>
        <stp>912834WU Govt</stp>
        <stp>ID_ISIN</stp>
        <stp>[STRIPS.xlsx]Sheet1!R166C12</stp>
        <tr r="L166" s="1"/>
      </tp>
      <tp t="s">
        <v>ZERO</v>
        <stp/>
        <stp>##V3_BDPV12</stp>
        <stp>912833ZQ Govt</stp>
        <stp>CPN_TYP</stp>
        <stp>[STRIPS.xlsx]Sheet1!R639C11</stp>
        <tr r="K639" s="1"/>
      </tp>
      <tp t="s">
        <v>ZERO</v>
        <stp/>
        <stp>##V3_BDPV12</stp>
        <stp>912833ZT Govt</stp>
        <stp>CPN_TYP</stp>
        <stp>[STRIPS.xlsx]Sheet1!R347C11</stp>
        <tr r="K347" s="1"/>
      </tp>
      <tp t="s">
        <v>ZERO</v>
        <stp/>
        <stp>##V3_BDPV12</stp>
        <stp>912833ZS Govt</stp>
        <stp>CPN_TYP</stp>
        <stp>[STRIPS.xlsx]Sheet1!R455C11</stp>
        <tr r="K455" s="1"/>
      </tp>
      <tp t="s">
        <v>ZERO</v>
        <stp/>
        <stp>##V3_BDPV12</stp>
        <stp>912833ZU Govt</stp>
        <stp>CPN_TYP</stp>
        <stp>[STRIPS.xlsx]Sheet1!R348C11</stp>
        <tr r="K348" s="1"/>
      </tp>
      <tp t="s">
        <v>ZERO</v>
        <stp/>
        <stp>##V3_BDPV12</stp>
        <stp>912833ZV Govt</stp>
        <stp>CPN_TYP</stp>
        <stp>[STRIPS.xlsx]Sheet1!R254C11</stp>
        <tr r="K254" s="1"/>
      </tp>
      <tp t="s">
        <v>US912834WQ77</v>
        <stp/>
        <stp>##V3_BDPV12</stp>
        <stp>912834WQ Govt</stp>
        <stp>ID_ISIN</stp>
        <stp>[STRIPS.xlsx]Sheet1!R136C12</stp>
        <tr r="L136" s="1"/>
      </tp>
      <tp t="s">
        <v>912834VT2</v>
        <stp/>
        <stp>##V3_BDPV12</stp>
        <stp>912834VT Govt</stp>
        <stp>ID_CUSIP</stp>
        <stp>[STRIPS.xlsx]Sheet1!R773C19</stp>
        <tr r="S773" s="1"/>
      </tp>
      <tp t="s">
        <v>9128336T2</v>
        <stp/>
        <stp>##V3_BDPV12</stp>
        <stp>9128336T Govt</stp>
        <stp>ID_CUSIP</stp>
        <stp>[STRIPS.xlsx]Sheet1!R714C19</stp>
        <tr r="S714" s="1"/>
      </tp>
      <tp t="s">
        <v>ZERO</v>
        <stp/>
        <stp>##V3_BDPV12</stp>
        <stp>912833ZY Govt</stp>
        <stp>CPN_TYP</stp>
        <stp>[STRIPS.xlsx]Sheet1!R255C11</stp>
        <tr r="K255" s="1"/>
      </tp>
      <tp t="s">
        <v>US912834WX29</v>
        <stp/>
        <stp>##V3_BDPV12</stp>
        <stp>912834WX Govt</stp>
        <stp>ID_ISIN</stp>
        <stp>[STRIPS.xlsx]Sheet1!R776C12</stp>
        <tr r="L776" s="1"/>
      </tp>
      <tp t="s">
        <v>912833MT4</v>
        <stp/>
        <stp>##V3_BDPV12</stp>
        <stp>912833MT Govt</stp>
        <stp>ID_CUSIP</stp>
        <stp>[STRIPS.xlsx]Sheet1!R674C19</stp>
        <tr r="S674" s="1"/>
      </tp>
      <tp t="s">
        <v>912833CT5</v>
        <stp/>
        <stp>##V3_BDPV12</stp>
        <stp>912833CT Govt</stp>
        <stp>ID_CUSIP</stp>
        <stp>[STRIPS.xlsx]Sheet1!R657C19</stp>
        <tr r="S657" s="1"/>
      </tp>
      <tp t="s">
        <v>912833FT2</v>
        <stp/>
        <stp>##V3_BDPV12</stp>
        <stp>912833FT Govt</stp>
        <stp>ID_CUSIP</stp>
        <stp>[STRIPS.xlsx]Sheet1!R621C19</stp>
        <tr r="S621" s="1"/>
      </tp>
      <tp t="s">
        <v>912833PT1</v>
        <stp/>
        <stp>##V3_BDPV12</stp>
        <stp>912833PT Govt</stp>
        <stp>ID_CUSIP</stp>
        <stp>[STRIPS.xlsx]Sheet1!R575C19</stp>
        <tr r="S575" s="1"/>
      </tp>
      <tp t="s">
        <v>9128335T3</v>
        <stp/>
        <stp>##V3_BDPV12</stp>
        <stp>9128335T Govt</stp>
        <stp>ID_CUSIP</stp>
        <stp>[STRIPS.xlsx]Sheet1!R556C19</stp>
        <tr r="S556" s="1"/>
      </tp>
      <tp t="s">
        <v>912833RT9</v>
        <stp/>
        <stp>##V3_BDPV12</stp>
        <stp>912833RT Govt</stp>
        <stp>ID_CUSIP</stp>
        <stp>[STRIPS.xlsx]Sheet1!R580C19</stp>
        <tr r="S580" s="1"/>
      </tp>
      <tp t="s">
        <v>912834QT8</v>
        <stp/>
        <stp>##V3_BDPV12</stp>
        <stp>912834QT Govt</stp>
        <stp>ID_CUSIP</stp>
        <stp>[STRIPS.xlsx]Sheet1!R414C19</stp>
        <tr r="S414" s="1"/>
      </tp>
      <tp t="s">
        <v>912834JT6</v>
        <stp/>
        <stp>##V3_BDPV12</stp>
        <stp>912834JT Govt</stp>
        <stp>ID_CUSIP</stp>
        <stp>[STRIPS.xlsx]Sheet1!R467C19</stp>
        <tr r="S467" s="1"/>
      </tp>
      <tp t="s">
        <v>9128333T5</v>
        <stp/>
        <stp>##V3_BDPV12</stp>
        <stp>9128333T Govt</stp>
        <stp>ID_CUSIP</stp>
        <stp>[STRIPS.xlsx]Sheet1!R483C19</stp>
        <tr r="S483" s="1"/>
      </tp>
      <tp t="s">
        <v>ZERO</v>
        <stp/>
        <stp>##V3_BDPV12</stp>
        <stp>912833ZZ Govt</stp>
        <stp>CPN_TYP</stp>
        <stp>[STRIPS.xlsx]Sheet1!R528C11</stp>
        <tr r="K528" s="1"/>
      </tp>
      <tp t="s">
        <v>912834KT4</v>
        <stp/>
        <stp>##V3_BDPV12</stp>
        <stp>912834KT Govt</stp>
        <stp>ID_CUSIP</stp>
        <stp>[STRIPS.xlsx]Sheet1!R319C19</stp>
        <tr r="S319" s="1"/>
      </tp>
      <tp t="s">
        <v>912833ZT0</v>
        <stp/>
        <stp>##V3_BDPV12</stp>
        <stp>912833ZT Govt</stp>
        <stp>ID_CUSIP</stp>
        <stp>[STRIPS.xlsx]Sheet1!R347C19</stp>
        <tr r="S347" s="1"/>
      </tp>
      <tp t="s">
        <v>912834HT8</v>
        <stp/>
        <stp>##V3_BDPV12</stp>
        <stp>912834HT Govt</stp>
        <stp>ID_CUSIP</stp>
        <stp>[STRIPS.xlsx]Sheet1!R355C19</stp>
        <tr r="S355" s="1"/>
      </tp>
      <tp t="s">
        <v>912834LT3</v>
        <stp/>
        <stp>##V3_BDPV12</stp>
        <stp>912834LT Govt</stp>
        <stp>ID_CUSIP</stp>
        <stp>[STRIPS.xlsx]Sheet1!R358C19</stp>
        <tr r="S358" s="1"/>
      </tp>
      <tp t="s">
        <v>912833QT0</v>
        <stp/>
        <stp>##V3_BDPV12</stp>
        <stp>912833QT Govt</stp>
        <stp>ID_CUSIP</stp>
        <stp>[STRIPS.xlsx]Sheet1!R307C19</stp>
        <tr r="S307" s="1"/>
      </tp>
      <tp t="s">
        <v>912834ET1</v>
        <stp/>
        <stp>##V3_BDPV12</stp>
        <stp>912834ET Govt</stp>
        <stp>ID_CUSIP</stp>
        <stp>[STRIPS.xlsx]Sheet1!R393C19</stp>
        <tr r="S393" s="1"/>
      </tp>
      <tp t="s">
        <v>912833YT1</v>
        <stp/>
        <stp>##V3_BDPV12</stp>
        <stp>912833YT Govt</stp>
        <stp>ID_CUSIP</stp>
        <stp>[STRIPS.xlsx]Sheet1!R249C19</stp>
        <tr r="S249" s="1"/>
      </tp>
      <tp t="s">
        <v>912834RT7</v>
        <stp/>
        <stp>##V3_BDPV12</stp>
        <stp>912834RT Govt</stp>
        <stp>ID_CUSIP</stp>
        <stp>[STRIPS.xlsx]Sheet1!R280C19</stp>
        <tr r="S280" s="1"/>
      </tp>
      <tp t="s">
        <v>912834TT5</v>
        <stp/>
        <stp>##V3_BDPV12</stp>
        <stp>912834TT Govt</stp>
        <stp>ID_CUSIP</stp>
        <stp>[STRIPS.xlsx]Sheet1!R283C19</stp>
        <tr r="S283" s="1"/>
      </tp>
      <tp t="s">
        <v>912833KT6</v>
        <stp/>
        <stp>##V3_BDPV12</stp>
        <stp>912833KT Govt</stp>
        <stp>ID_CUSIP</stp>
        <stp>[STRIPS.xlsx]Sheet1!R161C19</stp>
        <tr r="S161" s="1"/>
      </tp>
      <tp t="s">
        <v>912834PT9</v>
        <stp/>
        <stp>##V3_BDPV12</stp>
        <stp>912834PT Govt</stp>
        <stp>ID_CUSIP</stp>
        <stp>[STRIPS.xlsx]Sheet1!R106C19</stp>
        <tr r="S106" s="1"/>
      </tp>
      <tp t="s">
        <v>912833JT8</v>
        <stp/>
        <stp>##V3_BDPV12</stp>
        <stp>912833JT Govt</stp>
        <stp>ID_CUSIP</stp>
        <stp>[STRIPS.xlsx]Sheet1!R156C19</stp>
        <tr r="S156" s="1"/>
      </tp>
      <tp t="s">
        <v>9128337T1</v>
        <stp/>
        <stp>##V3_BDPV12</stp>
        <stp>9128337T Govt</stp>
        <stp>ID_CUSIP</stp>
        <stp>[STRIPS.xlsx]Sheet1!R121C19</stp>
        <tr r="S121" s="1"/>
      </tp>
      <tp t="s">
        <v>912834NT1</v>
        <stp/>
        <stp>##V3_BDPV12</stp>
        <stp>912834NT Govt</stp>
        <stp>ID_CUSIP</stp>
        <stp>[STRIPS.xlsx]Sheet1!R174C19</stp>
        <tr r="S174" s="1"/>
      </tp>
      <tp t="s">
        <v>912834UT3</v>
        <stp/>
        <stp>##V3_BDPV12</stp>
        <stp>912834UT Govt</stp>
        <stp>ID_CUSIP</stp>
        <stp>[STRIPS.xlsx]Sheet1!R184C19</stp>
        <tr r="S184" s="1"/>
      </tp>
      <tp t="s">
        <v>ZERO</v>
        <stp/>
        <stp>##V3_BDPV12</stp>
        <stp>912833ZX Govt</stp>
        <stp>CPN_TYP</stp>
        <stp>[STRIPS.xlsx]Sheet1!R588C11</stp>
        <tr r="K588" s="1"/>
      </tp>
      <tp t="s">
        <v>US912834WY02</v>
        <stp/>
        <stp>##V3_BDPV12</stp>
        <stp>912834WY Govt</stp>
        <stp>ID_ISIN</stp>
        <stp>[STRIPS.xlsx]Sheet1!R189C12</stp>
        <tr r="L189" s="1"/>
      </tp>
      <tp t="s">
        <v>ZERO</v>
        <stp/>
        <stp>##V3_BDPV12</stp>
        <stp>912833ZA Govt</stp>
        <stp>CPN_TYP</stp>
        <stp>[STRIPS.xlsx]Sheet1!R251C11</stp>
        <tr r="K251" s="1"/>
      </tp>
      <tp t="s">
        <v>ZERO</v>
        <stp/>
        <stp>##V3_BDPV12</stp>
        <stp>912833ZF Govt</stp>
        <stp>CPN_TYP</stp>
        <stp>[STRIPS.xlsx]Sheet1!R587C11</stp>
        <tr r="K587" s="1"/>
      </tp>
      <tp t="s">
        <v>US912834WE48</v>
        <stp/>
        <stp>##V3_BDPV12</stp>
        <stp>912834WE Govt</stp>
        <stp>ID_ISIN</stp>
        <stp>[STRIPS.xlsx]Sheet1!R223C12</stp>
        <tr r="L223" s="1"/>
      </tp>
      <tp t="s">
        <v>ZERO</v>
        <stp/>
        <stp>##V3_BDPV12</stp>
        <stp>912833ZD Govt</stp>
        <stp>CPN_TYP</stp>
        <stp>[STRIPS.xlsx]Sheet1!R637C11</stp>
        <tr r="K637" s="1"/>
      </tp>
      <tp t="s">
        <v>US912834WD64</v>
        <stp/>
        <stp>##V3_BDPV12</stp>
        <stp>912834WD Govt</stp>
        <stp>ID_ISIN</stp>
        <stp>[STRIPS.xlsx]Sheet1!R186C12</stp>
        <tr r="L186" s="1"/>
      </tp>
      <tp t="s">
        <v>US912834WB09</v>
        <stp/>
        <stp>##V3_BDPV12</stp>
        <stp>912834WB Govt</stp>
        <stp>ID_ISIN</stp>
        <stp>[STRIPS.xlsx]Sheet1!R771C12</stp>
        <tr r="L771" s="1"/>
      </tp>
      <tp t="s">
        <v>ZERO</v>
        <stp/>
        <stp>##V3_BDPV12</stp>
        <stp>912833ZC Govt</stp>
        <stp>CPN_TYP</stp>
        <stp>[STRIPS.xlsx]Sheet1!R346C11</stp>
        <tr r="K346" s="1"/>
      </tp>
      <tp t="s">
        <v>ZERO</v>
        <stp/>
        <stp>##V3_BDPV12</stp>
        <stp>912833ZE Govt</stp>
        <stp>CPN_TYP</stp>
        <stp>[STRIPS.xlsx]Sheet1!R252C11</stp>
        <tr r="K252" s="1"/>
      </tp>
      <tp t="s">
        <v>ZERO</v>
        <stp/>
        <stp>##V3_BDPV12</stp>
        <stp>912833ZB Govt</stp>
        <stp>CPN_TYP</stp>
        <stp>[STRIPS.xlsx]Sheet1!R454C11</stp>
        <tr r="K454" s="1"/>
      </tp>
      <tp t="s">
        <v>ZERO</v>
        <stp/>
        <stp>##V3_BDPV12</stp>
        <stp>912833ZG Govt</stp>
        <stp>CPN_TYP</stp>
        <stp>[STRIPS.xlsx]Sheet1!R253C11</stp>
        <tr r="K253" s="1"/>
      </tp>
      <tp t="s">
        <v>US912834WF13</v>
        <stp/>
        <stp>##V3_BDPV12</stp>
        <stp>912834WF Govt</stp>
        <stp>ID_ISIN</stp>
        <stp>[STRIPS.xlsx]Sheet1!R770C12</stp>
        <tr r="L770" s="1"/>
      </tp>
      <tp t="s">
        <v>US912834WG95</v>
        <stp/>
        <stp>##V3_BDPV12</stp>
        <stp>912834WG Govt</stp>
        <stp>ID_ISIN</stp>
        <stp>[STRIPS.xlsx]Sheet1!R772C12</stp>
        <tr r="L772" s="1"/>
      </tp>
      <tp t="s">
        <v>US912834WN47</v>
        <stp/>
        <stp>##V3_BDPV12</stp>
        <stp>912834WN Govt</stp>
        <stp>ID_ISIN</stp>
        <stp>[STRIPS.xlsx]Sheet1!R191C12</stp>
        <tr r="L191" s="1"/>
      </tp>
      <tp t="s">
        <v>ZERO</v>
        <stp/>
        <stp>##V3_BDPV12</stp>
        <stp>912833ZM Govt</stp>
        <stp>CPN_TYP</stp>
        <stp>[STRIPS.xlsx]Sheet1!R699C11</stp>
        <tr r="K699" s="1"/>
      </tp>
      <tp t="s">
        <v>ZERO</v>
        <stp/>
        <stp>##V3_BDPV12</stp>
        <stp>912833ZN Govt</stp>
        <stp>CPN_TYP</stp>
        <stp>[STRIPS.xlsx]Sheet1!R638C11</stp>
        <tr r="K638" s="1"/>
      </tp>
      <tp t="s">
        <v>US912834WM63</v>
        <stp/>
        <stp>##V3_BDPV12</stp>
        <stp>912834WM Govt</stp>
        <stp>ID_ISIN</stp>
        <stp>[STRIPS.xlsx]Sheet1!R188C12</stp>
        <tr r="L188" s="1"/>
      </tp>
      <tp t="s">
        <v>US912834WK08</v>
        <stp/>
        <stp>##V3_BDPV12</stp>
        <stp>912834WK Govt</stp>
        <stp>ID_ISIN</stp>
        <stp>[STRIPS.xlsx]Sheet1!R775C12</stp>
        <tr r="L775" s="1"/>
      </tp>
      <tp t="s">
        <v>ZERO</v>
        <stp/>
        <stp>##V3_BDPV12</stp>
        <stp>912833ZJ Govt</stp>
        <stp>CPN_TYP</stp>
        <stp>[STRIPS.xlsx]Sheet1!R527C11</stp>
        <tr r="K527" s="1"/>
      </tp>
      <tp t="s">
        <v>US912834WL80</v>
        <stp/>
        <stp>##V3_BDPV12</stp>
        <stp>912834WL Govt</stp>
        <stp>ID_ISIN</stp>
        <stp>[STRIPS.xlsx]Sheet1!R768C12</stp>
        <tr r="L768" s="1"/>
      </tp>
      <tp t="s">
        <v>ZERO</v>
        <stp/>
        <stp>##V3_BDPV12</stp>
        <stp>912833ZH Govt</stp>
        <stp>CPN_TYP</stp>
        <stp>[STRIPS.xlsx]Sheet1!R698C11</stp>
        <tr r="K698" s="1"/>
      </tp>
      <tp t="s">
        <v>US912834WH78</v>
        <stp/>
        <stp>##V3_BDPV12</stp>
        <stp>912834WH Govt</stp>
        <stp>ID_ISIN</stp>
        <stp>[STRIPS.xlsx]Sheet1!R215C12</stp>
        <tr r="L215" s="1"/>
      </tp>
      <tp t="s">
        <v>#N/A Field Not Applicable</v>
        <stp/>
        <stp>##V3_BDPV12</stp>
        <stp>912834DU Govt</stp>
        <stp>COUPON_FREQUENCY_DESCRIPTION</stp>
        <stp>[STRIPS.xlsx]Sheet1!R87C10</stp>
        <tr r="J87" s="1"/>
      </tp>
      <tp t="s">
        <v>#N/A Field Not Applicable</v>
        <stp/>
        <stp>##V3_BDPV12</stp>
        <stp>9128334S Govt</stp>
        <stp>IDX_RATIO</stp>
        <stp>[STRIPS.xlsx]Sheet1!R5C20</stp>
        <tr r="T5" s="1"/>
      </tp>
      <tp t="s">
        <v>#N/A Field Not Applicable</v>
        <stp/>
        <stp>##V3_BDPV12</stp>
        <stp>9128336Y Govt</stp>
        <stp>FIRST_CPN_DT</stp>
        <stp>[STRIPS.xlsx]Sheet1!R429C9</stp>
        <tr r="I429" s="1"/>
      </tp>
      <tp t="s">
        <v>#N/A Field Not Applicable</v>
        <stp/>
        <stp>##V3_BDPV12</stp>
        <stp>9128336P Govt</stp>
        <stp>FIRST_CPN_DT</stp>
        <stp>[STRIPS.xlsx]Sheet1!R729C9</stp>
        <tr r="I729" s="1"/>
      </tp>
      <tp t="s">
        <v>UNITED STATES</v>
        <stp/>
        <stp>##V3_BDPV12</stp>
        <stp>912834WC Govt</stp>
        <stp>COUNTRY_FULL_NAME</stp>
        <stp>[STRIPS.xlsx]Sheet1!R78C8</stp>
        <tr r="H78" s="1"/>
      </tp>
      <tp t="s">
        <v>#N/A Field Not Applicable</v>
        <stp/>
        <stp>##V3_BDPV12</stp>
        <stp>9128336J Govt</stp>
        <stp>FIRST_CPN_DT</stp>
        <stp>[STRIPS.xlsx]Sheet1!R289C9</stp>
        <tr r="I289" s="1"/>
      </tp>
      <tp t="s">
        <v>UNITED STATES</v>
        <stp/>
        <stp>##V3_BDPV12</stp>
        <stp>912833XS Govt</stp>
        <stp>COUNTRY_FULL_NAME</stp>
        <stp>[STRIPS.xlsx]Sheet1!R47C8</stp>
        <tr r="H47" s="1"/>
      </tp>
      <tp t="s">
        <v>#N/A Field Not Applicable</v>
        <stp/>
        <stp>##V3_BDPV12</stp>
        <stp>9128336D Govt</stp>
        <stp>FIRST_CPN_DT</stp>
        <stp>[STRIPS.xlsx]Sheet1!R749C9</stp>
        <tr r="I749" s="1"/>
      </tp>
      <tp t="s">
        <v>USD</v>
        <stp/>
        <stp>##V3_BDPV12</stp>
        <stp>912833Z9 Govt</stp>
        <stp>CRNCY</stp>
        <stp>[STRIPS.xlsx]Sheet1!R526C7</stp>
        <tr r="G526" s="1"/>
      </tp>
      <tp t="s">
        <v>USD</v>
        <stp/>
        <stp>##V3_BDPV12</stp>
        <stp>912833Z8 Govt</stp>
        <stp>CRNCY</stp>
        <stp>[STRIPS.xlsx]Sheet1!R697C7</stp>
        <tr r="G697" s="1"/>
      </tp>
      <tp t="s">
        <v>US912833PQ77</v>
        <stp/>
        <stp>##V3_BDPV12</stp>
        <stp>912833PQ Govt</stp>
        <stp>ID_ISIN</stp>
        <stp>[STRIPS.xlsx]Sheet1!R682C12</stp>
        <tr r="L682" s="1"/>
      </tp>
      <tp t="s">
        <v>US912834PR34</v>
        <stp/>
        <stp>##V3_BDPV12</stp>
        <stp>912834PR Govt</stp>
        <stp>ID_ISIN</stp>
        <stp>[STRIPS.xlsx]Sheet1!R549C12</stp>
        <tr r="L549" s="1"/>
      </tp>
      <tp t="s">
        <v>US912834PU62</v>
        <stp/>
        <stp>##V3_BDPV12</stp>
        <stp>912834PU Govt</stp>
        <stp>ID_ISIN</stp>
        <stp>[STRIPS.xlsx]Sheet1!R212C12</stp>
        <tr r="L212" s="1"/>
      </tp>
      <tp t="s">
        <v>US912833PS34</v>
        <stp/>
        <stp>##V3_BDPV12</stp>
        <stp>912833PS Govt</stp>
        <stp>ID_ISIN</stp>
        <stp>[STRIPS.xlsx]Sheet1!R574C12</stp>
        <tr r="L574" s="1"/>
      </tp>
      <tp t="s">
        <v>US912834PW29</v>
        <stp/>
        <stp>##V3_BDPV12</stp>
        <stp>912834PW Govt</stp>
        <stp>ID_ISIN</stp>
        <stp>[STRIPS.xlsx]Sheet1!R154C12</stp>
        <tr r="L154" s="1"/>
      </tp>
      <tp t="s">
        <v>US912833PV62</v>
        <stp/>
        <stp>##V3_BDPV12</stp>
        <stp>912833PV Govt</stp>
        <stp>ID_ISIN</stp>
        <stp>[STRIPS.xlsx]Sheet1!R338C12</stp>
        <tr r="L338" s="1"/>
      </tp>
      <tp t="s">
        <v>US912833PW46</v>
        <stp/>
        <stp>##V3_BDPV12</stp>
        <stp>912833PW Govt</stp>
        <stp>ID_ISIN</stp>
        <stp>[STRIPS.xlsx]Sheet1!R239C12</stp>
        <tr r="L239" s="1"/>
      </tp>
      <tp t="s">
        <v>US912834PT99</v>
        <stp/>
        <stp>##V3_BDPV12</stp>
        <stp>912834PT Govt</stp>
        <stp>ID_ISIN</stp>
        <stp>[STRIPS.xlsx]Sheet1!R106C12</stp>
        <tr r="L106" s="1"/>
      </tp>
      <tp t="s">
        <v>US912833PU89</v>
        <stp/>
        <stp>##V3_BDPV12</stp>
        <stp>912833PU Govt</stp>
        <stp>ID_ISIN</stp>
        <stp>[STRIPS.xlsx]Sheet1!R683C12</stp>
        <tr r="L683" s="1"/>
      </tp>
      <tp t="s">
        <v>US912833PP94</v>
        <stp/>
        <stp>##V3_BDPV12</stp>
        <stp>912833PP Govt</stp>
        <stp>ID_ISIN</stp>
        <stp>[STRIPS.xlsx]Sheet1!R337C12</stp>
        <tr r="L337" s="1"/>
      </tp>
      <tp t="s">
        <v>US912834PV46</v>
        <stp/>
        <stp>##V3_BDPV12</stp>
        <stp>912834PV Govt</stp>
        <stp>ID_ISIN</stp>
        <stp>[STRIPS.xlsx]Sheet1!R479C12</stp>
        <tr r="L479" s="1"/>
      </tp>
      <tp t="s">
        <v>US912834PP77</v>
        <stp/>
        <stp>##V3_BDPV12</stp>
        <stp>912834PP Govt</stp>
        <stp>ID_ISIN</stp>
        <stp>[STRIPS.xlsx]Sheet1!R276C12</stp>
        <tr r="L276" s="1"/>
      </tp>
      <tp t="s">
        <v>US912833PR50</v>
        <stp/>
        <stp>##V3_BDPV12</stp>
        <stp>912833PR Govt</stp>
        <stp>ID_ISIN</stp>
        <stp>[STRIPS.xlsx]Sheet1!R375C12</stp>
        <tr r="L375" s="1"/>
      </tp>
      <tp t="s">
        <v>US912833PT17</v>
        <stp/>
        <stp>##V3_BDPV12</stp>
        <stp>912833PT Govt</stp>
        <stp>ID_ISIN</stp>
        <stp>[STRIPS.xlsx]Sheet1!R575C12</stp>
        <tr r="L575" s="1"/>
      </tp>
      <tp t="s">
        <v>US912834PS17</v>
        <stp/>
        <stp>##V3_BDPV12</stp>
        <stp>912834PS Govt</stp>
        <stp>ID_ISIN</stp>
        <stp>[STRIPS.xlsx]Sheet1!R209C12</stp>
        <tr r="L209" s="1"/>
      </tp>
      <tp t="s">
        <v>US912834PQ50</v>
        <stp/>
        <stp>##V3_BDPV12</stp>
        <stp>912834PQ Govt</stp>
        <stp>ID_ISIN</stp>
        <stp>[STRIPS.xlsx]Sheet1!R140C12</stp>
        <tr r="L140" s="1"/>
      </tp>
      <tp t="s">
        <v>9128336S4</v>
        <stp/>
        <stp>##V3_BDPV12</stp>
        <stp>9128336S Govt</stp>
        <stp>ID_CUSIP</stp>
        <stp>[STRIPS.xlsx]Sheet1!R751C19</stp>
        <tr r="S751" s="1"/>
      </tp>
      <tp t="s">
        <v>912834US5</v>
        <stp/>
        <stp>##V3_BDPV12</stp>
        <stp>912834US Govt</stp>
        <stp>ID_CUSIP</stp>
        <stp>[STRIPS.xlsx]Sheet1!R762C19</stp>
        <tr r="S762" s="1"/>
      </tp>
      <tp t="s">
        <v>6/2/2003</v>
        <stp/>
        <stp>##V3_BDPV12</stp>
        <stp>912833ZH Govt</stp>
        <stp>ISSUE_DT</stp>
        <stp>[STRIPS.xlsx]Sheet1!R698C15</stp>
        <tr r="O698" s="1"/>
      </tp>
      <tp t="s">
        <v>8/2/2004</v>
        <stp/>
        <stp>##V3_BDPV12</stp>
        <stp>9128333H Govt</stp>
        <stp>ISSUE_DT</stp>
        <stp>[STRIPS.xlsx]Sheet1!R600C15</stp>
        <tr r="O600" s="1"/>
      </tp>
      <tp t="s">
        <v>2/15/1985</v>
        <stp/>
        <stp>##V3_BDPV12</stp>
        <stp>912833CH Govt</stp>
        <stp>ISSUE_DT</stp>
        <stp>[STRIPS.xlsx]Sheet1!R615C15</stp>
        <tr r="O615" s="1"/>
      </tp>
      <tp t="s">
        <v>12/1/1997</v>
        <stp/>
        <stp>##V3_BDPV12</stp>
        <stp>912833QH Govt</stp>
        <stp>ISSUE_DT</stp>
        <stp>[STRIPS.xlsx]Sheet1!R630C15</stp>
        <tr r="O630" s="1"/>
      </tp>
      <tp t="s">
        <v>2/2/1998</v>
        <stp/>
        <stp>##V3_BDPV12</stp>
        <stp>912833RH Govt</stp>
        <stp>ISSUE_DT</stp>
        <stp>[STRIPS.xlsx]Sheet1!R634C15</stp>
        <tr r="O634" s="1"/>
      </tp>
      <tp t="s">
        <v>9128335S5</v>
        <stp/>
        <stp>##V3_BDPV12</stp>
        <stp>9128335S Govt</stp>
        <stp>ID_CUSIP</stp>
        <stp>[STRIPS.xlsx]Sheet1!R649C19</stp>
        <tr r="S649" s="1"/>
      </tp>
      <tp t="s">
        <v>912833MS6</v>
        <stp/>
        <stp>##V3_BDPV12</stp>
        <stp>912833MS Govt</stp>
        <stp>ID_CUSIP</stp>
        <stp>[STRIPS.xlsx]Sheet1!R625C19</stp>
        <tr r="S625" s="1"/>
      </tp>
      <tp t="s">
        <v>912833QS2</v>
        <stp/>
        <stp>##V3_BDPV12</stp>
        <stp>912833QS Govt</stp>
        <stp>ID_CUSIP</stp>
        <stp>[STRIPS.xlsx]Sheet1!R632C19</stp>
        <tr r="S632" s="1"/>
      </tp>
      <tp t="s">
        <v>6/30/2004</v>
        <stp/>
        <stp>##V3_BDPV12</stp>
        <stp>9128332H Govt</stp>
        <stp>ISSUE_DT</stp>
        <stp>[STRIPS.xlsx]Sheet1!R718C15</stp>
        <tr r="O718" s="1"/>
      </tp>
      <tp t="s">
        <v>2/28/2006</v>
        <stp/>
        <stp>##V3_BDPV12</stp>
        <stp>9128335H Govt</stp>
        <stp>ISSUE_DT</stp>
        <stp>[STRIPS.xlsx]Sheet1!R722C15</stp>
        <tr r="O722" s="1"/>
      </tp>
      <tp t="s">
        <v>912833PS3</v>
        <stp/>
        <stp>##V3_BDPV12</stp>
        <stp>912833PS Govt</stp>
        <stp>ID_CUSIP</stp>
        <stp>[STRIPS.xlsx]Sheet1!R574C19</stp>
        <tr r="S574" s="1"/>
      </tp>
      <tp t="s">
        <v>9128333S7</v>
        <stp/>
        <stp>##V3_BDPV12</stp>
        <stp>9128333S Govt</stp>
        <stp>ID_CUSIP</stp>
        <stp>[STRIPS.xlsx]Sheet1!R553C19</stp>
        <tr r="S553" s="1"/>
      </tp>
      <tp t="s">
        <v>912833RS1</v>
        <stp/>
        <stp>##V3_BDPV12</stp>
        <stp>912833RS Govt</stp>
        <stp>ID_CUSIP</stp>
        <stp>[STRIPS.xlsx]Sheet1!R525C19</stp>
        <tr r="S525" s="1"/>
      </tp>
      <tp t="s">
        <v>912834NS3</v>
        <stp/>
        <stp>##V3_BDPV12</stp>
        <stp>912834NS Govt</stp>
        <stp>ID_CUSIP</stp>
        <stp>[STRIPS.xlsx]Sheet1!R547C19</stp>
        <tr r="S547" s="1"/>
      </tp>
      <tp t="s">
        <v>912833FS4</v>
        <stp/>
        <stp>##V3_BDPV12</stp>
        <stp>912833FS Govt</stp>
        <stp>ID_CUSIP</stp>
        <stp>[STRIPS.xlsx]Sheet1!R508C19</stp>
        <tr r="S508" s="1"/>
      </tp>
      <tp t="s">
        <v>912833YS3</v>
        <stp/>
        <stp>##V3_BDPV12</stp>
        <stp>912833YS Govt</stp>
        <stp>ID_CUSIP</stp>
        <stp>[STRIPS.xlsx]Sheet1!R585C19</stp>
        <tr r="S585" s="1"/>
      </tp>
      <tp t="s">
        <v>10/17/2005</v>
        <stp/>
        <stp>##V3_BDPV12</stp>
        <stp>9128334H Govt</stp>
        <stp>ISSUE_DT</stp>
        <stp>[STRIPS.xlsx]Sheet1!R489C15</stp>
        <tr r="O489" s="1"/>
      </tp>
      <tp t="s">
        <v>6/30/2006</v>
        <stp/>
        <stp>##V3_BDPV12</stp>
        <stp>9128336H Govt</stp>
        <stp>ISSUE_DT</stp>
        <stp>[STRIPS.xlsx]Sheet1!R495C15</stp>
        <tr r="O495" s="1"/>
      </tp>
      <tp t="s">
        <v>4/17/2017</v>
        <stp/>
        <stp>##V3_BDPV12</stp>
        <stp>912834RH Govt</stp>
        <stp>ISSUE_DT</stp>
        <stp>[STRIPS.xlsx]Sheet1!R481C15</stp>
        <tr r="O481" s="1"/>
      </tp>
      <tp t="s">
        <v>4/2/2007</v>
        <stp/>
        <stp>##V3_BDPV12</stp>
        <stp>9128337H Govt</stp>
        <stp>ISSUE_DT</stp>
        <stp>[STRIPS.xlsx]Sheet1!R431C15</stp>
        <tr r="O431" s="1"/>
      </tp>
      <tp t="s">
        <v>912834MS4</v>
        <stp/>
        <stp>##V3_BDPV12</stp>
        <stp>912834MS Govt</stp>
        <stp>ID_CUSIP</stp>
        <stp>[STRIPS.xlsx]Sheet1!R406C19</stp>
        <tr r="S406" s="1"/>
      </tp>
      <tp t="s">
        <v>912833ZS2</v>
        <stp/>
        <stp>##V3_BDPV12</stp>
        <stp>912833ZS Govt</stp>
        <stp>ID_CUSIP</stp>
        <stp>[STRIPS.xlsx]Sheet1!R455C19</stp>
        <tr r="S455" s="1"/>
      </tp>
      <tp t="s">
        <v>912834ES3</v>
        <stp/>
        <stp>##V3_BDPV12</stp>
        <stp>912834ES Govt</stp>
        <stp>ID_CUSIP</stp>
        <stp>[STRIPS.xlsx]Sheet1!R464C19</stp>
        <tr r="S464" s="1"/>
      </tp>
      <tp t="s">
        <v>US912834PX02</v>
        <stp/>
        <stp>##V3_BDPV12</stp>
        <stp>912834PX Govt</stp>
        <stp>ID_ISIN</stp>
        <stp>[STRIPS.xlsx]Sheet1!R412C12</stp>
        <tr r="L412" s="1"/>
      </tp>
      <tp t="s">
        <v>2/15/1985</v>
        <stp/>
        <stp>##V3_BDPV12</stp>
        <stp>912833DH Govt</stp>
        <stp>ISSUE_DT</stp>
        <stp>[STRIPS.xlsx]Sheet1!R506C15</stp>
        <tr r="O506" s="1"/>
      </tp>
      <tp t="s">
        <v>11/15/1984</v>
        <stp/>
        <stp>##V3_BDPV12</stp>
        <stp>912833FH Govt</stp>
        <stp>ISSUE_DT</stp>
        <stp>[STRIPS.xlsx]Sheet1!R507C15</stp>
        <tr r="O507" s="1"/>
      </tp>
      <tp t="s">
        <v>5/15/1986</v>
        <stp/>
        <stp>##V3_BDPV12</stp>
        <stp>912833KH Govt</stp>
        <stp>ISSUE_DT</stp>
        <stp>[STRIPS.xlsx]Sheet1!R565C15</stp>
        <tr r="O565" s="1"/>
      </tp>
      <tp t="s">
        <v>912834JS8</v>
        <stp/>
        <stp>##V3_BDPV12</stp>
        <stp>912834JS Govt</stp>
        <stp>ID_CUSIP</stp>
        <stp>[STRIPS.xlsx]Sheet1!R315C19</stp>
        <tr r="S315" s="1"/>
      </tp>
      <tp t="s">
        <v>912834HS0</v>
        <stp/>
        <stp>##V3_BDPV12</stp>
        <stp>912834HS Govt</stp>
        <stp>ID_CUSIP</stp>
        <stp>[STRIPS.xlsx]Sheet1!R396C19</stp>
        <tr r="S396" s="1"/>
      </tp>
      <tp t="s">
        <v>US912834PZ59</v>
        <stp/>
        <stp>##V3_BDPV12</stp>
        <stp>912834PZ Govt</stp>
        <stp>ID_ISIN</stp>
        <stp>[STRIPS.xlsx]Sheet1!R126C12</stp>
        <tr r="L126" s="1"/>
      </tp>
      <tp t="s">
        <v>US912833PX29</v>
        <stp/>
        <stp>##V3_BDPV12</stp>
        <stp>912833PX Govt</stp>
        <stp>ID_ISIN</stp>
        <stp>[STRIPS.xlsx]Sheet1!R339C12</stp>
        <tr r="L339" s="1"/>
      </tp>
      <tp t="s">
        <v>US912834PY84</v>
        <stp/>
        <stp>##V3_BDPV12</stp>
        <stp>912834PY Govt</stp>
        <stp>ID_ISIN</stp>
        <stp>[STRIPS.xlsx]Sheet1!R202C12</stp>
        <tr r="L202" s="1"/>
      </tp>
      <tp t="s">
        <v>10/15/1996</v>
        <stp/>
        <stp>##V3_BDPV12</stp>
        <stp>912833NH Govt</stp>
        <stp>ISSUE_DT</stp>
        <stp>[STRIPS.xlsx]Sheet1!R237C15</stp>
        <tr r="O237" s="1"/>
      </tp>
      <tp t="s">
        <v>11/2/2020</v>
        <stp/>
        <stp>##V3_BDPV12</stp>
        <stp>912834WH Govt</stp>
        <stp>ISSUE_DT</stp>
        <stp>[STRIPS.xlsx]Sheet1!R215C15</stp>
        <tr r="O215" s="1"/>
      </tp>
      <tp t="s">
        <v>912834PS1</v>
        <stp/>
        <stp>##V3_BDPV12</stp>
        <stp>912834PS Govt</stp>
        <stp>ID_CUSIP</stp>
        <stp>[STRIPS.xlsx]Sheet1!R209C19</stp>
        <tr r="S209" s="1"/>
      </tp>
      <tp t="s">
        <v>912834LS5</v>
        <stp/>
        <stp>##V3_BDPV12</stp>
        <stp>912834LS Govt</stp>
        <stp>ID_CUSIP</stp>
        <stp>[STRIPS.xlsx]Sheet1!R270C19</stp>
        <tr r="S270" s="1"/>
      </tp>
      <tp t="s">
        <v>912834KS6</v>
        <stp/>
        <stp>##V3_BDPV12</stp>
        <stp>912834KS Govt</stp>
        <stp>ID_CUSIP</stp>
        <stp>[STRIPS.xlsx]Sheet1!R268C19</stp>
        <tr r="S268" s="1"/>
      </tp>
      <tp t="s">
        <v>US912833PY02</v>
        <stp/>
        <stp>##V3_BDPV12</stp>
        <stp>912833PY Govt</stp>
        <stp>ID_ISIN</stp>
        <stp>[STRIPS.xlsx]Sheet1!R340C12</stp>
        <tr r="L340" s="1"/>
      </tp>
      <tp t="s">
        <v>912833CS7</v>
        <stp/>
        <stp>##V3_BDPV12</stp>
        <stp>912833CS Govt</stp>
        <stp>ID_CUSIP</stp>
        <stp>[STRIPS.xlsx]Sheet1!R298C19</stp>
        <tr r="S298" s="1"/>
      </tp>
      <tp t="s">
        <v>10/31/2008</v>
        <stp/>
        <stp>##V3_BDPV12</stp>
        <stp>912834AH Govt</stp>
        <stp>ISSUE_DT</stp>
        <stp>[STRIPS.xlsx]Sheet1!R385C15</stp>
        <tr r="O385" s="1"/>
      </tp>
      <tp t="s">
        <v>10/15/1996</v>
        <stp/>
        <stp>##V3_BDPV12</stp>
        <stp>912833MH Govt</stp>
        <stp>ISSUE_DT</stp>
        <stp>[STRIPS.xlsx]Sheet1!R306C15</stp>
        <tr r="O306" s="1"/>
      </tp>
      <tp t="s">
        <v>3/31/2009</v>
        <stp/>
        <stp>##V3_BDPV12</stp>
        <stp>912834BH Govt</stp>
        <stp>ISSUE_DT</stp>
        <stp>[STRIPS.xlsx]Sheet1!R351C15</stp>
        <tr r="O351" s="1"/>
      </tp>
      <tp t="s">
        <v>9/30/1997</v>
        <stp/>
        <stp>##V3_BDPV12</stp>
        <stp>912833PH Govt</stp>
        <stp>ISSUE_DT</stp>
        <stp>[STRIPS.xlsx]Sheet1!R336C15</stp>
        <tr r="O336" s="1"/>
      </tp>
      <tp t="s">
        <v>3/15/2013</v>
        <stp/>
        <stp>##V3_BDPV12</stp>
        <stp>912834MH Govt</stp>
        <stp>ISSUE_DT</stp>
        <stp>[STRIPS.xlsx]Sheet1!R326C15</stp>
        <tr r="O326" s="1"/>
      </tp>
      <tp t="s">
        <v>4/16/2012</v>
        <stp/>
        <stp>##V3_BDPV12</stp>
        <stp>912834LH Govt</stp>
        <stp>ISSUE_DT</stp>
        <stp>[STRIPS.xlsx]Sheet1!R322C15</stp>
        <tr r="O322" s="1"/>
      </tp>
      <tp t="s">
        <v>7/15/2009</v>
        <stp/>
        <stp>##V3_BDPV12</stp>
        <stp>912834EH Govt</stp>
        <stp>ISSUE_DT</stp>
        <stp>[STRIPS.xlsx]Sheet1!R309C15</stp>
        <tr r="O309" s="1"/>
      </tp>
      <tp t="s">
        <v>912833KS8</v>
        <stp/>
        <stp>##V3_BDPV12</stp>
        <stp>912833KS Govt</stp>
        <stp>ID_CUSIP</stp>
        <stp>[STRIPS.xlsx]Sheet1!R176C19</stp>
        <tr r="S176" s="1"/>
      </tp>
      <tp t="s">
        <v>912834QS0</v>
        <stp/>
        <stp>##V3_BDPV12</stp>
        <stp>912834QS Govt</stp>
        <stp>ID_CUSIP</stp>
        <stp>[STRIPS.xlsx]Sheet1!R135C19</stp>
        <tr r="S135" s="1"/>
      </tp>
      <tp t="s">
        <v>912834VS4</v>
        <stp/>
        <stp>##V3_BDPV12</stp>
        <stp>912834VS Govt</stp>
        <stp>ID_CUSIP</stp>
        <stp>[STRIPS.xlsx]Sheet1!R170C19</stp>
        <tr r="S170" s="1"/>
      </tp>
      <tp t="s">
        <v>912834RS9</v>
        <stp/>
        <stp>##V3_BDPV12</stp>
        <stp>912834RS Govt</stp>
        <stp>ID_CUSIP</stp>
        <stp>[STRIPS.xlsx]Sheet1!R169C19</stp>
        <tr r="S169" s="1"/>
      </tp>
      <tp t="s">
        <v>912834TS7</v>
        <stp/>
        <stp>##V3_BDPV12</stp>
        <stp>912834TS Govt</stp>
        <stp>ID_CUSIP</stp>
        <stp>[STRIPS.xlsx]Sheet1!R196C19</stp>
        <tr r="S196" s="1"/>
      </tp>
      <tp t="s">
        <v>US912833PZ76</v>
        <stp/>
        <stp>##V3_BDPV12</stp>
        <stp>912833PZ Govt</stp>
        <stp>ID_ISIN</stp>
        <stp>[STRIPS.xlsx]Sheet1!R240C12</stp>
        <tr r="L240" s="1"/>
      </tp>
      <tp t="s">
        <v>8/31/2021</v>
        <stp/>
        <stp>##V3_BDPV12</stp>
        <stp>912834XH Govt</stp>
        <stp>ISSUE_DT</stp>
        <stp>[STRIPS.xlsx]Sheet1!R150C15</stp>
        <tr r="O150" s="1"/>
      </tp>
      <tp t="s">
        <v>12/31/2019</v>
        <stp/>
        <stp>##V3_BDPV12</stp>
        <stp>912834VH Govt</stp>
        <stp>ISSUE_DT</stp>
        <stp>[STRIPS.xlsx]Sheet1!R146C15</stp>
        <tr r="O146" s="1"/>
      </tp>
      <tp t="s">
        <v>2/15/2019</v>
        <stp/>
        <stp>##V3_BDPV12</stp>
        <stp>912834UH Govt</stp>
        <stp>ISSUE_DT</stp>
        <stp>[STRIPS.xlsx]Sheet1!R105C15</stp>
        <tr r="O105" s="1"/>
      </tp>
      <tp t="s">
        <v>US912834PE21</v>
        <stp/>
        <stp>##V3_BDPV12</stp>
        <stp>912834PE Govt</stp>
        <stp>ID_ISIN</stp>
        <stp>[STRIPS.xlsx]Sheet1!R132C12</stp>
        <tr r="L132" s="1"/>
      </tp>
      <tp t="s">
        <v>US912834PB81</v>
        <stp/>
        <stp>##V3_BDPV12</stp>
        <stp>912834PB Govt</stp>
        <stp>ID_ISIN</stp>
        <stp>[STRIPS.xlsx]Sheet1!R109C12</stp>
        <tr r="L109" s="1"/>
      </tp>
      <tp t="s">
        <v>US912834PC64</v>
        <stp/>
        <stp>##V3_BDPV12</stp>
        <stp>912834PC Govt</stp>
        <stp>ID_ISIN</stp>
        <stp>[STRIPS.xlsx]Sheet1!R148C12</stp>
        <tr r="L148" s="1"/>
      </tp>
      <tp t="s">
        <v>US912834PF95</v>
        <stp/>
        <stp>##V3_BDPV12</stp>
        <stp>912834PF Govt</stp>
        <stp>ID_ISIN</stp>
        <stp>[STRIPS.xlsx]Sheet1!R411C12</stp>
        <tr r="L411" s="1"/>
      </tp>
      <tp t="s">
        <v>US912833PG95</v>
        <stp/>
        <stp>##V3_BDPV12</stp>
        <stp>912833PG Govt</stp>
        <stp>ID_ISIN</stp>
        <stp>[STRIPS.xlsx]Sheet1!R679C12</stp>
        <tr r="L679" s="1"/>
      </tp>
      <tp t="s">
        <v>US912834PD48</v>
        <stp/>
        <stp>##V3_BDPV12</stp>
        <stp>912834PD Govt</stp>
        <stp>ID_ISIN</stp>
        <stp>[STRIPS.xlsx]Sheet1!R478C12</stp>
        <tr r="L478" s="1"/>
      </tp>
      <tp t="s">
        <v>US912833PF13</v>
        <stp/>
        <stp>##V3_BDPV12</stp>
        <stp>912833PF Govt</stp>
        <stp>ID_ISIN</stp>
        <stp>[STRIPS.xlsx]Sheet1!R678C12</stp>
        <tr r="L678" s="1"/>
      </tp>
      <tp t="s">
        <v>US912834PA09</v>
        <stp/>
        <stp>##V3_BDPV12</stp>
        <stp>912834PA Govt</stp>
        <stp>ID_ISIN</stp>
        <stp>[STRIPS.xlsx]Sheet1!R123C12</stp>
        <tr r="L123" s="1"/>
      </tp>
      <tp t="s">
        <v>US912834PN20</v>
        <stp/>
        <stp>##V3_BDPV12</stp>
        <stp>912834PN Govt</stp>
        <stp>ID_ISIN</stp>
        <stp>[STRIPS.xlsx]Sheet1!R164C12</stp>
        <tr r="L164" s="1"/>
      </tp>
      <tp t="s">
        <v>US912833PL80</v>
        <stp/>
        <stp>##V3_BDPV12</stp>
        <stp>912833PL Govt</stp>
        <stp>ID_ISIN</stp>
        <stp>[STRIPS.xlsx]Sheet1!R374C12</stp>
        <tr r="L374" s="1"/>
      </tp>
      <tp t="s">
        <v>US912833PM63</v>
        <stp/>
        <stp>##V3_BDPV12</stp>
        <stp>912833PM Govt</stp>
        <stp>ID_ISIN</stp>
        <stp>[STRIPS.xlsx]Sheet1!R238C12</stp>
        <tr r="L238" s="1"/>
      </tp>
      <tp t="s">
        <v>US912833PK08</v>
        <stp/>
        <stp>##V3_BDPV12</stp>
        <stp>912833PK Govt</stp>
        <stp>ID_ISIN</stp>
        <stp>[STRIPS.xlsx]Sheet1!R573C12</stp>
        <tr r="L573" s="1"/>
      </tp>
      <tp t="s">
        <v>US912834PL63</v>
        <stp/>
        <stp>##V3_BDPV12</stp>
        <stp>912834PL Govt</stp>
        <stp>ID_ISIN</stp>
        <stp>[STRIPS.xlsx]Sheet1!R128C12</stp>
        <tr r="L128" s="1"/>
      </tp>
      <tp t="s">
        <v>US912833PJ35</v>
        <stp/>
        <stp>##V3_BDPV12</stp>
        <stp>912833PJ Govt</stp>
        <stp>ID_ISIN</stp>
        <stp>[STRIPS.xlsx]Sheet1!R680C12</stp>
        <tr r="L680" s="1"/>
      </tp>
      <tp t="s">
        <v>US912834PJ18</v>
        <stp/>
        <stp>##V3_BDPV12</stp>
        <stp>912834PJ Govt</stp>
        <stp>ID_ISIN</stp>
        <stp>[STRIPS.xlsx]Sheet1!R144C12</stp>
        <tr r="L144" s="1"/>
      </tp>
      <tp t="s">
        <v>US912833PH78</v>
        <stp/>
        <stp>##V3_BDPV12</stp>
        <stp>912833PH Govt</stp>
        <stp>ID_ISIN</stp>
        <stp>[STRIPS.xlsx]Sheet1!R336C12</stp>
        <tr r="L336" s="1"/>
      </tp>
      <tp t="s">
        <v>US912833PN47</v>
        <stp/>
        <stp>##V3_BDPV12</stp>
        <stp>912833PN Govt</stp>
        <stp>ID_ISIN</stp>
        <stp>[STRIPS.xlsx]Sheet1!R681C12</stp>
        <tr r="L681" s="1"/>
      </tp>
      <tp t="s">
        <v>US912834PK80</v>
        <stp/>
        <stp>##V3_BDPV12</stp>
        <stp>912834PK Govt</stp>
        <stp>ID_ISIN</stp>
        <stp>[STRIPS.xlsx]Sheet1!R329C12</stp>
        <tr r="L329" s="1"/>
      </tp>
      <tp t="s">
        <v>UNITED STATES</v>
        <stp/>
        <stp>##V3_BDPV12</stp>
        <stp>912834WJ Govt</stp>
        <stp>COUNTRY_FULL_NAME</stp>
        <stp>[STRIPS.xlsx]Sheet1!R89C8</stp>
        <tr r="H89" s="1"/>
      </tp>
      <tp t="s">
        <v>#N/A Field Not Applicable</v>
        <stp/>
        <stp>##V3_BDPV12</stp>
        <stp>9128336R Govt</stp>
        <stp>FIRST_CPN_DT</stp>
        <stp>[STRIPS.xlsx]Sheet1!R498C9</stp>
        <tr r="I498" s="1"/>
      </tp>
      <tp t="s">
        <v>#N/A Field Not Applicable</v>
        <stp/>
        <stp>##V3_BDPV12</stp>
        <stp>9128336M Govt</stp>
        <stp>FIRST_CPN_DT</stp>
        <stp>[STRIPS.xlsx]Sheet1!R558C9</stp>
        <tr r="I558" s="1"/>
      </tp>
      <tp t="s">
        <v>#N/A Field Not Applicable</v>
        <stp/>
        <stp>##V3_BDPV12</stp>
        <stp>9128337M Govt</stp>
        <stp>FIRST_CPN_DT</stp>
        <stp>[STRIPS.xlsx]Sheet1!R559C9</stp>
        <tr r="I559" s="1"/>
      </tp>
      <tp t="s">
        <v>#N/A Field Not Applicable</v>
        <stp/>
        <stp>##V3_BDPV12</stp>
        <stp>9128337A Govt</stp>
        <stp>FIRST_CPN_DT</stp>
        <stp>[STRIPS.xlsx]Sheet1!R499C9</stp>
        <tr r="I499" s="1"/>
      </tp>
      <tp t="s">
        <v>#N/A Field Not Applicable</v>
        <stp/>
        <stp>##V3_BDPV12</stp>
        <stp>9128336A Govt</stp>
        <stp>FIRST_CPN_DT</stp>
        <stp>[STRIPS.xlsx]Sheet1!R748C9</stp>
        <tr r="I748" s="1"/>
      </tp>
      <tp t="s">
        <v>#N/A Field Not Applicable</v>
        <stp/>
        <stp>##V3_BDPV12</stp>
        <stp>9128336E Govt</stp>
        <stp>FIRST_CPN_DT</stp>
        <stp>[STRIPS.xlsx]Sheet1!R728C9</stp>
        <tr r="I728" s="1"/>
      </tp>
      <tp t="s">
        <v>#N/A Field Not Applicable</v>
        <stp/>
        <stp>##V3_BDPV12</stp>
        <stp>9128336F Govt</stp>
        <stp>FIRST_CPN_DT</stp>
        <stp>[STRIPS.xlsx]Sheet1!R288C9</stp>
        <tr r="I288" s="1"/>
      </tp>
      <tp t="s">
        <v>US912833QR42</v>
        <stp/>
        <stp>##V3_BDPV12</stp>
        <stp>912833QR Govt</stp>
        <stp>ID_ISIN</stp>
        <stp>[STRIPS.xlsx]Sheet1!R521C12</stp>
        <tr r="L521" s="1"/>
      </tp>
      <tp t="s">
        <v>US912834QU53</v>
        <stp/>
        <stp>##V3_BDPV12</stp>
        <stp>912834QU Govt</stp>
        <stp>ID_ISIN</stp>
        <stp>[STRIPS.xlsx]Sheet1!R201C12</stp>
        <tr r="L201" s="1"/>
      </tp>
      <tp t="s">
        <v>US912833QT08</v>
        <stp/>
        <stp>##V3_BDPV12</stp>
        <stp>912833QT Govt</stp>
        <stp>ID_ISIN</stp>
        <stp>[STRIPS.xlsx]Sheet1!R307C12</stp>
        <tr r="L307" s="1"/>
      </tp>
      <tp t="s">
        <v>US912834QV37</v>
        <stp/>
        <stp>##V3_BDPV12</stp>
        <stp>912834QV Govt</stp>
        <stp>ID_ISIN</stp>
        <stp>[STRIPS.xlsx]Sheet1!R104C12</stp>
        <tr r="L104" s="1"/>
      </tp>
      <tp t="s">
        <v>US912833QP85</v>
        <stp/>
        <stp>##V3_BDPV12</stp>
        <stp>912833QP Govt</stp>
        <stp>ID_ISIN</stp>
        <stp>[STRIPS.xlsx]Sheet1!R687C12</stp>
        <tr r="L687" s="1"/>
      </tp>
      <tp t="s">
        <v>US912834QR25</v>
        <stp/>
        <stp>##V3_BDPV12</stp>
        <stp>912834QR Govt</stp>
        <stp>ID_ISIN</stp>
        <stp>[STRIPS.xlsx]Sheet1!R480C12</stp>
        <tr r="L480" s="1"/>
      </tp>
      <tp t="s">
        <v>US912834QW10</v>
        <stp/>
        <stp>##V3_BDPV12</stp>
        <stp>912834QW Govt</stp>
        <stp>ID_ISIN</stp>
        <stp>[STRIPS.xlsx]Sheet1!R171C12</stp>
        <tr r="L171" s="1"/>
      </tp>
      <tp t="s">
        <v>US912833QS25</v>
        <stp/>
        <stp>##V3_BDPV12</stp>
        <stp>912833QS Govt</stp>
        <stp>ID_ISIN</stp>
        <stp>[STRIPS.xlsx]Sheet1!R632C12</stp>
        <tr r="L632" s="1"/>
      </tp>
      <tp t="s">
        <v>US912833QW37</v>
        <stp/>
        <stp>##V3_BDPV12</stp>
        <stp>912833QW Govt</stp>
        <stp>ID_ISIN</stp>
        <stp>[STRIPS.xlsx]Sheet1!R378C12</stp>
        <tr r="L378" s="1"/>
      </tp>
      <tp t="s">
        <v>US912833QV53</v>
        <stp/>
        <stp>##V3_BDPV12</stp>
        <stp>912833QV Govt</stp>
        <stp>ID_ISIN</stp>
        <stp>[STRIPS.xlsx]Sheet1!R242C12</stp>
        <tr r="L242" s="1"/>
      </tp>
      <tp t="s">
        <v>US912833QU70</v>
        <stp/>
        <stp>##V3_BDPV12</stp>
        <stp>912833QU Govt</stp>
        <stp>ID_ISIN</stp>
        <stp>[STRIPS.xlsx]Sheet1!R688C12</stp>
        <tr r="L688" s="1"/>
      </tp>
      <tp t="s">
        <v>US912834QQ42</v>
        <stp/>
        <stp>##V3_BDPV12</stp>
        <stp>912834QQ Govt</stp>
        <stp>ID_ISIN</stp>
        <stp>[STRIPS.xlsx]Sheet1!R205C12</stp>
        <tr r="L205" s="1"/>
      </tp>
      <tp t="s">
        <v>US912833QQ68</v>
        <stp/>
        <stp>##V3_BDPV12</stp>
        <stp>912833QQ Govt</stp>
        <stp>ID_ISIN</stp>
        <stp>[STRIPS.xlsx]Sheet1!R377C12</stp>
        <tr r="L377" s="1"/>
      </tp>
      <tp t="s">
        <v>US912834QS08</v>
        <stp/>
        <stp>##V3_BDPV12</stp>
        <stp>912834QS Govt</stp>
        <stp>ID_ISIN</stp>
        <stp>[STRIPS.xlsx]Sheet1!R135C12</stp>
        <tr r="L135" s="1"/>
      </tp>
      <tp t="s">
        <v>US912834QP68</v>
        <stp/>
        <stp>##V3_BDPV12</stp>
        <stp>912834QP Govt</stp>
        <stp>ID_ISIN</stp>
        <stp>[STRIPS.xlsx]Sheet1!R108C12</stp>
        <tr r="L108" s="1"/>
      </tp>
      <tp t="s">
        <v>US912834QT80</v>
        <stp/>
        <stp>##V3_BDPV12</stp>
        <stp>912834QT Govt</stp>
        <stp>ID_ISIN</stp>
        <stp>[STRIPS.xlsx]Sheet1!R414C12</stp>
        <tr r="L414" s="1"/>
      </tp>
      <tp t="s">
        <v>9128333R9</v>
        <stp/>
        <stp>##V3_BDPV12</stp>
        <stp>9128333R Govt</stp>
        <stp>ID_CUSIP</stp>
        <stp>[STRIPS.xlsx]Sheet1!R705C19</stp>
        <tr r="S705" s="1"/>
      </tp>
      <tp t="s">
        <v>US912833QY92</v>
        <stp/>
        <stp>##V3_BDPV12</stp>
        <stp>912833QY Govt</stp>
        <stp>ID_ISIN</stp>
        <stp>[STRIPS.xlsx]Sheet1!R633C12</stp>
        <tr r="L633" s="1"/>
      </tp>
      <tp t="s">
        <v>912833CR9</v>
        <stp/>
        <stp>##V3_BDPV12</stp>
        <stp>912833CR Govt</stp>
        <stp>ID_CUSIP</stp>
        <stp>[STRIPS.xlsx]Sheet1!R617C19</stp>
        <tr r="S617" s="1"/>
      </tp>
      <tp t="s">
        <v>912833RR3</v>
        <stp/>
        <stp>##V3_BDPV12</stp>
        <stp>912833RR Govt</stp>
        <stp>ID_CUSIP</stp>
        <stp>[STRIPS.xlsx]Sheet1!R693C19</stp>
        <tr r="S693" s="1"/>
      </tp>
      <tp t="s">
        <v>912833NR7</v>
        <stp/>
        <stp>##V3_BDPV12</stp>
        <stp>912833NR Govt</stp>
        <stp>ID_CUSIP</stp>
        <stp>[STRIPS.xlsx]Sheet1!R572C19</stp>
        <tr r="S572" s="1"/>
      </tp>
      <tp t="s">
        <v>912834HR2</v>
        <stp/>
        <stp>##V3_BDPV12</stp>
        <stp>912834HR Govt</stp>
        <stp>ID_CUSIP</stp>
        <stp>[STRIPS.xlsx]Sheet1!R535C19</stp>
        <tr r="S535" s="1"/>
      </tp>
      <tp t="s">
        <v>912834BR8</v>
        <stp/>
        <stp>##V3_BDPV12</stp>
        <stp>912834BR Govt</stp>
        <stp>ID_CUSIP</stp>
        <stp>[STRIPS.xlsx]Sheet1!R531C19</stp>
        <tr r="S531" s="1"/>
      </tp>
      <tp t="s">
        <v>9128334R8</v>
        <stp/>
        <stp>##V3_BDPV12</stp>
        <stp>9128334R Govt</stp>
        <stp>ID_CUSIP</stp>
        <stp>[STRIPS.xlsx]Sheet1!R554C19</stp>
        <tr r="S554" s="1"/>
      </tp>
      <tp t="s">
        <v>9128335R7</v>
        <stp/>
        <stp>##V3_BDPV12</stp>
        <stp>9128335R Govt</stp>
        <stp>ID_CUSIP</stp>
        <stp>[STRIPS.xlsx]Sheet1!R555C19</stp>
        <tr r="S555" s="1"/>
      </tp>
      <tp t="s">
        <v>912833QR4</v>
        <stp/>
        <stp>##V3_BDPV12</stp>
        <stp>912833QR Govt</stp>
        <stp>ID_CUSIP</stp>
        <stp>[STRIPS.xlsx]Sheet1!R521C19</stp>
        <tr r="S521" s="1"/>
      </tp>
      <tp t="s">
        <v>912834PR3</v>
        <stp/>
        <stp>##V3_BDPV12</stp>
        <stp>912834PR Govt</stp>
        <stp>ID_CUSIP</stp>
        <stp>[STRIPS.xlsx]Sheet1!R549C19</stp>
        <tr r="S549" s="1"/>
      </tp>
      <tp t="s">
        <v>912834ER5</v>
        <stp/>
        <stp>##V3_BDPV12</stp>
        <stp>912834ER Govt</stp>
        <stp>ID_CUSIP</stp>
        <stp>[STRIPS.xlsx]Sheet1!R596C19</stp>
        <tr r="S596" s="1"/>
      </tp>
      <tp t="s">
        <v>912834KR8</v>
        <stp/>
        <stp>##V3_BDPV12</stp>
        <stp>912834KR Govt</stp>
        <stp>ID_CUSIP</stp>
        <stp>[STRIPS.xlsx]Sheet1!R400C19</stp>
        <tr r="S400" s="1"/>
      </tp>
      <tp t="s">
        <v>912833KR0</v>
        <stp/>
        <stp>##V3_BDPV12</stp>
        <stp>912833KR Govt</stp>
        <stp>ID_CUSIP</stp>
        <stp>[STRIPS.xlsx]Sheet1!R443C19</stp>
        <tr r="S443" s="1"/>
      </tp>
      <tp t="s">
        <v>912834NR5</v>
        <stp/>
        <stp>##V3_BDPV12</stp>
        <stp>912834NR Govt</stp>
        <stp>ID_CUSIP</stp>
        <stp>[STRIPS.xlsx]Sheet1!R422C19</stp>
        <tr r="S422" s="1"/>
      </tp>
      <tp t="s">
        <v>912834TR9</v>
        <stp/>
        <stp>##V3_BDPV12</stp>
        <stp>912834TR Govt</stp>
        <stp>ID_CUSIP</stp>
        <stp>[STRIPS.xlsx]Sheet1!R426C19</stp>
        <tr r="S426" s="1"/>
      </tp>
      <tp t="s">
        <v>912834QR2</v>
        <stp/>
        <stp>##V3_BDPV12</stp>
        <stp>912834QR Govt</stp>
        <stp>ID_CUSIP</stp>
        <stp>[STRIPS.xlsx]Sheet1!R480C19</stp>
        <tr r="S480" s="1"/>
      </tp>
      <tp t="s">
        <v>US912834QX92</v>
        <stp/>
        <stp>##V3_BDPV12</stp>
        <stp>912834QX Govt</stp>
        <stp>ID_ISIN</stp>
        <stp>[STRIPS.xlsx]Sheet1!R423C12</stp>
        <tr r="L423" s="1"/>
      </tp>
      <tp t="s">
        <v>9128336R6</v>
        <stp/>
        <stp>##V3_BDPV12</stp>
        <stp>9128336R Govt</stp>
        <stp>ID_CUSIP</stp>
        <stp>[STRIPS.xlsx]Sheet1!R498C19</stp>
        <tr r="S498" s="1"/>
      </tp>
      <tp t="s">
        <v>912833FR6</v>
        <stp/>
        <stp>##V3_BDPV12</stp>
        <stp>912833FR Govt</stp>
        <stp>ID_CUSIP</stp>
        <stp>[STRIPS.xlsx]Sheet1!R364C19</stp>
        <tr r="S364" s="1"/>
      </tp>
      <tp t="s">
        <v>912833PR5</v>
        <stp/>
        <stp>##V3_BDPV12</stp>
        <stp>912833PR Govt</stp>
        <stp>ID_CUSIP</stp>
        <stp>[STRIPS.xlsx]Sheet1!R375C19</stp>
        <tr r="S375" s="1"/>
      </tp>
      <tp t="s">
        <v>912833YR5</v>
        <stp/>
        <stp>##V3_BDPV12</stp>
        <stp>912833YR Govt</stp>
        <stp>ID_CUSIP</stp>
        <stp>[STRIPS.xlsx]Sheet1!R345C19</stp>
        <tr r="S345" s="1"/>
      </tp>
      <tp t="s">
        <v>912833MR8</v>
        <stp/>
        <stp>##V3_BDPV12</stp>
        <stp>912833MR Govt</stp>
        <stp>ID_CUSIP</stp>
        <stp>[STRIPS.xlsx]Sheet1!R333C19</stp>
        <tr r="S333" s="1"/>
      </tp>
      <tp t="s">
        <v>912833ZR4</v>
        <stp/>
        <stp>##V3_BDPV12</stp>
        <stp>912833ZR Govt</stp>
        <stp>ID_CUSIP</stp>
        <stp>[STRIPS.xlsx]Sheet1!R383C19</stp>
        <tr r="S383" s="1"/>
      </tp>
      <tp t="s">
        <v>912834VR6</v>
        <stp/>
        <stp>##V3_BDPV12</stp>
        <stp>912834VR Govt</stp>
        <stp>ID_CUSIP</stp>
        <stp>[STRIPS.xlsx]Sheet1!R224C19</stp>
        <tr r="S224" s="1"/>
      </tp>
      <tp t="s">
        <v>912834MR6</v>
        <stp/>
        <stp>##V3_BDPV12</stp>
        <stp>912834MR Govt</stp>
        <stp>ID_CUSIP</stp>
        <stp>[STRIPS.xlsx]Sheet1!R272C19</stp>
        <tr r="S272" s="1"/>
      </tp>
      <tp t="s">
        <v>US912833QX10</v>
        <stp/>
        <stp>##V3_BDPV12</stp>
        <stp>912833QX Govt</stp>
        <stp>ID_ISIN</stp>
        <stp>[STRIPS.xlsx]Sheet1!R243C12</stp>
        <tr r="L243" s="1"/>
      </tp>
      <tp t="s">
        <v>9128337R5</v>
        <stp/>
        <stp>##V3_BDPV12</stp>
        <stp>9128337R Govt</stp>
        <stp>ID_CUSIP</stp>
        <stp>[STRIPS.xlsx]Sheet1!R114C19</stp>
        <tr r="S114" s="1"/>
      </tp>
      <tp t="s">
        <v>US912833QZ67</v>
        <stp/>
        <stp>##V3_BDPV12</stp>
        <stp>912833QZ Govt</stp>
        <stp>ID_ISIN</stp>
        <stp>[STRIPS.xlsx]Sheet1!R379C12</stp>
        <tr r="L379" s="1"/>
      </tp>
      <tp t="s">
        <v>US912834QZ41</v>
        <stp/>
        <stp>##V3_BDPV12</stp>
        <stp>912834QZ Govt</stp>
        <stp>ID_ISIN</stp>
        <stp>[STRIPS.xlsx]Sheet1!R279C12</stp>
        <tr r="L279" s="1"/>
      </tp>
      <tp t="s">
        <v>US912834QY75</v>
        <stp/>
        <stp>##V3_BDPV12</stp>
        <stp>912834QY Govt</stp>
        <stp>ID_ISIN</stp>
        <stp>[STRIPS.xlsx]Sheet1!R134C12</stp>
        <tr r="L134" s="1"/>
      </tp>
      <tp t="s">
        <v>US912833QE39</v>
        <stp/>
        <stp>##V3_BDPV12</stp>
        <stp>912833QE Govt</stp>
        <stp>ID_ISIN</stp>
        <stp>[STRIPS.xlsx]Sheet1!R241C12</stp>
        <tr r="L241" s="1"/>
      </tp>
      <tp t="s">
        <v>US912834QG69</v>
        <stp/>
        <stp>##V3_BDPV12</stp>
        <stp>912834QG Govt</stp>
        <stp>ID_ISIN</stp>
        <stp>[STRIPS.xlsx]Sheet1!R211C12</stp>
        <tr r="L211" s="1"/>
      </tp>
      <tp t="s">
        <v>US912834QF86</v>
        <stp/>
        <stp>##V3_BDPV12</stp>
        <stp>912834QF Govt</stp>
        <stp>ID_ISIN</stp>
        <stp>[STRIPS.xlsx]Sheet1!R277C12</stp>
        <tr r="L277" s="1"/>
      </tp>
      <tp t="s">
        <v>US912834QE12</v>
        <stp/>
        <stp>##V3_BDPV12</stp>
        <stp>912834QE Govt</stp>
        <stp>ID_ISIN</stp>
        <stp>[STRIPS.xlsx]Sheet1!R149C12</stp>
        <tr r="L149" s="1"/>
      </tp>
      <tp t="s">
        <v>US912833QA17</v>
        <stp/>
        <stp>##V3_BDPV12</stp>
        <stp>912833QA Govt</stp>
        <stp>ID_ISIN</stp>
        <stp>[STRIPS.xlsx]Sheet1!R376C12</stp>
        <tr r="L376" s="1"/>
      </tp>
      <tp t="s">
        <v>US912834QC55</v>
        <stp/>
        <stp>##V3_BDPV12</stp>
        <stp>912834QC Govt</stp>
        <stp>ID_ISIN</stp>
        <stp>[STRIPS.xlsx]Sheet1!R141C12</stp>
        <tr r="L141" s="1"/>
      </tp>
      <tp t="s">
        <v>US912833QG86</v>
        <stp/>
        <stp>##V3_BDPV12</stp>
        <stp>912833QG Govt</stp>
        <stp>ID_ISIN</stp>
        <stp>[STRIPS.xlsx]Sheet1!R685C12</stp>
        <tr r="L685" s="1"/>
      </tp>
      <tp t="s">
        <v>US912833QD55</v>
        <stp/>
        <stp>##V3_BDPV12</stp>
        <stp>912833QD Govt</stp>
        <stp>ID_ISIN</stp>
        <stp>[STRIPS.xlsx]Sheet1!R576C12</stp>
        <tr r="L576" s="1"/>
      </tp>
      <tp t="s">
        <v>US912834QD39</v>
        <stp/>
        <stp>##V3_BDPV12</stp>
        <stp>912834QD Govt</stp>
        <stp>ID_ISIN</stp>
        <stp>[STRIPS.xlsx]Sheet1!R550C12</stp>
        <tr r="L550" s="1"/>
      </tp>
      <tp t="s">
        <v>US912833QF04</v>
        <stp/>
        <stp>##V3_BDPV12</stp>
        <stp>912833QF Govt</stp>
        <stp>ID_ISIN</stp>
        <stp>[STRIPS.xlsx]Sheet1!R684C12</stp>
        <tr r="L684" s="1"/>
      </tp>
      <tp t="s">
        <v>US912833QC72</v>
        <stp/>
        <stp>##V3_BDPV12</stp>
        <stp>912833QC Govt</stp>
        <stp>ID_ISIN</stp>
        <stp>[STRIPS.xlsx]Sheet1!R341C12</stp>
        <tr r="L341" s="1"/>
      </tp>
      <tp t="s">
        <v>US912834QN11</v>
        <stp/>
        <stp>##V3_BDPV12</stp>
        <stp>912834QN Govt</stp>
        <stp>ID_ISIN</stp>
        <stp>[STRIPS.xlsx]Sheet1!R179C12</stp>
        <tr r="L179" s="1"/>
      </tp>
      <tp t="s">
        <v>US912833QH69</v>
        <stp/>
        <stp>##V3_BDPV12</stp>
        <stp>912833QH Govt</stp>
        <stp>ID_ISIN</stp>
        <stp>[STRIPS.xlsx]Sheet1!R630C12</stp>
        <tr r="L630" s="1"/>
      </tp>
      <tp t="s">
        <v>US912833QK98</v>
        <stp/>
        <stp>##V3_BDPV12</stp>
        <stp>912833QK Govt</stp>
        <stp>ID_ISIN</stp>
        <stp>[STRIPS.xlsx]Sheet1!R519C12</stp>
        <tr r="L519" s="1"/>
      </tp>
      <tp t="s">
        <v>US912834QL54</v>
        <stp/>
        <stp>##V3_BDPV12</stp>
        <stp>912834QL Govt</stp>
        <stp>ID_ISIN</stp>
        <stp>[STRIPS.xlsx]Sheet1!R142C12</stp>
        <tr r="L142" s="1"/>
      </tp>
      <tp t="s">
        <v>US912833QJ26</v>
        <stp/>
        <stp>##V3_BDPV12</stp>
        <stp>912833QJ Govt</stp>
        <stp>ID_ISIN</stp>
        <stp>[STRIPS.xlsx]Sheet1!R686C12</stp>
        <tr r="L686" s="1"/>
      </tp>
      <tp t="s">
        <v>US912833QN38</v>
        <stp/>
        <stp>##V3_BDPV12</stp>
        <stp>912833QN Govt</stp>
        <stp>ID_ISIN</stp>
        <stp>[STRIPS.xlsx]Sheet1!R577C12</stp>
        <tr r="L577" s="1"/>
      </tp>
      <tp t="s">
        <v>US912833QL71</v>
        <stp/>
        <stp>##V3_BDPV12</stp>
        <stp>912833QL Govt</stp>
        <stp>ID_ISIN</stp>
        <stp>[STRIPS.xlsx]Sheet1!R631C12</stp>
        <tr r="L631" s="1"/>
      </tp>
      <tp t="s">
        <v>US912834QK71</v>
        <stp/>
        <stp>##V3_BDPV12</stp>
        <stp>912834QK Govt</stp>
        <stp>ID_ISIN</stp>
        <stp>[STRIPS.xlsx]Sheet1!R278C12</stp>
        <tr r="L278" s="1"/>
      </tp>
      <tp t="s">
        <v>US912834QM38</v>
        <stp/>
        <stp>##V3_BDPV12</stp>
        <stp>912834QM Govt</stp>
        <stp>ID_ISIN</stp>
        <stp>[STRIPS.xlsx]Sheet1!R413C12</stp>
        <tr r="L413" s="1"/>
      </tp>
      <tp t="s">
        <v>US912833QM54</v>
        <stp/>
        <stp>##V3_BDPV12</stp>
        <stp>912833QM Govt</stp>
        <stp>ID_ISIN</stp>
        <stp>[STRIPS.xlsx]Sheet1!R520C12</stp>
        <tr r="L520" s="1"/>
      </tp>
      <tp t="s">
        <v>US912834QJ09</v>
        <stp/>
        <stp>##V3_BDPV12</stp>
        <stp>912834QJ Govt</stp>
        <stp>ID_ISIN</stp>
        <stp>[STRIPS.xlsx]Sheet1!R213C12</stp>
        <tr r="L213" s="1"/>
      </tp>
      <tp t="s">
        <v>UNITED STATES</v>
        <stp/>
        <stp>##V3_BDPV12</stp>
        <stp>912833X8 Govt</stp>
        <stp>COUNTRY_FULL_NAME</stp>
        <stp>[STRIPS.xlsx]Sheet1!R66C8</stp>
        <tr r="H66" s="1"/>
      </tp>
      <tp t="s">
        <v>UNITED STATES</v>
        <stp/>
        <stp>##V3_BDPV12</stp>
        <stp>912833Z5 Govt</stp>
        <stp>COUNTRY_FULL_NAME</stp>
        <stp>[STRIPS.xlsx]Sheet1!R74C8</stp>
        <tr r="H74" s="1"/>
      </tp>
      <tp t="s">
        <v>UNITED STATES</v>
        <stp/>
        <stp>##V3_BDPV12</stp>
        <stp>912833Y2 Govt</stp>
        <stp>COUNTRY_FULL_NAME</stp>
        <stp>[STRIPS.xlsx]Sheet1!R27C8</stp>
        <tr r="H27" s="1"/>
      </tp>
      <tp t="s">
        <v>UNITED STATES</v>
        <stp/>
        <stp>##V3_BDPV12</stp>
        <stp>912833XN Govt</stp>
        <stp>COUNTRY_FULL_NAME</stp>
        <stp>[STRIPS.xlsx]Sheet1!R85C8</stp>
        <tr r="H85" s="1"/>
      </tp>
      <tp t="s">
        <v>UNITED STATES</v>
        <stp/>
        <stp>##V3_BDPV12</stp>
        <stp>912834UL Govt</stp>
        <stp>COUNTRY_FULL_NAME</stp>
        <stp>[STRIPS.xlsx]Sheet1!R88C8</stp>
        <tr r="H88" s="1"/>
      </tp>
      <tp t="s">
        <v>#N/A Field Not Applicable</v>
        <stp/>
        <stp>##V3_BDPV12</stp>
        <stp>9128334H Govt</stp>
        <stp>FIRST_CPN_DT</stp>
        <stp>[STRIPS.xlsx]Sheet1!R489C9</stp>
        <tr r="I489" s="1"/>
      </tp>
      <tp t="s">
        <v>UNITED STATES</v>
        <stp/>
        <stp>##V3_BDPV12</stp>
        <stp>912833XT Govt</stp>
        <stp>COUNTRY_FULL_NAME</stp>
        <stp>[STRIPS.xlsx]Sheet1!R55C8</stp>
        <tr r="H55" s="1"/>
      </tp>
      <tp t="s">
        <v>USD</v>
        <stp/>
        <stp>##V3_BDPV12</stp>
        <stp>912833B9 Govt</stp>
        <stp>CRNCY</stp>
        <stp>[STRIPS.xlsx]Sheet1!R434C7</stp>
        <tr r="G434" s="1"/>
      </tp>
      <tp t="s">
        <v>#N/A Field Not Applicable</v>
        <stp/>
        <stp>##V3_BDPV12</stp>
        <stp>9128334G Govt</stp>
        <stp>FIRST_CPN_DT</stp>
        <stp>[STRIPS.xlsx]Sheet1!R709C9</stp>
        <tr r="I709" s="1"/>
      </tp>
      <tp t="s">
        <v>#N/A Field Not Applicable</v>
        <stp/>
        <stp>##V3_BDPV12</stp>
        <stp>9128337F Govt</stp>
        <stp>FIRST_CPN_DT</stp>
        <stp>[STRIPS.xlsx]Sheet1!R99C9</stp>
        <tr r="I99" s="1"/>
      </tp>
      <tp t="s">
        <v>#N/A Field Not Applicable</v>
        <stp/>
        <stp>##V3_BDPV12</stp>
        <stp>9128337N Govt</stp>
        <stp>FIRST_CPN_DT</stp>
        <stp>[STRIPS.xlsx]Sheet1!R49C9</stp>
        <tr r="I49" s="1"/>
      </tp>
      <tp t="s">
        <v>#N/A Field Not Applicable</v>
        <stp/>
        <stp>##V3_BDPV12</stp>
        <stp>9128337Q Govt</stp>
        <stp>FIRST_CPN_DT</stp>
        <stp>[STRIPS.xlsx]Sheet1!R29C9</stp>
        <tr r="I29" s="1"/>
      </tp>
      <tp t="s">
        <v>#N/A Field Not Applicable</v>
        <stp/>
        <stp>##V3_BDPV12</stp>
        <stp>9128337W Govt</stp>
        <stp>FIRST_CPN_DT</stp>
        <stp>[STRIPS.xlsx]Sheet1!R79C9</stp>
        <tr r="I79" s="1"/>
      </tp>
      <tp t="s">
        <v>#N/A Field Not Applicable</v>
        <stp/>
        <stp>##V3_BDPV12</stp>
        <stp>9128334V Govt</stp>
        <stp>FIRST_CPN_DT</stp>
        <stp>[STRIPS.xlsx]Sheet1!R69C9</stp>
        <tr r="I69" s="1"/>
      </tp>
      <tp t="s">
        <v>US912833RQ59</v>
        <stp/>
        <stp>##V3_BDPV12</stp>
        <stp>912833RQ Govt</stp>
        <stp>ID_ISIN</stp>
        <stp>[STRIPS.xlsx]Sheet1!R692C12</stp>
        <tr r="L692" s="1"/>
      </tp>
      <tp t="s">
        <v>US912834RT71</v>
        <stp/>
        <stp>##V3_BDPV12</stp>
        <stp>912834RT Govt</stp>
        <stp>ID_ISIN</stp>
        <stp>[STRIPS.xlsx]Sheet1!R280C12</stp>
        <tr r="L280" s="1"/>
      </tp>
      <tp t="s">
        <v>US912833RS16</v>
        <stp/>
        <stp>##V3_BDPV12</stp>
        <stp>912833RS Govt</stp>
        <stp>ID_ISIN</stp>
        <stp>[STRIPS.xlsx]Sheet1!R525C12</stp>
        <tr r="L525" s="1"/>
      </tp>
      <tp t="s">
        <v>US912833RW28</v>
        <stp/>
        <stp>##V3_BDPV12</stp>
        <stp>912833RW Govt</stp>
        <stp>ID_ISIN</stp>
        <stp>[STRIPS.xlsx]Sheet1!R246C12</stp>
        <tr r="L246" s="1"/>
      </tp>
      <tp t="s">
        <v>US912833RP76</v>
        <stp/>
        <stp>##V3_BDPV12</stp>
        <stp>912833RP Govt</stp>
        <stp>ID_ISIN</stp>
        <stp>[STRIPS.xlsx]Sheet1!R524C12</stp>
        <tr r="L524" s="1"/>
      </tp>
      <tp t="s">
        <v>#N/A Field Not Applicable</v>
        <stp/>
        <stp>##V3_BDPV12</stp>
        <stp>912833X9 Govt</stp>
        <stp>FIRST_CPN_DT</stp>
        <stp>[STRIPS.xlsx]Sheet1!R59C9</stp>
        <tr r="I59" s="1"/>
      </tp>
      <tp t="s">
        <v>US912833RR33</v>
        <stp/>
        <stp>##V3_BDPV12</stp>
        <stp>912833RR Govt</stp>
        <stp>ID_ISIN</stp>
        <stp>[STRIPS.xlsx]Sheet1!R693C12</stp>
        <tr r="L693" s="1"/>
      </tp>
      <tp t="s">
        <v>US912834RP59</v>
        <stp/>
        <stp>##V3_BDPV12</stp>
        <stp>912834RP Govt</stp>
        <stp>ID_ISIN</stp>
        <stp>[STRIPS.xlsx]Sheet1!R416C12</stp>
        <tr r="L416" s="1"/>
      </tp>
      <tp t="s">
        <v>US912833RV45</v>
        <stp/>
        <stp>##V3_BDPV12</stp>
        <stp>912833RV Govt</stp>
        <stp>ID_ISIN</stp>
        <stp>[STRIPS.xlsx]Sheet1!R581C12</stp>
        <tr r="L581" s="1"/>
      </tp>
      <tp t="s">
        <v>US912833RU61</v>
        <stp/>
        <stp>##V3_BDPV12</stp>
        <stp>912833RU Govt</stp>
        <stp>ID_ISIN</stp>
        <stp>[STRIPS.xlsx]Sheet1!R635C12</stp>
        <tr r="L635" s="1"/>
      </tp>
      <tp t="s">
        <v>US912834RQ33</v>
        <stp/>
        <stp>##V3_BDPV12</stp>
        <stp>912834RQ Govt</stp>
        <stp>ID_ISIN</stp>
        <stp>[STRIPS.xlsx]Sheet1!R204C12</stp>
        <tr r="L204" s="1"/>
      </tp>
      <tp t="s">
        <v>US912834RV28</v>
        <stp/>
        <stp>##V3_BDPV12</stp>
        <stp>912834RV Govt</stp>
        <stp>ID_ISIN</stp>
        <stp>[STRIPS.xlsx]Sheet1!R482C12</stp>
        <tr r="L482" s="1"/>
      </tp>
      <tp t="s">
        <v>US912834RS98</v>
        <stp/>
        <stp>##V3_BDPV12</stp>
        <stp>912834RS Govt</stp>
        <stp>ID_ISIN</stp>
        <stp>[STRIPS.xlsx]Sheet1!R169C12</stp>
        <tr r="L169" s="1"/>
      </tp>
      <tp t="s">
        <v>US912834RU45</v>
        <stp/>
        <stp>##V3_BDPV12</stp>
        <stp>912834RU Govt</stp>
        <stp>ID_ISIN</stp>
        <stp>[STRIPS.xlsx]Sheet1!R759C12</stp>
        <tr r="L759" s="1"/>
      </tp>
      <tp t="s">
        <v>US912833RT98</v>
        <stp/>
        <stp>##V3_BDPV12</stp>
        <stp>912833RT Govt</stp>
        <stp>ID_ISIN</stp>
        <stp>[STRIPS.xlsx]Sheet1!R580C12</stp>
        <tr r="L580" s="1"/>
      </tp>
      <tp t="s">
        <v>US912834RW01</v>
        <stp/>
        <stp>##V3_BDPV12</stp>
        <stp>912834RW Govt</stp>
        <stp>ID_ISIN</stp>
        <stp>[STRIPS.xlsx]Sheet1!R753C12</stp>
        <tr r="L753" s="1"/>
      </tp>
      <tp t="s">
        <v>9128336Q8</v>
        <stp/>
        <stp>##V3_BDPV12</stp>
        <stp>9128336Q Govt</stp>
        <stp>ID_CUSIP</stp>
        <stp>[STRIPS.xlsx]Sheet1!R750C19</stp>
        <tr r="S750" s="1"/>
      </tp>
      <tp t="s">
        <v>912834TQ1</v>
        <stp/>
        <stp>##V3_BDPV12</stp>
        <stp>912834TQ Govt</stp>
        <stp>ID_CUSIP</stp>
        <stp>[STRIPS.xlsx]Sheet1!R758C19</stp>
        <tr r="S758" s="1"/>
      </tp>
      <tp t="s">
        <v>9128333Q1</v>
        <stp/>
        <stp>##V3_BDPV12</stp>
        <stp>9128333Q Govt</stp>
        <stp>ID_CUSIP</stp>
        <stp>[STRIPS.xlsx]Sheet1!R719C19</stp>
        <tr r="S719" s="1"/>
      </tp>
      <tp t="s">
        <v>9128335Q9</v>
        <stp/>
        <stp>##V3_BDPV12</stp>
        <stp>9128335Q Govt</stp>
        <stp>ID_CUSIP</stp>
        <stp>[STRIPS.xlsx]Sheet1!R711C19</stp>
        <tr r="S711" s="1"/>
      </tp>
      <tp t="s">
        <v>9/30/1997</v>
        <stp/>
        <stp>##V3_BDPV12</stp>
        <stp>912833PJ Govt</stp>
        <stp>ISSUE_DT</stp>
        <stp>[STRIPS.xlsx]Sheet1!R680C15</stp>
        <tr r="O680" s="1"/>
      </tp>
      <tp t="s">
        <v>12/1/1997</v>
        <stp/>
        <stp>##V3_BDPV12</stp>
        <stp>912833QJ Govt</stp>
        <stp>ISSUE_DT</stp>
        <stp>[STRIPS.xlsx]Sheet1!R686C15</stp>
        <tr r="O686" s="1"/>
      </tp>
      <tp t="s">
        <v>10/31/2005</v>
        <stp/>
        <stp>##V3_BDPV12</stp>
        <stp>9128334J Govt</stp>
        <stp>ISSUE_DT</stp>
        <stp>[STRIPS.xlsx]Sheet1!R605C15</stp>
        <tr r="O605" s="1"/>
      </tp>
      <tp t="s">
        <v>912833NQ9</v>
        <stp/>
        <stp>##V3_BDPV12</stp>
        <stp>912833NQ Govt</stp>
        <stp>ID_CUSIP</stp>
        <stp>[STRIPS.xlsx]Sheet1!R677C19</stp>
        <tr r="S677" s="1"/>
      </tp>
      <tp t="s">
        <v>912833FQ8</v>
        <stp/>
        <stp>##V3_BDPV12</stp>
        <stp>912833FQ Govt</stp>
        <stp>ID_CUSIP</stp>
        <stp>[STRIPS.xlsx]Sheet1!R620C19</stp>
        <tr r="S620" s="1"/>
      </tp>
      <tp t="s">
        <v>912833ZQ6</v>
        <stp/>
        <stp>##V3_BDPV12</stp>
        <stp>912833ZQ Govt</stp>
        <stp>ID_CUSIP</stp>
        <stp>[STRIPS.xlsx]Sheet1!R639C19</stp>
        <tr r="S639" s="1"/>
      </tp>
      <tp t="s">
        <v>912833PQ7</v>
        <stp/>
        <stp>##V3_BDPV12</stp>
        <stp>912833PQ Govt</stp>
        <stp>ID_CUSIP</stp>
        <stp>[STRIPS.xlsx]Sheet1!R682C19</stp>
        <tr r="S682" s="1"/>
      </tp>
      <tp t="s">
        <v>912833RQ5</v>
        <stp/>
        <stp>##V3_BDPV12</stp>
        <stp>912833RQ Govt</stp>
        <stp>ID_CUSIP</stp>
        <stp>[STRIPS.xlsx]Sheet1!R692C19</stp>
        <tr r="S692" s="1"/>
      </tp>
      <tp t="s">
        <v>1/15/2020</v>
        <stp/>
        <stp>##V3_BDPV12</stp>
        <stp>912834VJ Govt</stp>
        <stp>ISSUE_DT</stp>
        <stp>[STRIPS.xlsx]Sheet1!R774C15</stp>
        <tr r="O774" s="1"/>
      </tp>
      <tp t="s">
        <v>2/28/2018</v>
        <stp/>
        <stp>##V3_BDPV12</stp>
        <stp>912834TJ Govt</stp>
        <stp>ISSUE_DT</stp>
        <stp>[STRIPS.xlsx]Sheet1!R757C15</stp>
        <tr r="O757" s="1"/>
      </tp>
      <tp t="s">
        <v>4/30/2007</v>
        <stp/>
        <stp>##V3_BDPV12</stp>
        <stp>9128337J Govt</stp>
        <stp>ISSUE_DT</stp>
        <stp>[STRIPS.xlsx]Sheet1!R730C15</stp>
        <tr r="O730" s="1"/>
      </tp>
      <tp t="s">
        <v>11/15/1984</v>
        <stp/>
        <stp>##V3_BDPV12</stp>
        <stp>912833FJ Govt</stp>
        <stp>ISSUE_DT</stp>
        <stp>[STRIPS.xlsx]Sheet1!R737C15</stp>
        <tr r="O737" s="1"/>
      </tp>
      <tp t="s">
        <v>912833KQ2</v>
        <stp/>
        <stp>##V3_BDPV12</stp>
        <stp>912833KQ Govt</stp>
        <stp>ID_CUSIP</stp>
        <stp>[STRIPS.xlsx]Sheet1!R566C19</stp>
        <tr r="S566" s="1"/>
      </tp>
      <tp t="s">
        <v>2/28/2006</v>
        <stp/>
        <stp>##V3_BDPV12</stp>
        <stp>9128335J Govt</stp>
        <stp>ISSUE_DT</stp>
        <stp>[STRIPS.xlsx]Sheet1!R492C15</stp>
        <tr r="O492" s="1"/>
      </tp>
      <tp t="s">
        <v>11/30/2010</v>
        <stp/>
        <stp>##V3_BDPV12</stp>
        <stp>912834JJ Govt</stp>
        <stp>ISSUE_DT</stp>
        <stp>[STRIPS.xlsx]Sheet1!R465C15</stp>
        <tr r="O465" s="1"/>
      </tp>
      <tp t="s">
        <v>8/31/2004</v>
        <stp/>
        <stp>##V3_BDPV12</stp>
        <stp>9128333J Govt</stp>
        <stp>ISSUE_DT</stp>
        <stp>[STRIPS.xlsx]Sheet1!R427C15</stp>
        <tr r="O427" s="1"/>
      </tp>
      <tp t="s">
        <v>2/28/2014</v>
        <stp/>
        <stp>##V3_BDPV12</stp>
        <stp>912834NJ Govt</stp>
        <stp>ISSUE_DT</stp>
        <stp>[STRIPS.xlsx]Sheet1!R420C15</stp>
        <tr r="O420" s="1"/>
      </tp>
      <tp t="s">
        <v>4/30/2012</v>
        <stp/>
        <stp>##V3_BDPV12</stp>
        <stp>912834LJ Govt</stp>
        <stp>ISSUE_DT</stp>
        <stp>[STRIPS.xlsx]Sheet1!R403C15</stp>
        <tr r="O403" s="1"/>
      </tp>
      <tp t="s">
        <v>912834MQ8</v>
        <stp/>
        <stp>##V3_BDPV12</stp>
        <stp>912834MQ Govt</stp>
        <stp>ID_CUSIP</stp>
        <stp>[STRIPS.xlsx]Sheet1!R418C19</stp>
        <tr r="S418" s="1"/>
      </tp>
      <tp t="s">
        <v>912834LQ9</v>
        <stp/>
        <stp>##V3_BDPV12</stp>
        <stp>912834LQ Govt</stp>
        <stp>ID_CUSIP</stp>
        <stp>[STRIPS.xlsx]Sheet1!R404C19</stp>
        <tr r="S404" s="1"/>
      </tp>
      <tp t="s">
        <v>912834BQ0</v>
        <stp/>
        <stp>##V3_BDPV12</stp>
        <stp>912834BQ Govt</stp>
        <stp>ID_CUSIP</stp>
        <stp>[STRIPS.xlsx]Sheet1!R459C19</stp>
        <tr r="S459" s="1"/>
      </tp>
      <tp t="s">
        <v>912833CQ1</v>
        <stp/>
        <stp>##V3_BDPV12</stp>
        <stp>912833CQ Govt</stp>
        <stp>ID_CUSIP</stp>
        <stp>[STRIPS.xlsx]Sheet1!R438C19</stp>
        <tr r="S438" s="1"/>
      </tp>
      <tp t="s">
        <v>US912833RX01</v>
        <stp/>
        <stp>##V3_BDPV12</stp>
        <stp>912833RX Govt</stp>
        <stp>ID_ISIN</stp>
        <stp>[STRIPS.xlsx]Sheet1!R449C12</stp>
        <tr r="L449" s="1"/>
      </tp>
      <tp t="s">
        <v>7/15/2004</v>
        <stp/>
        <stp>##V3_BDPV12</stp>
        <stp>9128332J Govt</stp>
        <stp>ISSUE_DT</stp>
        <stp>[STRIPS.xlsx]Sheet1!R598C15</stp>
        <tr r="O598" s="1"/>
      </tp>
      <tp t="s">
        <v>12/1/2008</v>
        <stp/>
        <stp>##V3_BDPV12</stp>
        <stp>912834AJ Govt</stp>
        <stp>ISSUE_DT</stp>
        <stp>[STRIPS.xlsx]Sheet1!R591C15</stp>
        <tr r="O591" s="1"/>
      </tp>
      <tp t="s">
        <v>7/31/2009</v>
        <stp/>
        <stp>##V3_BDPV12</stp>
        <stp>912834EJ Govt</stp>
        <stp>ISSUE_DT</stp>
        <stp>[STRIPS.xlsx]Sheet1!R595C15</stp>
        <tr r="O595" s="1"/>
      </tp>
      <tp t="s">
        <v>8/15/1987</v>
        <stp/>
        <stp>##V3_BDPV12</stp>
        <stp>912833KJ Govt</stp>
        <stp>ISSUE_DT</stp>
        <stp>[STRIPS.xlsx]Sheet1!R512C15</stp>
        <tr r="O512" s="1"/>
      </tp>
      <tp t="s">
        <v>6/30/2003</v>
        <stp/>
        <stp>##V3_BDPV12</stp>
        <stp>912833ZJ Govt</stp>
        <stp>ISSUE_DT</stp>
        <stp>[STRIPS.xlsx]Sheet1!R527C15</stp>
        <tr r="O527" s="1"/>
      </tp>
      <tp t="s">
        <v>912834KQ0</v>
        <stp/>
        <stp>##V3_BDPV12</stp>
        <stp>912834KQ Govt</stp>
        <stp>ID_CUSIP</stp>
        <stp>[STRIPS.xlsx]Sheet1!R318C19</stp>
        <tr r="S318" s="1"/>
      </tp>
      <tp t="s">
        <v>912834EQ7</v>
        <stp/>
        <stp>##V3_BDPV12</stp>
        <stp>912834EQ Govt</stp>
        <stp>ID_CUSIP</stp>
        <stp>[STRIPS.xlsx]Sheet1!R311C19</stp>
        <tr r="S311" s="1"/>
      </tp>
      <tp t="s">
        <v>912833QQ6</v>
        <stp/>
        <stp>##V3_BDPV12</stp>
        <stp>912833QQ Govt</stp>
        <stp>ID_CUSIP</stp>
        <stp>[STRIPS.xlsx]Sheet1!R377C19</stp>
        <tr r="S377" s="1"/>
      </tp>
      <tp t="s">
        <v>912833YQ7</v>
        <stp/>
        <stp>##V3_BDPV12</stp>
        <stp>912833YQ Govt</stp>
        <stp>ID_CUSIP</stp>
        <stp>[STRIPS.xlsx]Sheet1!R344C19</stp>
        <tr r="S344" s="1"/>
      </tp>
      <tp t="s">
        <v>6/30/2006</v>
        <stp/>
        <stp>##V3_BDPV12</stp>
        <stp>9128336J Govt</stp>
        <stp>ISSUE_DT</stp>
        <stp>[STRIPS.xlsx]Sheet1!R289C15</stp>
        <tr r="O289" s="1"/>
      </tp>
      <tp t="s">
        <v>2/15/1985</v>
        <stp/>
        <stp>##V3_BDPV12</stp>
        <stp>912833CJ Govt</stp>
        <stp>ISSUE_DT</stp>
        <stp>[STRIPS.xlsx]Sheet1!R297C15</stp>
        <tr r="O297" s="1"/>
      </tp>
      <tp t="s">
        <v>5/31/2011</v>
        <stp/>
        <stp>##V3_BDPV12</stp>
        <stp>912834KJ Govt</stp>
        <stp>ISSUE_DT</stp>
        <stp>[STRIPS.xlsx]Sheet1!R267C15</stp>
        <tr r="O267" s="1"/>
      </tp>
      <tp t="s">
        <v>3/2/1998</v>
        <stp/>
        <stp>##V3_BDPV12</stp>
        <stp>912833RJ Govt</stp>
        <stp>ISSUE_DT</stp>
        <stp>[STRIPS.xlsx]Sheet1!R245C15</stp>
        <tr r="O245" s="1"/>
      </tp>
      <tp t="s">
        <v>4/1/2013</v>
        <stp/>
        <stp>##V3_BDPV12</stp>
        <stp>912834MJ Govt</stp>
        <stp>ISSUE_DT</stp>
        <stp>[STRIPS.xlsx]Sheet1!R233C15</stp>
        <tr r="O233" s="1"/>
      </tp>
      <tp t="s">
        <v>5/31/2016</v>
        <stp/>
        <stp>##V3_BDPV12</stp>
        <stp>912834QJ Govt</stp>
        <stp>ISSUE_DT</stp>
        <stp>[STRIPS.xlsx]Sheet1!R213C15</stp>
        <tr r="O213" s="1"/>
      </tp>
      <tp t="s">
        <v>5/1/2017</v>
        <stp/>
        <stp>##V3_BDPV12</stp>
        <stp>912834RJ Govt</stp>
        <stp>ISSUE_DT</stp>
        <stp>[STRIPS.xlsx]Sheet1!R203C15</stp>
        <tr r="O203" s="1"/>
      </tp>
      <tp t="s">
        <v>912834RQ3</v>
        <stp/>
        <stp>##V3_BDPV12</stp>
        <stp>912834RQ Govt</stp>
        <stp>ID_CUSIP</stp>
        <stp>[STRIPS.xlsx]Sheet1!R204C19</stp>
        <tr r="S204" s="1"/>
      </tp>
      <tp t="s">
        <v>912834QQ4</v>
        <stp/>
        <stp>##V3_BDPV12</stp>
        <stp>912834QQ Govt</stp>
        <stp>ID_CUSIP</stp>
        <stp>[STRIPS.xlsx]Sheet1!R205C19</stp>
        <tr r="S205" s="1"/>
      </tp>
      <tp t="s">
        <v>912834VQ8</v>
        <stp/>
        <stp>##V3_BDPV12</stp>
        <stp>912834VQ Govt</stp>
        <stp>ID_CUSIP</stp>
        <stp>[STRIPS.xlsx]Sheet1!R222C19</stp>
        <tr r="S222" s="1"/>
      </tp>
      <tp t="s">
        <v>912833MQ0</v>
        <stp/>
        <stp>##V3_BDPV12</stp>
        <stp>912833MQ Govt</stp>
        <stp>ID_CUSIP</stp>
        <stp>[STRIPS.xlsx]Sheet1!R236C19</stp>
        <tr r="S236" s="1"/>
      </tp>
      <tp t="s">
        <v>912834NQ7</v>
        <stp/>
        <stp>##V3_BDPV12</stp>
        <stp>912834NQ Govt</stp>
        <stp>ID_CUSIP</stp>
        <stp>[STRIPS.xlsx]Sheet1!R273C19</stp>
        <tr r="S273" s="1"/>
      </tp>
      <tp t="s">
        <v>912834AQ1</v>
        <stp/>
        <stp>##V3_BDPV12</stp>
        <stp>912834AQ Govt</stp>
        <stp>ID_CUSIP</stp>
        <stp>[STRIPS.xlsx]Sheet1!R260C19</stp>
        <tr r="S260" s="1"/>
      </tp>
      <tp t="s">
        <v>4/15/2009</v>
        <stp/>
        <stp>##V3_BDPV12</stp>
        <stp>912834BJ Govt</stp>
        <stp>ISSUE_DT</stp>
        <stp>[STRIPS.xlsx]Sheet1!R352C15</stp>
        <tr r="O352" s="1"/>
      </tp>
      <tp t="s">
        <v>7/15/1996</v>
        <stp/>
        <stp>##V3_BDPV12</stp>
        <stp>912833NJ Govt</stp>
        <stp>ISSUE_DT</stp>
        <stp>[STRIPS.xlsx]Sheet1!R334C15</stp>
        <tr r="O334" s="1"/>
      </tp>
      <tp t="s">
        <v>7/15/1996</v>
        <stp/>
        <stp>##V3_BDPV12</stp>
        <stp>912833MJ Govt</stp>
        <stp>ISSUE_DT</stp>
        <stp>[STRIPS.xlsx]Sheet1!R370C15</stp>
        <tr r="O370" s="1"/>
      </tp>
      <tp t="s">
        <v>912834WQ7</v>
        <stp/>
        <stp>##V3_BDPV12</stp>
        <stp>912834WQ Govt</stp>
        <stp>ID_CUSIP</stp>
        <stp>[STRIPS.xlsx]Sheet1!R136C19</stp>
        <tr r="S136" s="1"/>
      </tp>
      <tp t="s">
        <v>912834PQ5</v>
        <stp/>
        <stp>##V3_BDPV12</stp>
        <stp>912834PQ Govt</stp>
        <stp>ID_CUSIP</stp>
        <stp>[STRIPS.xlsx]Sheet1!R140C19</stp>
        <tr r="S140" s="1"/>
      </tp>
      <tp t="s">
        <v>6/30/2015</v>
        <stp/>
        <stp>##V3_BDPV12</stp>
        <stp>912834PJ Govt</stp>
        <stp>ISSUE_DT</stp>
        <stp>[STRIPS.xlsx]Sheet1!R144C15</stp>
        <tr r="O144" s="1"/>
      </tp>
      <tp t="s">
        <v>US912833RD47</v>
        <stp/>
        <stp>##V3_BDPV12</stp>
        <stp>912833RD Govt</stp>
        <stp>ID_ISIN</stp>
        <stp>[STRIPS.xlsx]Sheet1!R380C12</stp>
        <tr r="L380" s="1"/>
      </tp>
      <tp t="s">
        <v>US912833RC63</v>
        <stp/>
        <stp>##V3_BDPV12</stp>
        <stp>912833RC Govt</stp>
        <stp>ID_ISIN</stp>
        <stp>[STRIPS.xlsx]Sheet1!R690C12</stp>
        <tr r="L690" s="1"/>
      </tp>
      <tp t="s">
        <v>US912833RG77</v>
        <stp/>
        <stp>##V3_BDPV12</stp>
        <stp>912833RG Govt</stp>
        <stp>ID_ISIN</stp>
        <stp>[STRIPS.xlsx]Sheet1!R244C12</stp>
        <tr r="L244" s="1"/>
      </tp>
      <tp t="s">
        <v>US912834RG50</v>
        <stp/>
        <stp>##V3_BDPV12</stp>
        <stp>912834RG Govt</stp>
        <stp>ID_ISIN</stp>
        <stp>[STRIPS.xlsx]Sheet1!R217C12</stp>
        <tr r="L217" s="1"/>
      </tp>
      <tp t="s">
        <v>US912833RB80</v>
        <stp/>
        <stp>##V3_BDPV12</stp>
        <stp>912833RB Govt</stp>
        <stp>ID_ISIN</stp>
        <stp>[STRIPS.xlsx]Sheet1!R689C12</stp>
        <tr r="L689" s="1"/>
      </tp>
      <tp t="s">
        <v>US912834RE03</v>
        <stp/>
        <stp>##V3_BDPV12</stp>
        <stp>912834RE Govt</stp>
        <stp>ID_ISIN</stp>
        <stp>[STRIPS.xlsx]Sheet1!R168C12</stp>
        <tr r="L168" s="1"/>
      </tp>
      <tp t="s">
        <v>US912833RE20</v>
        <stp/>
        <stp>##V3_BDPV12</stp>
        <stp>912833RE Govt</stp>
        <stp>ID_ISIN</stp>
        <stp>[STRIPS.xlsx]Sheet1!R691C12</stp>
        <tr r="L691" s="1"/>
      </tp>
      <tp t="s">
        <v>US912834RF77</v>
        <stp/>
        <stp>##V3_BDPV12</stp>
        <stp>912834RF Govt</stp>
        <stp>ID_ISIN</stp>
        <stp>[STRIPS.xlsx]Sheet1!R551C12</stp>
        <tr r="L551" s="1"/>
      </tp>
      <tp t="s">
        <v>US912833RF94</v>
        <stp/>
        <stp>##V3_BDPV12</stp>
        <stp>912833RF Govt</stp>
        <stp>ID_ISIN</stp>
        <stp>[STRIPS.xlsx]Sheet1!R522C12</stp>
        <tr r="L522" s="1"/>
      </tp>
      <tp t="s">
        <v>US912834RB63</v>
        <stp/>
        <stp>##V3_BDPV12</stp>
        <stp>912834RB Govt</stp>
        <stp>ID_ISIN</stp>
        <stp>[STRIPS.xlsx]Sheet1!R112C12</stp>
        <tr r="L112" s="1"/>
      </tp>
      <tp t="s">
        <v>US912834RA80</v>
        <stp/>
        <stp>##V3_BDPV12</stp>
        <stp>912834RA Govt</stp>
        <stp>ID_ISIN</stp>
        <stp>[STRIPS.xlsx]Sheet1!R216C12</stp>
        <tr r="L216" s="1"/>
      </tp>
      <tp t="s">
        <v>US912833RA08</v>
        <stp/>
        <stp>##V3_BDPV12</stp>
        <stp>912833RA Govt</stp>
        <stp>ID_ISIN</stp>
        <stp>[STRIPS.xlsx]Sheet1!R342C12</stp>
        <tr r="L342" s="1"/>
      </tp>
      <tp t="s">
        <v>#N/A Field Not Applicable</v>
        <stp/>
        <stp>##V3_BDPV12</stp>
        <stp>912833LR Govt</stp>
        <stp>FIRST_CPN_DT</stp>
        <stp>[STRIPS.xlsx]Sheet1!R19C9</stp>
        <tr r="I19" s="1"/>
      </tp>
      <tp t="s">
        <v>#N/A Field Not Applicable</v>
        <stp/>
        <stp>##V3_BDPV12</stp>
        <stp>912833LV Govt</stp>
        <stp>FIRST_CPN_DT</stp>
        <stp>[STRIPS.xlsx]Sheet1!R39C9</stp>
        <tr r="I39" s="1"/>
      </tp>
      <tp t="s">
        <v>US912834RN02</v>
        <stp/>
        <stp>##V3_BDPV12</stp>
        <stp>912834RN Govt</stp>
        <stp>ID_ISIN</stp>
        <stp>[STRIPS.xlsx]Sheet1!R194C12</stp>
        <tr r="L194" s="1"/>
      </tp>
      <tp t="s">
        <v>US912833RK89</v>
        <stp/>
        <stp>##V3_BDPV12</stp>
        <stp>912833RK Govt</stp>
        <stp>ID_ISIN</stp>
        <stp>[STRIPS.xlsx]Sheet1!R578C12</stp>
        <tr r="L578" s="1"/>
      </tp>
      <tp t="s">
        <v>US912833RH50</v>
        <stp/>
        <stp>##V3_BDPV12</stp>
        <stp>912833RH Govt</stp>
        <stp>ID_ISIN</stp>
        <stp>[STRIPS.xlsx]Sheet1!R634C12</stp>
        <tr r="L634" s="1"/>
      </tp>
      <tp t="s">
        <v>US912834RL46</v>
        <stp/>
        <stp>##V3_BDPV12</stp>
        <stp>912834RL Govt</stp>
        <stp>ID_ISIN</stp>
        <stp>[STRIPS.xlsx]Sheet1!R198C12</stp>
        <tr r="L198" s="1"/>
      </tp>
      <tp t="s">
        <v>US912834RH34</v>
        <stp/>
        <stp>##V3_BDPV12</stp>
        <stp>912834RH Govt</stp>
        <stp>ID_ISIN</stp>
        <stp>[STRIPS.xlsx]Sheet1!R481C12</stp>
        <tr r="L481" s="1"/>
      </tp>
      <tp t="s">
        <v>US912833RN29</v>
        <stp/>
        <stp>##V3_BDPV12</stp>
        <stp>912833RN Govt</stp>
        <stp>ID_ISIN</stp>
        <stp>[STRIPS.xlsx]Sheet1!R579C12</stp>
        <tr r="L579" s="1"/>
      </tp>
      <tp t="s">
        <v>US912834RK62</v>
        <stp/>
        <stp>##V3_BDPV12</stp>
        <stp>912834RK Govt</stp>
        <stp>ID_ISIN</stp>
        <stp>[STRIPS.xlsx]Sheet1!R124C12</stp>
        <tr r="L124" s="1"/>
      </tp>
      <tp t="s">
        <v>US912822RM49</v>
        <stp/>
        <stp>##V3_BDPV12</stp>
        <stp>912833RM Govt</stp>
        <stp>ID_ISIN</stp>
        <stp>[STRIPS.xlsx]Sheet1!R448C12</stp>
        <tr r="L448" s="1"/>
      </tp>
      <tp t="s">
        <v>US912833RL62</v>
        <stp/>
        <stp>##V3_BDPV12</stp>
        <stp>912833RL Govt</stp>
        <stp>ID_ISIN</stp>
        <stp>[STRIPS.xlsx]Sheet1!R523C12</stp>
        <tr r="L523" s="1"/>
      </tp>
      <tp t="s">
        <v>US912834RM29</v>
        <stp/>
        <stp>##V3_BDPV12</stp>
        <stp>912834RM Govt</stp>
        <stp>ID_ISIN</stp>
        <stp>[STRIPS.xlsx]Sheet1!R415C12</stp>
        <tr r="L415" s="1"/>
      </tp>
      <tp t="s">
        <v>US912833RJ17</v>
        <stp/>
        <stp>##V3_BDPV12</stp>
        <stp>912833RJ Govt</stp>
        <stp>ID_ISIN</stp>
        <stp>[STRIPS.xlsx]Sheet1!R245C12</stp>
        <tr r="L245" s="1"/>
      </tp>
      <tp t="s">
        <v>US912834RJ99</v>
        <stp/>
        <stp>##V3_BDPV12</stp>
        <stp>912834RJ Govt</stp>
        <stp>ID_ISIN</stp>
        <stp>[STRIPS.xlsx]Sheet1!R203C12</stp>
        <tr r="L203" s="1"/>
      </tp>
      <tp t="s">
        <v>#N/A Field Not Applicable</v>
        <stp/>
        <stp>##V3_BDPV12</stp>
        <stp>912834AT Govt</stp>
        <stp>COUPON_FREQUENCY_DESCRIPTION</stp>
        <stp>[STRIPS.xlsx]Sheet1!R76C10</stp>
        <tr r="J76" s="1"/>
      </tp>
      <tp t="s">
        <v>#N/A Field Not Applicable</v>
        <stp/>
        <stp>##V3_BDPV12</stp>
        <stp>912834AD Govt</stp>
        <stp>COUPON_FREQUENCY_DESCRIPTION</stp>
        <stp>[STRIPS.xlsx]Sheet1!R92C10</stp>
        <tr r="J92" s="1"/>
      </tp>
      <tp t="s">
        <v>UNITED STATES</v>
        <stp/>
        <stp>##V3_BDPV12</stp>
        <stp>912834TF Govt</stp>
        <stp>COUNTRY_FULL_NAME</stp>
        <stp>[STRIPS.xlsx]Sheet1!R98C8</stp>
        <tr r="H98" s="1"/>
      </tp>
      <tp t="s">
        <v>#N/A Field Not Applicable</v>
        <stp/>
        <stp>##V3_BDPV12</stp>
        <stp>9128335S Govt</stp>
        <stp>FIRST_CPN_DT</stp>
        <stp>[STRIPS.xlsx]Sheet1!R649C9</stp>
        <tr r="I649" s="1"/>
      </tp>
      <tp t="s">
        <v>#N/A Field Not Applicable</v>
        <stp/>
        <stp>##V3_BDPV12</stp>
        <stp>9128334E Govt</stp>
        <stp>FIRST_CPN_DT</stp>
        <stp>[STRIPS.xlsx]Sheet1!R708C9</stp>
        <tr r="I708" s="1"/>
      </tp>
      <tp t="s">
        <v>#N/A Field Not Applicable</v>
        <stp/>
        <stp>##V3_BDPV12</stp>
        <stp>9128334D Govt</stp>
        <stp>FIRST_CPN_DT</stp>
        <stp>[STRIPS.xlsx]Sheet1!R488C9</stp>
        <tr r="I488" s="1"/>
      </tp>
      <tp t="s">
        <v>UNITED STATES</v>
        <stp/>
        <stp>##V3_BDPV12</stp>
        <stp>912833XP Govt</stp>
        <stp>COUNTRY_FULL_NAME</stp>
        <stp>[STRIPS.xlsx]Sheet1!R44C8</stp>
        <tr r="H44" s="1"/>
      </tp>
      <tp t="s">
        <v>#N/A Field Not Applicable</v>
        <stp/>
        <stp>##V3_BDPV12</stp>
        <stp>9128334T Govt</stp>
        <stp>FIRST_CPN_DT</stp>
        <stp>[STRIPS.xlsx]Sheet1!R48C9</stp>
        <tr r="I48" s="1"/>
      </tp>
      <tp t="s">
        <v>9128336P0</v>
        <stp/>
        <stp>##V3_BDPV12</stp>
        <stp>9128336P Govt</stp>
        <stp>ID_CUSIP</stp>
        <stp>[STRIPS.xlsx]Sheet1!R729C19</stp>
        <tr r="S729" s="1"/>
      </tp>
      <tp t="s">
        <v>9128335P1</v>
        <stp/>
        <stp>##V3_BDPV12</stp>
        <stp>9128335P Govt</stp>
        <stp>ID_CUSIP</stp>
        <stp>[STRIPS.xlsx]Sheet1!R723C19</stp>
        <tr r="S723" s="1"/>
      </tp>
      <tp t="s">
        <v>912834UP1</v>
        <stp/>
        <stp>##V3_BDPV12</stp>
        <stp>912834UP Govt</stp>
        <stp>ID_CUSIP</stp>
        <stp>[STRIPS.xlsx]Sheet1!R754C19</stp>
        <tr r="S754" s="1"/>
      </tp>
      <tp t="s">
        <v>9128333P3</v>
        <stp/>
        <stp>##V3_BDPV12</stp>
        <stp>9128333P Govt</stp>
        <stp>ID_CUSIP</stp>
        <stp>[STRIPS.xlsx]Sheet1!R704C19</stp>
        <tr r="S704" s="1"/>
      </tp>
      <tp t="s">
        <v>11/15/1984</v>
        <stp/>
        <stp>##V3_BDPV12</stp>
        <stp>912833FK Govt</stp>
        <stp>ISSUE_DT</stp>
        <stp>[STRIPS.xlsx]Sheet1!R662C15</stp>
        <tr r="O662" s="1"/>
      </tp>
      <tp t="s">
        <v>912833FP0</v>
        <stp/>
        <stp>##V3_BDPV12</stp>
        <stp>912833FP Govt</stp>
        <stp>ID_CUSIP</stp>
        <stp>[STRIPS.xlsx]Sheet1!R664C19</stp>
        <tr r="S664" s="1"/>
      </tp>
      <tp t="s">
        <v>912833KP4</v>
        <stp/>
        <stp>##V3_BDPV12</stp>
        <stp>912833KP Govt</stp>
        <stp>ID_CUSIP</stp>
        <stp>[STRIPS.xlsx]Sheet1!R623C19</stp>
        <tr r="S623" s="1"/>
      </tp>
      <tp t="s">
        <v>912833QP8</v>
        <stp/>
        <stp>##V3_BDPV12</stp>
        <stp>912833QP Govt</stp>
        <stp>ID_CUSIP</stp>
        <stp>[STRIPS.xlsx]Sheet1!R687C19</stp>
        <tr r="S687" s="1"/>
      </tp>
      <tp t="s">
        <v>11/30/2020</v>
        <stp/>
        <stp>##V3_BDPV12</stp>
        <stp>912834WK Govt</stp>
        <stp>ISSUE_DT</stp>
        <stp>[STRIPS.xlsx]Sheet1!R775C15</stp>
        <tr r="O775" s="1"/>
      </tp>
      <tp t="s">
        <v>2/15/1985</v>
        <stp/>
        <stp>##V3_BDPV12</stp>
        <stp>912833CK Govt</stp>
        <stp>ISSUE_DT</stp>
        <stp>[STRIPS.xlsx]Sheet1!R733C15</stp>
        <tr r="O733" s="1"/>
      </tp>
      <tp t="s">
        <v>9/15/2004</v>
        <stp/>
        <stp>##V3_BDPV12</stp>
        <stp>9128333K Govt</stp>
        <stp>ISSUE_DT</stp>
        <stp>[STRIPS.xlsx]Sheet1!R743C15</stp>
        <tr r="O743" s="1"/>
      </tp>
      <tp t="s">
        <v>#N/A Field Not Applicable</v>
        <stp/>
        <stp>##V3_BDPV12</stp>
        <stp>912833RY Govt</stp>
        <stp>FIRST_CPN_DT</stp>
        <stp>[STRIPS.xlsx]Sheet1!R28C9</stp>
        <tr r="I28" s="1"/>
      </tp>
      <tp t="s">
        <v>912833CP3</v>
        <stp/>
        <stp>##V3_BDPV12</stp>
        <stp>912833CP Govt</stp>
        <stp>ID_CUSIP</stp>
        <stp>[STRIPS.xlsx]Sheet1!R564C19</stp>
        <tr r="S564" s="1"/>
      </tp>
      <tp t="s">
        <v>912833RP7</v>
        <stp/>
        <stp>##V3_BDPV12</stp>
        <stp>912833RP Govt</stp>
        <stp>ID_CUSIP</stp>
        <stp>[STRIPS.xlsx]Sheet1!R524C19</stp>
        <tr r="S524" s="1"/>
      </tp>
      <tp t="s">
        <v>912834MP0</v>
        <stp/>
        <stp>##V3_BDPV12</stp>
        <stp>912834MP Govt</stp>
        <stp>ID_CUSIP</stp>
        <stp>[STRIPS.xlsx]Sheet1!R542C19</stp>
        <tr r="S542" s="1"/>
      </tp>
      <tp t="s">
        <v>6/30/2006</v>
        <stp/>
        <stp>##V3_BDPV12</stp>
        <stp>9128336K Govt</stp>
        <stp>ISSUE_DT</stp>
        <stp>[STRIPS.xlsx]Sheet1!R496C15</stp>
        <tr r="O496" s="1"/>
      </tp>
      <tp t="s">
        <v>3/31/2006</v>
        <stp/>
        <stp>##V3_BDPV12</stp>
        <stp>9128335K Govt</stp>
        <stp>ISSUE_DT</stp>
        <stp>[STRIPS.xlsx]Sheet1!R493C15</stp>
        <tr r="O493" s="1"/>
      </tp>
      <tp t="s">
        <v>11/30/2005</v>
        <stp/>
        <stp>##V3_BDPV12</stp>
        <stp>9128334K Govt</stp>
        <stp>ISSUE_DT</stp>
        <stp>[STRIPS.xlsx]Sheet1!R490C15</stp>
        <tr r="O490" s="1"/>
      </tp>
      <tp t="s">
        <v>3/17/2014</v>
        <stp/>
        <stp>##V3_BDPV12</stp>
        <stp>912834NK Govt</stp>
        <stp>ISSUE_DT</stp>
        <stp>[STRIPS.xlsx]Sheet1!R477C15</stp>
        <tr r="O477" s="1"/>
      </tp>
      <tp t="s">
        <v>12/15/2010</v>
        <stp/>
        <stp>##V3_BDPV12</stp>
        <stp>912834JK Govt</stp>
        <stp>ISSUE_DT</stp>
        <stp>[STRIPS.xlsx]Sheet1!R466C15</stp>
        <tr r="O466" s="1"/>
      </tp>
      <tp t="s">
        <v>10/15/1996</v>
        <stp/>
        <stp>##V3_BDPV12</stp>
        <stp>912833MK Govt</stp>
        <stp>ISSUE_DT</stp>
        <stp>[STRIPS.xlsx]Sheet1!R445C15</stp>
        <tr r="O445" s="1"/>
      </tp>
      <tp t="s">
        <v>3/15/2018</v>
        <stp/>
        <stp>##V3_BDPV12</stp>
        <stp>912834TK Govt</stp>
        <stp>ISSUE_DT</stp>
        <stp>[STRIPS.xlsx]Sheet1!R425C15</stp>
        <tr r="O425" s="1"/>
      </tp>
      <tp t="s">
        <v>4/15/2013</v>
        <stp/>
        <stp>##V3_BDPV12</stp>
        <stp>912834MK Govt</stp>
        <stp>ISSUE_DT</stp>
        <stp>[STRIPS.xlsx]Sheet1!R405C15</stp>
        <tr r="O405" s="1"/>
      </tp>
      <tp t="s">
        <v>912834RP5</v>
        <stp/>
        <stp>##V3_BDPV12</stp>
        <stp>912834RP Govt</stp>
        <stp>ID_CUSIP</stp>
        <stp>[STRIPS.xlsx]Sheet1!R416C19</stp>
        <tr r="S416" s="1"/>
      </tp>
      <tp t="s">
        <v>912834LP1</v>
        <stp/>
        <stp>##V3_BDPV12</stp>
        <stp>912834LP Govt</stp>
        <stp>ID_CUSIP</stp>
        <stp>[STRIPS.xlsx]Sheet1!R474C19</stp>
        <tr r="S474" s="1"/>
      </tp>
      <tp t="s">
        <v>10/31/2001</v>
        <stp/>
        <stp>##V3_BDPV12</stp>
        <stp>912833YK Govt</stp>
        <stp>ISSUE_DT</stp>
        <stp>[STRIPS.xlsx]Sheet1!R584C15</stp>
        <tr r="O584" s="1"/>
      </tp>
      <tp t="s">
        <v>12/1/1997</v>
        <stp/>
        <stp>##V3_BDPV12</stp>
        <stp>912833QK Govt</stp>
        <stp>ISSUE_DT</stp>
        <stp>[STRIPS.xlsx]Sheet1!R519C15</stp>
        <tr r="O519" s="1"/>
      </tp>
      <tp t="s">
        <v>3/2/1998</v>
        <stp/>
        <stp>##V3_BDPV12</stp>
        <stp>912833RK Govt</stp>
        <stp>ISSUE_DT</stp>
        <stp>[STRIPS.xlsx]Sheet1!R578C15</stp>
        <tr r="O578" s="1"/>
      </tp>
      <tp t="s">
        <v>9/30/1997</v>
        <stp/>
        <stp>##V3_BDPV12</stp>
        <stp>912833PK Govt</stp>
        <stp>ISSUE_DT</stp>
        <stp>[STRIPS.xlsx]Sheet1!R573C15</stp>
        <tr r="O573" s="1"/>
      </tp>
      <tp t="s">
        <v>912833NP1</v>
        <stp/>
        <stp>##V3_BDPV12</stp>
        <stp>912833NP Govt</stp>
        <stp>ID_CUSIP</stp>
        <stp>[STRIPS.xlsx]Sheet1!R373C19</stp>
        <tr r="S373" s="1"/>
      </tp>
      <tp t="s">
        <v>912833PP9</v>
        <stp/>
        <stp>##V3_BDPV12</stp>
        <stp>912833PP Govt</stp>
        <stp>ID_CUSIP</stp>
        <stp>[STRIPS.xlsx]Sheet1!R337C19</stp>
        <tr r="S337" s="1"/>
      </tp>
      <tp t="s">
        <v>912834BP2</v>
        <stp/>
        <stp>##V3_BDPV12</stp>
        <stp>912834BP Govt</stp>
        <stp>ID_CUSIP</stp>
        <stp>[STRIPS.xlsx]Sheet1!R389C19</stp>
        <tr r="S389" s="1"/>
      </tp>
      <tp t="s">
        <v>912834AP3</v>
        <stp/>
        <stp>##V3_BDPV12</stp>
        <stp>912834AP Govt</stp>
        <stp>ID_CUSIP</stp>
        <stp>[STRIPS.xlsx]Sheet1!R386C19</stp>
        <tr r="S386" s="1"/>
      </tp>
      <tp t="s">
        <v>5/31/2007</v>
        <stp/>
        <stp>##V3_BDPV12</stp>
        <stp>9128337K Govt</stp>
        <stp>ISSUE_DT</stp>
        <stp>[STRIPS.xlsx]Sheet1!R292C15</stp>
        <tr r="O292" s="1"/>
      </tp>
      <tp t="s">
        <v>6/15/2016</v>
        <stp/>
        <stp>##V3_BDPV12</stp>
        <stp>912834QK Govt</stp>
        <stp>ISSUE_DT</stp>
        <stp>[STRIPS.xlsx]Sheet1!R278C15</stp>
        <tr r="O278" s="1"/>
      </tp>
      <tp t="s">
        <v>12/15/2008</v>
        <stp/>
        <stp>##V3_BDPV12</stp>
        <stp>912834AK Govt</stp>
        <stp>ISSUE_DT</stp>
        <stp>[STRIPS.xlsx]Sheet1!R257C15</stp>
        <tr r="O257" s="1"/>
      </tp>
      <tp t="s">
        <v>912833MP2</v>
        <stp/>
        <stp>##V3_BDPV12</stp>
        <stp>912833MP Govt</stp>
        <stp>ID_CUSIP</stp>
        <stp>[STRIPS.xlsx]Sheet1!R235C19</stp>
        <tr r="S235" s="1"/>
      </tp>
      <tp t="s">
        <v>912834PP7</v>
        <stp/>
        <stp>##V3_BDPV12</stp>
        <stp>912834PP Govt</stp>
        <stp>ID_CUSIP</stp>
        <stp>[STRIPS.xlsx]Sheet1!R276C19</stp>
        <tr r="S276" s="1"/>
      </tp>
      <tp t="s">
        <v>7/31/2009</v>
        <stp/>
        <stp>##V3_BDPV12</stp>
        <stp>912834EK Govt</stp>
        <stp>ISSUE_DT</stp>
        <stp>[STRIPS.xlsx]Sheet1!R392C15</stp>
        <tr r="O392" s="1"/>
      </tp>
      <tp t="s">
        <v>11/15/1986</v>
        <stp/>
        <stp>##V3_BDPV12</stp>
        <stp>912833KK Govt</stp>
        <stp>ISSUE_DT</stp>
        <stp>[STRIPS.xlsx]Sheet1!R301C15</stp>
        <tr r="O301" s="1"/>
      </tp>
      <tp t="s">
        <v>7/15/2015</v>
        <stp/>
        <stp>##V3_BDPV12</stp>
        <stp>912834PK Govt</stp>
        <stp>ISSUE_DT</stp>
        <stp>[STRIPS.xlsx]Sheet1!R329C15</stp>
        <tr r="O329" s="1"/>
      </tp>
      <tp t="s">
        <v>6/15/2011</v>
        <stp/>
        <stp>##V3_BDPV12</stp>
        <stp>912834KK Govt</stp>
        <stp>ISSUE_DT</stp>
        <stp>[STRIPS.xlsx]Sheet1!R317C15</stp>
        <tr r="O317" s="1"/>
      </tp>
      <tp t="s">
        <v>4/15/2009</v>
        <stp/>
        <stp>##V3_BDPV12</stp>
        <stp>912834BK Govt</stp>
        <stp>ISSUE_DT</stp>
        <stp>[STRIPS.xlsx]Sheet1!R308C15</stp>
        <tr r="O308" s="1"/>
      </tp>
      <tp t="s">
        <v>10/15/1996</v>
        <stp/>
        <stp>##V3_BDPV12</stp>
        <stp>912833NK Govt</stp>
        <stp>ISSUE_DT</stp>
        <stp>[STRIPS.xlsx]Sheet1!R372C15</stp>
        <tr r="O372" s="1"/>
      </tp>
      <tp t="s">
        <v>912834TP3</v>
        <stp/>
        <stp>##V3_BDPV12</stp>
        <stp>912834TP Govt</stp>
        <stp>ID_CUSIP</stp>
        <stp>[STRIPS.xlsx]Sheet1!R117C19</stp>
        <tr r="S117" s="1"/>
      </tp>
      <tp t="s">
        <v>912834QP6</v>
        <stp/>
        <stp>##V3_BDPV12</stp>
        <stp>912834QP Govt</stp>
        <stp>ID_CUSIP</stp>
        <stp>[STRIPS.xlsx]Sheet1!R108C19</stp>
        <tr r="S108" s="1"/>
      </tp>
      <tp t="s">
        <v>912834NP9</v>
        <stp/>
        <stp>##V3_BDPV12</stp>
        <stp>912834NP Govt</stp>
        <stp>ID_CUSIP</stp>
        <stp>[STRIPS.xlsx]Sheet1!R130C19</stp>
        <tr r="S130" s="1"/>
      </tp>
      <tp t="s">
        <v>912833ZP8</v>
        <stp/>
        <stp>##V3_BDPV12</stp>
        <stp>912833ZP Govt</stp>
        <stp>ID_CUSIP</stp>
        <stp>[STRIPS.xlsx]Sheet1!R192C19</stp>
        <tr r="S192" s="1"/>
      </tp>
      <tp t="s">
        <v>5/15/2017</v>
        <stp/>
        <stp>##V3_BDPV12</stp>
        <stp>912834RK Govt</stp>
        <stp>ISSUE_DT</stp>
        <stp>[STRIPS.xlsx]Sheet1!R124C15</stp>
        <tr r="O124" s="1"/>
      </tp>
      <tp t="s">
        <v>#N/A Field Not Applicable</v>
        <stp/>
        <stp>##V3_BDPV12</stp>
        <stp>912833LJ Govt</stp>
        <stp>FIRST_CPN_DT</stp>
        <stp>[STRIPS.xlsx]Sheet1!R18C9</stp>
        <tr r="I18" s="1"/>
      </tp>
      <tp t="s">
        <v>#N/A Field Not Applicable</v>
        <stp/>
        <stp>##V3_BDPV12</stp>
        <stp>912833LQ Govt</stp>
        <stp>FIRST_CPN_DT</stp>
        <stp>[STRIPS.xlsx]Sheet1!R38C9</stp>
        <tr r="I38" s="1"/>
      </tp>
      <tp t="s">
        <v>#N/A Field Not Applicable</v>
        <stp/>
        <stp>##V3_BDPV12</stp>
        <stp>9128335Y Govt</stp>
        <stp>FIRST_CPN_DT</stp>
        <stp>[STRIPS.xlsx]Sheet1!R726C9</stp>
        <tr r="I726" s="1"/>
      </tp>
      <tp t="s">
        <v>#N/A Field Not Applicable</v>
        <stp/>
        <stp>##V3_BDPV12</stp>
        <stp>9128334X Govt</stp>
        <stp>FIRST_CPN_DT</stp>
        <stp>[STRIPS.xlsx]Sheet1!R107C9</stp>
        <tr r="I107" s="1"/>
      </tp>
      <tp t="s">
        <v>UNITED STATES</v>
        <stp/>
        <stp>##V3_BDPV12</stp>
        <stp>912834PG Govt</stp>
        <stp>COUNTRY_FULL_NAME</stp>
        <stp>[STRIPS.xlsx]Sheet1!R83C8</stp>
        <tr r="H83" s="1"/>
      </tp>
      <tp t="s">
        <v>#N/A Field Not Applicable</v>
        <stp/>
        <stp>##V3_BDPV12</stp>
        <stp>9128337R Govt</stp>
        <stp>FIRST_CPN_DT</stp>
        <stp>[STRIPS.xlsx]Sheet1!R114C9</stp>
        <tr r="I114" s="1"/>
      </tp>
      <tp t="s">
        <v>UNITED STATES</v>
        <stp/>
        <stp>##V3_BDPV12</stp>
        <stp>912833PD Govt</stp>
        <stp>COUNTRY_FULL_NAME</stp>
        <stp>[STRIPS.xlsx]Sheet1!R13C8</stp>
        <tr r="H13" s="1"/>
      </tp>
      <tp t="s">
        <v>#N/A Field Not Applicable</v>
        <stp/>
        <stp>##V3_BDPV12</stp>
        <stp>9128335T Govt</stp>
        <stp>FIRST_CPN_DT</stp>
        <stp>[STRIPS.xlsx]Sheet1!R556C9</stp>
        <tr r="I556" s="1"/>
      </tp>
      <tp t="s">
        <v>#N/A Field Not Applicable</v>
        <stp/>
        <stp>##V3_BDPV12</stp>
        <stp>9128336V Govt</stp>
        <stp>FIRST_CPN_DT</stp>
        <stp>[STRIPS.xlsx]Sheet1!R715C9</stp>
        <tr r="I715" s="1"/>
      </tp>
      <tp t="s">
        <v>#N/A Field Not Applicable</v>
        <stp/>
        <stp>##V3_BDPV12</stp>
        <stp>9128336H Govt</stp>
        <stp>FIRST_CPN_DT</stp>
        <stp>[STRIPS.xlsx]Sheet1!R495C9</stp>
        <tr r="I495" s="1"/>
      </tp>
      <tp t="s">
        <v>#N/A Field Not Applicable</v>
        <stp/>
        <stp>##V3_BDPV12</stp>
        <stp>9128333H Govt</stp>
        <stp>FIRST_CPN_DT</stp>
        <stp>[STRIPS.xlsx]Sheet1!R600C9</stp>
        <tr r="I600" s="1"/>
      </tp>
      <tp t="s">
        <v>#N/A Field Not Applicable</v>
        <stp/>
        <stp>##V3_BDPV12</stp>
        <stp>9128335N Govt</stp>
        <stp>FIRST_CPN_DT</stp>
        <stp>[STRIPS.xlsx]Sheet1!R746C9</stp>
        <tr r="I746" s="1"/>
      </tp>
      <tp t="s">
        <v>#N/A Field Not Applicable</v>
        <stp/>
        <stp>##V3_BDPV12</stp>
        <stp>9128334A Govt</stp>
        <stp>FIRST_CPN_DT</stp>
        <stp>[STRIPS.xlsx]Sheet1!R487C9</stp>
        <tr r="I487" s="1"/>
      </tp>
      <tp t="s">
        <v>#N/A Field Not Applicable</v>
        <stp/>
        <stp>##V3_BDPV12</stp>
        <stp>9128332C Govt</stp>
        <stp>FIRST_CPN_DT</stp>
        <stp>[STRIPS.xlsx]Sheet1!R701C9</stp>
        <tr r="I701" s="1"/>
      </tp>
      <tp t="s">
        <v>#N/A Field Not Applicable</v>
        <stp/>
        <stp>##V3_BDPV12</stp>
        <stp>9128334C Govt</stp>
        <stp>FIRST_CPN_DT</stp>
        <stp>[STRIPS.xlsx]Sheet1!R707C9</stp>
        <tr r="I707" s="1"/>
      </tp>
      <tp t="s">
        <v>USD</v>
        <stp/>
        <stp>##V3_BDPV12</stp>
        <stp>912833C7 Govt</stp>
        <stp>CRNCY</stp>
        <stp>[STRIPS.xlsx]Sheet1!R294C7</stp>
        <tr r="G294" s="1"/>
      </tp>
      <tp t="s">
        <v>USD</v>
        <stp/>
        <stp>##V3_BDPV12</stp>
        <stp>912833B2 Govt</stp>
        <stp>CRNCY</stp>
        <stp>[STRIPS.xlsx]Sheet1!R561C7</stp>
        <tr r="G561" s="1"/>
      </tp>
      <tp t="s">
        <v>USD</v>
        <stp/>
        <stp>##V3_BDPV12</stp>
        <stp>912833C2 Govt</stp>
        <stp>CRNCY</stp>
        <stp>[STRIPS.xlsx]Sheet1!R611C7</stp>
        <tr r="G611" s="1"/>
      </tp>
      <tp t="s">
        <v>UNITED STATES</v>
        <stp/>
        <stp>##V3_BDPV12</stp>
        <stp>912834WR Govt</stp>
        <stp>COUNTRY_FULL_NAME</stp>
        <stp>[STRIPS.xlsx]Sheet1!R54C8</stp>
        <tr r="H54" s="1"/>
      </tp>
      <tp t="s">
        <v>#N/A Field Not Applicable</v>
        <stp/>
        <stp>##V3_BDPV12</stp>
        <stp>9128335G Govt</stp>
        <stp>FIRST_CPN_DT</stp>
        <stp>[STRIPS.xlsx]Sheet1!R286C9</stp>
        <tr r="I286" s="1"/>
      </tp>
      <tp t="s">
        <v>UNITED STATES</v>
        <stp/>
        <stp>##V3_BDPV12</stp>
        <stp>912833WQ Govt</stp>
        <stp>COUNTRY_FULL_NAME</stp>
        <stp>[STRIPS.xlsx]Sheet1!R24C8</stp>
        <tr r="H24" s="1"/>
      </tp>
      <tp t="s">
        <v>ZERO</v>
        <stp/>
        <stp>##V3_BDPV12</stp>
        <stp>912833Z5 Govt</stp>
        <stp>CPN_TYP</stp>
        <stp>[STRIPS.xlsx]Sheet1!R74C11</stp>
        <tr r="K74" s="1"/>
      </tp>
      <tp t="s">
        <v>ZERO</v>
        <stp/>
        <stp>##V3_BDPV12</stp>
        <stp>912833Y4 Govt</stp>
        <stp>CPN_TYP</stp>
        <stp>[STRIPS.xlsx]Sheet1!R60C11</stp>
        <tr r="K60" s="1"/>
      </tp>
      <tp t="s">
        <v>ZERO</v>
        <stp/>
        <stp>##V3_BDPV12</stp>
        <stp>912833Y2 Govt</stp>
        <stp>CPN_TYP</stp>
        <stp>[STRIPS.xlsx]Sheet1!R27C11</stp>
        <tr r="K27" s="1"/>
      </tp>
      <tp t="s">
        <v>ZERO</v>
        <stp/>
        <stp>##V3_BDPV12</stp>
        <stp>912833X8 Govt</stp>
        <stp>CPN_TYP</stp>
        <stp>[STRIPS.xlsx]Sheet1!R66C11</stp>
        <tr r="K66" s="1"/>
      </tp>
      <tp t="s">
        <v>ZERO</v>
        <stp/>
        <stp>##V3_BDPV12</stp>
        <stp>912833X9 Govt</stp>
        <stp>CPN_TYP</stp>
        <stp>[STRIPS.xlsx]Sheet1!R59C11</stp>
        <tr r="K59" s="1"/>
      </tp>
      <tp t="s">
        <v>ZERO</v>
        <stp/>
        <stp>##V3_BDPV12</stp>
        <stp>912833XT Govt</stp>
        <stp>CPN_TYP</stp>
        <stp>[STRIPS.xlsx]Sheet1!R55C11</stp>
        <tr r="K55" s="1"/>
      </tp>
      <tp t="s">
        <v>ZERO</v>
        <stp/>
        <stp>##V3_BDPV12</stp>
        <stp>912833XS Govt</stp>
        <stp>CPN_TYP</stp>
        <stp>[STRIPS.xlsx]Sheet1!R47C11</stp>
        <tr r="K47" s="1"/>
      </tp>
      <tp t="s">
        <v>ZERO</v>
        <stp/>
        <stp>##V3_BDPV12</stp>
        <stp>912833XU Govt</stp>
        <stp>CPN_TYP</stp>
        <stp>[STRIPS.xlsx]Sheet1!R30C11</stp>
        <tr r="K30" s="1"/>
      </tp>
      <tp t="s">
        <v>ZERO</v>
        <stp/>
        <stp>##V3_BDPV12</stp>
        <stp>912833XP Govt</stp>
        <stp>CPN_TYP</stp>
        <stp>[STRIPS.xlsx]Sheet1!R44C11</stp>
        <tr r="K44" s="1"/>
      </tp>
      <tp t="s">
        <v>ZERO</v>
        <stp/>
        <stp>##V3_BDPV12</stp>
        <stp>912833XZ Govt</stp>
        <stp>CPN_TYP</stp>
        <stp>[STRIPS.xlsx]Sheet1!R31C11</stp>
        <tr r="K31" s="1"/>
      </tp>
      <tp t="s">
        <v>ZERO</v>
        <stp/>
        <stp>##V3_BDPV12</stp>
        <stp>912833XX Govt</stp>
        <stp>CPN_TYP</stp>
        <stp>[STRIPS.xlsx]Sheet1!R62C11</stp>
        <tr r="K62" s="1"/>
      </tp>
      <tp t="s">
        <v>ZERO</v>
        <stp/>
        <stp>##V3_BDPV12</stp>
        <stp>912833XY Govt</stp>
        <stp>CPN_TYP</stp>
        <stp>[STRIPS.xlsx]Sheet1!R50C11</stp>
        <tr r="K50" s="1"/>
      </tp>
      <tp t="s">
        <v>ZERO</v>
        <stp/>
        <stp>##V3_BDPV12</stp>
        <stp>912833XN Govt</stp>
        <stp>CPN_TYP</stp>
        <stp>[STRIPS.xlsx]Sheet1!R85C11</stp>
        <tr r="K85" s="1"/>
      </tp>
      <tp t="s">
        <v>ZERO</v>
        <stp/>
        <stp>##V3_BDPV12</stp>
        <stp>912833RY Govt</stp>
        <stp>CPN_TYP</stp>
        <stp>[STRIPS.xlsx]Sheet1!R28C11</stp>
        <tr r="K28" s="1"/>
      </tp>
      <tp t="s">
        <v>ZERO</v>
        <stp/>
        <stp>##V3_BDPV12</stp>
        <stp>912833RZ Govt</stp>
        <stp>CPN_TYP</stp>
        <stp>[STRIPS.xlsx]Sheet1!R26C11</stp>
        <tr r="K26" s="1"/>
      </tp>
      <tp t="s">
        <v>ZERO</v>
        <stp/>
        <stp>##V3_BDPV12</stp>
        <stp>912833QB Govt</stp>
        <stp>CPN_TYP</stp>
        <stp>[STRIPS.xlsx]Sheet1!R20C11</stp>
        <tr r="K20" s="1"/>
      </tp>
      <tp t="s">
        <v>ZERO</v>
        <stp/>
        <stp>##V3_BDPV12</stp>
        <stp>912833PC Govt</stp>
        <stp>CPN_TYP</stp>
        <stp>[STRIPS.xlsx]Sheet1!R14C11</stp>
        <tr r="K14" s="1"/>
      </tp>
      <tp t="s">
        <v>ZERO</v>
        <stp/>
        <stp>##V3_BDPV12</stp>
        <stp>912833PD Govt</stp>
        <stp>CPN_TYP</stp>
        <stp>[STRIPS.xlsx]Sheet1!R13C11</stp>
        <tr r="K13" s="1"/>
      </tp>
      <tp t="s">
        <v>ZERO</v>
        <stp/>
        <stp>##V3_BDPV12</stp>
        <stp>912833PE Govt</stp>
        <stp>CPN_TYP</stp>
        <stp>[STRIPS.xlsx]Sheet1!R15C11</stp>
        <tr r="K15" s="1"/>
      </tp>
      <tp t="s">
        <v>ZERO</v>
        <stp/>
        <stp>##V3_BDPV12</stp>
        <stp>912833WQ Govt</stp>
        <stp>CPN_TYP</stp>
        <stp>[STRIPS.xlsx]Sheet1!R24C11</stp>
        <tr r="K24" s="1"/>
      </tp>
      <tp t="s">
        <v>ZERO</v>
        <stp/>
        <stp>##V3_BDPV12</stp>
        <stp>912833WR Govt</stp>
        <stp>CPN_TYP</stp>
        <stp>[STRIPS.xlsx]Sheet1!R52C11</stp>
        <tr r="K52" s="1"/>
      </tp>
      <tp t="s">
        <v>#N/A Field Not Applicable</v>
        <stp/>
        <stp>##V3_BDPV12</stp>
        <stp>9128334Y Govt</stp>
        <stp>FIRST_CPN_DT</stp>
        <stp>[STRIPS.xlsx]Sheet1!R67C9</stp>
        <tr r="I67" s="1"/>
      </tp>
      <tp t="s">
        <v>ZERO</v>
        <stp/>
        <stp>##V3_BDPV12</stp>
        <stp>912833LR Govt</stp>
        <stp>CPN_TYP</stp>
        <stp>[STRIPS.xlsx]Sheet1!R19C11</stp>
        <tr r="K19" s="1"/>
      </tp>
      <tp t="s">
        <v>ZERO</v>
        <stp/>
        <stp>##V3_BDPV12</stp>
        <stp>912833LQ Govt</stp>
        <stp>CPN_TYP</stp>
        <stp>[STRIPS.xlsx]Sheet1!R38C11</stp>
        <tr r="K38" s="1"/>
      </tp>
      <tp t="s">
        <v>ZERO</v>
        <stp/>
        <stp>##V3_BDPV12</stp>
        <stp>912833LP Govt</stp>
        <stp>CPN_TYP</stp>
        <stp>[STRIPS.xlsx]Sheet1!R12C11</stp>
        <tr r="K12" s="1"/>
      </tp>
      <tp t="s">
        <v>ZERO</v>
        <stp/>
        <stp>##V3_BDPV12</stp>
        <stp>912833LS Govt</stp>
        <stp>CPN_TYP</stp>
        <stp>[STRIPS.xlsx]Sheet1!R37C11</stp>
        <tr r="K37" s="1"/>
      </tp>
      <tp t="s">
        <v>ZERO</v>
        <stp/>
        <stp>##V3_BDPV12</stp>
        <stp>912833LU Govt</stp>
        <stp>CPN_TYP</stp>
        <stp>[STRIPS.xlsx]Sheet1!R22C11</stp>
        <tr r="K22" s="1"/>
      </tp>
      <tp t="s">
        <v>ZERO</v>
        <stp/>
        <stp>##V3_BDPV12</stp>
        <stp>912833LT Govt</stp>
        <stp>CPN_TYP</stp>
        <stp>[STRIPS.xlsx]Sheet1!R11C11</stp>
        <tr r="K11" s="1"/>
      </tp>
      <tp t="s">
        <v>ZERO</v>
        <stp/>
        <stp>##V3_BDPV12</stp>
        <stp>912833LV Govt</stp>
        <stp>CPN_TYP</stp>
        <stp>[STRIPS.xlsx]Sheet1!R39C11</stp>
        <tr r="K39" s="1"/>
      </tp>
      <tp t="s">
        <v>ZERO</v>
        <stp/>
        <stp>##V3_BDPV12</stp>
        <stp>912833LX Govt</stp>
        <stp>CPN_TYP</stp>
        <stp>[STRIPS.xlsx]Sheet1!R10C11</stp>
        <tr r="K10" s="1"/>
      </tp>
      <tp t="s">
        <v>ZERO</v>
        <stp/>
        <stp>##V3_BDPV12</stp>
        <stp>912833LY Govt</stp>
        <stp>CPN_TYP</stp>
        <stp>[STRIPS.xlsx]Sheet1!R16C11</stp>
        <tr r="K16" s="1"/>
      </tp>
      <tp t="s">
        <v>ZERO</v>
        <stp/>
        <stp>##V3_BDPV12</stp>
        <stp>912833LG Govt</stp>
        <stp>CPN_TYP</stp>
        <stp>[STRIPS.xlsx]Sheet1!R33C11</stp>
        <tr r="K33" s="1"/>
      </tp>
      <tp t="s">
        <v>ZERO</v>
        <stp/>
        <stp>##V3_BDPV12</stp>
        <stp>912833LJ Govt</stp>
        <stp>CPN_TYP</stp>
        <stp>[STRIPS.xlsx]Sheet1!R18C11</stp>
        <tr r="K18" s="1"/>
      </tp>
      <tp t="s">
        <v>ZERO</v>
        <stp/>
        <stp>##V3_BDPV12</stp>
        <stp>912833LK Govt</stp>
        <stp>CPN_TYP</stp>
        <stp>[STRIPS.xlsx]Sheet1!R21C11</stp>
        <tr r="K21" s="1"/>
      </tp>
      <tp t="s">
        <v>ZERO</v>
        <stp/>
        <stp>##V3_BDPV12</stp>
        <stp>912833LN Govt</stp>
        <stp>CPN_TYP</stp>
        <stp>[STRIPS.xlsx]Sheet1!R63C11</stp>
        <tr r="K63" s="1"/>
      </tp>
      <tp t="s">
        <v>ZERO</v>
        <stp/>
        <stp>##V3_BDPV12</stp>
        <stp>912833LL Govt</stp>
        <stp>CPN_TYP</stp>
        <stp>[STRIPS.xlsx]Sheet1!R36C11</stp>
        <tr r="K36" s="1"/>
      </tp>
      <tp t="s">
        <v>ZERO</v>
        <stp/>
        <stp>##V3_BDPV12</stp>
        <stp>912833LH Govt</stp>
        <stp>CPN_TYP</stp>
        <stp>[STRIPS.xlsx]Sheet1!R40C11</stp>
        <tr r="K40" s="1"/>
      </tp>
      <tp t="s">
        <v>ZERO</v>
        <stp/>
        <stp>##V3_BDPV12</stp>
        <stp>912833LM Govt</stp>
        <stp>CPN_TYP</stp>
        <stp>[STRIPS.xlsx]Sheet1!R17C11</stp>
        <tr r="K17" s="1"/>
      </tp>
      <tp t="s">
        <v>ZERO</v>
        <stp/>
        <stp>##V3_BDPV12</stp>
        <stp>912834QQ Govt</stp>
        <stp>CPN_TYP</stp>
        <stp>[STRIPS.xlsx]Sheet1!R205C11</stp>
        <tr r="K205" s="1"/>
      </tp>
      <tp t="s">
        <v>ZERO</v>
        <stp/>
        <stp>##V3_BDPV12</stp>
        <stp>912833QU Govt</stp>
        <stp>CPN_TYP</stp>
        <stp>[STRIPS.xlsx]Sheet1!R688C11</stp>
        <tr r="K688" s="1"/>
      </tp>
      <tp t="s">
        <v>ZERO</v>
        <stp/>
        <stp>##V3_BDPV12</stp>
        <stp>912834QS Govt</stp>
        <stp>CPN_TYP</stp>
        <stp>[STRIPS.xlsx]Sheet1!R135C11</stp>
        <tr r="K135" s="1"/>
      </tp>
      <tp t="s">
        <v>ZERO</v>
        <stp/>
        <stp>##V3_BDPV12</stp>
        <stp>912833QQ Govt</stp>
        <stp>CPN_TYP</stp>
        <stp>[STRIPS.xlsx]Sheet1!R377C11</stp>
        <tr r="K377" s="1"/>
      </tp>
      <tp t="s">
        <v>#N/A Field Not Applicable</v>
        <stp/>
        <stp>##V3_BDPV12</stp>
        <stp>912833Y2 Govt</stp>
        <stp>FIRST_CPN_DT</stp>
        <stp>[STRIPS.xlsx]Sheet1!R27C9</stp>
        <tr r="I27" s="1"/>
      </tp>
      <tp t="s">
        <v>ZERO</v>
        <stp/>
        <stp>##V3_BDPV12</stp>
        <stp>912834QP Govt</stp>
        <stp>CPN_TYP</stp>
        <stp>[STRIPS.xlsx]Sheet1!R108C11</stp>
        <tr r="K108" s="1"/>
      </tp>
      <tp t="s">
        <v>ZERO</v>
        <stp/>
        <stp>##V3_BDPV12</stp>
        <stp>912834QT Govt</stp>
        <stp>CPN_TYP</stp>
        <stp>[STRIPS.xlsx]Sheet1!R414C11</stp>
        <tr r="K414" s="1"/>
      </tp>
      <tp t="s">
        <v>#N/A Field Not Applicable</v>
        <stp/>
        <stp>##V3_BDPV12</stp>
        <stp>912833XS Govt</stp>
        <stp>FIRST_CPN_DT</stp>
        <stp>[STRIPS.xlsx]Sheet1!R47C9</stp>
        <tr r="I47" s="1"/>
      </tp>
      <tp t="s">
        <v>ZERO</v>
        <stp/>
        <stp>##V3_BDPV12</stp>
        <stp>912833QR Govt</stp>
        <stp>CPN_TYP</stp>
        <stp>[STRIPS.xlsx]Sheet1!R521C11</stp>
        <tr r="K521" s="1"/>
      </tp>
      <tp t="s">
        <v>ZERO</v>
        <stp/>
        <stp>##V3_BDPV12</stp>
        <stp>912834QV Govt</stp>
        <stp>CPN_TYP</stp>
        <stp>[STRIPS.xlsx]Sheet1!R104C11</stp>
        <tr r="K104" s="1"/>
      </tp>
      <tp t="s">
        <v>ZERO</v>
        <stp/>
        <stp>##V3_BDPV12</stp>
        <stp>912834QU Govt</stp>
        <stp>CPN_TYP</stp>
        <stp>[STRIPS.xlsx]Sheet1!R201C11</stp>
        <tr r="K201" s="1"/>
      </tp>
      <tp t="s">
        <v>ZERO</v>
        <stp/>
        <stp>##V3_BDPV12</stp>
        <stp>912833QT Govt</stp>
        <stp>CPN_TYP</stp>
        <stp>[STRIPS.xlsx]Sheet1!R307C11</stp>
        <tr r="K307" s="1"/>
      </tp>
      <tp t="s">
        <v>ZERO</v>
        <stp/>
        <stp>##V3_BDPV12</stp>
        <stp>912834QW Govt</stp>
        <stp>CPN_TYP</stp>
        <stp>[STRIPS.xlsx]Sheet1!R171C11</stp>
        <tr r="K171" s="1"/>
      </tp>
      <tp t="s">
        <v>ZERO</v>
        <stp/>
        <stp>##V3_BDPV12</stp>
        <stp>912833QP Govt</stp>
        <stp>CPN_TYP</stp>
        <stp>[STRIPS.xlsx]Sheet1!R687C11</stp>
        <tr r="K687" s="1"/>
      </tp>
      <tp t="s">
        <v>ZERO</v>
        <stp/>
        <stp>##V3_BDPV12</stp>
        <stp>912834QR Govt</stp>
        <stp>CPN_TYP</stp>
        <stp>[STRIPS.xlsx]Sheet1!R480C11</stp>
        <tr r="K480" s="1"/>
      </tp>
      <tp t="s">
        <v>ZERO</v>
        <stp/>
        <stp>##V3_BDPV12</stp>
        <stp>912833QS Govt</stp>
        <stp>CPN_TYP</stp>
        <stp>[STRIPS.xlsx]Sheet1!R632C11</stp>
        <tr r="K632" s="1"/>
      </tp>
      <tp t="s">
        <v>ZERO</v>
        <stp/>
        <stp>##V3_BDPV12</stp>
        <stp>912833QW Govt</stp>
        <stp>CPN_TYP</stp>
        <stp>[STRIPS.xlsx]Sheet1!R378C11</stp>
        <tr r="K378" s="1"/>
      </tp>
      <tp t="s">
        <v>ZERO</v>
        <stp/>
        <stp>##V3_BDPV12</stp>
        <stp>912833QV Govt</stp>
        <stp>CPN_TYP</stp>
        <stp>[STRIPS.xlsx]Sheet1!R242C11</stp>
        <tr r="K242" s="1"/>
      </tp>
      <tp t="s">
        <v>1/31/2003</v>
        <stp/>
        <stp>##V3_BDPV12</stp>
        <stp>912833ZD Govt</stp>
        <stp>ISSUE_DT</stp>
        <stp>[STRIPS.xlsx]Sheet1!R637C15</stp>
        <tr r="O637" s="1"/>
      </tp>
      <tp t="s">
        <v>6/30/2009</v>
        <stp/>
        <stp>##V3_BDPV12</stp>
        <stp>912834ED Govt</stp>
        <stp>ISSUE_DT</stp>
        <stp>[STRIPS.xlsx]Sheet1!R645C15</stp>
        <tr r="O645" s="1"/>
      </tp>
      <tp t="s">
        <v>3/31/2009</v>
        <stp/>
        <stp>##V3_BDPV12</stp>
        <stp>912834BD Govt</stp>
        <stp>ISSUE_DT</stp>
        <stp>[STRIPS.xlsx]Sheet1!R643C15</stp>
        <tr r="O643" s="1"/>
      </tp>
      <tp t="s">
        <v>4/15/2004</v>
        <stp/>
        <stp>##V3_BDPV12</stp>
        <stp>9128332D Govt</stp>
        <stp>ISSUE_DT</stp>
        <stp>[STRIPS.xlsx]Sheet1!R648C15</stp>
        <tr r="O648" s="1"/>
      </tp>
      <tp t="s">
        <v>2/15/1985</v>
        <stp/>
        <stp>##V3_BDPV12</stp>
        <stp>912833DD Govt</stp>
        <stp>ISSUE_DT</stp>
        <stp>[STRIPS.xlsx]Sheet1!R659C15</stp>
        <tr r="O659" s="1"/>
      </tp>
      <tp t="s">
        <v>10/15/1996</v>
        <stp/>
        <stp>##V3_BDPV12</stp>
        <stp>912833ND Govt</stp>
        <stp>ISSUE_DT</stp>
        <stp>[STRIPS.xlsx]Sheet1!R676C15</stp>
        <tr r="O676" s="1"/>
      </tp>
      <tp t="s">
        <v>ZERO</v>
        <stp/>
        <stp>##V3_BDPV12</stp>
        <stp>912833QX Govt</stp>
        <stp>CPN_TYP</stp>
        <stp>[STRIPS.xlsx]Sheet1!R243C11</stp>
        <tr r="K243" s="1"/>
      </tp>
      <tp t="s">
        <v>7/15/2021</v>
        <stp/>
        <stp>##V3_BDPV12</stp>
        <stp>912834XD Govt</stp>
        <stp>ISSUE_DT</stp>
        <stp>[STRIPS.xlsx]Sheet1!R764C15</stp>
        <tr r="O764" s="1"/>
      </tp>
      <tp t="s">
        <v>10/31/2019</v>
        <stp/>
        <stp>##V3_BDPV12</stp>
        <stp>912834VD Govt</stp>
        <stp>ISSUE_DT</stp>
        <stp>[STRIPS.xlsx]Sheet1!R765C15</stp>
        <tr r="O765" s="1"/>
      </tp>
      <tp t="s">
        <v>5/31/2006</v>
        <stp/>
        <stp>##V3_BDPV12</stp>
        <stp>9128336D Govt</stp>
        <stp>ISSUE_DT</stp>
        <stp>[STRIPS.xlsx]Sheet1!R749C15</stp>
        <tr r="O749" s="1"/>
      </tp>
      <tp t="s">
        <v>ZERO</v>
        <stp/>
        <stp>##V3_BDPV12</stp>
        <stp>912833QZ Govt</stp>
        <stp>CPN_TYP</stp>
        <stp>[STRIPS.xlsx]Sheet1!R379C11</stp>
        <tr r="K379" s="1"/>
      </tp>
      <tp t="s">
        <v>8/1/2005</v>
        <stp/>
        <stp>##V3_BDPV12</stp>
        <stp>9128334D Govt</stp>
        <stp>ISSUE_DT</stp>
        <stp>[STRIPS.xlsx]Sheet1!R488C15</stp>
        <tr r="O488" s="1"/>
      </tp>
      <tp t="s">
        <v>12/15/2014</v>
        <stp/>
        <stp>##V3_BDPV12</stp>
        <stp>912834PD Govt</stp>
        <stp>ISSUE_DT</stp>
        <stp>[STRIPS.xlsx]Sheet1!R478C15</stp>
        <tr r="O478" s="1"/>
      </tp>
      <tp t="s">
        <v>ZERO</v>
        <stp/>
        <stp>##V3_BDPV12</stp>
        <stp>912834QY Govt</stp>
        <stp>CPN_TYP</stp>
        <stp>[STRIPS.xlsx]Sheet1!R134C11</stp>
        <tr r="K134" s="1"/>
      </tp>
      <tp t="s">
        <v>ZERO</v>
        <stp/>
        <stp>##V3_BDPV12</stp>
        <stp>912834QZ Govt</stp>
        <stp>CPN_TYP</stp>
        <stp>[STRIPS.xlsx]Sheet1!R279C11</stp>
        <tr r="K279" s="1"/>
      </tp>
      <tp t="s">
        <v>3/15/2016</v>
        <stp/>
        <stp>##V3_BDPV12</stp>
        <stp>912834QD Govt</stp>
        <stp>ISSUE_DT</stp>
        <stp>[STRIPS.xlsx]Sheet1!R550C15</stp>
        <tr r="O550" s="1"/>
      </tp>
      <tp t="s">
        <v>1/15/2014</v>
        <stp/>
        <stp>##V3_BDPV12</stp>
        <stp>912834ND Govt</stp>
        <stp>ISSUE_DT</stp>
        <stp>[STRIPS.xlsx]Sheet1!R545C15</stp>
        <tr r="O545" s="1"/>
      </tp>
      <tp t="s">
        <v>12/1/1997</v>
        <stp/>
        <stp>##V3_BDPV12</stp>
        <stp>912833QD Govt</stp>
        <stp>ISSUE_DT</stp>
        <stp>[STRIPS.xlsx]Sheet1!R576C15</stp>
        <tr r="O576" s="1"/>
      </tp>
      <tp t="s">
        <v>ZERO</v>
        <stp/>
        <stp>##V3_BDPV12</stp>
        <stp>912833QY Govt</stp>
        <stp>CPN_TYP</stp>
        <stp>[STRIPS.xlsx]Sheet1!R633C11</stp>
        <tr r="K633" s="1"/>
      </tp>
      <tp t="s">
        <v>2/28/2006</v>
        <stp/>
        <stp>##V3_BDPV12</stp>
        <stp>9128335D Govt</stp>
        <stp>ISSUE_DT</stp>
        <stp>[STRIPS.xlsx]Sheet1!R285C15</stp>
        <tr r="O285" s="1"/>
      </tp>
      <tp t="s">
        <v>1/31/2007</v>
        <stp/>
        <stp>##V3_BDPV12</stp>
        <stp>9128337D Govt</stp>
        <stp>ISSUE_DT</stp>
        <stp>[STRIPS.xlsx]Sheet1!R291C15</stp>
        <tr r="O291" s="1"/>
      </tp>
      <tp t="s">
        <v>2/15/1985</v>
        <stp/>
        <stp>##V3_BDPV12</stp>
        <stp>912833CD Govt</stp>
        <stp>ISSUE_DT</stp>
        <stp>[STRIPS.xlsx]Sheet1!R295C15</stp>
        <tr r="O295" s="1"/>
      </tp>
      <tp t="s">
        <v>1/16/2018</v>
        <stp/>
        <stp>##V3_BDPV12</stp>
        <stp>912834TD Govt</stp>
        <stp>ISSUE_DT</stp>
        <stp>[STRIPS.xlsx]Sheet1!R281C15</stp>
        <tr r="O281" s="1"/>
      </tp>
      <tp t="s">
        <v>ZERO</v>
        <stp/>
        <stp>##V3_BDPV12</stp>
        <stp>9128337Q Govt</stp>
        <stp>CPN_TYP</stp>
        <stp>[STRIPS.xlsx]Sheet1!R29C11</stp>
        <tr r="K29" s="1"/>
      </tp>
      <tp t="s">
        <v>ZERO</v>
        <stp/>
        <stp>##V3_BDPV12</stp>
        <stp>9128337P Govt</stp>
        <stp>CPN_TYP</stp>
        <stp>[STRIPS.xlsx]Sheet1!R25C11</stp>
        <tr r="K25" s="1"/>
      </tp>
      <tp t="s">
        <v>ZERO</v>
        <stp/>
        <stp>##V3_BDPV12</stp>
        <stp>9128337U Govt</stp>
        <stp>CPN_TYP</stp>
        <stp>[STRIPS.xlsx]Sheet1!R46C11</stp>
        <tr r="K46" s="1"/>
      </tp>
      <tp t="s">
        <v>ZERO</v>
        <stp/>
        <stp>##V3_BDPV12</stp>
        <stp>9128337S Govt</stp>
        <stp>CPN_TYP</stp>
        <stp>[STRIPS.xlsx]Sheet1!R35C11</stp>
        <tr r="K35" s="1"/>
      </tp>
      <tp t="s">
        <v>ZERO</v>
        <stp/>
        <stp>##V3_BDPV12</stp>
        <stp>9128337W Govt</stp>
        <stp>CPN_TYP</stp>
        <stp>[STRIPS.xlsx]Sheet1!R79C11</stp>
        <tr r="K79" s="1"/>
      </tp>
      <tp t="s">
        <v>ZERO</v>
        <stp/>
        <stp>##V3_BDPV12</stp>
        <stp>9128337E Govt</stp>
        <stp>CPN_TYP</stp>
        <stp>[STRIPS.xlsx]Sheet1!R23C11</stp>
        <tr r="K23" s="1"/>
      </tp>
      <tp t="s">
        <v>ZERO</v>
        <stp/>
        <stp>##V3_BDPV12</stp>
        <stp>9128337N Govt</stp>
        <stp>CPN_TYP</stp>
        <stp>[STRIPS.xlsx]Sheet1!R49C11</stp>
        <tr r="K49" s="1"/>
      </tp>
      <tp t="s">
        <v>ZERO</v>
        <stp/>
        <stp>##V3_BDPV12</stp>
        <stp>9128337F Govt</stp>
        <stp>CPN_TYP</stp>
        <stp>[STRIPS.xlsx]Sheet1!R99C11</stp>
        <tr r="K99" s="1"/>
      </tp>
      <tp t="s">
        <v>2/2/1998</v>
        <stp/>
        <stp>##V3_BDPV12</stp>
        <stp>912833RD Govt</stp>
        <stp>ISSUE_DT</stp>
        <stp>[STRIPS.xlsx]Sheet1!R380C15</stp>
        <tr r="O380" s="1"/>
      </tp>
      <tp t="s">
        <v>6/15/2015</v>
        <stp/>
        <stp>##V3_BDPV12</stp>
        <stp>912834KD Govt</stp>
        <stp>ISSUE_DT</stp>
        <stp>[STRIPS.xlsx]Sheet1!R398C15</stp>
        <tr r="O398" s="1"/>
      </tp>
      <tp t="s">
        <v>11/15/1985</v>
        <stp/>
        <stp>##V3_BDPV12</stp>
        <stp>912833KD Govt</stp>
        <stp>ISSUE_DT</stp>
        <stp>[STRIPS.xlsx]Sheet1!R300C15</stp>
        <tr r="O300" s="1"/>
      </tp>
      <tp t="s">
        <v>10/15/1996</v>
        <stp/>
        <stp>##V3_BDPV12</stp>
        <stp>912833MD Govt</stp>
        <stp>ISSUE_DT</stp>
        <stp>[STRIPS.xlsx]Sheet1!R304C15</stp>
        <tr r="O304" s="1"/>
      </tp>
      <tp t="s">
        <v>9/15/2010</v>
        <stp/>
        <stp>##V3_BDPV12</stp>
        <stp>912834JD Govt</stp>
        <stp>ISSUE_DT</stp>
        <stp>[STRIPS.xlsx]Sheet1!R314C15</stp>
        <tr r="O314" s="1"/>
      </tp>
      <tp t="s">
        <v>11/15/1984</v>
        <stp/>
        <stp>##V3_BDPV12</stp>
        <stp>912833GD Govt</stp>
        <stp>ISSUE_DT</stp>
        <stp>[STRIPS.xlsx]Sheet1!R365C15</stp>
        <tr r="O365" s="1"/>
      </tp>
      <tp t="s">
        <v>ZERO</v>
        <stp/>
        <stp>##V3_BDPV12</stp>
        <stp>9128335B Govt</stp>
        <stp>CPN_TYP</stp>
        <stp>[STRIPS.xlsx]Sheet1!R43C11</stp>
        <tr r="K43" s="1"/>
      </tp>
      <tp t="s">
        <v>ZERO</v>
        <stp/>
        <stp>##V3_BDPV12</stp>
        <stp>9128335A Govt</stp>
        <stp>CPN_TYP</stp>
        <stp>[STRIPS.xlsx]Sheet1!R42C11</stp>
        <tr r="K42" s="1"/>
      </tp>
      <tp t="s">
        <v>ZERO</v>
        <stp/>
        <stp>##V3_BDPV12</stp>
        <stp>912834QX Govt</stp>
        <stp>CPN_TYP</stp>
        <stp>[STRIPS.xlsx]Sheet1!R423C11</stp>
        <tr r="K423" s="1"/>
      </tp>
      <tp t="s">
        <v>12/17/2018</v>
        <stp/>
        <stp>##V3_BDPV12</stp>
        <stp>912834UD Govt</stp>
        <stp>ISSUE_DT</stp>
        <stp>[STRIPS.xlsx]Sheet1!R197C15</stp>
        <tr r="O197" s="1"/>
      </tp>
      <tp t="s">
        <v>8/31/2020</v>
        <stp/>
        <stp>##V3_BDPV12</stp>
        <stp>912834WD Govt</stp>
        <stp>ISSUE_DT</stp>
        <stp>[STRIPS.xlsx]Sheet1!R186C15</stp>
        <tr r="O186" s="1"/>
      </tp>
      <tp t="s">
        <v>5/15/1991</v>
        <stp/>
        <stp>##V3_BDPV12</stp>
        <stp>912833LD Govt</stp>
        <stp>ISSUE_DT</stp>
        <stp>[STRIPS.xlsx]Sheet1!R151C15</stp>
        <tr r="O151" s="1"/>
      </tp>
      <tp t="s">
        <v>ZERO</v>
        <stp/>
        <stp>##V3_BDPV12</stp>
        <stp>9128334W Govt</stp>
        <stp>CPN_TYP</stp>
        <stp>[STRIPS.xlsx]Sheet1!R61C11</stp>
        <tr r="K61" s="1"/>
      </tp>
      <tp t="s">
        <v>ZERO</v>
        <stp/>
        <stp>##V3_BDPV12</stp>
        <stp>9128334V Govt</stp>
        <stp>CPN_TYP</stp>
        <stp>[STRIPS.xlsx]Sheet1!R69C11</stp>
        <tr r="K69" s="1"/>
      </tp>
      <tp t="s">
        <v>ZERO</v>
        <stp/>
        <stp>##V3_BDPV12</stp>
        <stp>9128334T Govt</stp>
        <stp>CPN_TYP</stp>
        <stp>[STRIPS.xlsx]Sheet1!R48C11</stp>
        <tr r="K48" s="1"/>
      </tp>
      <tp t="s">
        <v>ZERO</v>
        <stp/>
        <stp>##V3_BDPV12</stp>
        <stp>9128334Y Govt</stp>
        <stp>CPN_TYP</stp>
        <stp>[STRIPS.xlsx]Sheet1!R67C11</stp>
        <tr r="K67" s="1"/>
      </tp>
      <tp t="s">
        <v>ZERO</v>
        <stp/>
        <stp>##V3_BDPV12</stp>
        <stp>9128334Z Govt</stp>
        <stp>CPN_TYP</stp>
        <stp>[STRIPS.xlsx]Sheet1!R45C11</stp>
        <tr r="K45" s="1"/>
      </tp>
      <tp t="s">
        <v>#N/A Field Not Applicable</v>
        <stp/>
        <stp>##V3_BDPV12</stp>
        <stp>912834TV Govt</stp>
        <stp>FIRST_CPN_DT</stp>
        <stp>[STRIPS.xlsx]Sheet1!R90C9</stp>
        <tr r="I90" s="1"/>
      </tp>
      <tp t="s">
        <v>ZERO</v>
        <stp/>
        <stp>##V3_BDPV12</stp>
        <stp>912833QA Govt</stp>
        <stp>CPN_TYP</stp>
        <stp>[STRIPS.xlsx]Sheet1!R376C11</stp>
        <tr r="K376" s="1"/>
      </tp>
      <tp t="s">
        <v>ZERO</v>
        <stp/>
        <stp>##V3_BDPV12</stp>
        <stp>912834QC Govt</stp>
        <stp>CPN_TYP</stp>
        <stp>[STRIPS.xlsx]Sheet1!R141C11</stp>
        <tr r="K141" s="1"/>
      </tp>
      <tp t="s">
        <v>ZERO</v>
        <stp/>
        <stp>##V3_BDPV12</stp>
        <stp>912833QD Govt</stp>
        <stp>CPN_TYP</stp>
        <stp>[STRIPS.xlsx]Sheet1!R576C11</stp>
        <tr r="K576" s="1"/>
      </tp>
      <tp t="s">
        <v>ZERO</v>
        <stp/>
        <stp>##V3_BDPV12</stp>
        <stp>912834QD Govt</stp>
        <stp>CPN_TYP</stp>
        <stp>[STRIPS.xlsx]Sheet1!R550C11</stp>
        <tr r="K550" s="1"/>
      </tp>
      <tp t="s">
        <v>ZERO</v>
        <stp/>
        <stp>##V3_BDPV12</stp>
        <stp>912833QG Govt</stp>
        <stp>CPN_TYP</stp>
        <stp>[STRIPS.xlsx]Sheet1!R685C11</stp>
        <tr r="K685" s="1"/>
      </tp>
      <tp t="s">
        <v>ZERO</v>
        <stp/>
        <stp>##V3_BDPV12</stp>
        <stp>912833QC Govt</stp>
        <stp>CPN_TYP</stp>
        <stp>[STRIPS.xlsx]Sheet1!R341C11</stp>
        <tr r="K341" s="1"/>
      </tp>
      <tp t="s">
        <v>ZERO</v>
        <stp/>
        <stp>##V3_BDPV12</stp>
        <stp>912833QF Govt</stp>
        <stp>CPN_TYP</stp>
        <stp>[STRIPS.xlsx]Sheet1!R684C11</stp>
        <tr r="K684" s="1"/>
      </tp>
      <tp t="s">
        <v>#N/A Field Not Applicable</v>
        <stp/>
        <stp>##V3_BDPV12</stp>
        <stp>912834HV Govt</stp>
        <stp>FIRST_CPN_DT</stp>
        <stp>[STRIPS.xlsx]Sheet1!R70C9</stp>
        <tr r="I70" s="1"/>
      </tp>
      <tp t="s">
        <v>ZERO</v>
        <stp/>
        <stp>##V3_BDPV12</stp>
        <stp>912833QE Govt</stp>
        <stp>CPN_TYP</stp>
        <stp>[STRIPS.xlsx]Sheet1!R241C11</stp>
        <tr r="K241" s="1"/>
      </tp>
      <tp t="s">
        <v>ZERO</v>
        <stp/>
        <stp>##V3_BDPV12</stp>
        <stp>912834QG Govt</stp>
        <stp>CPN_TYP</stp>
        <stp>[STRIPS.xlsx]Sheet1!R211C11</stp>
        <tr r="K211" s="1"/>
      </tp>
      <tp t="s">
        <v>#N/A Field Not Applicable</v>
        <stp/>
        <stp>##V3_BDPV12</stp>
        <stp>912834MM Govt</stp>
        <stp>FIRST_CPN_DT</stp>
        <stp>[STRIPS.xlsx]Sheet1!R80C9</stp>
        <tr r="I80" s="1"/>
      </tp>
      <tp t="s">
        <v>ZERO</v>
        <stp/>
        <stp>##V3_BDPV12</stp>
        <stp>912834QF Govt</stp>
        <stp>CPN_TYP</stp>
        <stp>[STRIPS.xlsx]Sheet1!R277C11</stp>
        <tr r="K277" s="1"/>
      </tp>
      <tp t="s">
        <v>ZERO</v>
        <stp/>
        <stp>##V3_BDPV12</stp>
        <stp>912834QE Govt</stp>
        <stp>CPN_TYP</stp>
        <stp>[STRIPS.xlsx]Sheet1!R149C11</stp>
        <tr r="K149" s="1"/>
      </tp>
      <tp t="s">
        <v>#N/A Field Not Applicable</v>
        <stp/>
        <stp>##V3_BDPV12</stp>
        <stp>912833LM Govt</stp>
        <stp>FIRST_CPN_DT</stp>
        <stp>[STRIPS.xlsx]Sheet1!R17C9</stp>
        <tr r="I17" s="1"/>
      </tp>
      <tp t="s">
        <v>#N/A Field Not Applicable</v>
        <stp/>
        <stp>##V3_BDPV12</stp>
        <stp>912833LS Govt</stp>
        <stp>FIRST_CPN_DT</stp>
        <stp>[STRIPS.xlsx]Sheet1!R37C9</stp>
        <tr r="I37" s="1"/>
      </tp>
      <tp t="s">
        <v>ZERO</v>
        <stp/>
        <stp>##V3_BDPV12</stp>
        <stp>912833QN Govt</stp>
        <stp>CPN_TYP</stp>
        <stp>[STRIPS.xlsx]Sheet1!R577C11</stp>
        <tr r="K577" s="1"/>
      </tp>
      <tp t="s">
        <v>ZERO</v>
        <stp/>
        <stp>##V3_BDPV12</stp>
        <stp>912833QL Govt</stp>
        <stp>CPN_TYP</stp>
        <stp>[STRIPS.xlsx]Sheet1!R631C11</stp>
        <tr r="K631" s="1"/>
      </tp>
      <tp t="s">
        <v>ZERO</v>
        <stp/>
        <stp>##V3_BDPV12</stp>
        <stp>912834QM Govt</stp>
        <stp>CPN_TYP</stp>
        <stp>[STRIPS.xlsx]Sheet1!R413C11</stp>
        <tr r="K413" s="1"/>
      </tp>
      <tp t="s">
        <v>ZERO</v>
        <stp/>
        <stp>##V3_BDPV12</stp>
        <stp>912834QK Govt</stp>
        <stp>CPN_TYP</stp>
        <stp>[STRIPS.xlsx]Sheet1!R278C11</stp>
        <tr r="K278" s="1"/>
      </tp>
      <tp t="s">
        <v>ZERO</v>
        <stp/>
        <stp>##V3_BDPV12</stp>
        <stp>912833QM Govt</stp>
        <stp>CPN_TYP</stp>
        <stp>[STRIPS.xlsx]Sheet1!R520C11</stp>
        <tr r="K520" s="1"/>
      </tp>
      <tp t="s">
        <v>ZERO</v>
        <stp/>
        <stp>##V3_BDPV12</stp>
        <stp>912834QJ Govt</stp>
        <stp>CPN_TYP</stp>
        <stp>[STRIPS.xlsx]Sheet1!R213C11</stp>
        <tr r="K213" s="1"/>
      </tp>
      <tp t="s">
        <v>ZERO</v>
        <stp/>
        <stp>##V3_BDPV12</stp>
        <stp>912834QN Govt</stp>
        <stp>CPN_TYP</stp>
        <stp>[STRIPS.xlsx]Sheet1!R179C11</stp>
        <tr r="K179" s="1"/>
      </tp>
      <tp t="s">
        <v>ZERO</v>
        <stp/>
        <stp>##V3_BDPV12</stp>
        <stp>912833QH Govt</stp>
        <stp>CPN_TYP</stp>
        <stp>[STRIPS.xlsx]Sheet1!R630C11</stp>
        <tr r="K630" s="1"/>
      </tp>
      <tp t="s">
        <v>ZERO</v>
        <stp/>
        <stp>##V3_BDPV12</stp>
        <stp>912833QK Govt</stp>
        <stp>CPN_TYP</stp>
        <stp>[STRIPS.xlsx]Sheet1!R519C11</stp>
        <tr r="K519" s="1"/>
      </tp>
      <tp t="s">
        <v>ZERO</v>
        <stp/>
        <stp>##V3_BDPV12</stp>
        <stp>912834QL Govt</stp>
        <stp>CPN_TYP</stp>
        <stp>[STRIPS.xlsx]Sheet1!R142C11</stp>
        <tr r="K142" s="1"/>
      </tp>
      <tp t="s">
        <v>ZERO</v>
        <stp/>
        <stp>##V3_BDPV12</stp>
        <stp>912833QJ Govt</stp>
        <stp>CPN_TYP</stp>
        <stp>[STRIPS.xlsx]Sheet1!R686C11</stp>
        <tr r="K686" s="1"/>
      </tp>
      <tp t="s">
        <v>S 0 05/15/31</v>
        <stp/>
        <stp>##V3_BDPV12</stp>
        <stp>9128337P Govt</stp>
        <stp>SECURITY_NAME</stp>
        <stp>[STRIPS.xlsx]Sheet1!R25C16</stp>
        <tr r="P25" s="1"/>
      </tp>
      <tp t="s">
        <v>S 0 11/15/23</v>
        <stp/>
        <stp>##V3_BDPV12</stp>
        <stp>912833LP Govt</stp>
        <stp>SECURITY_NAME</stp>
        <stp>[STRIPS.xlsx]Sheet1!R12C16</stp>
        <tr r="P12" s="1"/>
      </tp>
      <tp t="s">
        <v>S 0 08/15/39</v>
        <stp/>
        <stp>##V3_BDPV12</stp>
        <stp>912834EP Govt</stp>
        <stp>SECURITY_NAME</stp>
        <stp>[STRIPS.xlsx]Sheet1!R77C16</stp>
        <tr r="P77" s="1"/>
      </tp>
      <tp t="s">
        <v>S 0 08/15/29</v>
        <stp/>
        <stp>##V3_BDPV12</stp>
        <stp>912833XP Govt</stp>
        <stp>SECURITY_NAME</stp>
        <stp>[STRIPS.xlsx]Sheet1!R44C16</stp>
        <tr r="P44" s="1"/>
      </tp>
      <tp t="s">
        <v>S 0 02/15/41</v>
        <stp/>
        <stp>##V3_BDPV12</stp>
        <stp>912834JP Govt</stp>
        <stp>SECURITY_NAME</stp>
        <stp>[STRIPS.xlsx]Sheet1!R34C16</stp>
        <tr r="P34" s="1"/>
      </tp>
      <tp t="s">
        <v>#N/A Field Not Applicable</v>
        <stp/>
        <stp>##V3_BDPV12</stp>
        <stp>9128333X Govt</stp>
        <stp>FIRST_CPN_DT</stp>
        <stp>[STRIPS.xlsx]Sheet1!R601C9</stp>
        <tr r="I601" s="1"/>
      </tp>
      <tp t="s">
        <v>#N/A Field Not Applicable</v>
        <stp/>
        <stp>##V3_BDPV12</stp>
        <stp>9128335X Govt</stp>
        <stp>FIRST_CPN_DT</stp>
        <stp>[STRIPS.xlsx]Sheet1!R747C9</stp>
        <tr r="I747" s="1"/>
      </tp>
      <tp t="s">
        <v>#N/A Field Not Applicable</v>
        <stp/>
        <stp>##V3_BDPV12</stp>
        <stp>9128336T Govt</stp>
        <stp>FIRST_CPN_DT</stp>
        <stp>[STRIPS.xlsx]Sheet1!R714C9</stp>
        <tr r="I714" s="1"/>
      </tp>
      <tp t="s">
        <v>#N/A Field Not Applicable</v>
        <stp/>
        <stp>##V3_BDPV12</stp>
        <stp>9128335L Govt</stp>
        <stp>FIRST_CPN_DT</stp>
        <stp>[STRIPS.xlsx]Sheet1!R287C9</stp>
        <tr r="I287" s="1"/>
      </tp>
      <tp t="s">
        <v>#N/A Field Not Applicable</v>
        <stp/>
        <stp>##V3_BDPV12</stp>
        <stp>9128332A Govt</stp>
        <stp>FIRST_CPN_DT</stp>
        <stp>[STRIPS.xlsx]Sheet1!R700C9</stp>
        <tr r="I700" s="1"/>
      </tp>
      <tp t="s">
        <v>USD</v>
        <stp/>
        <stp>##V3_BDPV12</stp>
        <stp>912833A3 Govt</stp>
        <stp>CRNCY</stp>
        <stp>[STRIPS.xlsx]Sheet1!R731C7</stp>
        <tr r="G731" s="1"/>
      </tp>
      <tp t="s">
        <v>#N/A Field Not Applicable</v>
        <stp/>
        <stp>##V3_BDPV12</stp>
        <stp>9128336G Govt</stp>
        <stp>FIRST_CPN_DT</stp>
        <stp>[STRIPS.xlsx]Sheet1!R494C9</stp>
        <tr r="I494" s="1"/>
      </tp>
      <tp t="s">
        <v>UNITED STATES</v>
        <stp/>
        <stp>##V3_BDPV12</stp>
        <stp>912834UQ Govt</stp>
        <stp>COUNTRY_FULL_NAME</stp>
        <stp>[STRIPS.xlsx]Sheet1!R97C8</stp>
        <tr r="H97" s="1"/>
      </tp>
      <tp t="s">
        <v>#N/A Field Not Applicable</v>
        <stp/>
        <stp>##V3_BDPV12</stp>
        <stp>9128337U Govt</stp>
        <stp>FIRST_CPN_DT</stp>
        <stp>[STRIPS.xlsx]Sheet1!R46C9</stp>
        <tr r="I46" s="1"/>
      </tp>
      <tp t="s">
        <v>ZERO</v>
        <stp/>
        <stp>##V3_BDPV12</stp>
        <stp>912833PP Govt</stp>
        <stp>CPN_TYP</stp>
        <stp>[STRIPS.xlsx]Sheet1!R337C11</stp>
        <tr r="K337" s="1"/>
      </tp>
      <tp t="s">
        <v>ZERO</v>
        <stp/>
        <stp>##V3_BDPV12</stp>
        <stp>912833PU Govt</stp>
        <stp>CPN_TYP</stp>
        <stp>[STRIPS.xlsx]Sheet1!R683C11</stp>
        <tr r="K683" s="1"/>
      </tp>
      <tp t="s">
        <v>ZERO</v>
        <stp/>
        <stp>##V3_BDPV12</stp>
        <stp>912834PV Govt</stp>
        <stp>CPN_TYP</stp>
        <stp>[STRIPS.xlsx]Sheet1!R479C11</stp>
        <tr r="K479" s="1"/>
      </tp>
      <tp t="s">
        <v>ZERO</v>
        <stp/>
        <stp>##V3_BDPV12</stp>
        <stp>912834PP Govt</stp>
        <stp>CPN_TYP</stp>
        <stp>[STRIPS.xlsx]Sheet1!R276C11</stp>
        <tr r="K276" s="1"/>
      </tp>
      <tp t="s">
        <v>ZERO</v>
        <stp/>
        <stp>##V3_BDPV12</stp>
        <stp>912834PS Govt</stp>
        <stp>CPN_TYP</stp>
        <stp>[STRIPS.xlsx]Sheet1!R209C11</stp>
        <tr r="K209" s="1"/>
      </tp>
      <tp t="s">
        <v>ZERO</v>
        <stp/>
        <stp>##V3_BDPV12</stp>
        <stp>912833PR Govt</stp>
        <stp>CPN_TYP</stp>
        <stp>[STRIPS.xlsx]Sheet1!R375C11</stp>
        <tr r="K375" s="1"/>
      </tp>
      <tp t="s">
        <v>ZERO</v>
        <stp/>
        <stp>##V3_BDPV12</stp>
        <stp>912833PT Govt</stp>
        <stp>CPN_TYP</stp>
        <stp>[STRIPS.xlsx]Sheet1!R575C11</stp>
        <tr r="K575" s="1"/>
      </tp>
      <tp t="s">
        <v>#N/A Field Not Applicable</v>
        <stp/>
        <stp>##V3_BDPV12</stp>
        <stp>912833X8 Govt</stp>
        <stp>FIRST_CPN_DT</stp>
        <stp>[STRIPS.xlsx]Sheet1!R66C9</stp>
        <tr r="I66" s="1"/>
      </tp>
      <tp t="s">
        <v>ZERO</v>
        <stp/>
        <stp>##V3_BDPV12</stp>
        <stp>912834PQ Govt</stp>
        <stp>CPN_TYP</stp>
        <stp>[STRIPS.xlsx]Sheet1!R140C11</stp>
        <tr r="K140" s="1"/>
      </tp>
      <tp t="s">
        <v>ZERO</v>
        <stp/>
        <stp>##V3_BDPV12</stp>
        <stp>912834PU Govt</stp>
        <stp>CPN_TYP</stp>
        <stp>[STRIPS.xlsx]Sheet1!R212C11</stp>
        <tr r="K212" s="1"/>
      </tp>
      <tp t="s">
        <v>ZERO</v>
        <stp/>
        <stp>##V3_BDPV12</stp>
        <stp>912834PR Govt</stp>
        <stp>CPN_TYP</stp>
        <stp>[STRIPS.xlsx]Sheet1!R549C11</stp>
        <tr r="K549" s="1"/>
      </tp>
      <tp t="s">
        <v>ZERO</v>
        <stp/>
        <stp>##V3_BDPV12</stp>
        <stp>912833PQ Govt</stp>
        <stp>CPN_TYP</stp>
        <stp>[STRIPS.xlsx]Sheet1!R682C11</stp>
        <tr r="K682" s="1"/>
      </tp>
      <tp t="s">
        <v>ZERO</v>
        <stp/>
        <stp>##V3_BDPV12</stp>
        <stp>912833PS Govt</stp>
        <stp>CPN_TYP</stp>
        <stp>[STRIPS.xlsx]Sheet1!R574C11</stp>
        <tr r="K574" s="1"/>
      </tp>
      <tp t="s">
        <v>ZERO</v>
        <stp/>
        <stp>##V3_BDPV12</stp>
        <stp>912834PW Govt</stp>
        <stp>CPN_TYP</stp>
        <stp>[STRIPS.xlsx]Sheet1!R154C11</stp>
        <tr r="K154" s="1"/>
      </tp>
      <tp t="s">
        <v>ZERO</v>
        <stp/>
        <stp>##V3_BDPV12</stp>
        <stp>912833PV Govt</stp>
        <stp>CPN_TYP</stp>
        <stp>[STRIPS.xlsx]Sheet1!R338C11</stp>
        <tr r="K338" s="1"/>
      </tp>
      <tp t="s">
        <v>ZERO</v>
        <stp/>
        <stp>##V3_BDPV12</stp>
        <stp>912833PW Govt</stp>
        <stp>CPN_TYP</stp>
        <stp>[STRIPS.xlsx]Sheet1!R239C11</stp>
        <tr r="K239" s="1"/>
      </tp>
      <tp t="s">
        <v>ZERO</v>
        <stp/>
        <stp>##V3_BDPV12</stp>
        <stp>912834PT Govt</stp>
        <stp>CPN_TYP</stp>
        <stp>[STRIPS.xlsx]Sheet1!R106C11</stp>
        <tr r="K106" s="1"/>
      </tp>
      <tp t="s">
        <v>ZERO</v>
        <stp/>
        <stp>##V3_BDPV12</stp>
        <stp>912834PZ Govt</stp>
        <stp>CPN_TYP</stp>
        <stp>[STRIPS.xlsx]Sheet1!R126C11</stp>
        <tr r="K126" s="1"/>
      </tp>
      <tp t="s">
        <v>ZERO</v>
        <stp/>
        <stp>##V3_BDPV12</stp>
        <stp>912833PX Govt</stp>
        <stp>CPN_TYP</stp>
        <stp>[STRIPS.xlsx]Sheet1!R339C11</stp>
        <tr r="K339" s="1"/>
      </tp>
      <tp t="s">
        <v>ZERO</v>
        <stp/>
        <stp>##V3_BDPV12</stp>
        <stp>912834PY Govt</stp>
        <stp>CPN_TYP</stp>
        <stp>[STRIPS.xlsx]Sheet1!R202C11</stp>
        <tr r="K202" s="1"/>
      </tp>
      <tp t="s">
        <v>2/2/1998</v>
        <stp/>
        <stp>##V3_BDPV12</stp>
        <stp>912833RE Govt</stp>
        <stp>ISSUE_DT</stp>
        <stp>[STRIPS.xlsx]Sheet1!R691C15</stp>
        <tr r="O691" s="1"/>
      </tp>
      <tp t="s">
        <v>9/30/2010</v>
        <stp/>
        <stp>##V3_BDPV12</stp>
        <stp>912834JE Govt</stp>
        <stp>ISSUE_DT</stp>
        <stp>[STRIPS.xlsx]Sheet1!R646C15</stp>
        <tr r="O646" s="1"/>
      </tp>
      <tp t="s">
        <v>11/15/1985</v>
        <stp/>
        <stp>##V3_BDPV12</stp>
        <stp>912833KE Govt</stp>
        <stp>ISSUE_DT</stp>
        <stp>[STRIPS.xlsx]Sheet1!R670C15</stp>
        <tr r="O670" s="1"/>
      </tp>
      <tp t="s">
        <v>ZERO</v>
        <stp/>
        <stp>##V3_BDPV12</stp>
        <stp>912833PY Govt</stp>
        <stp>CPN_TYP</stp>
        <stp>[STRIPS.xlsx]Sheet1!R340C11</stp>
        <tr r="K340" s="1"/>
      </tp>
      <tp t="s">
        <v>8/31/2005</v>
        <stp/>
        <stp>##V3_BDPV12</stp>
        <stp>9128334E Govt</stp>
        <stp>ISSUE_DT</stp>
        <stp>[STRIPS.xlsx]Sheet1!R708C15</stp>
        <tr r="O708" s="1"/>
      </tp>
      <tp t="s">
        <v>5/31/2006</v>
        <stp/>
        <stp>##V3_BDPV12</stp>
        <stp>9128336E Govt</stp>
        <stp>ISSUE_DT</stp>
        <stp>[STRIPS.xlsx]Sheet1!R728C15</stp>
        <tr r="O728" s="1"/>
      </tp>
      <tp t="s">
        <v>2/28/2006</v>
        <stp/>
        <stp>##V3_BDPV12</stp>
        <stp>9128335E Govt</stp>
        <stp>ISSUE_DT</stp>
        <stp>[STRIPS.xlsx]Sheet1!R745C15</stp>
        <tr r="O745" s="1"/>
      </tp>
      <tp t="s">
        <v>#N/A Field Not Applicable</v>
        <stp/>
        <stp>##V3_BDPV12</stp>
        <stp>912833RZ Govt</stp>
        <stp>FIRST_CPN_DT</stp>
        <stp>[STRIPS.xlsx]Sheet1!R26C9</stp>
        <tr r="I26" s="1"/>
      </tp>
      <tp t="s">
        <v>2/29/2012</v>
        <stp/>
        <stp>##V3_BDPV12</stp>
        <stp>912834LE Govt</stp>
        <stp>ISSUE_DT</stp>
        <stp>[STRIPS.xlsx]Sheet1!R473C15</stp>
        <tr r="O473" s="1"/>
      </tp>
      <tp t="s">
        <v>2/15/1985</v>
        <stp/>
        <stp>##V3_BDPV12</stp>
        <stp>912833CE Govt</stp>
        <stp>ISSUE_DT</stp>
        <stp>[STRIPS.xlsx]Sheet1!R437C15</stp>
        <tr r="O437" s="1"/>
      </tp>
      <tp t="s">
        <v>11/15/1984</v>
        <stp/>
        <stp>##V3_BDPV12</stp>
        <stp>912833GE Govt</stp>
        <stp>ISSUE_DT</stp>
        <stp>[STRIPS.xlsx]Sheet1!R441C15</stp>
        <tr r="O441" s="1"/>
      </tp>
      <tp t="s">
        <v>ZERO</v>
        <stp/>
        <stp>##V3_BDPV12</stp>
        <stp>912833PZ Govt</stp>
        <stp>CPN_TYP</stp>
        <stp>[STRIPS.xlsx]Sheet1!R240C11</stp>
        <tr r="K240" s="1"/>
      </tp>
      <tp t="s">
        <v>4/30/2004</v>
        <stp/>
        <stp>##V3_BDPV12</stp>
        <stp>9128332E Govt</stp>
        <stp>ISSUE_DT</stp>
        <stp>[STRIPS.xlsx]Sheet1!R597C15</stp>
        <tr r="O597" s="1"/>
      </tp>
      <tp t="s">
        <v>2/15/1985</v>
        <stp/>
        <stp>##V3_BDPV12</stp>
        <stp>912833DE Govt</stp>
        <stp>ISSUE_DT</stp>
        <stp>[STRIPS.xlsx]Sheet1!R505C15</stp>
        <tr r="O505" s="1"/>
      </tp>
      <tp t="s">
        <v>1/31/2014</v>
        <stp/>
        <stp>##V3_BDPV12</stp>
        <stp>912834NE Govt</stp>
        <stp>ISSUE_DT</stp>
        <stp>[STRIPS.xlsx]Sheet1!R546C15</stp>
        <tr r="O546" s="1"/>
      </tp>
      <tp t="s">
        <v>3/31/2009</v>
        <stp/>
        <stp>##V3_BDPV12</stp>
        <stp>912834BE Govt</stp>
        <stp>ISSUE_DT</stp>
        <stp>[STRIPS.xlsx]Sheet1!R530C15</stp>
        <tr r="O530" s="1"/>
      </tp>
      <tp t="s">
        <v>6/30/2009</v>
        <stp/>
        <stp>##V3_BDPV12</stp>
        <stp>912834EE Govt</stp>
        <stp>ISSUE_DT</stp>
        <stp>[STRIPS.xlsx]Sheet1!R532C15</stp>
        <tr r="O532" s="1"/>
      </tp>
      <tp t="s">
        <v>7/15/1996</v>
        <stp/>
        <stp>##V3_BDPV12</stp>
        <stp>912833ME Govt</stp>
        <stp>ISSUE_DT</stp>
        <stp>[STRIPS.xlsx]Sheet1!R567C15</stp>
        <tr r="O567" s="1"/>
      </tp>
      <tp t="s">
        <v>7/15/1996</v>
        <stp/>
        <stp>##V3_BDPV12</stp>
        <stp>912833NE Govt</stp>
        <stp>ISSUE_DT</stp>
        <stp>[STRIPS.xlsx]Sheet1!R571C15</stp>
        <tr r="O571" s="1"/>
      </tp>
      <tp t="s">
        <v>#N/A Field Not Applicable</v>
        <stp/>
        <stp>##V3_BDPV12</stp>
        <stp>912834PH Govt</stp>
        <stp>FIRST_CPN_DT</stp>
        <stp>[STRIPS.xlsx]Sheet1!R91C9</stp>
        <tr r="I91" s="1"/>
      </tp>
      <tp t="s">
        <v>12/1/1997</v>
        <stp/>
        <stp>##V3_BDPV12</stp>
        <stp>912833QE Govt</stp>
        <stp>ISSUE_DT</stp>
        <stp>[STRIPS.xlsx]Sheet1!R241C15</stp>
        <tr r="O241" s="1"/>
      </tp>
      <tp t="s">
        <v>2/28/2003</v>
        <stp/>
        <stp>##V3_BDPV12</stp>
        <stp>912833ZE Govt</stp>
        <stp>ISSUE_DT</stp>
        <stp>[STRIPS.xlsx]Sheet1!R252C15</stp>
        <tr r="O252" s="1"/>
      </tp>
      <tp t="s">
        <v>9/15/2020</v>
        <stp/>
        <stp>##V3_BDPV12</stp>
        <stp>912834WE Govt</stp>
        <stp>ISSUE_DT</stp>
        <stp>[STRIPS.xlsx]Sheet1!R223C15</stp>
        <tr r="O223" s="1"/>
      </tp>
      <tp t="s">
        <v>12/31/2018</v>
        <stp/>
        <stp>##V3_BDPV12</stp>
        <stp>912834UE Govt</stp>
        <stp>ISSUE_DT</stp>
        <stp>[STRIPS.xlsx]Sheet1!R207C15</stp>
        <tr r="O207" s="1"/>
      </tp>
      <tp t="s">
        <v>3/31/2011</v>
        <stp/>
        <stp>##V3_BDPV12</stp>
        <stp>912834KE Govt</stp>
        <stp>ISSUE_DT</stp>
        <stp>[STRIPS.xlsx]Sheet1!R316C15</stp>
        <tr r="O316" s="1"/>
      </tp>
      <tp t="s">
        <v>#N/A Field Not Applicable</v>
        <stp/>
        <stp>##V3_BDPV12</stp>
        <stp>912834VM Govt</stp>
        <stp>FIRST_CPN_DT</stp>
        <stp>[STRIPS.xlsx]Sheet1!R81C9</stp>
        <tr r="I81" s="1"/>
      </tp>
      <tp t="s">
        <v>#N/A Field Not Applicable</v>
        <stp/>
        <stp>##V3_BDPV12</stp>
        <stp>912834VV Govt</stp>
        <stp>FIRST_CPN_DT</stp>
        <stp>[STRIPS.xlsx]Sheet1!R51C9</stp>
        <tr r="I51" s="1"/>
      </tp>
      <tp t="s">
        <v>ZERO</v>
        <stp/>
        <stp>##V3_BDPV12</stp>
        <stp>912834PX Govt</stp>
        <stp>CPN_TYP</stp>
        <stp>[STRIPS.xlsx]Sheet1!R412C11</stp>
        <tr r="K412" s="1"/>
      </tp>
      <tp t="s">
        <v>2/28/2017</v>
        <stp/>
        <stp>##V3_BDPV12</stp>
        <stp>912834RE Govt</stp>
        <stp>ISSUE_DT</stp>
        <stp>[STRIPS.xlsx]Sheet1!R168C15</stp>
        <tr r="O168" s="1"/>
      </tp>
      <tp t="s">
        <v>1/31/2018</v>
        <stp/>
        <stp>##V3_BDPV12</stp>
        <stp>912834TE Govt</stp>
        <stp>ISSUE_DT</stp>
        <stp>[STRIPS.xlsx]Sheet1!R155C15</stp>
        <tr r="O155" s="1"/>
      </tp>
      <tp t="s">
        <v>3/31/2016</v>
        <stp/>
        <stp>##V3_BDPV12</stp>
        <stp>912834QE Govt</stp>
        <stp>ISSUE_DT</stp>
        <stp>[STRIPS.xlsx]Sheet1!R149C15</stp>
        <tr r="O149" s="1"/>
      </tp>
      <tp t="s">
        <v>12/31/2014</v>
        <stp/>
        <stp>##V3_BDPV12</stp>
        <stp>912834PE Govt</stp>
        <stp>ISSUE_DT</stp>
        <stp>[STRIPS.xlsx]Sheet1!R132C15</stp>
        <tr r="O132" s="1"/>
      </tp>
      <tp t="s">
        <v>8/15/1991</v>
        <stp/>
        <stp>##V3_BDPV12</stp>
        <stp>912833LE Govt</stp>
        <stp>ISSUE_DT</stp>
        <stp>[STRIPS.xlsx]Sheet1!R153C15</stp>
        <tr r="O153" s="1"/>
      </tp>
      <tp t="s">
        <v>11/15/2019</v>
        <stp/>
        <stp>##V3_BDPV12</stp>
        <stp>912834VE Govt</stp>
        <stp>ISSUE_DT</stp>
        <stp>[STRIPS.xlsx]Sheet1!R116C15</stp>
        <tr r="O116" s="1"/>
      </tp>
      <tp t="s">
        <v>8/15/2008</v>
        <stp/>
        <stp>##V3_BDPV12</stp>
        <stp>912834AE Govt</stp>
        <stp>ISSUE_DT</stp>
        <stp>[STRIPS.xlsx]Sheet1!R118C15</stp>
        <tr r="O118" s="1"/>
      </tp>
      <tp t="s">
        <v>ZERO</v>
        <stp/>
        <stp>##V3_BDPV12</stp>
        <stp>912834PB Govt</stp>
        <stp>CPN_TYP</stp>
        <stp>[STRIPS.xlsx]Sheet1!R109C11</stp>
        <tr r="K109" s="1"/>
      </tp>
      <tp t="s">
        <v>ZERO</v>
        <stp/>
        <stp>##V3_BDPV12</stp>
        <stp>912834PF Govt</stp>
        <stp>CPN_TYP</stp>
        <stp>[STRIPS.xlsx]Sheet1!R411C11</stp>
        <tr r="K411" s="1"/>
      </tp>
      <tp t="s">
        <v>ZERO</v>
        <stp/>
        <stp>##V3_BDPV12</stp>
        <stp>912834PC Govt</stp>
        <stp>CPN_TYP</stp>
        <stp>[STRIPS.xlsx]Sheet1!R148C11</stp>
        <tr r="K148" s="1"/>
      </tp>
      <tp t="s">
        <v>ZERO</v>
        <stp/>
        <stp>##V3_BDPV12</stp>
        <stp>912833PG Govt</stp>
        <stp>CPN_TYP</stp>
        <stp>[STRIPS.xlsx]Sheet1!R679C11</stp>
        <tr r="K679" s="1"/>
      </tp>
      <tp t="s">
        <v>ZERO</v>
        <stp/>
        <stp>##V3_BDPV12</stp>
        <stp>912834PA Govt</stp>
        <stp>CPN_TYP</stp>
        <stp>[STRIPS.xlsx]Sheet1!R123C11</stp>
        <tr r="K123" s="1"/>
      </tp>
      <tp t="s">
        <v>ZERO</v>
        <stp/>
        <stp>##V3_BDPV12</stp>
        <stp>912833PF Govt</stp>
        <stp>CPN_TYP</stp>
        <stp>[STRIPS.xlsx]Sheet1!R678C11</stp>
        <tr r="K678" s="1"/>
      </tp>
      <tp t="s">
        <v>ZERO</v>
        <stp/>
        <stp>##V3_BDPV12</stp>
        <stp>912834PD Govt</stp>
        <stp>CPN_TYP</stp>
        <stp>[STRIPS.xlsx]Sheet1!R478C11</stp>
        <tr r="K478" s="1"/>
      </tp>
      <tp t="s">
        <v>#N/A Field Not Applicable</v>
        <stp/>
        <stp>##V3_BDPV12</stp>
        <stp>912834MT Govt</stp>
        <stp>FIRST_CPN_DT</stp>
        <stp>[STRIPS.xlsx]Sheet1!R41C9</stp>
        <tr r="I41" s="1"/>
      </tp>
      <tp t="s">
        <v>#N/A Field Not Applicable</v>
        <stp/>
        <stp>##V3_BDPV12</stp>
        <stp>912834MZ Govt</stp>
        <stp>FIRST_CPN_DT</stp>
        <stp>[STRIPS.xlsx]Sheet1!R71C9</stp>
        <tr r="I71" s="1"/>
      </tp>
      <tp t="s">
        <v>ZERO</v>
        <stp/>
        <stp>##V3_BDPV12</stp>
        <stp>912834PE Govt</stp>
        <stp>CPN_TYP</stp>
        <stp>[STRIPS.xlsx]Sheet1!R132C11</stp>
        <tr r="K132" s="1"/>
      </tp>
      <tp t="s">
        <v>#N/A Field Not Applicable</v>
        <stp/>
        <stp>##V3_BDPV12</stp>
        <stp>912833LL Govt</stp>
        <stp>FIRST_CPN_DT</stp>
        <stp>[STRIPS.xlsx]Sheet1!R36C9</stp>
        <tr r="I36" s="1"/>
      </tp>
      <tp t="s">
        <v>#N/A Field Not Applicable</v>
        <stp/>
        <stp>##V3_BDPV12</stp>
        <stp>912833LY Govt</stp>
        <stp>FIRST_CPN_DT</stp>
        <stp>[STRIPS.xlsx]Sheet1!R16C9</stp>
        <tr r="I16" s="1"/>
      </tp>
      <tp t="s">
        <v>ZERO</v>
        <stp/>
        <stp>##V3_BDPV12</stp>
        <stp>912833PH Govt</stp>
        <stp>CPN_TYP</stp>
        <stp>[STRIPS.xlsx]Sheet1!R336C11</stp>
        <tr r="K336" s="1"/>
      </tp>
      <tp t="s">
        <v>ZERO</v>
        <stp/>
        <stp>##V3_BDPV12</stp>
        <stp>912834PJ Govt</stp>
        <stp>CPN_TYP</stp>
        <stp>[STRIPS.xlsx]Sheet1!R144C11</stp>
        <tr r="K144" s="1"/>
      </tp>
      <tp t="s">
        <v>ZERO</v>
        <stp/>
        <stp>##V3_BDPV12</stp>
        <stp>912834PK Govt</stp>
        <stp>CPN_TYP</stp>
        <stp>[STRIPS.xlsx]Sheet1!R329C11</stp>
        <tr r="K329" s="1"/>
      </tp>
      <tp t="s">
        <v>ZERO</v>
        <stp/>
        <stp>##V3_BDPV12</stp>
        <stp>912833PN Govt</stp>
        <stp>CPN_TYP</stp>
        <stp>[STRIPS.xlsx]Sheet1!R681C11</stp>
        <tr r="K681" s="1"/>
      </tp>
      <tp t="s">
        <v>ZERO</v>
        <stp/>
        <stp>##V3_BDPV12</stp>
        <stp>912833PM Govt</stp>
        <stp>CPN_TYP</stp>
        <stp>[STRIPS.xlsx]Sheet1!R238C11</stp>
        <tr r="K238" s="1"/>
      </tp>
      <tp t="s">
        <v>ZERO</v>
        <stp/>
        <stp>##V3_BDPV12</stp>
        <stp>912834PN Govt</stp>
        <stp>CPN_TYP</stp>
        <stp>[STRIPS.xlsx]Sheet1!R164C11</stp>
        <tr r="K164" s="1"/>
      </tp>
      <tp t="s">
        <v>ZERO</v>
        <stp/>
        <stp>##V3_BDPV12</stp>
        <stp>912833PL Govt</stp>
        <stp>CPN_TYP</stp>
        <stp>[STRIPS.xlsx]Sheet1!R374C11</stp>
        <tr r="K374" s="1"/>
      </tp>
      <tp t="s">
        <v>ZERO</v>
        <stp/>
        <stp>##V3_BDPV12</stp>
        <stp>912833PK Govt</stp>
        <stp>CPN_TYP</stp>
        <stp>[STRIPS.xlsx]Sheet1!R573C11</stp>
        <tr r="K573" s="1"/>
      </tp>
      <tp t="s">
        <v>ZERO</v>
        <stp/>
        <stp>##V3_BDPV12</stp>
        <stp>912834PL Govt</stp>
        <stp>CPN_TYP</stp>
        <stp>[STRIPS.xlsx]Sheet1!R128C11</stp>
        <tr r="K128" s="1"/>
      </tp>
      <tp t="s">
        <v>ZERO</v>
        <stp/>
        <stp>##V3_BDPV12</stp>
        <stp>912833PJ Govt</stp>
        <stp>CPN_TYP</stp>
        <stp>[STRIPS.xlsx]Sheet1!R680C11</stp>
        <tr r="K680" s="1"/>
      </tp>
      <tp t="s">
        <v>#N/A Field Not Applicable</v>
        <stp/>
        <stp>##V3_BDPV12</stp>
        <stp>912834NF Govt</stp>
        <stp>COUPON_FREQUENCY_DESCRIPTION</stp>
        <stp>[STRIPS.xlsx]Sheet1!R58C10</stp>
        <tr r="J58" s="1"/>
      </tp>
      <tp t="s">
        <v>S 0 04/30/26</v>
        <stp/>
        <stp>##V3_BDPV12</stp>
        <stp>912834UQ Govt</stp>
        <stp>SECURITY_NAME</stp>
        <stp>[STRIPS.xlsx]Sheet1!R97C16</stp>
        <tr r="P97" s="1"/>
      </tp>
      <tp t="s">
        <v>S 0 02/15/24</v>
        <stp/>
        <stp>##V3_BDPV12</stp>
        <stp>912833LQ Govt</stp>
        <stp>SECURITY_NAME</stp>
        <stp>[STRIPS.xlsx]Sheet1!R38C16</stp>
        <tr r="P38" s="1"/>
      </tp>
      <tp t="s">
        <v>S 0 05/15/28</v>
        <stp/>
        <stp>##V3_BDPV12</stp>
        <stp>912833WQ Govt</stp>
        <stp>SECURITY_NAME</stp>
        <stp>[STRIPS.xlsx]Sheet1!R24C16</stp>
        <tr r="P24" s="1"/>
      </tp>
      <tp t="s">
        <v>S 0 11/15/31</v>
        <stp/>
        <stp>##V3_BDPV12</stp>
        <stp>9128337Q Govt</stp>
        <stp>SECURITY_NAME</stp>
        <stp>[STRIPS.xlsx]Sheet1!R29C16</stp>
        <tr r="P29" s="1"/>
      </tp>
      <tp t="s">
        <v>#N/A Field Not Applicable</v>
        <stp/>
        <stp>##V3_BDPV12</stp>
        <stp>9128333Z Govt</stp>
        <stp>FIRST_CPN_DT</stp>
        <stp>[STRIPS.xlsx]Sheet1!R602C9</stp>
        <tr r="I602" s="1"/>
      </tp>
      <tp t="s">
        <v>UNITED STATES</v>
        <stp/>
        <stp>##V3_BDPV12</stp>
        <stp>912834PH Govt</stp>
        <stp>COUNTRY_FULL_NAME</stp>
        <stp>[STRIPS.xlsx]Sheet1!R91C8</stp>
        <tr r="H91" s="1"/>
      </tp>
      <tp t="s">
        <v>UNITED STATES</v>
        <stp/>
        <stp>##V3_BDPV12</stp>
        <stp>912833QB Govt</stp>
        <stp>COUNTRY_FULL_NAME</stp>
        <stp>[STRIPS.xlsx]Sheet1!R20C8</stp>
        <tr r="H20" s="1"/>
      </tp>
      <tp t="s">
        <v>#N/A Field Not Applicable</v>
        <stp/>
        <stp>##V3_BDPV12</stp>
        <stp>9128336W Govt</stp>
        <stp>FIRST_CPN_DT</stp>
        <stp>[STRIPS.xlsx]Sheet1!R607C9</stp>
        <tr r="I607" s="1"/>
      </tp>
      <tp t="s">
        <v>#N/A Field Not Applicable</v>
        <stp/>
        <stp>##V3_BDPV12</stp>
        <stp>9128335V Govt</stp>
        <stp>FIRST_CPN_DT</stp>
        <stp>[STRIPS.xlsx]Sheet1!R724C9</stp>
        <tr r="I724" s="1"/>
      </tp>
      <tp t="s">
        <v>#N/A Field Not Applicable</v>
        <stp/>
        <stp>##V3_BDPV12</stp>
        <stp>9128334J Govt</stp>
        <stp>FIRST_CPN_DT</stp>
        <stp>[STRIPS.xlsx]Sheet1!R605C9</stp>
        <tr r="I605" s="1"/>
      </tp>
      <tp t="s">
        <v>#N/A Field Not Applicable</v>
        <stp/>
        <stp>##V3_BDPV12</stp>
        <stp>9128333L Govt</stp>
        <stp>FIRST_CPN_DT</stp>
        <stp>[STRIPS.xlsx]Sheet1!R552C9</stp>
        <tr r="I552" s="1"/>
      </tp>
      <tp t="s">
        <v>#N/A Field Not Applicable</v>
        <stp/>
        <stp>##V3_BDPV12</stp>
        <stp>9128336L Govt</stp>
        <stp>FIRST_CPN_DT</stp>
        <stp>[STRIPS.xlsx]Sheet1!R557C9</stp>
        <tr r="I557" s="1"/>
      </tp>
      <tp t="s">
        <v>#N/A Field Not Applicable</v>
        <stp/>
        <stp>##V3_BDPV12</stp>
        <stp>9128336N Govt</stp>
        <stp>FIRST_CPN_DT</stp>
        <stp>[STRIPS.xlsx]Sheet1!R497C9</stp>
        <tr r="I497" s="1"/>
      </tp>
      <tp t="s">
        <v>#N/A Field Not Applicable</v>
        <stp/>
        <stp>##V3_BDPV12</stp>
        <stp>9128336B Govt</stp>
        <stp>FIRST_CPN_DT</stp>
        <stp>[STRIPS.xlsx]Sheet1!R727C9</stp>
        <tr r="I727" s="1"/>
      </tp>
      <tp t="s">
        <v>USD</v>
        <stp/>
        <stp>##V3_BDPV12</stp>
        <stp>912833Y6 Govt</stp>
        <stp>CRNCY</stp>
        <stp>[STRIPS.xlsx]Sheet1!R247C7</stp>
        <tr r="G247" s="1"/>
      </tp>
      <tp t="s">
        <v>USD</v>
        <stp/>
        <stp>##V3_BDPV12</stp>
        <stp>912833C3 Govt</stp>
        <stp>CRNCY</stp>
        <stp>[STRIPS.xlsx]Sheet1!R362C7</stp>
        <tr r="G362" s="1"/>
      </tp>
      <tp t="s">
        <v>USD</v>
        <stp/>
        <stp>##V3_BDPV12</stp>
        <stp>912833Z7 Govt</stp>
        <stp>CRNCY</stp>
        <stp>[STRIPS.xlsx]Sheet1!R696C7</stp>
        <tr r="G696" s="1"/>
      </tp>
      <tp t="s">
        <v>USD</v>
        <stp/>
        <stp>##V3_BDPV12</stp>
        <stp>912833B3 Govt</stp>
        <stp>CRNCY</stp>
        <stp>[STRIPS.xlsx]Sheet1!R732C7</stp>
        <tr r="G732" s="1"/>
      </tp>
      <tp t="s">
        <v>#N/A Field Not Applicable</v>
        <stp/>
        <stp>##V3_BDPV12</stp>
        <stp>9128337G Govt</stp>
        <stp>FIRST_CPN_DT</stp>
        <stp>[STRIPS.xlsx]Sheet1!R716C9</stp>
        <tr r="I716" s="1"/>
      </tp>
      <tp t="s">
        <v>#N/A Field Not Applicable</v>
        <stp/>
        <stp>##V3_BDPV12</stp>
        <stp>9128332G Govt</stp>
        <stp>FIRST_CPN_DT</stp>
        <stp>[STRIPS.xlsx]Sheet1!R703C9</stp>
        <tr r="I703" s="1"/>
      </tp>
      <tp t="s">
        <v>#N/A Field Not Applicable</v>
        <stp/>
        <stp>##V3_BDPV12</stp>
        <stp>9128337S Govt</stp>
        <stp>FIRST_CPN_DT</stp>
        <stp>[STRIPS.xlsx]Sheet1!R35C9</stp>
        <tr r="I35" s="1"/>
      </tp>
      <tp t="s">
        <v>#N/A Field Not Applicable</v>
        <stp/>
        <stp>##V3_BDPV12</stp>
        <stp>9128337P Govt</stp>
        <stp>FIRST_CPN_DT</stp>
        <stp>[STRIPS.xlsx]Sheet1!R25C9</stp>
        <tr r="I25" s="1"/>
      </tp>
      <tp t="s">
        <v>#N/A Field Not Applicable</v>
        <stp/>
        <stp>##V3_BDPV12</stp>
        <stp>9128334Z Govt</stp>
        <stp>FIRST_CPN_DT</stp>
        <stp>[STRIPS.xlsx]Sheet1!R45C9</stp>
        <tr r="I45" s="1"/>
      </tp>
      <tp t="s">
        <v>#N/A Field Not Applicable</v>
        <stp/>
        <stp>##V3_BDPV12</stp>
        <stp>912834XG Govt</stp>
        <stp>FIRST_CPN_DT</stp>
        <stp>[STRIPS.xlsx]Sheet1!R32C9</stp>
        <tr r="I32" s="1"/>
      </tp>
      <tp t="s">
        <v>#N/A Field Not Applicable</v>
        <stp/>
        <stp>##V3_BDPV12</stp>
        <stp>912833XN Govt</stp>
        <stp>FIRST_CPN_DT</stp>
        <stp>[STRIPS.xlsx]Sheet1!R85C9</stp>
        <tr r="I85" s="1"/>
      </tp>
      <tp t="s">
        <v>#N/A Field Not Applicable</v>
        <stp/>
        <stp>##V3_BDPV12</stp>
        <stp>912833XT Govt</stp>
        <stp>FIRST_CPN_DT</stp>
        <stp>[STRIPS.xlsx]Sheet1!R55C9</stp>
        <tr r="I55" s="1"/>
      </tp>
      <tp t="s">
        <v>12/1/1997</v>
        <stp/>
        <stp>##V3_BDPV12</stp>
        <stp>912833QF Govt</stp>
        <stp>ISSUE_DT</stp>
        <stp>[STRIPS.xlsx]Sheet1!R684C15</stp>
        <tr r="O684" s="1"/>
      </tp>
      <tp t="s">
        <v>9/15/2005</v>
        <stp/>
        <stp>##V3_BDPV12</stp>
        <stp>9128334F Govt</stp>
        <stp>ISSUE_DT</stp>
        <stp>[STRIPS.xlsx]Sheet1!R604C15</stp>
        <tr r="O604" s="1"/>
      </tp>
      <tp t="s">
        <v>11/15/1984</v>
        <stp/>
        <stp>##V3_BDPV12</stp>
        <stp>912833FF Govt</stp>
        <stp>ISSUE_DT</stp>
        <stp>[STRIPS.xlsx]Sheet1!R618C15</stp>
        <tr r="O618" s="1"/>
      </tp>
      <tp t="s">
        <v>10/15/2010</v>
        <stp/>
        <stp>##V3_BDPV12</stp>
        <stp>912834JF Govt</stp>
        <stp>ISSUE_DT</stp>
        <stp>[STRIPS.xlsx]Sheet1!R647C15</stp>
        <tr r="O647" s="1"/>
      </tp>
      <tp t="s">
        <v>2/15/1985</v>
        <stp/>
        <stp>##V3_BDPV12</stp>
        <stp>912833CF Govt</stp>
        <stp>ISSUE_DT</stp>
        <stp>[STRIPS.xlsx]Sheet1!R655C15</stp>
        <tr r="O655" s="1"/>
      </tp>
      <tp t="s">
        <v>11/15/1984</v>
        <stp/>
        <stp>##V3_BDPV12</stp>
        <stp>912833GF Govt</stp>
        <stp>ISSUE_DT</stp>
        <stp>[STRIPS.xlsx]Sheet1!R667C15</stp>
        <tr r="O667" s="1"/>
      </tp>
      <tp t="s">
        <v>2/15/1985</v>
        <stp/>
        <stp>##V3_BDPV12</stp>
        <stp>912833DF Govt</stp>
        <stp>ISSUE_DT</stp>
        <stp>[STRIPS.xlsx]Sheet1!R660C15</stp>
        <tr r="O660" s="1"/>
      </tp>
      <tp t="s">
        <v>9/30/1997</v>
        <stp/>
        <stp>##V3_BDPV12</stp>
        <stp>912833PF Govt</stp>
        <stp>ISSUE_DT</stp>
        <stp>[STRIPS.xlsx]Sheet1!R678C15</stp>
        <tr r="O678" s="1"/>
      </tp>
      <tp t="s">
        <v>6/1/2004</v>
        <stp/>
        <stp>##V3_BDPV12</stp>
        <stp>9128332F Govt</stp>
        <stp>ISSUE_DT</stp>
        <stp>[STRIPS.xlsx]Sheet1!R702C15</stp>
        <tr r="O702" s="1"/>
      </tp>
      <tp t="s">
        <v>9/30/2020</v>
        <stp/>
        <stp>##V3_BDPV12</stp>
        <stp>912834WF Govt</stp>
        <stp>ISSUE_DT</stp>
        <stp>[STRIPS.xlsx]Sheet1!R770C15</stp>
        <tr r="O770" s="1"/>
      </tp>
      <tp t="s">
        <v>2/28/2006</v>
        <stp/>
        <stp>##V3_BDPV12</stp>
        <stp>9128335F Govt</stp>
        <stp>ISSUE_DT</stp>
        <stp>[STRIPS.xlsx]Sheet1!R721C15</stp>
        <tr r="O721" s="1"/>
      </tp>
      <tp t="s">
        <v>9/2/2008</v>
        <stp/>
        <stp>##V3_BDPV12</stp>
        <stp>912834AF Govt</stp>
        <stp>ISSUE_DT</stp>
        <stp>[STRIPS.xlsx]Sheet1!R456C15</stp>
        <tr r="O456" s="1"/>
      </tp>
      <tp t="s">
        <v>10/15/1996</v>
        <stp/>
        <stp>##V3_BDPV12</stp>
        <stp>912833NF Govt</stp>
        <stp>ISSUE_DT</stp>
        <stp>[STRIPS.xlsx]Sheet1!R447C15</stp>
        <tr r="O447" s="1"/>
      </tp>
      <tp t="s">
        <v>1/15/2015</v>
        <stp/>
        <stp>##V3_BDPV12</stp>
        <stp>912834PF Govt</stp>
        <stp>ISSUE_DT</stp>
        <stp>[STRIPS.xlsx]Sheet1!R411C15</stp>
        <tr r="O411" s="1"/>
      </tp>
      <tp t="s">
        <v>3/31/2003</v>
        <stp/>
        <stp>##V3_BDPV12</stp>
        <stp>912833ZF Govt</stp>
        <stp>ISSUE_DT</stp>
        <stp>[STRIPS.xlsx]Sheet1!R587C15</stp>
        <tr r="O587" s="1"/>
      </tp>
      <tp t="s">
        <v>6/30/2009</v>
        <stp/>
        <stp>##V3_BDPV12</stp>
        <stp>912834EF Govt</stp>
        <stp>ISSUE_DT</stp>
        <stp>[STRIPS.xlsx]Sheet1!R594C15</stp>
        <tr r="O594" s="1"/>
      </tp>
      <tp t="s">
        <v>3/15/2017</v>
        <stp/>
        <stp>##V3_BDPV12</stp>
        <stp>912834RF Govt</stp>
        <stp>ISSUE_DT</stp>
        <stp>[STRIPS.xlsx]Sheet1!R551C15</stp>
        <tr r="O551" s="1"/>
      </tp>
      <tp t="s">
        <v>2/2/1998</v>
        <stp/>
        <stp>##V3_BDPV12</stp>
        <stp>912833RF Govt</stp>
        <stp>ISSUE_DT</stp>
        <stp>[STRIPS.xlsx]Sheet1!R522C15</stp>
        <tr r="O522" s="1"/>
      </tp>
      <tp t="s">
        <v>#N/A Field Not Applicable</v>
        <stp/>
        <stp>##V3_BDPV12</stp>
        <stp>912833PE Govt</stp>
        <stp>FIRST_CPN_DT</stp>
        <stp>[STRIPS.xlsx]Sheet1!R15C9</stp>
        <tr r="I15" s="1"/>
      </tp>
      <tp t="s">
        <v>5/31/2006</v>
        <stp/>
        <stp>##V3_BDPV12</stp>
        <stp>9128336F Govt</stp>
        <stp>ISSUE_DT</stp>
        <stp>[STRIPS.xlsx]Sheet1!R288C15</stp>
        <tr r="O288" s="1"/>
      </tp>
      <tp t="s">
        <v>4/15/2016</v>
        <stp/>
        <stp>##V3_BDPV12</stp>
        <stp>912834QF Govt</stp>
        <stp>ISSUE_DT</stp>
        <stp>[STRIPS.xlsx]Sheet1!R277C15</stp>
        <tr r="O277" s="1"/>
      </tp>
      <tp t="s">
        <v>4/15/2011</v>
        <stp/>
        <stp>##V3_BDPV12</stp>
        <stp>912834KF Govt</stp>
        <stp>ISSUE_DT</stp>
        <stp>[STRIPS.xlsx]Sheet1!R229C15</stp>
        <tr r="O229" s="1"/>
      </tp>
      <tp t="s">
        <v>12/2/2019</v>
        <stp/>
        <stp>##V3_BDPV12</stp>
        <stp>912834VF Govt</stp>
        <stp>ISSUE_DT</stp>
        <stp>[STRIPS.xlsx]Sheet1!R219C15</stp>
        <tr r="O219" s="1"/>
      </tp>
      <tp t="s">
        <v>10/15/1996</v>
        <stp/>
        <stp>##V3_BDPV12</stp>
        <stp>912833MF Govt</stp>
        <stp>ISSUE_DT</stp>
        <stp>[STRIPS.xlsx]Sheet1!R305C15</stp>
        <tr r="O305" s="1"/>
      </tp>
      <tp t="s">
        <v>3/31/2009</v>
        <stp/>
        <stp>##V3_BDPV12</stp>
        <stp>912834BF Govt</stp>
        <stp>ISSUE_DT</stp>
        <stp>[STRIPS.xlsx]Sheet1!R350C15</stp>
        <tr r="O350" s="1"/>
      </tp>
      <tp t="s">
        <v>3/15/2012</v>
        <stp/>
        <stp>##V3_BDPV12</stp>
        <stp>912834LF Govt</stp>
        <stp>ISSUE_DT</stp>
        <stp>[STRIPS.xlsx]Sheet1!R320C15</stp>
        <tr r="O320" s="1"/>
      </tp>
      <tp t="s">
        <v>11/15/1985</v>
        <stp/>
        <stp>##V3_BDPV12</stp>
        <stp>912833KF Govt</stp>
        <stp>ISSUE_DT</stp>
        <stp>[STRIPS.xlsx]Sheet1!R368C15</stp>
        <tr r="O368" s="1"/>
      </tp>
      <tp t="s">
        <v>8/2/2021</v>
        <stp/>
        <stp>##V3_BDPV12</stp>
        <stp>912834XF Govt</stp>
        <stp>ISSUE_DT</stp>
        <stp>[STRIPS.xlsx]Sheet1!R187C15</stp>
        <tr r="O187" s="1"/>
      </tp>
      <tp t="s">
        <v>1/15/2019</v>
        <stp/>
        <stp>##V3_BDPV12</stp>
        <stp>912834UF Govt</stp>
        <stp>ISSUE_DT</stp>
        <stp>[STRIPS.xlsx]Sheet1!R147C15</stp>
        <tr r="O147" s="1"/>
      </tp>
      <tp t="s">
        <v>#N/A Field Not Applicable</v>
        <stp/>
        <stp>##V3_BDPV12</stp>
        <stp>912834JB Govt</stp>
        <stp>FIRST_CPN_DT</stp>
        <stp>[STRIPS.xlsx]Sheet1!R82C9</stp>
        <tr r="I82" s="1"/>
      </tp>
      <tp t="s">
        <v>#N/A Field Not Applicable</v>
        <stp/>
        <stp>##V3_BDPV12</stp>
        <stp>912834MD Govt</stp>
        <stp>FIRST_CPN_DT</stp>
        <stp>[STRIPS.xlsx]Sheet1!R72C9</stp>
        <tr r="I72" s="1"/>
      </tp>
      <tp t="s">
        <v>#N/A Field Not Applicable</v>
        <stp/>
        <stp>##V3_BDPV12</stp>
        <stp>912834AD Govt</stp>
        <stp>FIRST_CPN_DT</stp>
        <stp>[STRIPS.xlsx]Sheet1!R92C9</stp>
        <tr r="I92" s="1"/>
      </tp>
      <tp t="s">
        <v>#N/A Field Not Applicable</v>
        <stp/>
        <stp>##V3_BDPV12</stp>
        <stp>912834MT Govt</stp>
        <stp>COUPON_FREQUENCY_DESCRIPTION</stp>
        <stp>[STRIPS.xlsx]Sheet1!R41C10</stp>
        <tr r="J41" s="1"/>
      </tp>
      <tp t="s">
        <v>#N/A Field Not Applicable</v>
        <stp/>
        <stp>##V3_BDPV12</stp>
        <stp>912834MZ Govt</stp>
        <stp>COUPON_FREQUENCY_DESCRIPTION</stp>
        <stp>[STRIPS.xlsx]Sheet1!R71C10</stp>
        <tr r="J71" s="1"/>
      </tp>
      <tp t="s">
        <v>#N/A Field Not Applicable</v>
        <stp/>
        <stp>##V3_BDPV12</stp>
        <stp>912834MD Govt</stp>
        <stp>COUPON_FREQUENCY_DESCRIPTION</stp>
        <stp>[STRIPS.xlsx]Sheet1!R72C10</stp>
        <tr r="J72" s="1"/>
      </tp>
      <tp t="s">
        <v>UNITED STATES</v>
        <stp/>
        <stp>##V3_BDPV12</stp>
        <stp>912833X9 Govt</stp>
        <stp>COUNTRY_FULL_NAME</stp>
        <stp>[STRIPS.xlsx]Sheet1!R59C8</stp>
        <tr r="H59" s="1"/>
      </tp>
      <tp t="s">
        <v>S 0 08/15/47</v>
        <stp/>
        <stp>##V3_BDPV12</stp>
        <stp>912834RR Govt</stp>
        <stp>SECURITY_NAME</stp>
        <stp>[STRIPS.xlsx]Sheet1!R86C16</stp>
        <tr r="P86" s="1"/>
      </tp>
      <tp t="s">
        <v>S 0 08/15/42</v>
        <stp/>
        <stp>##V3_BDPV12</stp>
        <stp>912834LR Govt</stp>
        <stp>SECURITY_NAME</stp>
        <stp>[STRIPS.xlsx]Sheet1!R95C16</stp>
        <tr r="P95" s="1"/>
      </tp>
      <tp t="s">
        <v>S 0 02/15/51</v>
        <stp/>
        <stp>##V3_BDPV12</stp>
        <stp>912834WR Govt</stp>
        <stp>SECURITY_NAME</stp>
        <stp>[STRIPS.xlsx]Sheet1!R54C16</stp>
        <tr r="P54" s="1"/>
      </tp>
      <tp t="s">
        <v>S 0 05/15/49</v>
        <stp/>
        <stp>##V3_BDPV12</stp>
        <stp>912834UR Govt</stp>
        <stp>SECURITY_NAME</stp>
        <stp>[STRIPS.xlsx]Sheet1!R65C16</stp>
        <tr r="P65" s="1"/>
      </tp>
      <tp t="s">
        <v>S 0 05/15/24</v>
        <stp/>
        <stp>##V3_BDPV12</stp>
        <stp>912833LR Govt</stp>
        <stp>SECURITY_NAME</stp>
        <stp>[STRIPS.xlsx]Sheet1!R19C16</stp>
        <tr r="P19" s="1"/>
      </tp>
      <tp t="s">
        <v>S 0 11/15/28</v>
        <stp/>
        <stp>##V3_BDPV12</stp>
        <stp>912833WR Govt</stp>
        <stp>SECURITY_NAME</stp>
        <stp>[STRIPS.xlsx]Sheet1!R52C16</stp>
        <tr r="P52" s="1"/>
      </tp>
      <tp t="s">
        <v>#N/A Field Not Applicable</v>
        <stp/>
        <stp>##V3_BDPV12</stp>
        <stp>912834MM Govt</stp>
        <stp>COUPON_FREQUENCY_DESCRIPTION</stp>
        <stp>[STRIPS.xlsx]Sheet1!R80C10</stp>
        <tr r="J80" s="1"/>
      </tp>
      <tp t="s">
        <v>#N/A Field Not Applicable</v>
        <stp/>
        <stp>##V3_BDPV12</stp>
        <stp>9128333S Govt</stp>
        <stp>FIRST_CPN_DT</stp>
        <stp>[STRIPS.xlsx]Sheet1!R553C9</stp>
        <tr r="I553" s="1"/>
      </tp>
      <tp t="s">
        <v>#N/A Field Not Applicable</v>
        <stp/>
        <stp>##V3_BDPV12</stp>
        <stp>9128334R Govt</stp>
        <stp>FIRST_CPN_DT</stp>
        <stp>[STRIPS.xlsx]Sheet1!R554C9</stp>
        <tr r="I554" s="1"/>
      </tp>
      <tp t="s">
        <v>#N/A Field Not Applicable</v>
        <stp/>
        <stp>##V3_BDPV12</stp>
        <stp>9128335R Govt</stp>
        <stp>FIRST_CPN_DT</stp>
        <stp>[STRIPS.xlsx]Sheet1!R555C9</stp>
        <tr r="I555" s="1"/>
      </tp>
      <tp t="s">
        <v>#N/A Field Not Applicable</v>
        <stp/>
        <stp>##V3_BDPV12</stp>
        <stp>9128336U Govt</stp>
        <stp>FIRST_CPN_DT</stp>
        <stp>[STRIPS.xlsx]Sheet1!R606C9</stp>
        <tr r="I606" s="1"/>
      </tp>
      <tp t="s">
        <v>#N/A Field Not Applicable</v>
        <stp/>
        <stp>##V3_BDPV12</stp>
        <stp>9128333T Govt</stp>
        <stp>FIRST_CPN_DT</stp>
        <stp>[STRIPS.xlsx]Sheet1!R483C9</stp>
        <tr r="I483" s="1"/>
      </tp>
      <tp t="s">
        <v>#N/A Field Not Applicable</v>
        <stp/>
        <stp>##V3_BDPV12</stp>
        <stp>9128335W Govt</stp>
        <stp>FIRST_CPN_DT</stp>
        <stp>[STRIPS.xlsx]Sheet1!R725C9</stp>
        <tr r="I725" s="1"/>
      </tp>
      <tp t="s">
        <v>#N/A Field Not Applicable</v>
        <stp/>
        <stp>##V3_BDPV12</stp>
        <stp>9128336K Govt</stp>
        <stp>FIRST_CPN_DT</stp>
        <stp>[STRIPS.xlsx]Sheet1!R496C9</stp>
        <tr r="I496" s="1"/>
      </tp>
      <tp t="s">
        <v>#N/A Field Not Applicable</v>
        <stp/>
        <stp>##V3_BDPV12</stp>
        <stp>9128333K Govt</stp>
        <stp>FIRST_CPN_DT</stp>
        <stp>[STRIPS.xlsx]Sheet1!R743C9</stp>
        <tr r="I743" s="1"/>
      </tp>
      <tp t="s">
        <v>#N/A Field Not Applicable</v>
        <stp/>
        <stp>##V3_BDPV12</stp>
        <stp>9128334L Govt</stp>
        <stp>FIRST_CPN_DT</stp>
        <stp>[STRIPS.xlsx]Sheet1!R284C9</stp>
        <tr r="I284" s="1"/>
      </tp>
      <tp t="s">
        <v>UNITED STATES</v>
        <stp/>
        <stp>##V3_BDPV12</stp>
        <stp>912834UY Govt</stp>
        <stp>COUNTRY_FULL_NAME</stp>
        <stp>[STRIPS.xlsx]Sheet1!R75C8</stp>
        <tr r="H75" s="1"/>
      </tp>
      <tp t="s">
        <v>#N/A Field Not Applicable</v>
        <stp/>
        <stp>##V3_BDPV12</stp>
        <stp>9128334N Govt</stp>
        <stp>FIRST_CPN_DT</stp>
        <stp>[STRIPS.xlsx]Sheet1!R744C9</stp>
        <tr r="I744" s="1"/>
      </tp>
      <tp t="s">
        <v>#N/A Field Not Applicable</v>
        <stp/>
        <stp>##V3_BDPV12</stp>
        <stp>9128335E Govt</stp>
        <stp>FIRST_CPN_DT</stp>
        <stp>[STRIPS.xlsx]Sheet1!R745C9</stp>
        <tr r="I745" s="1"/>
      </tp>
      <tp t="s">
        <v>#N/A Field Not Applicable</v>
        <stp/>
        <stp>##V3_BDPV12</stp>
        <stp>9128335D Govt</stp>
        <stp>FIRST_CPN_DT</stp>
        <stp>[STRIPS.xlsx]Sheet1!R285C9</stp>
        <tr r="I285" s="1"/>
      </tp>
      <tp t="s">
        <v>USD</v>
        <stp/>
        <stp>##V3_BDPV12</stp>
        <stp>912833Y3 Govt</stp>
        <stp>CRNCY</stp>
        <stp>[STRIPS.xlsx]Sheet1!R103C7</stp>
        <tr r="G103" s="1"/>
      </tp>
      <tp t="s">
        <v>USD</v>
        <stp/>
        <stp>##V3_BDPV12</stp>
        <stp>912833Y8 Govt</stp>
        <stp>CRNCY</stp>
        <stp>[STRIPS.xlsx]Sheet1!R248C7</stp>
        <tr r="G248" s="1"/>
      </tp>
      <tp t="s">
        <v>USD</v>
        <stp/>
        <stp>##V3_BDPV12</stp>
        <stp>912833C5 Govt</stp>
        <stp>CRNCY</stp>
        <stp>[STRIPS.xlsx]Sheet1!R435C7</stp>
        <tr r="G435" s="1"/>
      </tp>
      <tp t="s">
        <v>USD</v>
        <stp/>
        <stp>##V3_BDPV12</stp>
        <stp>912834A2 Govt</stp>
        <stp>CRNCY</stp>
        <stp>[STRIPS.xlsx]Sheet1!R122C7</stp>
        <tr r="G122" s="1"/>
      </tp>
      <tp t="s">
        <v>USD</v>
        <stp/>
        <stp>##V3_BDPV12</stp>
        <stp>912833A9 Govt</stp>
        <stp>CRNCY</stp>
        <stp>[STRIPS.xlsx]Sheet1!R609C7</stp>
        <tr r="G609" s="1"/>
      </tp>
      <tp t="s">
        <v>USD</v>
        <stp/>
        <stp>##V3_BDPV12</stp>
        <stp>912833B4 Govt</stp>
        <stp>CRNCY</stp>
        <stp>[STRIPS.xlsx]Sheet1!R654C7</stp>
        <tr r="G654" s="1"/>
      </tp>
      <tp t="s">
        <v>UNITED STATES</v>
        <stp/>
        <stp>##V3_BDPV12</stp>
        <stp>912834UR Govt</stp>
        <stp>COUNTRY_FULL_NAME</stp>
        <stp>[STRIPS.xlsx]Sheet1!R65C8</stp>
        <tr r="H65" s="1"/>
      </tp>
      <tp t="s">
        <v>#N/A Field Not Applicable</v>
        <stp/>
        <stp>##V3_BDPV12</stp>
        <stp>9128334F Govt</stp>
        <stp>FIRST_CPN_DT</stp>
        <stp>[STRIPS.xlsx]Sheet1!R604C9</stp>
        <tr r="I604" s="1"/>
      </tp>
      <tp t="s">
        <v>#N/A Field Not Applicable</v>
        <stp/>
        <stp>##V3_BDPV12</stp>
        <stp>9128332F Govt</stp>
        <stp>FIRST_CPN_DT</stp>
        <stp>[STRIPS.xlsx]Sheet1!R702C9</stp>
        <tr r="I702" s="1"/>
      </tp>
      <tp t="s">
        <v>ZERO</v>
        <stp/>
        <stp>##V3_BDPV12</stp>
        <stp>912833RU Govt</stp>
        <stp>CPN_TYP</stp>
        <stp>[STRIPS.xlsx]Sheet1!R635C11</stp>
        <tr r="K635" s="1"/>
      </tp>
      <tp t="s">
        <v>ZERO</v>
        <stp/>
        <stp>##V3_BDPV12</stp>
        <stp>912834RQ Govt</stp>
        <stp>CPN_TYP</stp>
        <stp>[STRIPS.xlsx]Sheet1!R204C11</stp>
        <tr r="K204" s="1"/>
      </tp>
      <tp t="s">
        <v>ZERO</v>
        <stp/>
        <stp>##V3_BDPV12</stp>
        <stp>912833RV Govt</stp>
        <stp>CPN_TYP</stp>
        <stp>[STRIPS.xlsx]Sheet1!R581C11</stp>
        <tr r="K581" s="1"/>
      </tp>
      <tp t="s">
        <v>#N/A Field Not Applicable</v>
        <stp/>
        <stp>##V3_BDPV12</stp>
        <stp>912833Z5 Govt</stp>
        <stp>FIRST_CPN_DT</stp>
        <stp>[STRIPS.xlsx]Sheet1!R74C9</stp>
        <tr r="I74" s="1"/>
      </tp>
      <tp t="s">
        <v>ZERO</v>
        <stp/>
        <stp>##V3_BDPV12</stp>
        <stp>912834RS Govt</stp>
        <stp>CPN_TYP</stp>
        <stp>[STRIPS.xlsx]Sheet1!R169C11</stp>
        <tr r="K169" s="1"/>
      </tp>
      <tp t="s">
        <v>ZERO</v>
        <stp/>
        <stp>##V3_BDPV12</stp>
        <stp>912834RU Govt</stp>
        <stp>CPN_TYP</stp>
        <stp>[STRIPS.xlsx]Sheet1!R759C11</stp>
        <tr r="K759" s="1"/>
      </tp>
      <tp t="s">
        <v>ZERO</v>
        <stp/>
        <stp>##V3_BDPV12</stp>
        <stp>912834RV Govt</stp>
        <stp>CPN_TYP</stp>
        <stp>[STRIPS.xlsx]Sheet1!R482C11</stp>
        <tr r="K482" s="1"/>
      </tp>
      <tp t="s">
        <v>ZERO</v>
        <stp/>
        <stp>##V3_BDPV12</stp>
        <stp>912833RT Govt</stp>
        <stp>CPN_TYP</stp>
        <stp>[STRIPS.xlsx]Sheet1!R580C11</stp>
        <tr r="K580" s="1"/>
      </tp>
      <tp t="s">
        <v>ZERO</v>
        <stp/>
        <stp>##V3_BDPV12</stp>
        <stp>912834RW Govt</stp>
        <stp>CPN_TYP</stp>
        <stp>[STRIPS.xlsx]Sheet1!R753C11</stp>
        <tr r="K753" s="1"/>
      </tp>
      <tp t="s">
        <v>#N/A Field Not Applicable</v>
        <stp/>
        <stp>##V3_BDPV12</stp>
        <stp>912833XP Govt</stp>
        <stp>FIRST_CPN_DT</stp>
        <stp>[STRIPS.xlsx]Sheet1!R44C9</stp>
        <tr r="I44" s="1"/>
      </tp>
      <tp t="s">
        <v>ZERO</v>
        <stp/>
        <stp>##V3_BDPV12</stp>
        <stp>912833RQ Govt</stp>
        <stp>CPN_TYP</stp>
        <stp>[STRIPS.xlsx]Sheet1!R692C11</stp>
        <tr r="K692" s="1"/>
      </tp>
      <tp t="s">
        <v>ZERO</v>
        <stp/>
        <stp>##V3_BDPV12</stp>
        <stp>912833RS Govt</stp>
        <stp>CPN_TYP</stp>
        <stp>[STRIPS.xlsx]Sheet1!R525C11</stp>
        <tr r="K525" s="1"/>
      </tp>
      <tp t="s">
        <v>ZERO</v>
        <stp/>
        <stp>##V3_BDPV12</stp>
        <stp>912834RT Govt</stp>
        <stp>CPN_TYP</stp>
        <stp>[STRIPS.xlsx]Sheet1!R280C11</stp>
        <tr r="K280" s="1"/>
      </tp>
      <tp t="s">
        <v>ZERO</v>
        <stp/>
        <stp>##V3_BDPV12</stp>
        <stp>912833RP Govt</stp>
        <stp>CPN_TYP</stp>
        <stp>[STRIPS.xlsx]Sheet1!R524C11</stp>
        <tr r="K524" s="1"/>
      </tp>
      <tp t="s">
        <v>ZERO</v>
        <stp/>
        <stp>##V3_BDPV12</stp>
        <stp>912833RW Govt</stp>
        <stp>CPN_TYP</stp>
        <stp>[STRIPS.xlsx]Sheet1!R246C11</stp>
        <tr r="K246" s="1"/>
      </tp>
      <tp t="s">
        <v>ZERO</v>
        <stp/>
        <stp>##V3_BDPV12</stp>
        <stp>912834RP Govt</stp>
        <stp>CPN_TYP</stp>
        <stp>[STRIPS.xlsx]Sheet1!R416C11</stp>
        <tr r="K416" s="1"/>
      </tp>
      <tp t="s">
        <v>ZERO</v>
        <stp/>
        <stp>##V3_BDPV12</stp>
        <stp>912833RR Govt</stp>
        <stp>CPN_TYP</stp>
        <stp>[STRIPS.xlsx]Sheet1!R693C11</stp>
        <tr r="K693" s="1"/>
      </tp>
      <tp t="s">
        <v>12/1/1997</v>
        <stp/>
        <stp>##V3_BDPV12</stp>
        <stp>912833QG Govt</stp>
        <stp>ISSUE_DT</stp>
        <stp>[STRIPS.xlsx]Sheet1!R685C15</stp>
        <tr r="O685" s="1"/>
      </tp>
      <tp t="s">
        <v>11/15/1984</v>
        <stp/>
        <stp>##V3_BDPV12</stp>
        <stp>912833FG Govt</stp>
        <stp>ISSUE_DT</stp>
        <stp>[STRIPS.xlsx]Sheet1!R661C15</stp>
        <tr r="O661" s="1"/>
      </tp>
      <tp t="s">
        <v>9/30/1997</v>
        <stp/>
        <stp>##V3_BDPV12</stp>
        <stp>912833PG Govt</stp>
        <stp>ISSUE_DT</stp>
        <stp>[STRIPS.xlsx]Sheet1!R679C15</stp>
        <tr r="O679" s="1"/>
      </tp>
      <tp t="s">
        <v>2/15/1986</v>
        <stp/>
        <stp>##V3_BDPV12</stp>
        <stp>912833KG Govt</stp>
        <stp>ISSUE_DT</stp>
        <stp>[STRIPS.xlsx]Sheet1!R671C15</stp>
        <tr r="O671" s="1"/>
      </tp>
      <tp t="s">
        <v>9/30/2005</v>
        <stp/>
        <stp>##V3_BDPV12</stp>
        <stp>9128334G Govt</stp>
        <stp>ISSUE_DT</stp>
        <stp>[STRIPS.xlsx]Sheet1!R709C15</stp>
        <tr r="O709" s="1"/>
      </tp>
      <tp t="s">
        <v>6/15/2004</v>
        <stp/>
        <stp>##V3_BDPV12</stp>
        <stp>9128332G Govt</stp>
        <stp>ISSUE_DT</stp>
        <stp>[STRIPS.xlsx]Sheet1!R703C15</stp>
        <tr r="O703" s="1"/>
      </tp>
      <tp t="s">
        <v>10/15/2020</v>
        <stp/>
        <stp>##V3_BDPV12</stp>
        <stp>912834WG Govt</stp>
        <stp>ISSUE_DT</stp>
        <stp>[STRIPS.xlsx]Sheet1!R772C15</stp>
        <tr r="O772" s="1"/>
      </tp>
      <tp t="s">
        <v>2/28/2007</v>
        <stp/>
        <stp>##V3_BDPV12</stp>
        <stp>9128337G Govt</stp>
        <stp>ISSUE_DT</stp>
        <stp>[STRIPS.xlsx]Sheet1!R716C15</stp>
        <tr r="O716" s="1"/>
      </tp>
      <tp t="s">
        <v>2/15/1985</v>
        <stp/>
        <stp>##V3_BDPV12</stp>
        <stp>912833DG Govt</stp>
        <stp>ISSUE_DT</stp>
        <stp>[STRIPS.xlsx]Sheet1!R736C15</stp>
        <tr r="O736" s="1"/>
      </tp>
      <tp t="s">
        <v>6/30/2006</v>
        <stp/>
        <stp>##V3_BDPV12</stp>
        <stp>9128336G Govt</stp>
        <stp>ISSUE_DT</stp>
        <stp>[STRIPS.xlsx]Sheet1!R494C15</stp>
        <tr r="O494" s="1"/>
      </tp>
      <tp t="s">
        <v>3/31/2009</v>
        <stp/>
        <stp>##V3_BDPV12</stp>
        <stp>912834BG Govt</stp>
        <stp>ISSUE_DT</stp>
        <stp>[STRIPS.xlsx]Sheet1!R592C15</stp>
        <tr r="O592" s="1"/>
      </tp>
      <tp t="s">
        <v>9/30/2008</v>
        <stp/>
        <stp>##V3_BDPV12</stp>
        <stp>912834AG Govt</stp>
        <stp>ISSUE_DT</stp>
        <stp>[STRIPS.xlsx]Sheet1!R590C15</stp>
        <tr r="O590" s="1"/>
      </tp>
      <tp t="s">
        <v>7/15/1996</v>
        <stp/>
        <stp>##V3_BDPV12</stp>
        <stp>912833NG Govt</stp>
        <stp>ISSUE_DT</stp>
        <stp>[STRIPS.xlsx]Sheet1!R516C15</stp>
        <tr r="O516" s="1"/>
      </tp>
      <tp t="s">
        <v>7/15/1996</v>
        <stp/>
        <stp>##V3_BDPV12</stp>
        <stp>912833MG Govt</stp>
        <stp>ISSUE_DT</stp>
        <stp>[STRIPS.xlsx]Sheet1!R514C15</stp>
        <tr r="O514" s="1"/>
      </tp>
      <tp t="s">
        <v>6/30/2009</v>
        <stp/>
        <stp>##V3_BDPV12</stp>
        <stp>912834EG Govt</stp>
        <stp>ISSUE_DT</stp>
        <stp>[STRIPS.xlsx]Sheet1!R533C15</stp>
        <tr r="O533" s="1"/>
      </tp>
      <tp t="s">
        <v>#N/A Field Not Applicable</v>
        <stp/>
        <stp>##V3_BDPV12</stp>
        <stp>912833PC Govt</stp>
        <stp>FIRST_CPN_DT</stp>
        <stp>[STRIPS.xlsx]Sheet1!R14C9</stp>
        <tr r="I14" s="1"/>
      </tp>
      <tp t="s">
        <v>#N/A Field Not Applicable</v>
        <stp/>
        <stp>##V3_BDPV12</stp>
        <stp>912834PG Govt</stp>
        <stp>FIRST_CPN_DT</stp>
        <stp>[STRIPS.xlsx]Sheet1!R83C9</stp>
        <tr r="I83" s="1"/>
      </tp>
      <tp t="s">
        <v>2/28/2006</v>
        <stp/>
        <stp>##V3_BDPV12</stp>
        <stp>9128335G Govt</stp>
        <stp>ISSUE_DT</stp>
        <stp>[STRIPS.xlsx]Sheet1!R286C15</stp>
        <tr r="O286" s="1"/>
      </tp>
      <tp t="s">
        <v>2/15/1985</v>
        <stp/>
        <stp>##V3_BDPV12</stp>
        <stp>912833CG Govt</stp>
        <stp>ISSUE_DT</stp>
        <stp>[STRIPS.xlsx]Sheet1!R296C15</stp>
        <tr r="O296" s="1"/>
      </tp>
      <tp t="s">
        <v>2/28/2013</v>
        <stp/>
        <stp>##V3_BDPV12</stp>
        <stp>912834MG Govt</stp>
        <stp>ISSUE_DT</stp>
        <stp>[STRIPS.xlsx]Sheet1!R271C15</stp>
        <tr r="O271" s="1"/>
      </tp>
      <tp t="s">
        <v>2/2/1998</v>
        <stp/>
        <stp>##V3_BDPV12</stp>
        <stp>912833RG Govt</stp>
        <stp>ISSUE_DT</stp>
        <stp>[STRIPS.xlsx]Sheet1!R244C15</stp>
        <tr r="O244" s="1"/>
      </tp>
      <tp t="s">
        <v>5/2/2011</v>
        <stp/>
        <stp>##V3_BDPV12</stp>
        <stp>912834KG Govt</stp>
        <stp>ISSUE_DT</stp>
        <stp>[STRIPS.xlsx]Sheet1!R230C15</stp>
        <tr r="O230" s="1"/>
      </tp>
      <tp t="s">
        <v>4/30/2003</v>
        <stp/>
        <stp>##V3_BDPV12</stp>
        <stp>912833ZG Govt</stp>
        <stp>ISSUE_DT</stp>
        <stp>[STRIPS.xlsx]Sheet1!R253C15</stp>
        <tr r="O253" s="1"/>
      </tp>
      <tp t="s">
        <v>11/1/2010</v>
        <stp/>
        <stp>##V3_BDPV12</stp>
        <stp>912834JG Govt</stp>
        <stp>ISSUE_DT</stp>
        <stp>[STRIPS.xlsx]Sheet1!R228C15</stp>
        <tr r="O228" s="1"/>
      </tp>
      <tp t="s">
        <v>5/2/2016</v>
        <stp/>
        <stp>##V3_BDPV12</stp>
        <stp>912834QG Govt</stp>
        <stp>ISSUE_DT</stp>
        <stp>[STRIPS.xlsx]Sheet1!R211C15</stp>
        <tr r="O211" s="1"/>
      </tp>
      <tp t="s">
        <v>3/31/2017</v>
        <stp/>
        <stp>##V3_BDPV12</stp>
        <stp>912834RG Govt</stp>
        <stp>ISSUE_DT</stp>
        <stp>[STRIPS.xlsx]Sheet1!R217C15</stp>
        <tr r="O217" s="1"/>
      </tp>
      <tp t="s">
        <v>#N/A Field Not Applicable</v>
        <stp/>
        <stp>##V3_BDPV12</stp>
        <stp>912833WQ Govt</stp>
        <stp>FIRST_CPN_DT</stp>
        <stp>[STRIPS.xlsx]Sheet1!R24C9</stp>
        <tr r="I24" s="1"/>
      </tp>
      <tp t="s">
        <v>4/2/2012</v>
        <stp/>
        <stp>##V3_BDPV12</stp>
        <stp>912834LG Govt</stp>
        <stp>ISSUE_DT</stp>
        <stp>[STRIPS.xlsx]Sheet1!R321C15</stp>
        <tr r="O321" s="1"/>
      </tp>
      <tp t="s">
        <v>ZERO</v>
        <stp/>
        <stp>##V3_BDPV12</stp>
        <stp>912833RX Govt</stp>
        <stp>CPN_TYP</stp>
        <stp>[STRIPS.xlsx]Sheet1!R449C11</stp>
        <tr r="K449" s="1"/>
      </tp>
      <tp t="s">
        <v>12/16/2019</v>
        <stp/>
        <stp>##V3_BDPV12</stp>
        <stp>912834VG Govt</stp>
        <stp>ISSUE_DT</stp>
        <stp>[STRIPS.xlsx]Sheet1!R160C15</stp>
        <tr r="O160" s="1"/>
      </tp>
      <tp t="s">
        <v>1/31/2019</v>
        <stp/>
        <stp>##V3_BDPV12</stp>
        <stp>912834UG Govt</stp>
        <stp>ISSUE_DT</stp>
        <stp>[STRIPS.xlsx]Sheet1!R137C15</stp>
        <tr r="O137" s="1"/>
      </tp>
      <tp t="s">
        <v>ZERO</v>
        <stp/>
        <stp>##V3_BDPV12</stp>
        <stp>912833RF Govt</stp>
        <stp>CPN_TYP</stp>
        <stp>[STRIPS.xlsx]Sheet1!R522C11</stp>
        <tr r="K522" s="1"/>
      </tp>
      <tp t="s">
        <v>ZERO</v>
        <stp/>
        <stp>##V3_BDPV12</stp>
        <stp>912834RA Govt</stp>
        <stp>CPN_TYP</stp>
        <stp>[STRIPS.xlsx]Sheet1!R216C11</stp>
        <tr r="K216" s="1"/>
      </tp>
      <tp t="s">
        <v>ZERO</v>
        <stp/>
        <stp>##V3_BDPV12</stp>
        <stp>912834RB Govt</stp>
        <stp>CPN_TYP</stp>
        <stp>[STRIPS.xlsx]Sheet1!R112C11</stp>
        <tr r="K112" s="1"/>
      </tp>
      <tp t="s">
        <v>ZERO</v>
        <stp/>
        <stp>##V3_BDPV12</stp>
        <stp>912834RF Govt</stp>
        <stp>CPN_TYP</stp>
        <stp>[STRIPS.xlsx]Sheet1!R551C11</stp>
        <tr r="K551" s="1"/>
      </tp>
      <tp t="s">
        <v>ZERO</v>
        <stp/>
        <stp>##V3_BDPV12</stp>
        <stp>912833RE Govt</stp>
        <stp>CPN_TYP</stp>
        <stp>[STRIPS.xlsx]Sheet1!R691C11</stp>
        <tr r="K691" s="1"/>
      </tp>
      <tp t="s">
        <v>ZERO</v>
        <stp/>
        <stp>##V3_BDPV12</stp>
        <stp>912833RA Govt</stp>
        <stp>CPN_TYP</stp>
        <stp>[STRIPS.xlsx]Sheet1!R342C11</stp>
        <tr r="K342" s="1"/>
      </tp>
      <tp t="s">
        <v>ZERO</v>
        <stp/>
        <stp>##V3_BDPV12</stp>
        <stp>912833RD Govt</stp>
        <stp>CPN_TYP</stp>
        <stp>[STRIPS.xlsx]Sheet1!R380C11</stp>
        <tr r="K380" s="1"/>
      </tp>
      <tp t="s">
        <v>ZERO</v>
        <stp/>
        <stp>##V3_BDPV12</stp>
        <stp>912834RG Govt</stp>
        <stp>CPN_TYP</stp>
        <stp>[STRIPS.xlsx]Sheet1!R217C11</stp>
        <tr r="K217" s="1"/>
      </tp>
      <tp t="s">
        <v>ZERO</v>
        <stp/>
        <stp>##V3_BDPV12</stp>
        <stp>912833RG Govt</stp>
        <stp>CPN_TYP</stp>
        <stp>[STRIPS.xlsx]Sheet1!R244C11</stp>
        <tr r="K244" s="1"/>
      </tp>
      <tp t="s">
        <v>ZERO</v>
        <stp/>
        <stp>##V3_BDPV12</stp>
        <stp>912833RC Govt</stp>
        <stp>CPN_TYP</stp>
        <stp>[STRIPS.xlsx]Sheet1!R690C11</stp>
        <tr r="K690" s="1"/>
      </tp>
      <tp t="s">
        <v>ZERO</v>
        <stp/>
        <stp>##V3_BDPV12</stp>
        <stp>912834RE Govt</stp>
        <stp>CPN_TYP</stp>
        <stp>[STRIPS.xlsx]Sheet1!R168C11</stp>
        <tr r="K168" s="1"/>
      </tp>
      <tp t="s">
        <v>ZERO</v>
        <stp/>
        <stp>##V3_BDPV12</stp>
        <stp>912833RB Govt</stp>
        <stp>CPN_TYP</stp>
        <stp>[STRIPS.xlsx]Sheet1!R689C11</stp>
        <tr r="K689" s="1"/>
      </tp>
      <tp t="s">
        <v>#N/A Field Not Applicable</v>
        <stp/>
        <stp>##V3_BDPV12</stp>
        <stp>912834LB Govt</stp>
        <stp>FIRST_CPN_DT</stp>
        <stp>[STRIPS.xlsx]Sheet1!R73C9</stp>
        <tr r="I73" s="1"/>
      </tp>
      <tp t="s">
        <v>#N/A Field Not Applicable</v>
        <stp/>
        <stp>##V3_BDPV12</stp>
        <stp>912834LK Govt</stp>
        <stp>FIRST_CPN_DT</stp>
        <stp>[STRIPS.xlsx]Sheet1!R53C9</stp>
        <tr r="I53" s="1"/>
      </tp>
      <tp t="s">
        <v>#N/A Field Not Applicable</v>
        <stp/>
        <stp>##V3_BDPV12</stp>
        <stp>912834LX Govt</stp>
        <stp>FIRST_CPN_DT</stp>
        <stp>[STRIPS.xlsx]Sheet1!R93C9</stp>
        <tr r="I93" s="1"/>
      </tp>
      <tp t="s">
        <v>ZERO</v>
        <stp/>
        <stp>##V3_BDPV12</stp>
        <stp>912833RN Govt</stp>
        <stp>CPN_TYP</stp>
        <stp>[STRIPS.xlsx]Sheet1!R579C11</stp>
        <tr r="K579" s="1"/>
      </tp>
      <tp t="s">
        <v>ZERO</v>
        <stp/>
        <stp>##V3_BDPV12</stp>
        <stp>912834RK Govt</stp>
        <stp>CPN_TYP</stp>
        <stp>[STRIPS.xlsx]Sheet1!R124C11</stp>
        <tr r="K124" s="1"/>
      </tp>
      <tp t="s">
        <v>ZERO</v>
        <stp/>
        <stp>##V3_BDPV12</stp>
        <stp>912833RL Govt</stp>
        <stp>CPN_TYP</stp>
        <stp>[STRIPS.xlsx]Sheet1!R523C11</stp>
        <tr r="K523" s="1"/>
      </tp>
      <tp t="s">
        <v>ZERO</v>
        <stp/>
        <stp>##V3_BDPV12</stp>
        <stp>912834RM Govt</stp>
        <stp>CPN_TYP</stp>
        <stp>[STRIPS.xlsx]Sheet1!R415C11</stp>
        <tr r="K415" s="1"/>
      </tp>
      <tp t="s">
        <v>ZERO</v>
        <stp/>
        <stp>##V3_BDPV12</stp>
        <stp>912833RM Govt</stp>
        <stp>CPN_TYP</stp>
        <stp>[STRIPS.xlsx]Sheet1!R448C11</stp>
        <tr r="K448" s="1"/>
      </tp>
      <tp t="s">
        <v>ZERO</v>
        <stp/>
        <stp>##V3_BDPV12</stp>
        <stp>912834RJ Govt</stp>
        <stp>CPN_TYP</stp>
        <stp>[STRIPS.xlsx]Sheet1!R203C11</stp>
        <tr r="K203" s="1"/>
      </tp>
      <tp t="s">
        <v>ZERO</v>
        <stp/>
        <stp>##V3_BDPV12</stp>
        <stp>912833RJ Govt</stp>
        <stp>CPN_TYP</stp>
        <stp>[STRIPS.xlsx]Sheet1!R245C11</stp>
        <tr r="K245" s="1"/>
      </tp>
      <tp t="s">
        <v>ZERO</v>
        <stp/>
        <stp>##V3_BDPV12</stp>
        <stp>912834RN Govt</stp>
        <stp>CPN_TYP</stp>
        <stp>[STRIPS.xlsx]Sheet1!R194C11</stp>
        <tr r="K194" s="1"/>
      </tp>
      <tp t="s">
        <v>ZERO</v>
        <stp/>
        <stp>##V3_BDPV12</stp>
        <stp>912833RH Govt</stp>
        <stp>CPN_TYP</stp>
        <stp>[STRIPS.xlsx]Sheet1!R634C11</stp>
        <tr r="K634" s="1"/>
      </tp>
      <tp t="s">
        <v>ZERO</v>
        <stp/>
        <stp>##V3_BDPV12</stp>
        <stp>912833RK Govt</stp>
        <stp>CPN_TYP</stp>
        <stp>[STRIPS.xlsx]Sheet1!R578C11</stp>
        <tr r="K578" s="1"/>
      </tp>
      <tp t="s">
        <v>ZERO</v>
        <stp/>
        <stp>##V3_BDPV12</stp>
        <stp>912834RL Govt</stp>
        <stp>CPN_TYP</stp>
        <stp>[STRIPS.xlsx]Sheet1!R198C11</stp>
        <tr r="K198" s="1"/>
      </tp>
      <tp t="s">
        <v>ZERO</v>
        <stp/>
        <stp>##V3_BDPV12</stp>
        <stp>912834RH Govt</stp>
        <stp>CPN_TYP</stp>
        <stp>[STRIPS.xlsx]Sheet1!R481C11</stp>
        <tr r="K481" s="1"/>
      </tp>
      <tp t="s">
        <v>#N/A Field Not Applicable</v>
        <stp/>
        <stp>##V3_BDPV12</stp>
        <stp>912833LV Govt</stp>
        <stp>COUPON_FREQUENCY_DESCRIPTION</stp>
        <stp>[STRIPS.xlsx]Sheet1!R39C10</stp>
        <tr r="J39" s="1"/>
      </tp>
      <tp t="s">
        <v>#N/A Field Not Applicable</v>
        <stp/>
        <stp>##V3_BDPV12</stp>
        <stp>912833LU Govt</stp>
        <stp>COUPON_FREQUENCY_DESCRIPTION</stp>
        <stp>[STRIPS.xlsx]Sheet1!R22C10</stp>
        <tr r="J22" s="1"/>
      </tp>
      <tp t="s">
        <v>#N/A Field Not Applicable</v>
        <stp/>
        <stp>##V3_BDPV12</stp>
        <stp>912833LT Govt</stp>
        <stp>COUPON_FREQUENCY_DESCRIPTION</stp>
        <stp>[STRIPS.xlsx]Sheet1!R11C10</stp>
        <tr r="J11" s="1"/>
      </tp>
      <tp t="s">
        <v>#N/A Field Not Applicable</v>
        <stp/>
        <stp>##V3_BDPV12</stp>
        <stp>912833LS Govt</stp>
        <stp>COUPON_FREQUENCY_DESCRIPTION</stp>
        <stp>[STRIPS.xlsx]Sheet1!R37C10</stp>
        <tr r="J37" s="1"/>
      </tp>
      <tp t="s">
        <v>#N/A Field Not Applicable</v>
        <stp/>
        <stp>##V3_BDPV12</stp>
        <stp>912833LR Govt</stp>
        <stp>COUPON_FREQUENCY_DESCRIPTION</stp>
        <stp>[STRIPS.xlsx]Sheet1!R19C10</stp>
        <tr r="J19" s="1"/>
      </tp>
      <tp t="s">
        <v>#N/A Field Not Applicable</v>
        <stp/>
        <stp>##V3_BDPV12</stp>
        <stp>912834LR Govt</stp>
        <stp>COUPON_FREQUENCY_DESCRIPTION</stp>
        <stp>[STRIPS.xlsx]Sheet1!R95C10</stp>
        <tr r="J95" s="1"/>
      </tp>
      <tp t="s">
        <v>#N/A Field Not Applicable</v>
        <stp/>
        <stp>##V3_BDPV12</stp>
        <stp>912833LQ Govt</stp>
        <stp>COUPON_FREQUENCY_DESCRIPTION</stp>
        <stp>[STRIPS.xlsx]Sheet1!R38C10</stp>
        <tr r="J38" s="1"/>
      </tp>
      <tp t="s">
        <v>#N/A Field Not Applicable</v>
        <stp/>
        <stp>##V3_BDPV12</stp>
        <stp>912833LP Govt</stp>
        <stp>COUPON_FREQUENCY_DESCRIPTION</stp>
        <stp>[STRIPS.xlsx]Sheet1!R12C10</stp>
        <tr r="J12" s="1"/>
      </tp>
      <tp t="s">
        <v>#N/A Field Not Applicable</v>
        <stp/>
        <stp>##V3_BDPV12</stp>
        <stp>912833LY Govt</stp>
        <stp>COUPON_FREQUENCY_DESCRIPTION</stp>
        <stp>[STRIPS.xlsx]Sheet1!R16C10</stp>
        <tr r="J16" s="1"/>
      </tp>
      <tp t="s">
        <v>#N/A Field Not Applicable</v>
        <stp/>
        <stp>##V3_BDPV12</stp>
        <stp>912833LX Govt</stp>
        <stp>COUPON_FREQUENCY_DESCRIPTION</stp>
        <stp>[STRIPS.xlsx]Sheet1!R10C10</stp>
        <tr r="J10" s="1"/>
      </tp>
      <tp t="s">
        <v>#N/A Field Not Applicable</v>
        <stp/>
        <stp>##V3_BDPV12</stp>
        <stp>912834LX Govt</stp>
        <stp>COUPON_FREQUENCY_DESCRIPTION</stp>
        <stp>[STRIPS.xlsx]Sheet1!R93C10</stp>
        <tr r="J93" s="1"/>
      </tp>
      <tp t="s">
        <v>#N/A Field Not Applicable</v>
        <stp/>
        <stp>##V3_BDPV12</stp>
        <stp>912833LG Govt</stp>
        <stp>COUPON_FREQUENCY_DESCRIPTION</stp>
        <stp>[STRIPS.xlsx]Sheet1!R33C10</stp>
        <tr r="J33" s="1"/>
      </tp>
      <tp t="s">
        <v>#N/A Field Not Applicable</v>
        <stp/>
        <stp>##V3_BDPV12</stp>
        <stp>912834LB Govt</stp>
        <stp>COUPON_FREQUENCY_DESCRIPTION</stp>
        <stp>[STRIPS.xlsx]Sheet1!R73C10</stp>
        <tr r="J73" s="1"/>
      </tp>
      <tp t="s">
        <v>S 0 08/15/24</v>
        <stp/>
        <stp>##V3_BDPV12</stp>
        <stp>912833LS Govt</stp>
        <stp>SECURITY_NAME</stp>
        <stp>[STRIPS.xlsx]Sheet1!R37C16</stp>
        <tr r="P37" s="1"/>
      </tp>
      <tp t="s">
        <v>S 0 11/15/32</v>
        <stp/>
        <stp>##V3_BDPV12</stp>
        <stp>9128337S Govt</stp>
        <stp>SECURITY_NAME</stp>
        <stp>[STRIPS.xlsx]Sheet1!R35C16</stp>
        <tr r="P35" s="1"/>
      </tp>
      <tp t="s">
        <v>S 0 05/15/29</v>
        <stp/>
        <stp>##V3_BDPV12</stp>
        <stp>912833XS Govt</stp>
        <stp>SECURITY_NAME</stp>
        <stp>[STRIPS.xlsx]Sheet1!R47C16</stp>
        <tr r="P47" s="1"/>
      </tp>
      <tp t="s">
        <v>#N/A Field Not Applicable</v>
        <stp/>
        <stp>##V3_BDPV12</stp>
        <stp>912833LN Govt</stp>
        <stp>COUPON_FREQUENCY_DESCRIPTION</stp>
        <stp>[STRIPS.xlsx]Sheet1!R63C10</stp>
        <tr r="J63" s="1"/>
      </tp>
      <tp t="s">
        <v>#N/A Field Not Applicable</v>
        <stp/>
        <stp>##V3_BDPV12</stp>
        <stp>912833LM Govt</stp>
        <stp>COUPON_FREQUENCY_DESCRIPTION</stp>
        <stp>[STRIPS.xlsx]Sheet1!R17C10</stp>
        <tr r="J17" s="1"/>
      </tp>
      <tp t="s">
        <v>#N/A Field Not Applicable</v>
        <stp/>
        <stp>##V3_BDPV12</stp>
        <stp>912833LL Govt</stp>
        <stp>COUPON_FREQUENCY_DESCRIPTION</stp>
        <stp>[STRIPS.xlsx]Sheet1!R36C10</stp>
        <tr r="J36" s="1"/>
      </tp>
      <tp t="s">
        <v>#N/A Field Not Applicable</v>
        <stp/>
        <stp>##V3_BDPV12</stp>
        <stp>912833LK Govt</stp>
        <stp>COUPON_FREQUENCY_DESCRIPTION</stp>
        <stp>[STRIPS.xlsx]Sheet1!R21C10</stp>
        <tr r="J21" s="1"/>
      </tp>
      <tp t="s">
        <v>#N/A Field Not Applicable</v>
        <stp/>
        <stp>##V3_BDPV12</stp>
        <stp>912834LK Govt</stp>
        <stp>COUPON_FREQUENCY_DESCRIPTION</stp>
        <stp>[STRIPS.xlsx]Sheet1!R53C10</stp>
        <tr r="J53" s="1"/>
      </tp>
      <tp t="s">
        <v>#N/A Field Not Applicable</v>
        <stp/>
        <stp>##V3_BDPV12</stp>
        <stp>912833LJ Govt</stp>
        <stp>COUPON_FREQUENCY_DESCRIPTION</stp>
        <stp>[STRIPS.xlsx]Sheet1!R18C10</stp>
        <tr r="J18" s="1"/>
      </tp>
      <tp t="s">
        <v>#N/A Field Not Applicable</v>
        <stp/>
        <stp>##V3_BDPV12</stp>
        <stp>912833LH Govt</stp>
        <stp>COUPON_FREQUENCY_DESCRIPTION</stp>
        <stp>[STRIPS.xlsx]Sheet1!R40C10</stp>
        <tr r="J40" s="1"/>
      </tp>
      <tp t="s">
        <v>UNITED STATES</v>
        <stp/>
        <stp>##V3_BDPV12</stp>
        <stp>912834VM Govt</stp>
        <stp>COUNTRY_FULL_NAME</stp>
        <stp>[STRIPS.xlsx]Sheet1!R81C8</stp>
        <tr r="H81" s="1"/>
      </tp>
      <tp t="s">
        <v>UNITED STATES</v>
        <stp/>
        <stp>##V3_BDPV12</stp>
        <stp>912834QH Govt</stp>
        <stp>COUNTRY_FULL_NAME</stp>
        <stp>[STRIPS.xlsx]Sheet1!R96C8</stp>
        <tr r="H96" s="1"/>
      </tp>
      <tp t="s">
        <v>#N/A Field Not Applicable</v>
        <stp/>
        <stp>##V3_BDPV12</stp>
        <stp>9128333P Govt</stp>
        <stp>FIRST_CPN_DT</stp>
        <stp>[STRIPS.xlsx]Sheet1!R704C9</stp>
        <tr r="I704" s="1"/>
      </tp>
      <tp t="s">
        <v>#N/A Field Not Applicable</v>
        <stp/>
        <stp>##V3_BDPV12</stp>
        <stp>9128336S Govt</stp>
        <stp>FIRST_CPN_DT</stp>
        <stp>[STRIPS.xlsx]Sheet1!R751C9</stp>
        <tr r="I751" s="1"/>
      </tp>
      <tp t="s">
        <v>#N/A Field Not Applicable</v>
        <stp/>
        <stp>##V3_BDPV12</stp>
        <stp>9128335U Govt</stp>
        <stp>FIRST_CPN_DT</stp>
        <stp>[STRIPS.xlsx]Sheet1!R712C9</stp>
        <tr r="I712" s="1"/>
      </tp>
      <tp t="s">
        <v>#N/A Field Not Applicable</v>
        <stp/>
        <stp>##V3_BDPV12</stp>
        <stp>9128333V Govt</stp>
        <stp>FIRST_CPN_DT</stp>
        <stp>[STRIPS.xlsx]Sheet1!R484C9</stp>
        <tr r="I484" s="1"/>
      </tp>
      <tp t="s">
        <v>#N/A Field Not Applicable</v>
        <stp/>
        <stp>##V3_BDPV12</stp>
        <stp>9128337V Govt</stp>
        <stp>FIRST_CPN_DT</stp>
        <stp>[STRIPS.xlsx]Sheet1!R100C9</stp>
        <tr r="I100" s="1"/>
      </tp>
      <tp t="s">
        <v>#N/A Field Not Applicable</v>
        <stp/>
        <stp>##V3_BDPV12</stp>
        <stp>9128335H Govt</stp>
        <stp>FIRST_CPN_DT</stp>
        <stp>[STRIPS.xlsx]Sheet1!R722C9</stp>
        <tr r="I722" s="1"/>
      </tp>
      <tp t="s">
        <v>#N/A Field Not Applicable</v>
        <stp/>
        <stp>##V3_BDPV12</stp>
        <stp>9128335J Govt</stp>
        <stp>FIRST_CPN_DT</stp>
        <stp>[STRIPS.xlsx]Sheet1!R492C9</stp>
        <tr r="I492" s="1"/>
      </tp>
      <tp t="s">
        <v>#N/A Field Not Applicable</v>
        <stp/>
        <stp>##V3_BDPV12</stp>
        <stp>9128337J Govt</stp>
        <stp>FIRST_CPN_DT</stp>
        <stp>[STRIPS.xlsx]Sheet1!R730C9</stp>
        <tr r="I730" s="1"/>
      </tp>
      <tp t="s">
        <v>UNITED STATES</v>
        <stp/>
        <stp>##V3_BDPV12</stp>
        <stp>912834SZ Govt</stp>
        <stp>COUNTRY_FULL_NAME</stp>
        <stp>[STRIPS.xlsx]Sheet1!R94C8</stp>
        <tr r="H94" s="1"/>
      </tp>
      <tp t="s">
        <v>UNITED STATES</v>
        <stp/>
        <stp>##V3_BDPV12</stp>
        <stp>912834VV Govt</stp>
        <stp>COUNTRY_FULL_NAME</stp>
        <stp>[STRIPS.xlsx]Sheet1!R51C8</stp>
        <tr r="H51" s="1"/>
      </tp>
      <tp t="s">
        <v>#N/A Field Not Applicable</v>
        <stp/>
        <stp>##V3_BDPV12</stp>
        <stp>9128334B Govt</stp>
        <stp>FIRST_CPN_DT</stp>
        <stp>[STRIPS.xlsx]Sheet1!R603C9</stp>
        <tr r="I603" s="1"/>
      </tp>
      <tp t="s">
        <v>USD</v>
        <stp/>
        <stp>##V3_BDPV12</stp>
        <stp>912833Z6 Govt</stp>
        <stp>CRNCY</stp>
        <stp>[STRIPS.xlsx]Sheet1!R111C7</stp>
        <tr r="G111" s="1"/>
      </tp>
      <tp t="s">
        <v>USD</v>
        <stp/>
        <stp>##V3_BDPV12</stp>
        <stp>912833A5 Govt</stp>
        <stp>CRNCY</stp>
        <stp>[STRIPS.xlsx]Sheet1!R432C7</stp>
        <tr r="G432" s="1"/>
      </tp>
      <tp t="s">
        <v>USD</v>
        <stp/>
        <stp>##V3_BDPV12</stp>
        <stp>912833Y5 Govt</stp>
        <stp>CRNCY</stp>
        <stp>[STRIPS.xlsx]Sheet1!R582C7</stp>
        <tr r="G582" s="1"/>
      </tp>
      <tp t="s">
        <v>#N/A Field Not Applicable</v>
        <stp/>
        <stp>##V3_BDPV12</stp>
        <stp>9128337E Govt</stp>
        <stp>FIRST_CPN_DT</stp>
        <stp>[STRIPS.xlsx]Sheet1!R23C9</stp>
        <tr r="I23" s="1"/>
      </tp>
      <tp t="s">
        <v>#N/A Field Not Applicable</v>
        <stp/>
        <stp>##V3_BDPV12</stp>
        <stp>9128335B Govt</stp>
        <stp>FIRST_CPN_DT</stp>
        <stp>[STRIPS.xlsx]Sheet1!R43C9</stp>
        <tr r="I43" s="1"/>
      </tp>
      <tp t="s">
        <v>ZERO</v>
        <stp/>
        <stp>##V3_BDPV12</stp>
        <stp>912834UU Govt</stp>
        <stp>CPN_TYP</stp>
        <stp>[STRIPS.xlsx]Sheet1!R755C11</stp>
        <tr r="K755" s="1"/>
      </tp>
      <tp t="s">
        <v>ZERO</v>
        <stp/>
        <stp>##V3_BDPV12</stp>
        <stp>912834UP Govt</stp>
        <stp>CPN_TYP</stp>
        <stp>[STRIPS.xlsx]Sheet1!R754C11</stp>
        <tr r="K754" s="1"/>
      </tp>
      <tp t="s">
        <v>ZERO</v>
        <stp/>
        <stp>##V3_BDPV12</stp>
        <stp>912834UT Govt</stp>
        <stp>CPN_TYP</stp>
        <stp>[STRIPS.xlsx]Sheet1!R184C11</stp>
        <tr r="K184" s="1"/>
      </tp>
      <tp t="s">
        <v>ZERO</v>
        <stp/>
        <stp>##V3_BDPV12</stp>
        <stp>912834UV Govt</stp>
        <stp>CPN_TYP</stp>
        <stp>[STRIPS.xlsx]Sheet1!R208C11</stp>
        <tr r="K208" s="1"/>
      </tp>
      <tp t="s">
        <v>ZERO</v>
        <stp/>
        <stp>##V3_BDPV12</stp>
        <stp>912834US Govt</stp>
        <stp>CPN_TYP</stp>
        <stp>[STRIPS.xlsx]Sheet1!R762C11</stp>
        <tr r="K762" s="1"/>
      </tp>
      <tp t="s">
        <v>ZERO</v>
        <stp/>
        <stp>##V3_BDPV12</stp>
        <stp>912834UZ Govt</stp>
        <stp>CPN_TYP</stp>
        <stp>[STRIPS.xlsx]Sheet1!R181C11</stp>
        <tr r="K181" s="1"/>
      </tp>
      <tp t="s">
        <v>#N/A Field Not Applicable</v>
        <stp/>
        <stp>##V3_BDPV12</stp>
        <stp>912834SZ Govt</stp>
        <stp>FIRST_CPN_DT</stp>
        <stp>[STRIPS.xlsx]Sheet1!R94C9</stp>
        <tr r="I94" s="1"/>
      </tp>
      <tp t="s">
        <v>ZERO</v>
        <stp/>
        <stp>##V3_BDPV12</stp>
        <stp>912834UX Govt</stp>
        <stp>CPN_TYP</stp>
        <stp>[STRIPS.xlsx]Sheet1!R182C11</stp>
        <tr r="K182" s="1"/>
      </tp>
      <tp t="s">
        <v>#N/A Field Not Applicable</v>
        <stp/>
        <stp>##V3_BDPV12</stp>
        <stp>912833PD Govt</stp>
        <stp>FIRST_CPN_DT</stp>
        <stp>[STRIPS.xlsx]Sheet1!R13C9</stp>
        <tr r="I13" s="1"/>
      </tp>
      <tp t="s">
        <v>#N/A Field Not Applicable</v>
        <stp/>
        <stp>##V3_BDPV12</stp>
        <stp>912834PM Govt</stp>
        <stp>FIRST_CPN_DT</stp>
        <stp>[STRIPS.xlsx]Sheet1!R84C9</stp>
        <tr r="I84" s="1"/>
      </tp>
      <tp t="s">
        <v>#N/A Field Not Applicable</v>
        <stp/>
        <stp>##V3_BDPV12</stp>
        <stp>912834WR Govt</stp>
        <stp>FIRST_CPN_DT</stp>
        <stp>[STRIPS.xlsx]Sheet1!R54C9</stp>
        <tr r="I54" s="1"/>
      </tp>
      <tp t="s">
        <v>ZERO</v>
        <stp/>
        <stp>##V3_BDPV12</stp>
        <stp>912834UA Govt</stp>
        <stp>CPN_TYP</stp>
        <stp>[STRIPS.xlsx]Sheet1!R200C11</stp>
        <tr r="K200" s="1"/>
      </tp>
      <tp t="s">
        <v>ZERO</v>
        <stp/>
        <stp>##V3_BDPV12</stp>
        <stp>912834UB Govt</stp>
        <stp>CPN_TYP</stp>
        <stp>[STRIPS.xlsx]Sheet1!R113C11</stp>
        <tr r="K113" s="1"/>
      </tp>
      <tp t="s">
        <v>US912834XF04</v>
        <stp/>
        <stp>##V3_BDPV12</stp>
        <stp>912834XF Govt</stp>
        <stp>ID_ISIN</stp>
        <stp>[STRIPS.xlsx]Sheet1!R187C12</stp>
        <tr r="L187" s="1"/>
      </tp>
      <tp t="s">
        <v>#N/A Field Not Applicable</v>
        <stp/>
        <stp>##V3_BDPV12</stp>
        <stp>912834JP Govt</stp>
        <stp>FIRST_CPN_DT</stp>
        <stp>[STRIPS.xlsx]Sheet1!R34C9</stp>
        <tr r="I34" s="1"/>
      </tp>
      <tp t="s">
        <v>#N/A Field Not Applicable</v>
        <stp/>
        <stp>##V3_BDPV12</stp>
        <stp>912834JY Govt</stp>
        <stp>FIRST_CPN_DT</stp>
        <stp>[STRIPS.xlsx]Sheet1!R64C9</stp>
        <tr r="I64" s="1"/>
      </tp>
      <tp t="s">
        <v>ZERO</v>
        <stp/>
        <stp>##V3_BDPV12</stp>
        <stp>912834UE Govt</stp>
        <stp>CPN_TYP</stp>
        <stp>[STRIPS.xlsx]Sheet1!R207C11</stp>
        <tr r="K207" s="1"/>
      </tp>
      <tp t="s">
        <v>ZERO</v>
        <stp/>
        <stp>##V3_BDPV12</stp>
        <stp>912834UF Govt</stp>
        <stp>CPN_TYP</stp>
        <stp>[STRIPS.xlsx]Sheet1!R147C11</stp>
        <tr r="K147" s="1"/>
      </tp>
      <tp t="s">
        <v>US912834XB99</v>
        <stp/>
        <stp>##V3_BDPV12</stp>
        <stp>912834XB Govt</stp>
        <stp>ID_ISIN</stp>
        <stp>[STRIPS.xlsx]Sheet1!R183C12</stp>
        <tr r="L183" s="1"/>
      </tp>
      <tp t="s">
        <v>US912834XD55</v>
        <stp/>
        <stp>##V3_BDPV12</stp>
        <stp>912834XD Govt</stp>
        <stp>ID_ISIN</stp>
        <stp>[STRIPS.xlsx]Sheet1!R764C12</stp>
        <tr r="L764" s="1"/>
      </tp>
      <tp t="s">
        <v>ZERO</v>
        <stp/>
        <stp>##V3_BDPV12</stp>
        <stp>912834UG Govt</stp>
        <stp>CPN_TYP</stp>
        <stp>[STRIPS.xlsx]Sheet1!R137C11</stp>
        <tr r="K137" s="1"/>
      </tp>
      <tp t="s">
        <v>ZERO</v>
        <stp/>
        <stp>##V3_BDPV12</stp>
        <stp>912834UD Govt</stp>
        <stp>CPN_TYP</stp>
        <stp>[STRIPS.xlsx]Sheet1!R197C11</stp>
        <tr r="K197" s="1"/>
      </tp>
      <tp t="s">
        <v>US912834XC72</v>
        <stp/>
        <stp>##V3_BDPV12</stp>
        <stp>912834XC Govt</stp>
        <stp>ID_ISIN</stp>
        <stp>[STRIPS.xlsx]Sheet1!R214C12</stp>
        <tr r="L214" s="1"/>
      </tp>
      <tp t="s">
        <v>ZERO</v>
        <stp/>
        <stp>##V3_BDPV12</stp>
        <stp>912834UC Govt</stp>
        <stp>CPN_TYP</stp>
        <stp>[STRIPS.xlsx]Sheet1!R761C11</stp>
        <tr r="K761" s="1"/>
      </tp>
      <tp t="s">
        <v>US912834XA17</v>
        <stp/>
        <stp>##V3_BDPV12</stp>
        <stp>912834XA Govt</stp>
        <stp>ID_ISIN</stp>
        <stp>[STRIPS.xlsx]Sheet1!R190C12</stp>
        <tr r="L190" s="1"/>
      </tp>
      <tp t="s">
        <v>#N/A Field Not Applicable</v>
        <stp/>
        <stp>##V3_BDPV12</stp>
        <stp>912833LG Govt</stp>
        <stp>FIRST_CPN_DT</stp>
        <stp>[STRIPS.xlsx]Sheet1!R33C9</stp>
        <tr r="I33" s="1"/>
      </tp>
      <tp t="s">
        <v>#N/A Field Not Applicable</v>
        <stp/>
        <stp>##V3_BDPV12</stp>
        <stp>912833LN Govt</stp>
        <stp>FIRST_CPN_DT</stp>
        <stp>[STRIPS.xlsx]Sheet1!R63C9</stp>
        <tr r="I63" s="1"/>
      </tp>
      <tp t="s">
        <v>ZERO</v>
        <stp/>
        <stp>##V3_BDPV12</stp>
        <stp>912834UH Govt</stp>
        <stp>CPN_TYP</stp>
        <stp>[STRIPS.xlsx]Sheet1!R105C11</stp>
        <tr r="K105" s="1"/>
      </tp>
      <tp t="s">
        <v>US912834XH69</v>
        <stp/>
        <stp>##V3_BDPV12</stp>
        <stp>912834XH Govt</stp>
        <stp>ID_ISIN</stp>
        <stp>[STRIPS.xlsx]Sheet1!R150C12</stp>
        <tr r="L150" s="1"/>
      </tp>
      <tp t="s">
        <v>ZERO</v>
        <stp/>
        <stp>##V3_BDPV12</stp>
        <stp>912834UN Govt</stp>
        <stp>CPN_TYP</stp>
        <stp>[STRIPS.xlsx]Sheet1!R206C11</stp>
        <tr r="K206" s="1"/>
      </tp>
      <tp t="s">
        <v>ZERO</v>
        <stp/>
        <stp>##V3_BDPV12</stp>
        <stp>912834UM Govt</stp>
        <stp>CPN_TYP</stp>
        <stp>[STRIPS.xlsx]Sheet1!R180C11</stp>
        <tr r="K180" s="1"/>
      </tp>
      <tp t="s">
        <v>#N/A Field Not Applicable</v>
        <stp/>
        <stp>##V3_BDPV12</stp>
        <stp>912834KV Govt</stp>
        <stp>COUPON_FREQUENCY_DESCRIPTION</stp>
        <stp>[STRIPS.xlsx]Sheet1!R57C10</stp>
        <tr r="J57" s="1"/>
      </tp>
      <tp t="s">
        <v>S 0 08/15/43</v>
        <stp/>
        <stp>##V3_BDPV12</stp>
        <stp>912834MT Govt</stp>
        <stp>SECURITY_NAME</stp>
        <stp>[STRIPS.xlsx]Sheet1!R41C16</stp>
        <tr r="P41" s="1"/>
      </tp>
      <tp t="s">
        <v>S 0 11/15/24</v>
        <stp/>
        <stp>##V3_BDPV12</stp>
        <stp>912833LT Govt</stp>
        <stp>SECURITY_NAME</stp>
        <stp>[STRIPS.xlsx]Sheet1!R11C16</stp>
        <tr r="P11" s="1"/>
      </tp>
      <tp t="s">
        <v>S 0 08/15/38</v>
        <stp/>
        <stp>##V3_BDPV12</stp>
        <stp>912834AT Govt</stp>
        <stp>SECURITY_NAME</stp>
        <stp>[STRIPS.xlsx]Sheet1!R76C16</stp>
        <tr r="P76" s="1"/>
      </tp>
      <tp t="s">
        <v>S 0 11/15/29</v>
        <stp/>
        <stp>##V3_BDPV12</stp>
        <stp>912833XT Govt</stp>
        <stp>SECURITY_NAME</stp>
        <stp>[STRIPS.xlsx]Sheet1!R55C16</stp>
        <tr r="P55" s="1"/>
      </tp>
      <tp t="s">
        <v>S 0 02/15/32</v>
        <stp/>
        <stp>##V3_BDPV12</stp>
        <stp>9128334T Govt</stp>
        <stp>SECURITY_NAME</stp>
        <stp>[STRIPS.xlsx]Sheet1!R48C16</stp>
        <tr r="P48" s="1"/>
      </tp>
      <tp t="s">
        <v>#N/A Field Not Applicable</v>
        <stp/>
        <stp>##V3_BDPV12</stp>
        <stp>912834KH Govt</stp>
        <stp>COUPON_FREQUENCY_DESCRIPTION</stp>
        <stp>[STRIPS.xlsx]Sheet1!R56C10</stp>
        <tr r="J56" s="1"/>
      </tp>
      <tp t="s">
        <v>#N/A Field Not Applicable</v>
        <stp/>
        <stp>##V3_BDPV12</stp>
        <stp>9128336X Govt</stp>
        <stp>FIRST_CPN_DT</stp>
        <stp>[STRIPS.xlsx]Sheet1!R290C9</stp>
        <tr r="I290" s="1"/>
      </tp>
      <tp t="s">
        <v>#N/A Field Not Applicable</v>
        <stp/>
        <stp>##V3_BDPV12</stp>
        <stp>9128336Z Govt</stp>
        <stp>FIRST_CPN_DT</stp>
        <stp>[STRIPS.xlsx]Sheet1!R430C9</stp>
        <tr r="I430" s="1"/>
      </tp>
      <tp t="s">
        <v>#N/A Field Not Applicable</v>
        <stp/>
        <stp>##V3_BDPV12</stp>
        <stp>9128336Q Govt</stp>
        <stp>FIRST_CPN_DT</stp>
        <stp>[STRIPS.xlsx]Sheet1!R750C9</stp>
        <tr r="I750" s="1"/>
      </tp>
      <tp t="s">
        <v>#N/A Field Not Applicable</v>
        <stp/>
        <stp>##V3_BDPV12</stp>
        <stp>9128335P Govt</stp>
        <stp>FIRST_CPN_DT</stp>
        <stp>[STRIPS.xlsx]Sheet1!R723C9</stp>
        <tr r="I723" s="1"/>
      </tp>
      <tp t="s">
        <v>#N/A Field Not Applicable</v>
        <stp/>
        <stp>##V3_BDPV12</stp>
        <stp>9128333R Govt</stp>
        <stp>FIRST_CPN_DT</stp>
        <stp>[STRIPS.xlsx]Sheet1!R705C9</stp>
        <tr r="I705" s="1"/>
      </tp>
      <tp t="s">
        <v>#N/A Field Not Applicable</v>
        <stp/>
        <stp>##V3_BDPV12</stp>
        <stp>9128334U Govt</stp>
        <stp>FIRST_CPN_DT</stp>
        <stp>[STRIPS.xlsx]Sheet1!R102C9</stp>
        <tr r="I102" s="1"/>
      </tp>
      <tp t="s">
        <v>#N/A Field Not Applicable</v>
        <stp/>
        <stp>##V3_BDPV12</stp>
        <stp>9128337T Govt</stp>
        <stp>FIRST_CPN_DT</stp>
        <stp>[STRIPS.xlsx]Sheet1!R121C9</stp>
        <tr r="I121" s="1"/>
      </tp>
      <tp t="s">
        <v>#N/A Field Not Applicable</v>
        <stp/>
        <stp>##V3_BDPV12</stp>
        <stp>9128333W Govt</stp>
        <stp>FIRST_CPN_DT</stp>
        <stp>[STRIPS.xlsx]Sheet1!R485C9</stp>
        <tr r="I485" s="1"/>
      </tp>
      <tp t="s">
        <v>#N/A Field Not Applicable</v>
        <stp/>
        <stp>##V3_BDPV12</stp>
        <stp>9128337H Govt</stp>
        <stp>FIRST_CPN_DT</stp>
        <stp>[STRIPS.xlsx]Sheet1!R431C9</stp>
        <tr r="I431" s="1"/>
      </tp>
      <tp t="s">
        <v>#N/A Field Not Applicable</v>
        <stp/>
        <stp>##V3_BDPV12</stp>
        <stp>9128335K Govt</stp>
        <stp>FIRST_CPN_DT</stp>
        <stp>[STRIPS.xlsx]Sheet1!R493C9</stp>
        <tr r="I493" s="1"/>
      </tp>
      <tp t="s">
        <v>#N/A Field Not Applicable</v>
        <stp/>
        <stp>##V3_BDPV12</stp>
        <stp>9128337L Govt</stp>
        <stp>FIRST_CPN_DT</stp>
        <stp>[STRIPS.xlsx]Sheet1!R651C9</stp>
        <tr r="I651" s="1"/>
      </tp>
      <tp t="s">
        <v>#N/A Field Not Applicable</v>
        <stp/>
        <stp>##V3_BDPV12</stp>
        <stp>9128337D Govt</stp>
        <stp>FIRST_CPN_DT</stp>
        <stp>[STRIPS.xlsx]Sheet1!R291C9</stp>
        <tr r="I291" s="1"/>
      </tp>
      <tp t="s">
        <v>USD</v>
        <stp/>
        <stp>##V3_BDPV12</stp>
        <stp>912833Z4 Govt</stp>
        <stp>CRNCY</stp>
        <stp>[STRIPS.xlsx]Sheet1!R382C7</stp>
        <tr r="G382" s="1"/>
      </tp>
      <tp t="s">
        <v>USD</v>
        <stp/>
        <stp>##V3_BDPV12</stp>
        <stp>912833B6 Govt</stp>
        <stp>CRNCY</stp>
        <stp>[STRIPS.xlsx]Sheet1!R500C7</stp>
        <tr r="G500" s="1"/>
      </tp>
      <tp t="s">
        <v>USD</v>
        <stp/>
        <stp>##V3_BDPV12</stp>
        <stp>912833C4 Govt</stp>
        <stp>CRNCY</stp>
        <stp>[STRIPS.xlsx]Sheet1!R612C7</stp>
        <tr r="G612" s="1"/>
      </tp>
      <tp t="s">
        <v>US912833Y610</v>
        <stp/>
        <stp>##V3_BDPV12</stp>
        <stp>912833Y6 Govt</stp>
        <stp>ID_ISIN</stp>
        <stp>[STRIPS.xlsx]Sheet1!R247C12</stp>
        <tr r="L247" s="1"/>
      </tp>
      <tp t="s">
        <v>US912833Y792</v>
        <stp/>
        <stp>##V3_BDPV12</stp>
        <stp>912833Y7 Govt</stp>
        <stp>ID_ISIN</stp>
        <stp>[STRIPS.xlsx]Sheet1!R583C12</stp>
        <tr r="L583" s="1"/>
      </tp>
      <tp t="s">
        <v>US912833Y388</v>
        <stp/>
        <stp>##V3_BDPV12</stp>
        <stp>912833Y3 Govt</stp>
        <stp>ID_ISIN</stp>
        <stp>[STRIPS.xlsx]Sheet1!R103C12</stp>
        <tr r="L103" s="1"/>
      </tp>
      <tp t="s">
        <v>US912833Y537</v>
        <stp/>
        <stp>##V3_BDPV12</stp>
        <stp>912833Y5 Govt</stp>
        <stp>ID_ISIN</stp>
        <stp>[STRIPS.xlsx]Sheet1!R582C12</stp>
        <tr r="L582" s="1"/>
      </tp>
      <tp t="s">
        <v>US912833Y958</v>
        <stp/>
        <stp>##V3_BDPV12</stp>
        <stp>912833Y9 Govt</stp>
        <stp>ID_ISIN</stp>
        <stp>[STRIPS.xlsx]Sheet1!R450C12</stp>
        <tr r="L450" s="1"/>
      </tp>
      <tp t="s">
        <v>US912833Y875</v>
        <stp/>
        <stp>##V3_BDPV12</stp>
        <stp>912833Y8 Govt</stp>
        <stp>ID_ISIN</stp>
        <stp>[STRIPS.xlsx]Sheet1!R248C12</stp>
        <tr r="L248" s="1"/>
      </tp>
      <tp t="s">
        <v>#N/A Field Not Applicable</v>
        <stp/>
        <stp>##V3_BDPV12</stp>
        <stp>9128335A Govt</stp>
        <stp>FIRST_CPN_DT</stp>
        <stp>[STRIPS.xlsx]Sheet1!R42C9</stp>
        <tr r="I42" s="1"/>
      </tp>
      <tp t="s">
        <v>US912833YS33</v>
        <stp/>
        <stp>##V3_BDPV12</stp>
        <stp>912833YS Govt</stp>
        <stp>ID_ISIN</stp>
        <stp>[STRIPS.xlsx]Sheet1!R585C12</stp>
        <tr r="L585" s="1"/>
      </tp>
      <tp t="s">
        <v>ZERO</v>
        <stp/>
        <stp>##V3_BDPV12</stp>
        <stp>912834TU Govt</stp>
        <stp>CPN_TYP</stp>
        <stp>[STRIPS.xlsx]Sheet1!R752C11</stp>
        <tr r="K752" s="1"/>
      </tp>
      <tp t="s">
        <v>US912833YT16</v>
        <stp/>
        <stp>##V3_BDPV12</stp>
        <stp>912833YT Govt</stp>
        <stp>ID_ISIN</stp>
        <stp>[STRIPS.xlsx]Sheet1!R249C12</stp>
        <tr r="L249" s="1"/>
      </tp>
      <tp t="s">
        <v>ZERO</v>
        <stp/>
        <stp>##V3_BDPV12</stp>
        <stp>912834TS Govt</stp>
        <stp>CPN_TYP</stp>
        <stp>[STRIPS.xlsx]Sheet1!R196C11</stp>
        <tr r="K196" s="1"/>
      </tp>
      <tp t="s">
        <v>ZERO</v>
        <stp/>
        <stp>##V3_BDPV12</stp>
        <stp>912834TP Govt</stp>
        <stp>CPN_TYP</stp>
        <stp>[STRIPS.xlsx]Sheet1!R117C11</stp>
        <tr r="K117" s="1"/>
      </tp>
      <tp t="s">
        <v>ZERO</v>
        <stp/>
        <stp>##V3_BDPV12</stp>
        <stp>912834TW Govt</stp>
        <stp>CPN_TYP</stp>
        <stp>[STRIPS.xlsx]Sheet1!R760C11</stp>
        <tr r="K760" s="1"/>
      </tp>
      <tp t="s">
        <v>US912833YV61</v>
        <stp/>
        <stp>##V3_BDPV12</stp>
        <stp>912833YV Govt</stp>
        <stp>ID_ISIN</stp>
        <stp>[STRIPS.xlsx]Sheet1!R250C12</stp>
        <tr r="L250" s="1"/>
      </tp>
      <tp t="s">
        <v>#N/A Field Not Applicable</v>
        <stp/>
        <stp>##V3_BDPV12</stp>
        <stp>912833XX Govt</stp>
        <stp>FIRST_CPN_DT</stp>
        <stp>[STRIPS.xlsx]Sheet1!R62C9</stp>
        <tr r="I62" s="1"/>
      </tp>
      <tp t="s">
        <v>ZERO</v>
        <stp/>
        <stp>##V3_BDPV12</stp>
        <stp>912834TR Govt</stp>
        <stp>CPN_TYP</stp>
        <stp>[STRIPS.xlsx]Sheet1!R426C11</stp>
        <tr r="K426" s="1"/>
      </tp>
      <tp t="s">
        <v>ZERO</v>
        <stp/>
        <stp>##V3_BDPV12</stp>
        <stp>912834TQ Govt</stp>
        <stp>CPN_TYP</stp>
        <stp>[STRIPS.xlsx]Sheet1!R758C11</stp>
        <tr r="K758" s="1"/>
      </tp>
      <tp t="s">
        <v>ZERO</v>
        <stp/>
        <stp>##V3_BDPV12</stp>
        <stp>912834TT Govt</stp>
        <stp>CPN_TYP</stp>
        <stp>[STRIPS.xlsx]Sheet1!R283C11</stp>
        <tr r="K283" s="1"/>
      </tp>
      <tp t="s">
        <v>US912833YQ76</v>
        <stp/>
        <stp>##V3_BDPV12</stp>
        <stp>912833YQ Govt</stp>
        <stp>ID_ISIN</stp>
        <stp>[STRIPS.xlsx]Sheet1!R344C12</stp>
        <tr r="L344" s="1"/>
      </tp>
      <tp t="s">
        <v>US912833YR59</v>
        <stp/>
        <stp>##V3_BDPV12</stp>
        <stp>912833YR Govt</stp>
        <stp>ID_ISIN</stp>
        <stp>[STRIPS.xlsx]Sheet1!R345C12</stp>
        <tr r="L345" s="1"/>
      </tp>
      <tp t="s">
        <v>US912833YU88</v>
        <stp/>
        <stp>##V3_BDPV12</stp>
        <stp>912833YU Govt</stp>
        <stp>ID_ISIN</stp>
        <stp>[STRIPS.xlsx]Sheet1!R586C12</stp>
        <tr r="L586" s="1"/>
      </tp>
      <tp t="s">
        <v>ZERO</v>
        <stp/>
        <stp>##V3_BDPV12</stp>
        <stp>912834TZ Govt</stp>
        <stp>CPN_TYP</stp>
        <stp>[STRIPS.xlsx]Sheet1!R139C11</stp>
        <tr r="K139" s="1"/>
      </tp>
      <tp t="s">
        <v>912833JZ4</v>
        <stp/>
        <stp>##V3_BDPV12</stp>
        <stp>912833JZ Govt</stp>
        <stp>ID_CUSIP</stp>
        <stp>[STRIPS.xlsx]Sheet1!R741C19</stp>
        <tr r="S741" s="1"/>
      </tp>
      <tp t="s">
        <v>912834VZ8</v>
        <stp/>
        <stp>##V3_BDPV12</stp>
        <stp>912834VZ Govt</stp>
        <stp>ID_CUSIP</stp>
        <stp>[STRIPS.xlsx]Sheet1!R766C19</stp>
        <tr r="S766" s="1"/>
      </tp>
      <tp t="s">
        <v>7/31/2001</v>
        <stp/>
        <stp>##V3_BDPV12</stp>
        <stp>912833YA Govt</stp>
        <stp>ISSUE_DT</stp>
        <stp>[STRIPS.xlsx]Sheet1!R694C15</stp>
        <tr r="O694" s="1"/>
      </tp>
      <tp t="s">
        <v>9128335Z9</v>
        <stp/>
        <stp>##V3_BDPV12</stp>
        <stp>9128335Z Govt</stp>
        <stp>ID_CUSIP</stp>
        <stp>[STRIPS.xlsx]Sheet1!R650C19</stp>
        <tr r="S650" s="1"/>
      </tp>
      <tp t="s">
        <v>912833MZ0</v>
        <stp/>
        <stp>##V3_BDPV12</stp>
        <stp>912833MZ Govt</stp>
        <stp>ID_CUSIP</stp>
        <stp>[STRIPS.xlsx]Sheet1!R628C19</stp>
        <tr r="S628" s="1"/>
      </tp>
      <tp t="s">
        <v>9128333Z1</v>
        <stp/>
        <stp>##V3_BDPV12</stp>
        <stp>9128333Z Govt</stp>
        <stp>ID_CUSIP</stp>
        <stp>[STRIPS.xlsx]Sheet1!R602C19</stp>
        <tr r="S602" s="1"/>
      </tp>
      <tp t="s">
        <v>912833YZ7</v>
        <stp/>
        <stp>##V3_BDPV12</stp>
        <stp>912833YZ Govt</stp>
        <stp>ID_CUSIP</stp>
        <stp>[STRIPS.xlsx]Sheet1!R695C19</stp>
        <tr r="S695" s="1"/>
      </tp>
      <tp t="s">
        <v>3/1/2004</v>
        <stp/>
        <stp>##V3_BDPV12</stp>
        <stp>9128332A Govt</stp>
        <stp>ISSUE_DT</stp>
        <stp>[STRIPS.xlsx]Sheet1!R700C15</stp>
        <tr r="O700" s="1"/>
      </tp>
      <tp t="s">
        <v>11/30/2017</v>
        <stp/>
        <stp>##V3_BDPV12</stp>
        <stp>912834TA Govt</stp>
        <stp>ISSUE_DT</stp>
        <stp>[STRIPS.xlsx]Sheet1!R756C15</stp>
        <tr r="O756" s="1"/>
      </tp>
      <tp t="s">
        <v>5/31/2006</v>
        <stp/>
        <stp>##V3_BDPV12</stp>
        <stp>9128336A Govt</stp>
        <stp>ISSUE_DT</stp>
        <stp>[STRIPS.xlsx]Sheet1!R748C15</stp>
        <tr r="O748" s="1"/>
      </tp>
      <tp t="s">
        <v>912833BZ2</v>
        <stp/>
        <stp>##V3_BDPV12</stp>
        <stp>912833BZ Govt</stp>
        <stp>ID_CUSIP</stp>
        <stp>[STRIPS.xlsx]Sheet1!R562C19</stp>
        <tr r="S562" s="1"/>
      </tp>
      <tp t="s">
        <v>912833ZZ6</v>
        <stp/>
        <stp>##V3_BDPV12</stp>
        <stp>912833ZZ Govt</stp>
        <stp>ID_CUSIP</stp>
        <stp>[STRIPS.xlsx]Sheet1!R528C19</stp>
        <tr r="S528" s="1"/>
      </tp>
      <tp t="s">
        <v>ZERO</v>
        <stp/>
        <stp>##V3_BDPV12</stp>
        <stp>912834TX Govt</stp>
        <stp>CPN_TYP</stp>
        <stp>[STRIPS.xlsx]Sheet1!R145C11</stp>
        <tr r="K145" s="1"/>
      </tp>
      <tp t="s">
        <v>912833FZ8</v>
        <stp/>
        <stp>##V3_BDPV12</stp>
        <stp>912833FZ Govt</stp>
        <stp>ID_CUSIP</stp>
        <stp>[STRIPS.xlsx]Sheet1!R511C19</stp>
        <tr r="S511" s="1"/>
      </tp>
      <tp t="s">
        <v>US912833YY01</v>
        <stp/>
        <stp>##V3_BDPV12</stp>
        <stp>912833YY Govt</stp>
        <stp>ID_ISIN</stp>
        <stp>[STRIPS.xlsx]Sheet1!R453C12</stp>
        <tr r="L453" s="1"/>
      </tp>
      <tp t="s">
        <v>6/15/2005</v>
        <stp/>
        <stp>##V3_BDPV12</stp>
        <stp>9128334A Govt</stp>
        <stp>ISSUE_DT</stp>
        <stp>[STRIPS.xlsx]Sheet1!R487C15</stp>
        <tr r="O487" s="1"/>
      </tp>
      <tp t="s">
        <v>1/2/2007</v>
        <stp/>
        <stp>##V3_BDPV12</stp>
        <stp>9128337A Govt</stp>
        <stp>ISSUE_DT</stp>
        <stp>[STRIPS.xlsx]Sheet1!R499C15</stp>
        <tr r="O499" s="1"/>
      </tp>
      <tp t="s">
        <v>12/2/2013</v>
        <stp/>
        <stp>##V3_BDPV12</stp>
        <stp>912834NA Govt</stp>
        <stp>ISSUE_DT</stp>
        <stp>[STRIPS.xlsx]Sheet1!R476C15</stp>
        <tr r="O476" s="1"/>
      </tp>
      <tp t="s">
        <v>11/15/1984</v>
        <stp/>
        <stp>##V3_BDPV12</stp>
        <stp>912833GA Govt</stp>
        <stp>ISSUE_DT</stp>
        <stp>[STRIPS.xlsx]Sheet1!R439C15</stp>
        <tr r="O439" s="1"/>
      </tp>
      <tp t="s">
        <v>7/15/1996</v>
        <stp/>
        <stp>##V3_BDPV12</stp>
        <stp>912833NA Govt</stp>
        <stp>ISSUE_DT</stp>
        <stp>[STRIPS.xlsx]Sheet1!R446C15</stp>
        <tr r="O446" s="1"/>
      </tp>
      <tp t="s">
        <v>1/31/2012</v>
        <stp/>
        <stp>##V3_BDPV12</stp>
        <stp>912834LA Govt</stp>
        <stp>ISSUE_DT</stp>
        <stp>[STRIPS.xlsx]Sheet1!R402C15</stp>
        <tr r="O402" s="1"/>
      </tp>
      <tp t="s">
        <v>9128336Z8</v>
        <stp/>
        <stp>##V3_BDPV12</stp>
        <stp>9128336Z Govt</stp>
        <stp>ID_CUSIP</stp>
        <stp>[STRIPS.xlsx]Sheet1!R430C19</stp>
        <tr r="S430" s="1"/>
      </tp>
      <tp t="s">
        <v>US912833YZ75</v>
        <stp/>
        <stp>##V3_BDPV12</stp>
        <stp>912833YZ Govt</stp>
        <stp>ID_ISIN</stp>
        <stp>[STRIPS.xlsx]Sheet1!R695C12</stp>
        <tr r="L695" s="1"/>
      </tp>
      <tp t="s">
        <v>912834DZ8</v>
        <stp/>
        <stp>##V3_BDPV12</stp>
        <stp>912834DZ Govt</stp>
        <stp>ID_CUSIP</stp>
        <stp>[STRIPS.xlsx]Sheet1!R460C19</stp>
        <tr r="S460" s="1"/>
      </tp>
      <tp t="s">
        <v>ZERO</v>
        <stp/>
        <stp>##V3_BDPV12</stp>
        <stp>912834TY Govt</stp>
        <stp>CPN_TYP</stp>
        <stp>[STRIPS.xlsx]Sheet1!R199C11</stp>
        <tr r="K199" s="1"/>
      </tp>
      <tp t="s">
        <v>6/1/2009</v>
        <stp/>
        <stp>##V3_BDPV12</stp>
        <stp>912834EA Govt</stp>
        <stp>ISSUE_DT</stp>
        <stp>[STRIPS.xlsx]Sheet1!R593C15</stp>
        <tr r="O593" s="1"/>
      </tp>
      <tp t="s">
        <v>6/2/2008</v>
        <stp/>
        <stp>##V3_BDPV12</stp>
        <stp>912834AA Govt</stp>
        <stp>ISSUE_DT</stp>
        <stp>[STRIPS.xlsx]Sheet1!R589C15</stp>
        <tr r="O589" s="1"/>
      </tp>
      <tp t="s">
        <v>2/15/1985</v>
        <stp/>
        <stp>##V3_BDPV12</stp>
        <stp>912833CA Govt</stp>
        <stp>ISSUE_DT</stp>
        <stp>[STRIPS.xlsx]Sheet1!R502C15</stp>
        <tr r="O502" s="1"/>
      </tp>
      <tp t="s">
        <v>8/2/2010</v>
        <stp/>
        <stp>##V3_BDPV12</stp>
        <stp>912834JA Govt</stp>
        <stp>ISSUE_DT</stp>
        <stp>[STRIPS.xlsx]Sheet1!R537C15</stp>
        <tr r="O537" s="1"/>
      </tp>
      <tp t="s">
        <v>3/16/2009</v>
        <stp/>
        <stp>##V3_BDPV12</stp>
        <stp>912834BA Govt</stp>
        <stp>ISSUE_DT</stp>
        <stp>[STRIPS.xlsx]Sheet1!R529C15</stp>
        <tr r="O529" s="1"/>
      </tp>
      <tp t="s">
        <v>912833QZ6</v>
        <stp/>
        <stp>##V3_BDPV12</stp>
        <stp>912833QZ Govt</stp>
        <stp>ID_CUSIP</stp>
        <stp>[STRIPS.xlsx]Sheet1!R379C19</stp>
        <tr r="S379" s="1"/>
      </tp>
      <tp t="s">
        <v>912834LZ9</v>
        <stp/>
        <stp>##V3_BDPV12</stp>
        <stp>912834LZ Govt</stp>
        <stp>ID_CUSIP</stp>
        <stp>[STRIPS.xlsx]Sheet1!R325C19</stp>
        <tr r="S325" s="1"/>
      </tp>
      <tp t="s">
        <v>US912833YX28</v>
        <stp/>
        <stp>##V3_BDPV12</stp>
        <stp>912833YX Govt</stp>
        <stp>ID_ISIN</stp>
        <stp>[STRIPS.xlsx]Sheet1!R381C12</stp>
        <tr r="L381" s="1"/>
      </tp>
      <tp t="s">
        <v>912834EZ7</v>
        <stp/>
        <stp>##V3_BDPV12</stp>
        <stp>912834EZ Govt</stp>
        <stp>ID_CUSIP</stp>
        <stp>[STRIPS.xlsx]Sheet1!R394C19</stp>
        <tr r="S394" s="1"/>
      </tp>
      <tp t="s">
        <v>10/31/2002</v>
        <stp/>
        <stp>##V3_BDPV12</stp>
        <stp>912833ZA Govt</stp>
        <stp>ISSUE_DT</stp>
        <stp>[STRIPS.xlsx]Sheet1!R251C15</stp>
        <tr r="O251" s="1"/>
      </tp>
      <tp t="s">
        <v>1/31/2017</v>
        <stp/>
        <stp>##V3_BDPV12</stp>
        <stp>912834RA Govt</stp>
        <stp>ISSUE_DT</stp>
        <stp>[STRIPS.xlsx]Sheet1!R216C15</stp>
        <tr r="O216" s="1"/>
      </tp>
      <tp t="s">
        <v>10/31/2018</v>
        <stp/>
        <stp>##V3_BDPV12</stp>
        <stp>912834UA Govt</stp>
        <stp>ISSUE_DT</stp>
        <stp>[STRIPS.xlsx]Sheet1!R200C15</stp>
        <tr r="O200" s="1"/>
      </tp>
      <tp t="s">
        <v>#N/A Field Not Applicable</v>
        <stp/>
        <stp>##V3_BDPV12</stp>
        <stp>912833WR Govt</stp>
        <stp>FIRST_CPN_DT</stp>
        <stp>[STRIPS.xlsx]Sheet1!R52C9</stp>
        <tr r="I52" s="1"/>
      </tp>
      <tp t="s">
        <v>912833PZ7</v>
        <stp/>
        <stp>##V3_BDPV12</stp>
        <stp>912833PZ Govt</stp>
        <stp>ID_CUSIP</stp>
        <stp>[STRIPS.xlsx]Sheet1!R240C19</stp>
        <tr r="S240" s="1"/>
      </tp>
      <tp t="s">
        <v>912833CZ1</v>
        <stp/>
        <stp>##V3_BDPV12</stp>
        <stp>912833CZ Govt</stp>
        <stp>ID_CUSIP</stp>
        <stp>[STRIPS.xlsx]Sheet1!R220C19</stp>
        <tr r="S220" s="1"/>
      </tp>
      <tp t="s">
        <v>912834NZ7</v>
        <stp/>
        <stp>##V3_BDPV12</stp>
        <stp>912834NZ Govt</stp>
        <stp>ID_CUSIP</stp>
        <stp>[STRIPS.xlsx]Sheet1!R275C19</stp>
        <tr r="S275" s="1"/>
      </tp>
      <tp t="s">
        <v>912834QZ4</v>
        <stp/>
        <stp>##V3_BDPV12</stp>
        <stp>912834QZ Govt</stp>
        <stp>ID_CUSIP</stp>
        <stp>[STRIPS.xlsx]Sheet1!R279C19</stp>
        <tr r="S279" s="1"/>
      </tp>
      <tp t="s">
        <v>912834JZ2</v>
        <stp/>
        <stp>##V3_BDPV12</stp>
        <stp>912834JZ Govt</stp>
        <stp>ID_CUSIP</stp>
        <stp>[STRIPS.xlsx]Sheet1!R266C19</stp>
        <tr r="S266" s="1"/>
      </tp>
      <tp t="s">
        <v>912834HZ4</v>
        <stp/>
        <stp>##V3_BDPV12</stp>
        <stp>912834HZ Govt</stp>
        <stp>ID_CUSIP</stp>
        <stp>[STRIPS.xlsx]Sheet1!R265C19</stp>
        <tr r="S265" s="1"/>
      </tp>
      <tp t="s">
        <v>912834KZ0</v>
        <stp/>
        <stp>##V3_BDPV12</stp>
        <stp>912834KZ Govt</stp>
        <stp>ID_CUSIP</stp>
        <stp>[STRIPS.xlsx]Sheet1!R269C19</stp>
        <tr r="S269" s="1"/>
      </tp>
      <tp t="s">
        <v>912834AZ1</v>
        <stp/>
        <stp>##V3_BDPV12</stp>
        <stp>912834AZ Govt</stp>
        <stp>ID_CUSIP</stp>
        <stp>[STRIPS.xlsx]Sheet1!R261C19</stp>
        <tr r="S261" s="1"/>
      </tp>
      <tp t="s">
        <v>1/31/2010</v>
        <stp/>
        <stp>##V3_BDPV12</stp>
        <stp>912834FA Govt</stp>
        <stp>ISSUE_DT</stp>
        <stp>[STRIPS.xlsx]Sheet1!R395C15</stp>
        <tr r="O395" s="1"/>
      </tp>
      <tp t="s">
        <v>2/2/1998</v>
        <stp/>
        <stp>##V3_BDPV12</stp>
        <stp>912833RA Govt</stp>
        <stp>ISSUE_DT</stp>
        <stp>[STRIPS.xlsx]Sheet1!R342C15</stp>
        <tr r="O342" s="1"/>
      </tp>
      <tp t="s">
        <v>8/15/1990</v>
        <stp/>
        <stp>##V3_BDPV12</stp>
        <stp>912833LA Govt</stp>
        <stp>ISSUE_DT</stp>
        <stp>[STRIPS.xlsx]Sheet1!R369C15</stp>
        <tr r="O369" s="1"/>
      </tp>
      <tp t="s">
        <v>10/31/1997</v>
        <stp/>
        <stp>##V3_BDPV12</stp>
        <stp>912833QA Govt</stp>
        <stp>ISSUE_DT</stp>
        <stp>[STRIPS.xlsx]Sheet1!R376C15</stp>
        <tr r="O376" s="1"/>
      </tp>
      <tp t="s">
        <v>912834TZ1</v>
        <stp/>
        <stp>##V3_BDPV12</stp>
        <stp>912834TZ Govt</stp>
        <stp>ID_CUSIP</stp>
        <stp>[STRIPS.xlsx]Sheet1!R139C19</stp>
        <tr r="S139" s="1"/>
      </tp>
      <tp t="s">
        <v>912833KZ2</v>
        <stp/>
        <stp>##V3_BDPV12</stp>
        <stp>912833KZ Govt</stp>
        <stp>ID_CUSIP</stp>
        <stp>[STRIPS.xlsx]Sheet1!R152C19</stp>
        <tr r="S152" s="1"/>
      </tp>
      <tp t="s">
        <v>912834PZ5</v>
        <stp/>
        <stp>##V3_BDPV12</stp>
        <stp>912834PZ Govt</stp>
        <stp>ID_CUSIP</stp>
        <stp>[STRIPS.xlsx]Sheet1!R126C19</stp>
        <tr r="S126" s="1"/>
      </tp>
      <tp t="s">
        <v>912834UZ9</v>
        <stp/>
        <stp>##V3_BDPV12</stp>
        <stp>912834UZ Govt</stp>
        <stp>ID_CUSIP</stp>
        <stp>[STRIPS.xlsx]Sheet1!R181C19</stp>
        <tr r="S181" s="1"/>
      </tp>
      <tp t="s">
        <v>#N/A Field Not Applicable</v>
        <stp/>
        <stp>##V3_BDPV12</stp>
        <stp>912834UR Govt</stp>
        <stp>FIRST_CPN_DT</stp>
        <stp>[STRIPS.xlsx]Sheet1!R65C9</stp>
        <tr r="I65" s="1"/>
      </tp>
      <tp t="s">
        <v>#N/A Field Not Applicable</v>
        <stp/>
        <stp>##V3_BDPV12</stp>
        <stp>912834UY Govt</stp>
        <stp>FIRST_CPN_DT</stp>
        <stp>[STRIPS.xlsx]Sheet1!R75C9</stp>
        <tr r="I75" s="1"/>
      </tp>
      <tp t="s">
        <v>11/15/1985</v>
        <stp/>
        <stp>##V3_BDPV12</stp>
        <stp>912833KA Govt</stp>
        <stp>ISSUE_DT</stp>
        <stp>[STRIPS.xlsx]Sheet1!R193C15</stp>
        <tr r="O193" s="1"/>
      </tp>
      <tp t="s">
        <v>6/1/2021</v>
        <stp/>
        <stp>##V3_BDPV12</stp>
        <stp>912834XA Govt</stp>
        <stp>ISSUE_DT</stp>
        <stp>[STRIPS.xlsx]Sheet1!R190C15</stp>
        <tr r="O190" s="1"/>
      </tp>
      <tp t="s">
        <v>9/16/2019</v>
        <stp/>
        <stp>##V3_BDPV12</stp>
        <stp>912834VA Govt</stp>
        <stp>ISSUE_DT</stp>
        <stp>[STRIPS.xlsx]Sheet1!R178C15</stp>
        <tr r="O178" s="1"/>
      </tp>
      <tp t="s">
        <v>12/31/2012</v>
        <stp/>
        <stp>##V3_BDPV12</stp>
        <stp>912834MA Govt</stp>
        <stp>ISSUE_DT</stp>
        <stp>[STRIPS.xlsx]Sheet1!R172C15</stp>
        <tr r="O172" s="1"/>
      </tp>
      <tp t="s">
        <v>4/30/2015</v>
        <stp/>
        <stp>##V3_BDPV12</stp>
        <stp>912834KA Govt</stp>
        <stp>ISSUE_DT</stp>
        <stp>[STRIPS.xlsx]Sheet1!R165C15</stp>
        <tr r="O165" s="1"/>
      </tp>
      <tp t="s">
        <v>10/31/2014</v>
        <stp/>
        <stp>##V3_BDPV12</stp>
        <stp>912834PA Govt</stp>
        <stp>ISSUE_DT</stp>
        <stp>[STRIPS.xlsx]Sheet1!R123C15</stp>
        <tr r="O123" s="1"/>
      </tp>
      <tp t="s">
        <v>2/15/1985</v>
        <stp/>
        <stp>##V3_BDPV12</stp>
        <stp>912833DA Govt</stp>
        <stp>ISSUE_DT</stp>
        <stp>[STRIPS.xlsx]Sheet1!R167C15</stp>
        <tr r="O167" s="1"/>
      </tp>
      <tp t="s">
        <v>US912833YA25</v>
        <stp/>
        <stp>##V3_BDPV12</stp>
        <stp>912833YA Govt</stp>
        <stp>ID_ISIN</stp>
        <stp>[STRIPS.xlsx]Sheet1!R694C12</stp>
        <tr r="L694" s="1"/>
      </tp>
      <tp t="s">
        <v>ZERO</v>
        <stp/>
        <stp>##V3_BDPV12</stp>
        <stp>912834TC Govt</stp>
        <stp>CPN_TYP</stp>
        <stp>[STRIPS.xlsx]Sheet1!R163C11</stp>
        <tr r="K163" s="1"/>
      </tp>
      <tp t="s">
        <v>US912833YB08</v>
        <stp/>
        <stp>##V3_BDPV12</stp>
        <stp>912833YB Govt</stp>
        <stp>ID_ISIN</stp>
        <stp>[STRIPS.xlsx]Sheet1!R451C12</stp>
        <tr r="L451" s="1"/>
      </tp>
      <tp t="s">
        <v>US912833YC80</v>
        <stp/>
        <stp>##V3_BDPV12</stp>
        <stp>912833YC Govt</stp>
        <stp>ID_ISIN</stp>
        <stp>[STRIPS.xlsx]Sheet1!R636C12</stp>
        <tr r="L636" s="1"/>
      </tp>
      <tp t="s">
        <v>ZERO</v>
        <stp/>
        <stp>##V3_BDPV12</stp>
        <stp>912834TB Govt</stp>
        <stp>CPN_TYP</stp>
        <stp>[STRIPS.xlsx]Sheet1!R424C11</stp>
        <tr r="K424" s="1"/>
      </tp>
      <tp t="s">
        <v>ZERO</v>
        <stp/>
        <stp>##V3_BDPV12</stp>
        <stp>912834TA Govt</stp>
        <stp>CPN_TYP</stp>
        <stp>[STRIPS.xlsx]Sheet1!R756C11</stp>
        <tr r="K756" s="1"/>
      </tp>
      <tp t="s">
        <v>ZERO</v>
        <stp/>
        <stp>##V3_BDPV12</stp>
        <stp>912834TD Govt</stp>
        <stp>CPN_TYP</stp>
        <stp>[STRIPS.xlsx]Sheet1!R281C11</stp>
        <tr r="K281" s="1"/>
      </tp>
      <tp t="s">
        <v>ZERO</v>
        <stp/>
        <stp>##V3_BDPV12</stp>
        <stp>912834TE Govt</stp>
        <stp>CPN_TYP</stp>
        <stp>[STRIPS.xlsx]Sheet1!R155C11</stp>
        <tr r="K155" s="1"/>
      </tp>
      <tp t="s">
        <v>#N/A Field Not Applicable</v>
        <stp/>
        <stp>##V3_BDPV12</stp>
        <stp>912834LR Govt</stp>
        <stp>FIRST_CPN_DT</stp>
        <stp>[STRIPS.xlsx]Sheet1!R95C9</stp>
        <tr r="I95" s="1"/>
      </tp>
      <tp t="s">
        <v>#N/A Field Not Applicable</v>
        <stp/>
        <stp>##V3_BDPV12</stp>
        <stp>912833LP Govt</stp>
        <stp>FIRST_CPN_DT</stp>
        <stp>[STRIPS.xlsx]Sheet1!R12C9</stp>
        <tr r="I12" s="1"/>
      </tp>
      <tp t="s">
        <v>#N/A Field Not Applicable</v>
        <stp/>
        <stp>##V3_BDPV12</stp>
        <stp>912833LU Govt</stp>
        <stp>FIRST_CPN_DT</stp>
        <stp>[STRIPS.xlsx]Sheet1!R22C9</stp>
        <tr r="I22" s="1"/>
      </tp>
      <tp t="s">
        <v>US912833YL89</v>
        <stp/>
        <stp>##V3_BDPV12</stp>
        <stp>912833YL Govt</stp>
        <stp>ID_ISIN</stp>
        <stp>[STRIPS.xlsx]Sheet1!R343C12</stp>
        <tr r="L343" s="1"/>
      </tp>
      <tp t="s">
        <v>US912833YK07</v>
        <stp/>
        <stp>##V3_BDPV12</stp>
        <stp>912833YK Govt</stp>
        <stp>ID_ISIN</stp>
        <stp>[STRIPS.xlsx]Sheet1!R584C12</stp>
        <tr r="L584" s="1"/>
      </tp>
      <tp t="s">
        <v>ZERO</v>
        <stp/>
        <stp>##V3_BDPV12</stp>
        <stp>912834TK Govt</stp>
        <stp>CPN_TYP</stp>
        <stp>[STRIPS.xlsx]Sheet1!R425C11</stp>
        <tr r="K425" s="1"/>
      </tp>
      <tp t="s">
        <v>ZERO</v>
        <stp/>
        <stp>##V3_BDPV12</stp>
        <stp>912834TN Govt</stp>
        <stp>CPN_TYP</stp>
        <stp>[STRIPS.xlsx]Sheet1!R158C11</stp>
        <tr r="K158" s="1"/>
      </tp>
      <tp t="s">
        <v>ZERO</v>
        <stp/>
        <stp>##V3_BDPV12</stp>
        <stp>912834TM Govt</stp>
        <stp>CPN_TYP</stp>
        <stp>[STRIPS.xlsx]Sheet1!R282C11</stp>
        <tr r="K282" s="1"/>
      </tp>
      <tp t="s">
        <v>ZERO</v>
        <stp/>
        <stp>##V3_BDPV12</stp>
        <stp>912834TJ Govt</stp>
        <stp>CPN_TYP</stp>
        <stp>[STRIPS.xlsx]Sheet1!R757C11</stp>
        <tr r="K757" s="1"/>
      </tp>
      <tp t="s">
        <v>ZERO</v>
        <stp/>
        <stp>##V3_BDPV12</stp>
        <stp>912834TL Govt</stp>
        <stp>CPN_TYP</stp>
        <stp>[STRIPS.xlsx]Sheet1!R195C11</stp>
        <tr r="K195" s="1"/>
      </tp>
      <tp t="s">
        <v>US912833YM62</v>
        <stp/>
        <stp>##V3_BDPV12</stp>
        <stp>912833YM Govt</stp>
        <stp>ID_ISIN</stp>
        <stp>[STRIPS.xlsx]Sheet1!R452C12</stp>
        <tr r="L452" s="1"/>
      </tp>
      <tp t="s">
        <v>#N/A Field Not Applicable</v>
        <stp/>
        <stp>##V3_BDPV12</stp>
        <stp>912834JP Govt</stp>
        <stp>COUPON_FREQUENCY_DESCRIPTION</stp>
        <stp>[STRIPS.xlsx]Sheet1!R34C10</stp>
        <tr r="J34" s="1"/>
      </tp>
      <tp t="s">
        <v>#N/A Field Not Applicable</v>
        <stp/>
        <stp>##V3_BDPV12</stp>
        <stp>912834JY Govt</stp>
        <stp>COUPON_FREQUENCY_DESCRIPTION</stp>
        <stp>[STRIPS.xlsx]Sheet1!R64C10</stp>
        <tr r="J64" s="1"/>
      </tp>
      <tp t="s">
        <v>#N/A Field Not Applicable</v>
        <stp/>
        <stp>##V3_BDPV12</stp>
        <stp>912834JB Govt</stp>
        <stp>COUPON_FREQUENCY_DESCRIPTION</stp>
        <stp>[STRIPS.xlsx]Sheet1!R82C10</stp>
        <tr r="J82" s="1"/>
      </tp>
      <tp t="s">
        <v>S 0 11/15/38</v>
        <stp/>
        <stp>##V3_BDPV12</stp>
        <stp>912834DU Govt</stp>
        <stp>SECURITY_NAME</stp>
        <stp>[STRIPS.xlsx]Sheet1!R87C16</stp>
        <tr r="P87" s="1"/>
      </tp>
      <tp t="s">
        <v>S 0 05/15/30</v>
        <stp/>
        <stp>##V3_BDPV12</stp>
        <stp>912833XU Govt</stp>
        <stp>SECURITY_NAME</stp>
        <stp>[STRIPS.xlsx]Sheet1!R30C16</stp>
        <tr r="P30" s="1"/>
      </tp>
      <tp t="s">
        <v>S 0 02/15/25</v>
        <stp/>
        <stp>##V3_BDPV12</stp>
        <stp>912833LU Govt</stp>
        <stp>SECURITY_NAME</stp>
        <stp>[STRIPS.xlsx]Sheet1!R22C16</stp>
        <tr r="P22" s="1"/>
      </tp>
      <tp t="s">
        <v>S 0 11/15/33</v>
        <stp/>
        <stp>##V3_BDPV12</stp>
        <stp>9128337U Govt</stp>
        <stp>SECURITY_NAME</stp>
        <stp>[STRIPS.xlsx]Sheet1!R46C16</stp>
        <tr r="P46" s="1"/>
      </tp>
      <tp t="s">
        <v>#N/A Field Not Applicable</v>
        <stp/>
        <stp>##V3_BDPV12</stp>
        <stp>912834JH Govt</stp>
        <stp>COUPON_FREQUENCY_DESCRIPTION</stp>
        <stp>[STRIPS.xlsx]Sheet1!R68C10</stp>
        <tr r="J68" s="1"/>
      </tp>
      <tp t="s">
        <v>#N/A Field Not Applicable</v>
        <stp/>
        <stp>##V3_BDPV12</stp>
        <stp>9128333Y Govt</stp>
        <stp>FIRST_CPN_DT</stp>
        <stp>[STRIPS.xlsx]Sheet1!R486C9</stp>
        <tr r="I486" s="1"/>
      </tp>
      <tp t="s">
        <v>#N/A Field Not Applicable</v>
        <stp/>
        <stp>##V3_BDPV12</stp>
        <stp>9128335Z Govt</stp>
        <stp>FIRST_CPN_DT</stp>
        <stp>[STRIPS.xlsx]Sheet1!R650C9</stp>
        <tr r="I650" s="1"/>
      </tp>
      <tp t="s">
        <v>UNITED STATES</v>
        <stp/>
        <stp>##V3_BDPV12</stp>
        <stp>912833PE Govt</stp>
        <stp>COUNTRY_FULL_NAME</stp>
        <stp>[STRIPS.xlsx]Sheet1!R15C8</stp>
        <tr r="H15" s="1"/>
      </tp>
      <tp t="s">
        <v>#N/A Field Not Applicable</v>
        <stp/>
        <stp>##V3_BDPV12</stp>
        <stp>9128333U Govt</stp>
        <stp>FIRST_CPN_DT</stp>
        <stp>[STRIPS.xlsx]Sheet1!R706C9</stp>
        <tr r="I706" s="1"/>
      </tp>
      <tp t="s">
        <v>#N/A Field Not Applicable</v>
        <stp/>
        <stp>##V3_BDPV12</stp>
        <stp>9128337K Govt</stp>
        <stp>FIRST_CPN_DT</stp>
        <stp>[STRIPS.xlsx]Sheet1!R292C9</stp>
        <tr r="I292" s="1"/>
      </tp>
      <tp t="s">
        <v>#N/A Field Not Applicable</v>
        <stp/>
        <stp>##V3_BDPV12</stp>
        <stp>9128334M Govt</stp>
        <stp>FIRST_CPN_DT</stp>
        <stp>[STRIPS.xlsx]Sheet1!R491C9</stp>
        <tr r="I491" s="1"/>
      </tp>
      <tp t="s">
        <v>#N/A Field Not Applicable</v>
        <stp/>
        <stp>##V3_BDPV12</stp>
        <stp>9128335M Govt</stp>
        <stp>FIRST_CPN_DT</stp>
        <stp>[STRIPS.xlsx]Sheet1!R710C9</stp>
        <tr r="I710" s="1"/>
      </tp>
      <tp t="s">
        <v>#N/A Field Not Applicable</v>
        <stp/>
        <stp>##V3_BDPV12</stp>
        <stp>9128335C Govt</stp>
        <stp>FIRST_CPN_DT</stp>
        <stp>[STRIPS.xlsx]Sheet1!R720C9</stp>
        <tr r="I720" s="1"/>
      </tp>
      <tp t="s">
        <v>#N/A Field Not Applicable</v>
        <stp/>
        <stp>##V3_BDPV12</stp>
        <stp>9128336C Govt</stp>
        <stp>FIRST_CPN_DT</stp>
        <stp>[STRIPS.xlsx]Sheet1!R713C9</stp>
        <tr r="I713" s="1"/>
      </tp>
      <tp t="s">
        <v>#N/A Field Not Applicable</v>
        <stp/>
        <stp>##V3_BDPV12</stp>
        <stp>9128332B Govt</stp>
        <stp>FIRST_CPN_DT</stp>
        <stp>[STRIPS.xlsx]Sheet1!R717C9</stp>
        <tr r="I717" s="1"/>
      </tp>
      <tp t="s">
        <v>#N/A Field Not Applicable</v>
        <stp/>
        <stp>##V3_BDPV12</stp>
        <stp>9128332E Govt</stp>
        <stp>FIRST_CPN_DT</stp>
        <stp>[STRIPS.xlsx]Sheet1!R597C9</stp>
        <tr r="I597" s="1"/>
      </tp>
      <tp t="s">
        <v>USD</v>
        <stp/>
        <stp>##V3_BDPV12</stp>
        <stp>912833C6 Govt</stp>
        <stp>CRNCY</stp>
        <stp>[STRIPS.xlsx]Sheet1!R563C7</stp>
        <tr r="G563" s="1"/>
      </tp>
      <tp t="s">
        <v>UNITED STATES</v>
        <stp/>
        <stp>##V3_BDPV12</stp>
        <stp>912833WR Govt</stp>
        <stp>COUNTRY_FULL_NAME</stp>
        <stp>[STRIPS.xlsx]Sheet1!R52C8</stp>
        <tr r="H52" s="1"/>
      </tp>
      <tp t="s">
        <v>US912833Z450</v>
        <stp/>
        <stp>##V3_BDPV12</stp>
        <stp>912833Z4 Govt</stp>
        <stp>ID_ISIN</stp>
        <stp>[STRIPS.xlsx]Sheet1!R382C12</stp>
        <tr r="L382" s="1"/>
      </tp>
      <tp t="s">
        <v>US912833Z609</v>
        <stp/>
        <stp>##V3_BDPV12</stp>
        <stp>912833Z6 Govt</stp>
        <stp>ID_ISIN</stp>
        <stp>[STRIPS.xlsx]Sheet1!R111C12</stp>
        <tr r="L111" s="1"/>
      </tp>
      <tp t="s">
        <v>US912833Z781</v>
        <stp/>
        <stp>##V3_BDPV12</stp>
        <stp>912833Z7 Govt</stp>
        <stp>ID_ISIN</stp>
        <stp>[STRIPS.xlsx]Sheet1!R696C12</stp>
        <tr r="L696" s="1"/>
      </tp>
      <tp t="s">
        <v>US912833Z864</v>
        <stp/>
        <stp>##V3_BDPV12</stp>
        <stp>912833Z8 Govt</stp>
        <stp>ID_ISIN</stp>
        <stp>[STRIPS.xlsx]Sheet1!R697C12</stp>
        <tr r="L697" s="1"/>
      </tp>
      <tp t="s">
        <v>US912833Z948</v>
        <stp/>
        <stp>##V3_BDPV12</stp>
        <stp>912833Z9 Govt</stp>
        <stp>ID_ISIN</stp>
        <stp>[STRIPS.xlsx]Sheet1!R526C12</stp>
        <tr r="L526" s="1"/>
      </tp>
      <tp t="s">
        <v>#N/A Field Not Applicable</v>
        <stp/>
        <stp>##V3_BDPV12</stp>
        <stp>9128334W Govt</stp>
        <stp>FIRST_CPN_DT</stp>
        <stp>[STRIPS.xlsx]Sheet1!R61C9</stp>
        <tr r="I61" s="1"/>
      </tp>
      <tp t="s">
        <v>US912833ZT07</v>
        <stp/>
        <stp>##V3_BDPV12</stp>
        <stp>912833ZT Govt</stp>
        <stp>ID_ISIN</stp>
        <stp>[STRIPS.xlsx]Sheet1!R347C12</stp>
        <tr r="L347" s="1"/>
      </tp>
      <tp t="s">
        <v>US912833ZS24</v>
        <stp/>
        <stp>##V3_BDPV12</stp>
        <stp>912833ZS Govt</stp>
        <stp>ID_ISIN</stp>
        <stp>[STRIPS.xlsx]Sheet1!R455C12</stp>
        <tr r="L455" s="1"/>
      </tp>
      <tp t="s">
        <v>US912833ZQ67</v>
        <stp/>
        <stp>##V3_BDPV12</stp>
        <stp>912833ZQ Govt</stp>
        <stp>ID_ISIN</stp>
        <stp>[STRIPS.xlsx]Sheet1!R639C12</stp>
        <tr r="L639" s="1"/>
      </tp>
      <tp t="s">
        <v>US912833ZU79</v>
        <stp/>
        <stp>##V3_BDPV12</stp>
        <stp>912833ZU Govt</stp>
        <stp>ID_ISIN</stp>
        <stp>[STRIPS.xlsx]Sheet1!R348C12</stp>
        <tr r="L348" s="1"/>
      </tp>
      <tp t="s">
        <v>ZERO</v>
        <stp/>
        <stp>##V3_BDPV12</stp>
        <stp>912834WQ Govt</stp>
        <stp>CPN_TYP</stp>
        <stp>[STRIPS.xlsx]Sheet1!R136C11</stp>
        <tr r="K136" s="1"/>
      </tp>
      <tp t="s">
        <v>US912833ZV52</v>
        <stp/>
        <stp>##V3_BDPV12</stp>
        <stp>912833ZV Govt</stp>
        <stp>ID_ISIN</stp>
        <stp>[STRIPS.xlsx]Sheet1!R254C12</stp>
        <tr r="L254" s="1"/>
      </tp>
      <tp t="s">
        <v>#N/A Field Not Applicable</v>
        <stp/>
        <stp>##V3_BDPV12</stp>
        <stp>912833XZ Govt</stp>
        <stp>FIRST_CPN_DT</stp>
        <stp>[STRIPS.xlsx]Sheet1!R31C9</stp>
        <tr r="I31" s="1"/>
      </tp>
      <tp t="s">
        <v>ZERO</v>
        <stp/>
        <stp>##V3_BDPV12</stp>
        <stp>912834WV Govt</stp>
        <stp>CPN_TYP</stp>
        <stp>[STRIPS.xlsx]Sheet1!R129C11</stp>
        <tr r="K129" s="1"/>
      </tp>
      <tp t="s">
        <v>ZERO</v>
        <stp/>
        <stp>##V3_BDPV12</stp>
        <stp>912834WW Govt</stp>
        <stp>CPN_TYP</stp>
        <stp>[STRIPS.xlsx]Sheet1!R185C11</stp>
        <tr r="K185" s="1"/>
      </tp>
      <tp t="s">
        <v>US912833ZR41</v>
        <stp/>
        <stp>##V3_BDPV12</stp>
        <stp>912833ZR Govt</stp>
        <stp>ID_ISIN</stp>
        <stp>[STRIPS.xlsx]Sheet1!R383C12</stp>
        <tr r="L383" s="1"/>
      </tp>
      <tp t="s">
        <v>US912833ZP84</v>
        <stp/>
        <stp>##V3_BDPV12</stp>
        <stp>912833ZP Govt</stp>
        <stp>ID_ISIN</stp>
        <stp>[STRIPS.xlsx]Sheet1!R192C12</stp>
        <tr r="L192" s="1"/>
      </tp>
      <tp t="s">
        <v>US912833ZW36</v>
        <stp/>
        <stp>##V3_BDPV12</stp>
        <stp>912833ZW Govt</stp>
        <stp>ID_ISIN</stp>
        <stp>[STRIPS.xlsx]Sheet1!R640C12</stp>
        <tr r="L640" s="1"/>
      </tp>
      <tp t="s">
        <v>ZERO</v>
        <stp/>
        <stp>##V3_BDPV12</stp>
        <stp>912834WU Govt</stp>
        <stp>CPN_TYP</stp>
        <stp>[STRIPS.xlsx]Sheet1!R166C11</stp>
        <tr r="K166" s="1"/>
      </tp>
      <tp t="s">
        <v>9128335Y2</v>
        <stp/>
        <stp>##V3_BDPV12</stp>
        <stp>9128335Y Govt</stp>
        <stp>ID_CUSIP</stp>
        <stp>[STRIPS.xlsx]Sheet1!R726C19</stp>
        <tr r="S726" s="1"/>
      </tp>
      <tp t="s">
        <v>US912833ZZ66</v>
        <stp/>
        <stp>##V3_BDPV12</stp>
        <stp>912833ZZ Govt</stp>
        <stp>ID_ISIN</stp>
        <stp>[STRIPS.xlsx]Sheet1!R528C12</stp>
        <tr r="L528" s="1"/>
      </tp>
      <tp t="s">
        <v>2/2/1998</v>
        <stp/>
        <stp>##V3_BDPV12</stp>
        <stp>912833RB Govt</stp>
        <stp>ISSUE_DT</stp>
        <stp>[STRIPS.xlsx]Sheet1!R689C15</stp>
        <tr r="O689" s="1"/>
      </tp>
      <tp t="s">
        <v>6/30/2005</v>
        <stp/>
        <stp>##V3_BDPV12</stp>
        <stp>9128334B Govt</stp>
        <stp>ISSUE_DT</stp>
        <stp>[STRIPS.xlsx]Sheet1!R603C15</stp>
        <tr r="O603" s="1"/>
      </tp>
      <tp t="s">
        <v>2/15/1985</v>
        <stp/>
        <stp>##V3_BDPV12</stp>
        <stp>912833CB Govt</stp>
        <stp>ISSUE_DT</stp>
        <stp>[STRIPS.xlsx]Sheet1!R614C15</stp>
        <tr r="O614" s="1"/>
      </tp>
      <tp t="s">
        <v>10/15/1996</v>
        <stp/>
        <stp>##V3_BDPV12</stp>
        <stp>912833NB Govt</stp>
        <stp>ISSUE_DT</stp>
        <stp>[STRIPS.xlsx]Sheet1!R629C15</stp>
        <tr r="O629" s="1"/>
      </tp>
      <tp t="s">
        <v>6/15/2009</v>
        <stp/>
        <stp>##V3_BDPV12</stp>
        <stp>912834EB Govt</stp>
        <stp>ISSUE_DT</stp>
        <stp>[STRIPS.xlsx]Sheet1!R644C15</stp>
        <tr r="O644" s="1"/>
      </tp>
      <tp t="s">
        <v>11/15/1984</v>
        <stp/>
        <stp>##V3_BDPV12</stp>
        <stp>912833GB Govt</stp>
        <stp>ISSUE_DT</stp>
        <stp>[STRIPS.xlsx]Sheet1!R666C15</stp>
        <tr r="O666" s="1"/>
      </tp>
      <tp t="s">
        <v>912833FY1</v>
        <stp/>
        <stp>##V3_BDPV12</stp>
        <stp>912833FY Govt</stp>
        <stp>ID_CUSIP</stp>
        <stp>[STRIPS.xlsx]Sheet1!R665C19</stp>
        <tr r="S665" s="1"/>
      </tp>
      <tp t="s">
        <v>912834AY4</v>
        <stp/>
        <stp>##V3_BDPV12</stp>
        <stp>912834AY Govt</stp>
        <stp>ID_CUSIP</stp>
        <stp>[STRIPS.xlsx]Sheet1!R642C19</stp>
        <tr r="S642" s="1"/>
      </tp>
      <tp t="s">
        <v>912833QY9</v>
        <stp/>
        <stp>##V3_BDPV12</stp>
        <stp>912833QY Govt</stp>
        <stp>ID_CUSIP</stp>
        <stp>[STRIPS.xlsx]Sheet1!R633C19</stp>
        <tr r="S633" s="1"/>
      </tp>
      <tp t="s">
        <v>7/31/2020</v>
        <stp/>
        <stp>##V3_BDPV12</stp>
        <stp>912834WB Govt</stp>
        <stp>ISSUE_DT</stp>
        <stp>[STRIPS.xlsx]Sheet1!R771C15</stp>
        <tr r="O771" s="1"/>
      </tp>
      <tp t="s">
        <v>3/15/2004</v>
        <stp/>
        <stp>##V3_BDPV12</stp>
        <stp>9128332B Govt</stp>
        <stp>ISSUE_DT</stp>
        <stp>[STRIPS.xlsx]Sheet1!R717C15</stp>
        <tr r="O717" s="1"/>
      </tp>
      <tp t="s">
        <v>5/31/2006</v>
        <stp/>
        <stp>##V3_BDPV12</stp>
        <stp>9128336B Govt</stp>
        <stp>ISSUE_DT</stp>
        <stp>[STRIPS.xlsx]Sheet1!R727C15</stp>
        <tr r="O727" s="1"/>
      </tp>
      <tp t="s">
        <v>#N/A Field Not Applicable</v>
        <stp/>
        <stp>##V3_BDPV12</stp>
        <stp>912834RR Govt</stp>
        <stp>FIRST_CPN_DT</stp>
        <stp>[STRIPS.xlsx]Sheet1!R86C9</stp>
        <tr r="I86" s="1"/>
      </tp>
      <tp t="s">
        <v>912833MY3</v>
        <stp/>
        <stp>##V3_BDPV12</stp>
        <stp>912833MY Govt</stp>
        <stp>ID_CUSIP</stp>
        <stp>[STRIPS.xlsx]Sheet1!R569C19</stp>
        <tr r="S569" s="1"/>
      </tp>
      <tp t="s">
        <v>912834LY2</v>
        <stp/>
        <stp>##V3_BDPV12</stp>
        <stp>912834LY Govt</stp>
        <stp>ID_CUSIP</stp>
        <stp>[STRIPS.xlsx]Sheet1!R539C19</stp>
        <tr r="S539" s="1"/>
      </tp>
      <tp t="s">
        <v>US912833ZX19</v>
        <stp/>
        <stp>##V3_BDPV12</stp>
        <stp>912833ZX Govt</stp>
        <stp>ID_ISIN</stp>
        <stp>[STRIPS.xlsx]Sheet1!R588C12</stp>
        <tr r="L588" s="1"/>
      </tp>
      <tp t="s">
        <v>912833BY5</v>
        <stp/>
        <stp>##V3_BDPV12</stp>
        <stp>912833BY Govt</stp>
        <stp>ID_CUSIP</stp>
        <stp>[STRIPS.xlsx]Sheet1!R501C19</stp>
        <tr r="S501" s="1"/>
      </tp>
      <tp t="s">
        <v>912833KY5</v>
        <stp/>
        <stp>##V3_BDPV12</stp>
        <stp>912833KY Govt</stp>
        <stp>ID_CUSIP</stp>
        <stp>[STRIPS.xlsx]Sheet1!R513C19</stp>
        <tr r="S513" s="1"/>
      </tp>
      <tp t="s">
        <v>8/31/2001</v>
        <stp/>
        <stp>##V3_BDPV12</stp>
        <stp>912833YB Govt</stp>
        <stp>ISSUE_DT</stp>
        <stp>[STRIPS.xlsx]Sheet1!R451C15</stp>
        <tr r="O451" s="1"/>
      </tp>
      <tp t="s">
        <v>12/2/2002</v>
        <stp/>
        <stp>##V3_BDPV12</stp>
        <stp>912833ZB Govt</stp>
        <stp>ISSUE_DT</stp>
        <stp>[STRIPS.xlsx]Sheet1!R454C15</stp>
        <tr r="O454" s="1"/>
      </tp>
      <tp t="s">
        <v>12/15/2017</v>
        <stp/>
        <stp>##V3_BDPV12</stp>
        <stp>912834TB Govt</stp>
        <stp>ISSUE_DT</stp>
        <stp>[STRIPS.xlsx]Sheet1!R424C15</stp>
        <tr r="O424" s="1"/>
      </tp>
      <tp t="s">
        <v>#N/A Field Not Applicable</v>
        <stp/>
        <stp>##V3_BDPV12</stp>
        <stp>912834QH Govt</stp>
        <stp>FIRST_CPN_DT</stp>
        <stp>[STRIPS.xlsx]Sheet1!R96C9</stp>
        <tr r="I96" s="1"/>
      </tp>
      <tp t="s">
        <v>912833YY0</v>
        <stp/>
        <stp>##V3_BDPV12</stp>
        <stp>912833YY Govt</stp>
        <stp>ID_CUSIP</stp>
        <stp>[STRIPS.xlsx]Sheet1!R453C19</stp>
        <tr r="S453" s="1"/>
      </tp>
      <tp t="s">
        <v>9128336Y1</v>
        <stp/>
        <stp>##V3_BDPV12</stp>
        <stp>9128336Y Govt</stp>
        <stp>ID_CUSIP</stp>
        <stp>[STRIPS.xlsx]Sheet1!R429C19</stp>
        <tr r="S429" s="1"/>
      </tp>
      <tp t="s">
        <v>912834KY3</v>
        <stp/>
        <stp>##V3_BDPV12</stp>
        <stp>912834KY Govt</stp>
        <stp>ID_CUSIP</stp>
        <stp>[STRIPS.xlsx]Sheet1!R472C19</stp>
        <tr r="S472" s="1"/>
      </tp>
      <tp t="s">
        <v>ZERO</v>
        <stp/>
        <stp>##V3_BDPV12</stp>
        <stp>912834WY Govt</stp>
        <stp>CPN_TYP</stp>
        <stp>[STRIPS.xlsx]Sheet1!R189C11</stp>
        <tr r="K189" s="1"/>
      </tp>
      <tp t="s">
        <v>9128333Y4</v>
        <stp/>
        <stp>##V3_BDPV12</stp>
        <stp>9128333Y Govt</stp>
        <stp>ID_CUSIP</stp>
        <stp>[STRIPS.xlsx]Sheet1!R486C19</stp>
        <tr r="S486" s="1"/>
      </tp>
      <tp t="s">
        <v>12/16/2013</v>
        <stp/>
        <stp>##V3_BDPV12</stp>
        <stp>912834NB Govt</stp>
        <stp>ISSUE_DT</stp>
        <stp>[STRIPS.xlsx]Sheet1!R544C15</stp>
        <tr r="O544" s="1"/>
      </tp>
      <tp t="s">
        <v>1/15/2013</v>
        <stp/>
        <stp>##V3_BDPV12</stp>
        <stp>912834MB Govt</stp>
        <stp>ISSUE_DT</stp>
        <stp>[STRIPS.xlsx]Sheet1!R540C15</stp>
        <tr r="O540" s="1"/>
      </tp>
      <tp t="s">
        <v>912833CY4</v>
        <stp/>
        <stp>##V3_BDPV12</stp>
        <stp>912833CY Govt</stp>
        <stp>ID_CUSIP</stp>
        <stp>[STRIPS.xlsx]Sheet1!R363C19</stp>
        <tr r="S363" s="1"/>
      </tp>
      <tp t="s">
        <v>912834EY0</v>
        <stp/>
        <stp>##V3_BDPV12</stp>
        <stp>912834EY Govt</stp>
        <stp>ID_CUSIP</stp>
        <stp>[STRIPS.xlsx]Sheet1!R313C19</stp>
        <tr r="S313" s="1"/>
      </tp>
      <tp t="s">
        <v>912833PY0</v>
        <stp/>
        <stp>##V3_BDPV12</stp>
        <stp>912833PY Govt</stp>
        <stp>ID_CUSIP</stp>
        <stp>[STRIPS.xlsx]Sheet1!R340C19</stp>
        <tr r="S340" s="1"/>
      </tp>
      <tp t="s">
        <v>912834MY1</v>
        <stp/>
        <stp>##V3_BDPV12</stp>
        <stp>912834MY Govt</stp>
        <stp>ID_CUSIP</stp>
        <stp>[STRIPS.xlsx]Sheet1!R328C19</stp>
        <tr r="S328" s="1"/>
      </tp>
      <tp t="s">
        <v>ZERO</v>
        <stp/>
        <stp>##V3_BDPV12</stp>
        <stp>912834WX Govt</stp>
        <stp>CPN_TYP</stp>
        <stp>[STRIPS.xlsx]Sheet1!R776C11</stp>
        <tr r="K776" s="1"/>
      </tp>
      <tp t="s">
        <v>US912833ZY91</v>
        <stp/>
        <stp>##V3_BDPV12</stp>
        <stp>912833ZY Govt</stp>
        <stp>ID_ISIN</stp>
        <stp>[STRIPS.xlsx]Sheet1!R255C12</stp>
        <tr r="L255" s="1"/>
      </tp>
      <tp t="s">
        <v>6/30/2008</v>
        <stp/>
        <stp>##V3_BDPV12</stp>
        <stp>912834AB Govt</stp>
        <stp>ISSUE_DT</stp>
        <stp>[STRIPS.xlsx]Sheet1!R256C15</stp>
        <tr r="O256" s="1"/>
      </tp>
      <tp t="s">
        <v>912834VY1</v>
        <stp/>
        <stp>##V3_BDPV12</stp>
        <stp>912834VY Govt</stp>
        <stp>ID_CUSIP</stp>
        <stp>[STRIPS.xlsx]Sheet1!R218C19</stp>
        <tr r="S218" s="1"/>
      </tp>
      <tp t="s">
        <v>912834PY8</v>
        <stp/>
        <stp>##V3_BDPV12</stp>
        <stp>912834PY Govt</stp>
        <stp>ID_CUSIP</stp>
        <stp>[STRIPS.xlsx]Sheet1!R202C19</stp>
        <tr r="S202" s="1"/>
      </tp>
      <tp t="s">
        <v>912834HY7</v>
        <stp/>
        <stp>##V3_BDPV12</stp>
        <stp>912834HY Govt</stp>
        <stp>ID_CUSIP</stp>
        <stp>[STRIPS.xlsx]Sheet1!R226C19</stp>
        <tr r="S226" s="1"/>
      </tp>
      <tp t="s">
        <v>912833ZY9</v>
        <stp/>
        <stp>##V3_BDPV12</stp>
        <stp>912833ZY Govt</stp>
        <stp>ID_CUSIP</stp>
        <stp>[STRIPS.xlsx]Sheet1!R255C19</stp>
        <tr r="S255" s="1"/>
      </tp>
      <tp t="s">
        <v>912834DY1</v>
        <stp/>
        <stp>##V3_BDPV12</stp>
        <stp>912834DY Govt</stp>
        <stp>ID_CUSIP</stp>
        <stp>[STRIPS.xlsx]Sheet1!R264C19</stp>
        <tr r="S264" s="1"/>
      </tp>
      <tp t="s">
        <v>3/16/2009</v>
        <stp/>
        <stp>##V3_BDPV12</stp>
        <stp>912834BB Govt</stp>
        <stp>ISSUE_DT</stp>
        <stp>[STRIPS.xlsx]Sheet1!R349C15</stp>
        <tr r="O349" s="1"/>
      </tp>
      <tp t="s">
        <v>11/15/1990</v>
        <stp/>
        <stp>##V3_BDPV12</stp>
        <stp>912833LB Govt</stp>
        <stp>ISSUE_DT</stp>
        <stp>[STRIPS.xlsx]Sheet1!R332C15</stp>
        <tr r="O332" s="1"/>
      </tp>
      <tp t="s">
        <v>11/15/1985</v>
        <stp/>
        <stp>##V3_BDPV12</stp>
        <stp>912833KB Govt</stp>
        <stp>ISSUE_DT</stp>
        <stp>[STRIPS.xlsx]Sheet1!R367C15</stp>
        <tr r="O367" s="1"/>
      </tp>
      <tp t="s">
        <v>912833JY7</v>
        <stp/>
        <stp>##V3_BDPV12</stp>
        <stp>912833JY Govt</stp>
        <stp>ID_CUSIP</stp>
        <stp>[STRIPS.xlsx]Sheet1!R173C19</stp>
        <tr r="S173" s="1"/>
      </tp>
      <tp t="s">
        <v>912834QY7</v>
        <stp/>
        <stp>##V3_BDPV12</stp>
        <stp>912834QY Govt</stp>
        <stp>ID_CUSIP</stp>
        <stp>[STRIPS.xlsx]Sheet1!R134C19</stp>
        <tr r="S134" s="1"/>
      </tp>
      <tp t="s">
        <v>912834NY0</v>
        <stp/>
        <stp>##V3_BDPV12</stp>
        <stp>912834NY Govt</stp>
        <stp>ID_CUSIP</stp>
        <stp>[STRIPS.xlsx]Sheet1!R143C19</stp>
        <tr r="S143" s="1"/>
      </tp>
      <tp t="s">
        <v>912834TY4</v>
        <stp/>
        <stp>##V3_BDPV12</stp>
        <stp>912834TY Govt</stp>
        <stp>ID_CUSIP</stp>
        <stp>[STRIPS.xlsx]Sheet1!R199C19</stp>
        <tr r="S199" s="1"/>
      </tp>
      <tp t="s">
        <v>912834WY0</v>
        <stp/>
        <stp>##V3_BDPV12</stp>
        <stp>912834WY Govt</stp>
        <stp>ID_CUSIP</stp>
        <stp>[STRIPS.xlsx]Sheet1!R189C19</stp>
        <tr r="S189" s="1"/>
      </tp>
      <tp t="s">
        <v>6/15/2021</v>
        <stp/>
        <stp>##V3_BDPV12</stp>
        <stp>912834XB Govt</stp>
        <stp>ISSUE_DT</stp>
        <stp>[STRIPS.xlsx]Sheet1!R183C15</stp>
        <tr r="O183" s="1"/>
      </tp>
      <tp t="s">
        <v>9/30/2019</v>
        <stp/>
        <stp>##V3_BDPV12</stp>
        <stp>912834VB Govt</stp>
        <stp>ISSUE_DT</stp>
        <stp>[STRIPS.xlsx]Sheet1!R159C15</stp>
        <tr r="O159" s="1"/>
      </tp>
      <tp t="s">
        <v>2/16/2010</v>
        <stp/>
        <stp>##V3_BDPV12</stp>
        <stp>912834FB Govt</stp>
        <stp>ISSUE_DT</stp>
        <stp>[STRIPS.xlsx]Sheet1!R120C15</stp>
        <tr r="O120" s="1"/>
      </tp>
      <tp t="s">
        <v>2/15/2017</v>
        <stp/>
        <stp>##V3_BDPV12</stp>
        <stp>912834RB Govt</stp>
        <stp>ISSUE_DT</stp>
        <stp>[STRIPS.xlsx]Sheet1!R112C15</stp>
        <tr r="O112" s="1"/>
      </tp>
      <tp t="s">
        <v>11/15/2018</v>
        <stp/>
        <stp>##V3_BDPV12</stp>
        <stp>912834UB Govt</stp>
        <stp>ISSUE_DT</stp>
        <stp>[STRIPS.xlsx]Sheet1!R113C15</stp>
        <tr r="O113" s="1"/>
      </tp>
      <tp t="s">
        <v>5/15/2015</v>
        <stp/>
        <stp>##V3_BDPV12</stp>
        <stp>912834KB Govt</stp>
        <stp>ISSUE_DT</stp>
        <stp>[STRIPS.xlsx]Sheet1!R110C15</stp>
        <tr r="O110" s="1"/>
      </tp>
      <tp t="s">
        <v>2/15/1985</v>
        <stp/>
        <stp>##V3_BDPV12</stp>
        <stp>912833DB Govt</stp>
        <stp>ISSUE_DT</stp>
        <stp>[STRIPS.xlsx]Sheet1!R162C15</stp>
        <tr r="O162" s="1"/>
      </tp>
      <tp t="s">
        <v>11/17/2014</v>
        <stp/>
        <stp>##V3_BDPV12</stp>
        <stp>912834PB Govt</stp>
        <stp>ISSUE_DT</stp>
        <stp>[STRIPS.xlsx]Sheet1!R109C15</stp>
        <tr r="O109" s="1"/>
      </tp>
      <tp t="s">
        <v>US912833ZE38</v>
        <stp/>
        <stp>##V3_BDPV12</stp>
        <stp>912833ZE Govt</stp>
        <stp>ID_ISIN</stp>
        <stp>[STRIPS.xlsx]Sheet1!R252C12</stp>
        <tr r="L252" s="1"/>
      </tp>
      <tp t="s">
        <v>#N/A Field Not Applicable</v>
        <stp/>
        <stp>##V3_BDPV12</stp>
        <stp>912834KH Govt</stp>
        <stp>FIRST_CPN_DT</stp>
        <stp>[STRIPS.xlsx]Sheet1!R56C9</stp>
        <tr r="I56" s="1"/>
      </tp>
      <tp t="s">
        <v>US912833ZB98</v>
        <stp/>
        <stp>##V3_BDPV12</stp>
        <stp>912833ZB Govt</stp>
        <stp>ID_ISIN</stp>
        <stp>[STRIPS.xlsx]Sheet1!R454C12</stp>
        <tr r="L454" s="1"/>
      </tp>
      <tp t="s">
        <v>ZERO</v>
        <stp/>
        <stp>##V3_BDPV12</stp>
        <stp>912834WF Govt</stp>
        <stp>CPN_TYP</stp>
        <stp>[STRIPS.xlsx]Sheet1!R770C11</stp>
        <tr r="K770" s="1"/>
      </tp>
      <tp t="s">
        <v>US912833ZG85</v>
        <stp/>
        <stp>##V3_BDPV12</stp>
        <stp>912833ZG Govt</stp>
        <stp>ID_ISIN</stp>
        <stp>[STRIPS.xlsx]Sheet1!R253C12</stp>
        <tr r="L253" s="1"/>
      </tp>
      <tp t="s">
        <v>ZERO</v>
        <stp/>
        <stp>##V3_BDPV12</stp>
        <stp>912834WG Govt</stp>
        <stp>CPN_TYP</stp>
        <stp>[STRIPS.xlsx]Sheet1!R772C11</stp>
        <tr r="K772" s="1"/>
      </tp>
      <tp t="s">
        <v>ZERO</v>
        <stp/>
        <stp>##V3_BDPV12</stp>
        <stp>912834WE Govt</stp>
        <stp>CPN_TYP</stp>
        <stp>[STRIPS.xlsx]Sheet1!R223C11</stp>
        <tr r="K223" s="1"/>
      </tp>
      <tp t="s">
        <v>US912833ZF03</v>
        <stp/>
        <stp>##V3_BDPV12</stp>
        <stp>912833ZF Govt</stp>
        <stp>ID_ISIN</stp>
        <stp>[STRIPS.xlsx]Sheet1!R587C12</stp>
        <tr r="L587" s="1"/>
      </tp>
      <tp t="s">
        <v>US912833ZA16</v>
        <stp/>
        <stp>##V3_BDPV12</stp>
        <stp>912833ZA Govt</stp>
        <stp>ID_ISIN</stp>
        <stp>[STRIPS.xlsx]Sheet1!R251C12</stp>
        <tr r="L251" s="1"/>
      </tp>
      <tp t="s">
        <v>US912833ZD54</v>
        <stp/>
        <stp>##V3_BDPV12</stp>
        <stp>912833ZD Govt</stp>
        <stp>ID_ISIN</stp>
        <stp>[STRIPS.xlsx]Sheet1!R637C12</stp>
        <tr r="L637" s="1"/>
      </tp>
      <tp t="s">
        <v>ZERO</v>
        <stp/>
        <stp>##V3_BDPV12</stp>
        <stp>912834WB Govt</stp>
        <stp>CPN_TYP</stp>
        <stp>[STRIPS.xlsx]Sheet1!R771C11</stp>
        <tr r="K771" s="1"/>
      </tp>
      <tp t="s">
        <v>ZERO</v>
        <stp/>
        <stp>##V3_BDPV12</stp>
        <stp>912834WD Govt</stp>
        <stp>CPN_TYP</stp>
        <stp>[STRIPS.xlsx]Sheet1!R186C11</stp>
        <tr r="K186" s="1"/>
      </tp>
      <tp t="s">
        <v>US912833ZC71</v>
        <stp/>
        <stp>##V3_BDPV12</stp>
        <stp>912833ZC Govt</stp>
        <stp>ID_ISIN</stp>
        <stp>[STRIPS.xlsx]Sheet1!R346C12</stp>
        <tr r="L346" s="1"/>
      </tp>
      <tp t="s">
        <v>#N/A Field Not Applicable</v>
        <stp/>
        <stp>##V3_BDPV12</stp>
        <stp>912833LK Govt</stp>
        <stp>FIRST_CPN_DT</stp>
        <stp>[STRIPS.xlsx]Sheet1!R21C9</stp>
        <tr r="I21" s="1"/>
      </tp>
      <tp t="s">
        <v>#N/A Field Not Applicable</v>
        <stp/>
        <stp>##V3_BDPV12</stp>
        <stp>912833LT Govt</stp>
        <stp>FIRST_CPN_DT</stp>
        <stp>[STRIPS.xlsx]Sheet1!R11C9</stp>
        <tr r="I11" s="1"/>
      </tp>
      <tp t="s">
        <v>ZERO</v>
        <stp/>
        <stp>##V3_BDPV12</stp>
        <stp>912834WL Govt</stp>
        <stp>CPN_TYP</stp>
        <stp>[STRIPS.xlsx]Sheet1!R768C11</stp>
        <tr r="K768" s="1"/>
      </tp>
      <tp t="s">
        <v>US912833ZJ25</v>
        <stp/>
        <stp>##V3_BDPV12</stp>
        <stp>912833ZJ Govt</stp>
        <stp>ID_ISIN</stp>
        <stp>[STRIPS.xlsx]Sheet1!R527C12</stp>
        <tr r="L527" s="1"/>
      </tp>
      <tp t="s">
        <v>ZERO</v>
        <stp/>
        <stp>##V3_BDPV12</stp>
        <stp>912834WH Govt</stp>
        <stp>CPN_TYP</stp>
        <stp>[STRIPS.xlsx]Sheet1!R215C11</stp>
        <tr r="K215" s="1"/>
      </tp>
      <tp t="s">
        <v>US912833ZH68</v>
        <stp/>
        <stp>##V3_BDPV12</stp>
        <stp>912833ZH Govt</stp>
        <stp>ID_ISIN</stp>
        <stp>[STRIPS.xlsx]Sheet1!R698C12</stp>
        <tr r="L698" s="1"/>
      </tp>
      <tp t="s">
        <v>#N/A Field Not Applicable</v>
        <stp/>
        <stp>##V3_BDPV12</stp>
        <stp>912834AT Govt</stp>
        <stp>FIRST_CPN_DT</stp>
        <stp>[STRIPS.xlsx]Sheet1!R76C9</stp>
        <tr r="I76" s="1"/>
      </tp>
      <tp t="s">
        <v>US912833ZM53</v>
        <stp/>
        <stp>##V3_BDPV12</stp>
        <stp>912833ZM Govt</stp>
        <stp>ID_ISIN</stp>
        <stp>[STRIPS.xlsx]Sheet1!R699C12</stp>
        <tr r="L699" s="1"/>
      </tp>
      <tp t="s">
        <v>ZERO</v>
        <stp/>
        <stp>##V3_BDPV12</stp>
        <stp>912834WN Govt</stp>
        <stp>CPN_TYP</stp>
        <stp>[STRIPS.xlsx]Sheet1!R191C11</stp>
        <tr r="K191" s="1"/>
      </tp>
      <tp t="s">
        <v>ZERO</v>
        <stp/>
        <stp>##V3_BDPV12</stp>
        <stp>912834WK Govt</stp>
        <stp>CPN_TYP</stp>
        <stp>[STRIPS.xlsx]Sheet1!R775C11</stp>
        <tr r="K775" s="1"/>
      </tp>
      <tp t="s">
        <v>ZERO</v>
        <stp/>
        <stp>##V3_BDPV12</stp>
        <stp>912834WM Govt</stp>
        <stp>CPN_TYP</stp>
        <stp>[STRIPS.xlsx]Sheet1!R188C11</stp>
        <tr r="K188" s="1"/>
      </tp>
      <tp t="s">
        <v>US912833ZN37</v>
        <stp/>
        <stp>##V3_BDPV12</stp>
        <stp>912833ZN Govt</stp>
        <stp>ID_ISIN</stp>
        <stp>[STRIPS.xlsx]Sheet1!R638C12</stp>
        <tr r="L638" s="1"/>
      </tp>
      <tp t="s">
        <v>S 0 08/15/48</v>
        <stp/>
        <stp>##V3_BDPV12</stp>
        <stp>912834TV Govt</stp>
        <stp>SECURITY_NAME</stp>
        <stp>[STRIPS.xlsx]Sheet1!R90C16</stp>
        <tr r="P90" s="1"/>
      </tp>
      <tp t="s">
        <v>S 0 05/15/25</v>
        <stp/>
        <stp>##V3_BDPV12</stp>
        <stp>912833LV Govt</stp>
        <stp>SECURITY_NAME</stp>
        <stp>[STRIPS.xlsx]Sheet1!R39C16</stp>
        <tr r="P39" s="1"/>
      </tp>
      <tp t="s">
        <v>S 0 05/15/50</v>
        <stp/>
        <stp>##V3_BDPV12</stp>
        <stp>912834VV Govt</stp>
        <stp>SECURITY_NAME</stp>
        <stp>[STRIPS.xlsx]Sheet1!R51C16</stp>
        <tr r="P51" s="1"/>
      </tp>
      <tp t="s">
        <v>S 0 11/15/41</v>
        <stp/>
        <stp>##V3_BDPV12</stp>
        <stp>912834KV Govt</stp>
        <stp>SECURITY_NAME</stp>
        <stp>[STRIPS.xlsx]Sheet1!R57C16</stp>
        <tr r="P57" s="1"/>
      </tp>
      <tp t="s">
        <v>S 0 05/15/40</v>
        <stp/>
        <stp>##V3_BDPV12</stp>
        <stp>912834HV Govt</stp>
        <stp>SECURITY_NAME</stp>
        <stp>[STRIPS.xlsx]Sheet1!R70C16</stp>
        <tr r="P70" s="1"/>
      </tp>
      <tp t="s">
        <v>S 0 02/15/33</v>
        <stp/>
        <stp>##V3_BDPV12</stp>
        <stp>9128334V Govt</stp>
        <stp>SECURITY_NAME</stp>
        <stp>[STRIPS.xlsx]Sheet1!R69C16</stp>
        <tr r="P69" s="1"/>
      </tp>
      <tp t="s">
        <v>UNITED STATES</v>
        <stp/>
        <stp>##V3_BDPV12</stp>
        <stp>912834PM Govt</stp>
        <stp>COUNTRY_FULL_NAME</stp>
        <stp>[STRIPS.xlsx]Sheet1!R84C8</stp>
        <tr r="H84" s="1"/>
      </tp>
      <tp t="s">
        <v>#N/A Field Not Applicable</v>
        <stp/>
        <stp>##V3_BDPV12</stp>
        <stp>9128335Q Govt</stp>
        <stp>FIRST_CPN_DT</stp>
        <stp>[STRIPS.xlsx]Sheet1!R711C9</stp>
        <tr r="I711" s="1"/>
      </tp>
      <tp t="s">
        <v>UNITED STATES</v>
        <stp/>
        <stp>##V3_BDPV12</stp>
        <stp>912833PC Govt</stp>
        <stp>COUNTRY_FULL_NAME</stp>
        <stp>[STRIPS.xlsx]Sheet1!R14C8</stp>
        <tr r="H14" s="1"/>
      </tp>
      <tp t="s">
        <v>#N/A Field Not Applicable</v>
        <stp/>
        <stp>##V3_BDPV12</stp>
        <stp>9128334K Govt</stp>
        <stp>FIRST_CPN_DT</stp>
        <stp>[STRIPS.xlsx]Sheet1!R490C9</stp>
        <tr r="I490" s="1"/>
      </tp>
      <tp t="s">
        <v>#N/A Field Not Applicable</v>
        <stp/>
        <stp>##V3_BDPV12</stp>
        <stp>9128333J Govt</stp>
        <stp>FIRST_CPN_DT</stp>
        <stp>[STRIPS.xlsx]Sheet1!R427C9</stp>
        <tr r="I427" s="1"/>
      </tp>
      <tp t="s">
        <v>UNITED STATES</v>
        <stp/>
        <stp>##V3_BDPV12</stp>
        <stp>912833RZ Govt</stp>
        <stp>COUNTRY_FULL_NAME</stp>
        <stp>[STRIPS.xlsx]Sheet1!R26C8</stp>
        <tr r="H26" s="1"/>
      </tp>
      <tp t="s">
        <v>UNITED STATES</v>
        <stp/>
        <stp>##V3_BDPV12</stp>
        <stp>912834TV Govt</stp>
        <stp>COUNTRY_FULL_NAME</stp>
        <stp>[STRIPS.xlsx]Sheet1!R90C8</stp>
        <tr r="H90" s="1"/>
      </tp>
      <tp t="s">
        <v>USD</v>
        <stp/>
        <stp>##V3_BDPV12</stp>
        <stp>912833A4 Govt</stp>
        <stp>CRNCY</stp>
        <stp>[STRIPS.xlsx]Sheet1!R330C7</stp>
        <tr r="G330" s="1"/>
      </tp>
      <tp t="s">
        <v>USD</v>
        <stp/>
        <stp>##V3_BDPV12</stp>
        <stp>912833B5 Govt</stp>
        <stp>CRNCY</stp>
        <stp>[STRIPS.xlsx]Sheet1!R331C7</stp>
        <tr r="G331" s="1"/>
      </tp>
      <tp t="s">
        <v>USD</v>
        <stp/>
        <stp>##V3_BDPV12</stp>
        <stp>912833B7 Govt</stp>
        <stp>CRNCY</stp>
        <stp>[STRIPS.xlsx]Sheet1!R433C7</stp>
        <tr r="G433" s="1"/>
      </tp>
      <tp t="s">
        <v>USD</v>
        <stp/>
        <stp>##V3_BDPV12</stp>
        <stp>912833Y7 Govt</stp>
        <stp>CRNCY</stp>
        <stp>[STRIPS.xlsx]Sheet1!R583C7</stp>
        <tr r="G583" s="1"/>
      </tp>
      <tp t="s">
        <v>USD</v>
        <stp/>
        <stp>##V3_BDPV12</stp>
        <stp>912833A6 Govt</stp>
        <stp>CRNCY</stp>
        <stp>[STRIPS.xlsx]Sheet1!R652C7</stp>
        <tr r="G652" s="1"/>
      </tp>
      <tp t="s">
        <v>USD</v>
        <stp/>
        <stp>##V3_BDPV12</stp>
        <stp>912833A7 Govt</stp>
        <stp>CRNCY</stp>
        <stp>[STRIPS.xlsx]Sheet1!R653C7</stp>
        <tr r="G653" s="1"/>
      </tp>
      <tp t="s">
        <v>UNITED STATES</v>
        <stp/>
        <stp>##V3_BDPV12</stp>
        <stp>912834RR Govt</stp>
        <stp>COUNTRY_FULL_NAME</stp>
        <stp>[STRIPS.xlsx]Sheet1!R86C8</stp>
        <tr r="H86" s="1"/>
      </tp>
      <tp t="s">
        <v>#N/A Field Not Applicable</v>
        <stp/>
        <stp>##V3_BDPV12</stp>
        <stp>9128335F Govt</stp>
        <stp>FIRST_CPN_DT</stp>
        <stp>[STRIPS.xlsx]Sheet1!R721C9</stp>
        <tr r="I721" s="1"/>
      </tp>
      <tp t="s">
        <v>ZERO</v>
        <stp/>
        <stp>##V3_BDPV12</stp>
        <stp>912834XG Govt</stp>
        <stp>CPN_TYP</stp>
        <stp>[STRIPS.xlsx]Sheet1!R32C11</stp>
        <tr r="K32" s="1"/>
      </tp>
      <tp t="s">
        <v>ZERO</v>
        <stp/>
        <stp>##V3_BDPV12</stp>
        <stp>912834SZ Govt</stp>
        <stp>CPN_TYP</stp>
        <stp>[STRIPS.xlsx]Sheet1!R94C11</stp>
        <tr r="K94" s="1"/>
      </tp>
      <tp t="s">
        <v>ZERO</v>
        <stp/>
        <stp>##V3_BDPV12</stp>
        <stp>912834RR Govt</stp>
        <stp>CPN_TYP</stp>
        <stp>[STRIPS.xlsx]Sheet1!R86C11</stp>
        <tr r="K86" s="1"/>
      </tp>
      <tp t="s">
        <v>ZERO</v>
        <stp/>
        <stp>##V3_BDPV12</stp>
        <stp>912834QH Govt</stp>
        <stp>CPN_TYP</stp>
        <stp>[STRIPS.xlsx]Sheet1!R96C11</stp>
        <tr r="K96" s="1"/>
      </tp>
      <tp t="s">
        <v>ZERO</v>
        <stp/>
        <stp>##V3_BDPV12</stp>
        <stp>912834PH Govt</stp>
        <stp>CPN_TYP</stp>
        <stp>[STRIPS.xlsx]Sheet1!R91C11</stp>
        <tr r="K91" s="1"/>
      </tp>
      <tp t="s">
        <v>ZERO</v>
        <stp/>
        <stp>##V3_BDPV12</stp>
        <stp>912834PM Govt</stp>
        <stp>CPN_TYP</stp>
        <stp>[STRIPS.xlsx]Sheet1!R84C11</stp>
        <tr r="K84" s="1"/>
      </tp>
      <tp t="s">
        <v>ZERO</v>
        <stp/>
        <stp>##V3_BDPV12</stp>
        <stp>912834PG Govt</stp>
        <stp>CPN_TYP</stp>
        <stp>[STRIPS.xlsx]Sheet1!R83C11</stp>
        <tr r="K83" s="1"/>
      </tp>
      <tp t="s">
        <v>ZERO</v>
        <stp/>
        <stp>##V3_BDPV12</stp>
        <stp>912834WR Govt</stp>
        <stp>CPN_TYP</stp>
        <stp>[STRIPS.xlsx]Sheet1!R54C11</stp>
        <tr r="K54" s="1"/>
      </tp>
      <tp t="s">
        <v>ZERO</v>
        <stp/>
        <stp>##V3_BDPV12</stp>
        <stp>912834WJ Govt</stp>
        <stp>CPN_TYP</stp>
        <stp>[STRIPS.xlsx]Sheet1!R89C11</stp>
        <tr r="K89" s="1"/>
      </tp>
      <tp t="s">
        <v>ZERO</v>
        <stp/>
        <stp>##V3_BDPV12</stp>
        <stp>912834WC Govt</stp>
        <stp>CPN_TYP</stp>
        <stp>[STRIPS.xlsx]Sheet1!R78C11</stp>
        <tr r="K78" s="1"/>
      </tp>
      <tp t="s">
        <v>ZERO</v>
        <stp/>
        <stp>##V3_BDPV12</stp>
        <stp>912834VV Govt</stp>
        <stp>CPN_TYP</stp>
        <stp>[STRIPS.xlsx]Sheet1!R51C11</stp>
        <tr r="K51" s="1"/>
      </tp>
      <tp t="s">
        <v>ZERO</v>
        <stp/>
        <stp>##V3_BDPV12</stp>
        <stp>912834VM Govt</stp>
        <stp>CPN_TYP</stp>
        <stp>[STRIPS.xlsx]Sheet1!R81C11</stp>
        <tr r="K81" s="1"/>
      </tp>
      <tp t="s">
        <v>ZERO</v>
        <stp/>
        <stp>##V3_BDPV12</stp>
        <stp>912834UR Govt</stp>
        <stp>CPN_TYP</stp>
        <stp>[STRIPS.xlsx]Sheet1!R65C11</stp>
        <tr r="K65" s="1"/>
      </tp>
      <tp t="s">
        <v>ZERO</v>
        <stp/>
        <stp>##V3_BDPV12</stp>
        <stp>912834UQ Govt</stp>
        <stp>CPN_TYP</stp>
        <stp>[STRIPS.xlsx]Sheet1!R97C11</stp>
        <tr r="K97" s="1"/>
      </tp>
      <tp t="s">
        <v>ZERO</v>
        <stp/>
        <stp>##V3_BDPV12</stp>
        <stp>912834UY Govt</stp>
        <stp>CPN_TYP</stp>
        <stp>[STRIPS.xlsx]Sheet1!R75C11</stp>
        <tr r="K75" s="1"/>
      </tp>
      <tp t="s">
        <v>ZERO</v>
        <stp/>
        <stp>##V3_BDPV12</stp>
        <stp>912834UL Govt</stp>
        <stp>CPN_TYP</stp>
        <stp>[STRIPS.xlsx]Sheet1!R88C11</stp>
        <tr r="K88" s="1"/>
      </tp>
      <tp t="s">
        <v>ZERO</v>
        <stp/>
        <stp>##V3_BDPV12</stp>
        <stp>912834TV Govt</stp>
        <stp>CPN_TYP</stp>
        <stp>[STRIPS.xlsx]Sheet1!R90C11</stp>
        <tr r="K90" s="1"/>
      </tp>
      <tp t="s">
        <v>ZERO</v>
        <stp/>
        <stp>##V3_BDPV12</stp>
        <stp>912834TF Govt</stp>
        <stp>CPN_TYP</stp>
        <stp>[STRIPS.xlsx]Sheet1!R98C11</stp>
        <tr r="K98" s="1"/>
      </tp>
      <tp t="s">
        <v>ZERO</v>
        <stp/>
        <stp>##V3_BDPV12</stp>
        <stp>912834KV Govt</stp>
        <stp>CPN_TYP</stp>
        <stp>[STRIPS.xlsx]Sheet1!R57C11</stp>
        <tr r="K57" s="1"/>
      </tp>
      <tp t="s">
        <v>ZERO</v>
        <stp/>
        <stp>##V3_BDPV12</stp>
        <stp>912834KH Govt</stp>
        <stp>CPN_TYP</stp>
        <stp>[STRIPS.xlsx]Sheet1!R56C11</stp>
        <tr r="K56" s="1"/>
      </tp>
      <tp t="s">
        <v>ZERO</v>
        <stp/>
        <stp>##V3_BDPV12</stp>
        <stp>912834JP Govt</stp>
        <stp>CPN_TYP</stp>
        <stp>[STRIPS.xlsx]Sheet1!R34C11</stp>
        <tr r="K34" s="1"/>
      </tp>
      <tp t="s">
        <v>ZERO</v>
        <stp/>
        <stp>##V3_BDPV12</stp>
        <stp>912834JY Govt</stp>
        <stp>CPN_TYP</stp>
        <stp>[STRIPS.xlsx]Sheet1!R64C11</stp>
        <tr r="K64" s="1"/>
      </tp>
      <tp t="s">
        <v>ZERO</v>
        <stp/>
        <stp>##V3_BDPV12</stp>
        <stp>912834JB Govt</stp>
        <stp>CPN_TYP</stp>
        <stp>[STRIPS.xlsx]Sheet1!R82C11</stp>
        <tr r="K82" s="1"/>
      </tp>
      <tp t="s">
        <v>ZERO</v>
        <stp/>
        <stp>##V3_BDPV12</stp>
        <stp>912834JH Govt</stp>
        <stp>CPN_TYP</stp>
        <stp>[STRIPS.xlsx]Sheet1!R68C11</stp>
        <tr r="K68" s="1"/>
      </tp>
      <tp t="s">
        <v>ZERO</v>
        <stp/>
        <stp>##V3_BDPV12</stp>
        <stp>912834HV Govt</stp>
        <stp>CPN_TYP</stp>
        <stp>[STRIPS.xlsx]Sheet1!R70C11</stp>
        <tr r="K70" s="1"/>
      </tp>
      <tp t="s">
        <v>ZERO</v>
        <stp/>
        <stp>##V3_BDPV12</stp>
        <stp>912834NF Govt</stp>
        <stp>CPN_TYP</stp>
        <stp>[STRIPS.xlsx]Sheet1!R58C11</stp>
        <tr r="K58" s="1"/>
      </tp>
      <tp t="s">
        <v>ZERO</v>
        <stp/>
        <stp>##V3_BDPV12</stp>
        <stp>912834MT Govt</stp>
        <stp>CPN_TYP</stp>
        <stp>[STRIPS.xlsx]Sheet1!R41C11</stp>
        <tr r="K41" s="1"/>
      </tp>
      <tp t="s">
        <v>ZERO</v>
        <stp/>
        <stp>##V3_BDPV12</stp>
        <stp>912834MZ Govt</stp>
        <stp>CPN_TYP</stp>
        <stp>[STRIPS.xlsx]Sheet1!R71C11</stp>
        <tr r="K71" s="1"/>
      </tp>
      <tp t="s">
        <v>ZERO</v>
        <stp/>
        <stp>##V3_BDPV12</stp>
        <stp>912834MD Govt</stp>
        <stp>CPN_TYP</stp>
        <stp>[STRIPS.xlsx]Sheet1!R72C11</stp>
        <tr r="K72" s="1"/>
      </tp>
      <tp t="s">
        <v>ZERO</v>
        <stp/>
        <stp>##V3_BDPV12</stp>
        <stp>912834MM Govt</stp>
        <stp>CPN_TYP</stp>
        <stp>[STRIPS.xlsx]Sheet1!R80C11</stp>
        <tr r="K80" s="1"/>
      </tp>
      <tp t="s">
        <v>ZERO</v>
        <stp/>
        <stp>##V3_BDPV12</stp>
        <stp>912834LX Govt</stp>
        <stp>CPN_TYP</stp>
        <stp>[STRIPS.xlsx]Sheet1!R93C11</stp>
        <tr r="K93" s="1"/>
      </tp>
      <tp t="s">
        <v>ZERO</v>
        <stp/>
        <stp>##V3_BDPV12</stp>
        <stp>912834LR Govt</stp>
        <stp>CPN_TYP</stp>
        <stp>[STRIPS.xlsx]Sheet1!R95C11</stp>
        <tr r="K95" s="1"/>
      </tp>
      <tp t="s">
        <v>ZERO</v>
        <stp/>
        <stp>##V3_BDPV12</stp>
        <stp>912834LB Govt</stp>
        <stp>CPN_TYP</stp>
        <stp>[STRIPS.xlsx]Sheet1!R73C11</stp>
        <tr r="K73" s="1"/>
      </tp>
      <tp t="s">
        <v>ZERO</v>
        <stp/>
        <stp>##V3_BDPV12</stp>
        <stp>912834LK Govt</stp>
        <stp>CPN_TYP</stp>
        <stp>[STRIPS.xlsx]Sheet1!R53C11</stp>
        <tr r="K53" s="1"/>
      </tp>
      <tp t="s">
        <v>ZERO</v>
        <stp/>
        <stp>##V3_BDPV12</stp>
        <stp>912834AT Govt</stp>
        <stp>CPN_TYP</stp>
        <stp>[STRIPS.xlsx]Sheet1!R76C11</stp>
        <tr r="K76" s="1"/>
      </tp>
      <tp t="s">
        <v>ZERO</v>
        <stp/>
        <stp>##V3_BDPV12</stp>
        <stp>912834AD Govt</stp>
        <stp>CPN_TYP</stp>
        <stp>[STRIPS.xlsx]Sheet1!R92C11</stp>
        <tr r="K92" s="1"/>
      </tp>
      <tp t="s">
        <v>ZERO</v>
        <stp/>
        <stp>##V3_BDPV12</stp>
        <stp>912834EP Govt</stp>
        <stp>CPN_TYP</stp>
        <stp>[STRIPS.xlsx]Sheet1!R77C11</stp>
        <tr r="K77" s="1"/>
      </tp>
      <tp t="s">
        <v>ZERO</v>
        <stp/>
        <stp>##V3_BDPV12</stp>
        <stp>912834DU Govt</stp>
        <stp>CPN_TYP</stp>
        <stp>[STRIPS.xlsx]Sheet1!R87C11</stp>
        <tr r="K87" s="1"/>
      </tp>
      <tp t="s">
        <v>ZERO</v>
        <stp/>
        <stp>##V3_BDPV12</stp>
        <stp>912834VQ Govt</stp>
        <stp>CPN_TYP</stp>
        <stp>[STRIPS.xlsx]Sheet1!R222C11</stp>
        <tr r="K222" s="1"/>
      </tp>
      <tp t="s">
        <v>ZERO</v>
        <stp/>
        <stp>##V3_BDPV12</stp>
        <stp>912834VT Govt</stp>
        <stp>CPN_TYP</stp>
        <stp>[STRIPS.xlsx]Sheet1!R773C11</stp>
        <tr r="K773" s="1"/>
      </tp>
      <tp t="s">
        <v>ZERO</v>
        <stp/>
        <stp>##V3_BDPV12</stp>
        <stp>912834VU Govt</stp>
        <stp>CPN_TYP</stp>
        <stp>[STRIPS.xlsx]Sheet1!R769C11</stp>
        <tr r="K769" s="1"/>
      </tp>
      <tp t="s">
        <v>ZERO</v>
        <stp/>
        <stp>##V3_BDPV12</stp>
        <stp>912834VS Govt</stp>
        <stp>CPN_TYP</stp>
        <stp>[STRIPS.xlsx]Sheet1!R170C11</stp>
        <tr r="K170" s="1"/>
      </tp>
      <tp t="s">
        <v>#N/A Field Not Applicable</v>
        <stp/>
        <stp>##V3_BDPV12</stp>
        <stp>912833Y4 Govt</stp>
        <stp>FIRST_CPN_DT</stp>
        <stp>[STRIPS.xlsx]Sheet1!R60C9</stp>
        <tr r="I60" s="1"/>
      </tp>
      <tp t="s">
        <v>ZERO</v>
        <stp/>
        <stp>##V3_BDPV12</stp>
        <stp>912834VR Govt</stp>
        <stp>CPN_TYP</stp>
        <stp>[STRIPS.xlsx]Sheet1!R224C11</stp>
        <tr r="K224" s="1"/>
      </tp>
      <tp t="s">
        <v>#N/A Field Not Applicable</v>
        <stp/>
        <stp>##V3_BDPV12</stp>
        <stp>912833XU Govt</stp>
        <stp>FIRST_CPN_DT</stp>
        <stp>[STRIPS.xlsx]Sheet1!R30C9</stp>
        <tr r="I30" s="1"/>
      </tp>
      <tp t="s">
        <v>#N/A Field Not Applicable</v>
        <stp/>
        <stp>##V3_BDPV12</stp>
        <stp>912833XY Govt</stp>
        <stp>FIRST_CPN_DT</stp>
        <stp>[STRIPS.xlsx]Sheet1!R50C9</stp>
        <tr r="I50" s="1"/>
      </tp>
      <tp t="s">
        <v>ZERO</v>
        <stp/>
        <stp>##V3_BDPV12</stp>
        <stp>912834VW Govt</stp>
        <stp>CPN_TYP</stp>
        <stp>[STRIPS.xlsx]Sheet1!R131C11</stp>
        <tr r="K131" s="1"/>
      </tp>
      <tp t="s">
        <v>#N/A Field Not Applicable</v>
        <stp/>
        <stp>##V3_BDPV12</stp>
        <stp>9128336Y Govt</stp>
        <stp>IDX_RATIO</stp>
        <stp>[STRIPS.xlsx]Sheet1!R429C20</stp>
        <tr r="T429" s="1"/>
      </tp>
      <tp t="s">
        <v>#N/A Field Not Applicable</v>
        <stp/>
        <stp>##V3_BDPV12</stp>
        <stp>9128337H Govt</stp>
        <stp>IDX_RATIO</stp>
        <stp>[STRIPS.xlsx]Sheet1!R431C20</stp>
        <tr r="T431" s="1"/>
      </tp>
      <tp t="s">
        <v>#N/A Field Not Applicable</v>
        <stp/>
        <stp>##V3_BDPV12</stp>
        <stp>9128336Z Govt</stp>
        <stp>IDX_RATIO</stp>
        <stp>[STRIPS.xlsx]Sheet1!R430C20</stp>
        <tr r="T430" s="1"/>
      </tp>
      <tp t="s">
        <v>#N/A Field Not Applicable</v>
        <stp/>
        <stp>##V3_BDPV12</stp>
        <stp>9128333J Govt</stp>
        <stp>IDX_RATIO</stp>
        <stp>[STRIPS.xlsx]Sheet1!R427C20</stp>
        <tr r="T427" s="1"/>
      </tp>
      <tp t="s">
        <v>#N/A Field Not Applicable</v>
        <stp/>
        <stp>##V3_BDPV12</stp>
        <stp>9128333N Govt</stp>
        <stp>IDX_RATIO</stp>
        <stp>[STRIPS.xlsx]Sheet1!R428C20</stp>
        <tr r="T428" s="1"/>
      </tp>
      <tp t="s">
        <v>#N/A Field Not Applicable</v>
        <stp/>
        <stp>##V3_BDPV12</stp>
        <stp>9128334D Govt</stp>
        <stp>IDX_RATIO</stp>
        <stp>[STRIPS.xlsx]Sheet1!R488C20</stp>
        <tr r="T488" s="1"/>
      </tp>
      <tp t="s">
        <v>#N/A Field Not Applicable</v>
        <stp/>
        <stp>##V3_BDPV12</stp>
        <stp>9128335J Govt</stp>
        <stp>IDX_RATIO</stp>
        <stp>[STRIPS.xlsx]Sheet1!R492C20</stp>
        <tr r="T492" s="1"/>
      </tp>
      <tp t="s">
        <v>#N/A Field Not Applicable</v>
        <stp/>
        <stp>##V3_BDPV12</stp>
        <stp>9128335K Govt</stp>
        <stp>IDX_RATIO</stp>
        <stp>[STRIPS.xlsx]Sheet1!R493C20</stp>
        <tr r="T493" s="1"/>
      </tp>
      <tp t="s">
        <v>#N/A Field Not Applicable</v>
        <stp/>
        <stp>##V3_BDPV12</stp>
        <stp>9128334A Govt</stp>
        <stp>IDX_RATIO</stp>
        <stp>[STRIPS.xlsx]Sheet1!R487C20</stp>
        <tr r="T487" s="1"/>
      </tp>
      <tp t="s">
        <v>#N/A Field Not Applicable</v>
        <stp/>
        <stp>##V3_BDPV12</stp>
        <stp>9128334H Govt</stp>
        <stp>IDX_RATIO</stp>
        <stp>[STRIPS.xlsx]Sheet1!R489C20</stp>
        <tr r="T489" s="1"/>
      </tp>
      <tp t="s">
        <v>#N/A Field Not Applicable</v>
        <stp/>
        <stp>##V3_BDPV12</stp>
        <stp>9128334M Govt</stp>
        <stp>IDX_RATIO</stp>
        <stp>[STRIPS.xlsx]Sheet1!R491C20</stp>
        <tr r="T491" s="1"/>
      </tp>
      <tp t="s">
        <v>#N/A Field Not Applicable</v>
        <stp/>
        <stp>##V3_BDPV12</stp>
        <stp>9128334K Govt</stp>
        <stp>IDX_RATIO</stp>
        <stp>[STRIPS.xlsx]Sheet1!R490C20</stp>
        <tr r="T490" s="1"/>
      </tp>
      <tp t="s">
        <v>#N/A Field Not Applicable</v>
        <stp/>
        <stp>##V3_BDPV12</stp>
        <stp>9128337A Govt</stp>
        <stp>IDX_RATIO</stp>
        <stp>[STRIPS.xlsx]Sheet1!R499C20</stp>
        <tr r="T499" s="1"/>
      </tp>
      <tp t="s">
        <v>#N/A Field Not Applicable</v>
        <stp/>
        <stp>##V3_BDPV12</stp>
        <stp>9128336R Govt</stp>
        <stp>IDX_RATIO</stp>
        <stp>[STRIPS.xlsx]Sheet1!R498C20</stp>
        <tr r="T498" s="1"/>
      </tp>
      <tp t="s">
        <v>#N/A Field Not Applicable</v>
        <stp/>
        <stp>##V3_BDPV12</stp>
        <stp>9128336H Govt</stp>
        <stp>IDX_RATIO</stp>
        <stp>[STRIPS.xlsx]Sheet1!R495C20</stp>
        <tr r="T495" s="1"/>
      </tp>
      <tp t="s">
        <v>#N/A Field Not Applicable</v>
        <stp/>
        <stp>##V3_BDPV12</stp>
        <stp>9128336K Govt</stp>
        <stp>IDX_RATIO</stp>
        <stp>[STRIPS.xlsx]Sheet1!R496C20</stp>
        <tr r="T496" s="1"/>
      </tp>
      <tp t="s">
        <v>#N/A Field Not Applicable</v>
        <stp/>
        <stp>##V3_BDPV12</stp>
        <stp>9128336N Govt</stp>
        <stp>IDX_RATIO</stp>
        <stp>[STRIPS.xlsx]Sheet1!R497C20</stp>
        <tr r="T497" s="1"/>
      </tp>
      <tp t="s">
        <v>#N/A Field Not Applicable</v>
        <stp/>
        <stp>##V3_BDPV12</stp>
        <stp>9128336G Govt</stp>
        <stp>IDX_RATIO</stp>
        <stp>[STRIPS.xlsx]Sheet1!R494C20</stp>
        <tr r="T494" s="1"/>
      </tp>
      <tp t="s">
        <v>#N/A Field Not Applicable</v>
        <stp/>
        <stp>##V3_BDPV12</stp>
        <stp>9128333Y Govt</stp>
        <stp>IDX_RATIO</stp>
        <stp>[STRIPS.xlsx]Sheet1!R486C20</stp>
        <tr r="T486" s="1"/>
      </tp>
      <tp t="s">
        <v>#N/A Field Not Applicable</v>
        <stp/>
        <stp>##V3_BDPV12</stp>
        <stp>9128333T Govt</stp>
        <stp>IDX_RATIO</stp>
        <stp>[STRIPS.xlsx]Sheet1!R483C20</stp>
        <tr r="T483" s="1"/>
      </tp>
      <tp t="s">
        <v>#N/A Field Not Applicable</v>
        <stp/>
        <stp>##V3_BDPV12</stp>
        <stp>9128333V Govt</stp>
        <stp>IDX_RATIO</stp>
        <stp>[STRIPS.xlsx]Sheet1!R484C20</stp>
        <tr r="T484" s="1"/>
      </tp>
      <tp t="s">
        <v>#N/A Field Not Applicable</v>
        <stp/>
        <stp>##V3_BDPV12</stp>
        <stp>9128333W Govt</stp>
        <stp>IDX_RATIO</stp>
        <stp>[STRIPS.xlsx]Sheet1!R485C20</stp>
        <tr r="T485" s="1"/>
      </tp>
      <tp t="s">
        <v>9128335X4</v>
        <stp/>
        <stp>##V3_BDPV12</stp>
        <stp>9128335X Govt</stp>
        <stp>ID_CUSIP</stp>
        <stp>[STRIPS.xlsx]Sheet1!R747C19</stp>
        <tr r="S747" s="1"/>
      </tp>
      <tp t="s">
        <v>ZERO</v>
        <stp/>
        <stp>##V3_BDPV12</stp>
        <stp>912834VY Govt</stp>
        <stp>CPN_TYP</stp>
        <stp>[STRIPS.xlsx]Sheet1!R218C11</stp>
        <tr r="K218" s="1"/>
      </tp>
      <tp t="s">
        <v>912834WX2</v>
        <stp/>
        <stp>##V3_BDPV12</stp>
        <stp>912834WX Govt</stp>
        <stp>ID_CUSIP</stp>
        <stp>[STRIPS.xlsx]Sheet1!R776C19</stp>
        <tr r="S776" s="1"/>
      </tp>
      <tp t="s">
        <v>912834VX3</v>
        <stp/>
        <stp>##V3_BDPV12</stp>
        <stp>912834VX Govt</stp>
        <stp>ID_CUSIP</stp>
        <stp>[STRIPS.xlsx]Sheet1!R767C19</stp>
        <tr r="S767" s="1"/>
      </tp>
      <tp t="s">
        <v>2/2/1998</v>
        <stp/>
        <stp>##V3_BDPV12</stp>
        <stp>912833RC Govt</stp>
        <stp>ISSUE_DT</stp>
        <stp>[STRIPS.xlsx]Sheet1!R690C15</stp>
        <tr r="O690" s="1"/>
      </tp>
      <tp t="s">
        <v>10/1/2001</v>
        <stp/>
        <stp>##V3_BDPV12</stp>
        <stp>912833YC Govt</stp>
        <stp>ISSUE_DT</stp>
        <stp>[STRIPS.xlsx]Sheet1!R636C15</stp>
        <tr r="O636" s="1"/>
      </tp>
      <tp t="s">
        <v>2/15/1991</v>
        <stp/>
        <stp>##V3_BDPV12</stp>
        <stp>912833LC Govt</stp>
        <stp>ISSUE_DT</stp>
        <stp>[STRIPS.xlsx]Sheet1!R673C15</stp>
        <tr r="O673" s="1"/>
      </tp>
      <tp t="s">
        <v>#N/A Field Not Applicable</v>
        <stp/>
        <stp>##V3_BDPV12</stp>
        <stp>912834EY Govt</stp>
        <stp>IDX_RATIO</stp>
        <stp>[STRIPS.xlsx]Sheet1!R313C20</stp>
        <tr r="T313" s="1"/>
      </tp>
      <tp t="s">
        <v>#N/A Field Not Applicable</v>
        <stp/>
        <stp>##V3_BDPV12</stp>
        <stp>912834EW Govt</stp>
        <stp>IDX_RATIO</stp>
        <stp>[STRIPS.xlsx]Sheet1!R312C20</stp>
        <tr r="T312" s="1"/>
      </tp>
      <tp t="s">
        <v>#N/A Field Not Applicable</v>
        <stp/>
        <stp>##V3_BDPV12</stp>
        <stp>912834EQ Govt</stp>
        <stp>IDX_RATIO</stp>
        <stp>[STRIPS.xlsx]Sheet1!R311C20</stp>
        <tr r="T311" s="1"/>
      </tp>
      <tp t="s">
        <v>#N/A Field Not Applicable</v>
        <stp/>
        <stp>##V3_BDPV12</stp>
        <stp>912834EN Govt</stp>
        <stp>IDX_RATIO</stp>
        <stp>[STRIPS.xlsx]Sheet1!R310C20</stp>
        <tr r="T310" s="1"/>
      </tp>
      <tp t="s">
        <v>#N/A Field Not Applicable</v>
        <stp/>
        <stp>##V3_BDPV12</stp>
        <stp>912833GA Govt</stp>
        <stp>IDX_RATIO</stp>
        <stp>[STRIPS.xlsx]Sheet1!R439C20</stp>
        <tr r="T439" s="1"/>
      </tp>
      <tp t="s">
        <v>#N/A Field Not Applicable</v>
        <stp/>
        <stp>##V3_BDPV12</stp>
        <stp>912834EH Govt</stp>
        <stp>IDX_RATIO</stp>
        <stp>[STRIPS.xlsx]Sheet1!R309C20</stp>
        <tr r="T309" s="1"/>
      </tp>
      <tp t="s">
        <v>#N/A Field Not Applicable</v>
        <stp/>
        <stp>##V3_BDPV12</stp>
        <stp>912834BB Govt</stp>
        <stp>IDX_RATIO</stp>
        <stp>[STRIPS.xlsx]Sheet1!R349C20</stp>
        <tr r="T349" s="1"/>
      </tp>
      <tp t="s">
        <v>#N/A Field Not Applicable</v>
        <stp/>
        <stp>##V3_BDPV12</stp>
        <stp>912834BM Govt</stp>
        <stp>IDX_RATIO</stp>
        <stp>[STRIPS.xlsx]Sheet1!R353C20</stp>
        <tr r="T353" s="1"/>
      </tp>
      <tp t="s">
        <v>#N/A Field Not Applicable</v>
        <stp/>
        <stp>##V3_BDPV12</stp>
        <stp>912834BH Govt</stp>
        <stp>IDX_RATIO</stp>
        <stp>[STRIPS.xlsx]Sheet1!R351C20</stp>
        <tr r="T351" s="1"/>
      </tp>
      <tp t="s">
        <v>#N/A Field Not Applicable</v>
        <stp/>
        <stp>##V3_BDPV12</stp>
        <stp>912834BJ Govt</stp>
        <stp>IDX_RATIO</stp>
        <stp>[STRIPS.xlsx]Sheet1!R352C20</stp>
        <tr r="T352" s="1"/>
      </tp>
      <tp t="s">
        <v>#N/A Field Not Applicable</v>
        <stp/>
        <stp>##V3_BDPV12</stp>
        <stp>912834BF Govt</stp>
        <stp>IDX_RATIO</stp>
        <stp>[STRIPS.xlsx]Sheet1!R350C20</stp>
        <tr r="T350" s="1"/>
      </tp>
      <tp t="s">
        <v>#N/A Field Not Applicable</v>
        <stp/>
        <stp>##V3_BDPV12</stp>
        <stp>912833C5 Govt</stp>
        <stp>IDX_RATIO</stp>
        <stp>[STRIPS.xlsx]Sheet1!R435C20</stp>
        <tr r="T435" s="1"/>
      </tp>
      <tp t="s">
        <v>#N/A Field Not Applicable</v>
        <stp/>
        <stp>##V3_BDPV12</stp>
        <stp>912834EX Govt</stp>
        <stp>IDX_RATIO</stp>
        <stp>[STRIPS.xlsx]Sheet1!R354C20</stp>
        <tr r="T354" s="1"/>
      </tp>
      <tp t="s">
        <v>#N/A Field Not Applicable</v>
        <stp/>
        <stp>##V3_BDPV12</stp>
        <stp>912833CQ Govt</stp>
        <stp>IDX_RATIO</stp>
        <stp>[STRIPS.xlsx]Sheet1!R438C20</stp>
        <tr r="T438" s="1"/>
      </tp>
      <tp t="s">
        <v>#N/A Field Not Applicable</v>
        <stp/>
        <stp>##V3_BDPV12</stp>
        <stp>912833CC Govt</stp>
        <stp>IDX_RATIO</stp>
        <stp>[STRIPS.xlsx]Sheet1!R436C20</stp>
        <tr r="T436" s="1"/>
      </tp>
      <tp t="s">
        <v>#N/A Field Not Applicable</v>
        <stp/>
        <stp>##V3_BDPV12</stp>
        <stp>912833CE Govt</stp>
        <stp>IDX_RATIO</stp>
        <stp>[STRIPS.xlsx]Sheet1!R437C20</stp>
        <tr r="T437" s="1"/>
      </tp>
      <tp t="s">
        <v>#N/A Field Not Applicable</v>
        <stp/>
        <stp>##V3_BDPV12</stp>
        <stp>912833B9 Govt</stp>
        <stp>IDX_RATIO</stp>
        <stp>[STRIPS.xlsx]Sheet1!R434C20</stp>
        <tr r="T434" s="1"/>
      </tp>
      <tp t="s">
        <v>#N/A Field Not Applicable</v>
        <stp/>
        <stp>##V3_BDPV12</stp>
        <stp>912833B7 Govt</stp>
        <stp>IDX_RATIO</stp>
        <stp>[STRIPS.xlsx]Sheet1!R433C20</stp>
        <tr r="T433" s="1"/>
      </tp>
      <tp t="s">
        <v>#N/A Field Not Applicable</v>
        <stp/>
        <stp>##V3_BDPV12</stp>
        <stp>912834HS Govt</stp>
        <stp>IDX_RATIO</stp>
        <stp>[STRIPS.xlsx]Sheet1!R396C20</stp>
        <tr r="T396" s="1"/>
      </tp>
      <tp t="s">
        <v>#N/A Field Not Applicable</v>
        <stp/>
        <stp>##V3_BDPV12</stp>
        <stp>912833A5 Govt</stp>
        <stp>IDX_RATIO</stp>
        <stp>[STRIPS.xlsx]Sheet1!R432C20</stp>
        <tr r="T432" s="1"/>
      </tp>
      <tp t="s">
        <v>#N/A Field Not Applicable</v>
        <stp/>
        <stp>##V3_BDPV12</stp>
        <stp>912834KD Govt</stp>
        <stp>IDX_RATIO</stp>
        <stp>[STRIPS.xlsx]Sheet1!R398C20</stp>
        <tr r="T398" s="1"/>
      </tp>
      <tp t="s">
        <v>#N/A Field Not Applicable</v>
        <stp/>
        <stp>##V3_BDPV12</stp>
        <stp>912834KM Govt</stp>
        <stp>IDX_RATIO</stp>
        <stp>[STRIPS.xlsx]Sheet1!R399C20</stp>
        <tr r="T399" s="1"/>
      </tp>
      <tp t="s">
        <v>#N/A Field Not Applicable</v>
        <stp/>
        <stp>##V3_BDPV12</stp>
        <stp>912834BK Govt</stp>
        <stp>IDX_RATIO</stp>
        <stp>[STRIPS.xlsx]Sheet1!R308C20</stp>
        <tr r="T308" s="1"/>
      </tp>
      <tp t="s">
        <v>#N/A Field Not Applicable</v>
        <stp/>
        <stp>##V3_BDPV12</stp>
        <stp>912834JM Govt</stp>
        <stp>IDX_RATIO</stp>
        <stp>[STRIPS.xlsx]Sheet1!R397C20</stp>
        <tr r="T397" s="1"/>
      </tp>
      <tp t="s">
        <v>#N/A Field Not Applicable</v>
        <stp/>
        <stp>##V3_BDPV12</stp>
        <stp>912833GE Govt</stp>
        <stp>IDX_RATIO</stp>
        <stp>[STRIPS.xlsx]Sheet1!R441C20</stp>
        <tr r="T441" s="1"/>
      </tp>
      <tp t="s">
        <v>#N/A Field Not Applicable</v>
        <stp/>
        <stp>##V3_BDPV12</stp>
        <stp>912833GC Govt</stp>
        <stp>IDX_RATIO</stp>
        <stp>[STRIPS.xlsx]Sheet1!R440C20</stp>
        <tr r="T440" s="1"/>
      </tp>
      <tp t="s">
        <v>#N/A Field Not Applicable</v>
        <stp/>
        <stp>##V3_BDPV12</stp>
        <stp>912834EZ Govt</stp>
        <stp>IDX_RATIO</stp>
        <stp>[STRIPS.xlsx]Sheet1!R394C20</stp>
        <tr r="T394" s="1"/>
      </tp>
      <tp t="s">
        <v>#N/A Field Not Applicable</v>
        <stp/>
        <stp>##V3_BDPV12</stp>
        <stp>912834ET Govt</stp>
        <stp>IDX_RATIO</stp>
        <stp>[STRIPS.xlsx]Sheet1!R393C20</stp>
        <tr r="T393" s="1"/>
      </tp>
      <tp t="s">
        <v>#N/A Field Not Applicable</v>
        <stp/>
        <stp>##V3_BDPV12</stp>
        <stp>912834EK Govt</stp>
        <stp>IDX_RATIO</stp>
        <stp>[STRIPS.xlsx]Sheet1!R392C20</stp>
        <tr r="T392" s="1"/>
      </tp>
      <tp t="s">
        <v>#N/A Field Not Applicable</v>
        <stp/>
        <stp>##V3_BDPV12</stp>
        <stp>912834HX Govt</stp>
        <stp>IDX_RATIO</stp>
        <stp>[STRIPS.xlsx]Sheet1!R356C20</stp>
        <tr r="T356" s="1"/>
      </tp>
      <tp t="s">
        <v>#N/A Field Not Applicable</v>
        <stp/>
        <stp>##V3_BDPV12</stp>
        <stp>912834DX Govt</stp>
        <stp>IDX_RATIO</stp>
        <stp>[STRIPS.xlsx]Sheet1!R391C20</stp>
        <tr r="T391" s="1"/>
      </tp>
      <tp t="s">
        <v>#N/A Field Not Applicable</v>
        <stp/>
        <stp>##V3_BDPV12</stp>
        <stp>912834DW Govt</stp>
        <stp>IDX_RATIO</stp>
        <stp>[STRIPS.xlsx]Sheet1!R390C20</stp>
        <tr r="T390" s="1"/>
      </tp>
      <tp t="s">
        <v>#N/A Field Not Applicable</v>
        <stp/>
        <stp>##V3_BDPV12</stp>
        <stp>912834HT Govt</stp>
        <stp>IDX_RATIO</stp>
        <stp>[STRIPS.xlsx]Sheet1!R355C20</stp>
        <tr r="T355" s="1"/>
      </tp>
      <tp t="s">
        <v>#N/A Field Not Applicable</v>
        <stp/>
        <stp>##V3_BDPV12</stp>
        <stp>912834LZ Govt</stp>
        <stp>IDX_RATIO</stp>
        <stp>[STRIPS.xlsx]Sheet1!R325C20</stp>
        <tr r="T325" s="1"/>
      </tp>
      <tp t="s">
        <v>#N/A Field Not Applicable</v>
        <stp/>
        <stp>##V3_BDPV12</stp>
        <stp>912834LL Govt</stp>
        <stp>IDX_RATIO</stp>
        <stp>[STRIPS.xlsx]Sheet1!R323C20</stp>
        <tr r="T323" s="1"/>
      </tp>
      <tp t="s">
        <v>#N/A Field Not Applicable</v>
        <stp/>
        <stp>##V3_BDPV12</stp>
        <stp>912834LM Govt</stp>
        <stp>IDX_RATIO</stp>
        <stp>[STRIPS.xlsx]Sheet1!R324C20</stp>
        <tr r="T324" s="1"/>
      </tp>
      <tp t="s">
        <v>#N/A Field Not Applicable</v>
        <stp/>
        <stp>##V3_BDPV12</stp>
        <stp>912834LH Govt</stp>
        <stp>IDX_RATIO</stp>
        <stp>[STRIPS.xlsx]Sheet1!R322C20</stp>
        <tr r="T322" s="1"/>
      </tp>
      <tp t="s">
        <v>#N/A Field Not Applicable</v>
        <stp/>
        <stp>##V3_BDPV12</stp>
        <stp>912834LF Govt</stp>
        <stp>IDX_RATIO</stp>
        <stp>[STRIPS.xlsx]Sheet1!R320C20</stp>
        <tr r="T320" s="1"/>
      </tp>
      <tp t="s">
        <v>#N/A Field Not Applicable</v>
        <stp/>
        <stp>##V3_BDPV12</stp>
        <stp>912834LG Govt</stp>
        <stp>IDX_RATIO</stp>
        <stp>[STRIPS.xlsx]Sheet1!R321C20</stp>
        <tr r="T321" s="1"/>
      </tp>
      <tp t="s">
        <v>#N/A Field Not Applicable</v>
        <stp/>
        <stp>##V3_BDPV12</stp>
        <stp>912834MX Govt</stp>
        <stp>IDX_RATIO</stp>
        <stp>[STRIPS.xlsx]Sheet1!R327C20</stp>
        <tr r="T327" s="1"/>
      </tp>
      <tp t="s">
        <v>#N/A Field Not Applicable</v>
        <stp/>
        <stp>##V3_BDPV12</stp>
        <stp>912833KR Govt</stp>
        <stp>IDX_RATIO</stp>
        <stp>[STRIPS.xlsx]Sheet1!R443C20</stp>
        <tr r="T443" s="1"/>
      </tp>
      <tp t="s">
        <v>#N/A Field Not Applicable</v>
        <stp/>
        <stp>##V3_BDPV12</stp>
        <stp>912833KU Govt</stp>
        <stp>IDX_RATIO</stp>
        <stp>[STRIPS.xlsx]Sheet1!R444C20</stp>
        <tr r="T444" s="1"/>
      </tp>
      <tp t="s">
        <v>#N/A Field Not Applicable</v>
        <stp/>
        <stp>##V3_BDPV12</stp>
        <stp>912834MY Govt</stp>
        <stp>IDX_RATIO</stp>
        <stp>[STRIPS.xlsx]Sheet1!R328C20</stp>
        <tr r="T328" s="1"/>
      </tp>
      <tp t="s">
        <v>#N/A Field Not Applicable</v>
        <stp/>
        <stp>##V3_BDPV12</stp>
        <stp>912834MH Govt</stp>
        <stp>IDX_RATIO</stp>
        <stp>[STRIPS.xlsx]Sheet1!R326C20</stp>
        <tr r="T326" s="1"/>
      </tp>
      <tp t="s">
        <v>#N/A Field Not Applicable</v>
        <stp/>
        <stp>##V3_BDPV12</stp>
        <stp>912834JN Govt</stp>
        <stp>IDX_RATIO</stp>
        <stp>[STRIPS.xlsx]Sheet1!R357C20</stp>
        <tr r="T357" s="1"/>
      </tp>
      <tp t="s">
        <v>#N/A Field Not Applicable</v>
        <stp/>
        <stp>##V3_BDPV12</stp>
        <stp>912834FA Govt</stp>
        <stp>IDX_RATIO</stp>
        <stp>[STRIPS.xlsx]Sheet1!R395C20</stp>
        <tr r="T395" s="1"/>
      </tp>
      <tp t="s">
        <v>#N/A Field Not Applicable</v>
        <stp/>
        <stp>##V3_BDPV12</stp>
        <stp>912833KC Govt</stp>
        <stp>IDX_RATIO</stp>
        <stp>[STRIPS.xlsx]Sheet1!R442C20</stp>
        <tr r="T442" s="1"/>
      </tp>
      <tp t="s">
        <v>#N/A Field Not Applicable</v>
        <stp/>
        <stp>##V3_BDPV12</stp>
        <stp>912834LT Govt</stp>
        <stp>IDX_RATIO</stp>
        <stp>[STRIPS.xlsx]Sheet1!R358C20</stp>
        <tr r="T358" s="1"/>
      </tp>
      <tp t="s">
        <v>#N/A Field Not Applicable</v>
        <stp/>
        <stp>##V3_BDPV12</stp>
        <stp>912834LU Govt</stp>
        <stp>IDX_RATIO</stp>
        <stp>[STRIPS.xlsx]Sheet1!R359C20</stp>
        <tr r="T359" s="1"/>
      </tp>
      <tp t="s">
        <v>#N/A Field Not Applicable</v>
        <stp/>
        <stp>##V3_BDPV12</stp>
        <stp>912834AP Govt</stp>
        <stp>IDX_RATIO</stp>
        <stp>[STRIPS.xlsx]Sheet1!R386C20</stp>
        <tr r="T386" s="1"/>
      </tp>
      <tp t="s">
        <v>#N/A Field Not Applicable</v>
        <stp/>
        <stp>##V3_BDPV12</stp>
        <stp>912834AV Govt</stp>
        <stp>IDX_RATIO</stp>
        <stp>[STRIPS.xlsx]Sheet1!R387C20</stp>
        <tr r="T387" s="1"/>
      </tp>
      <tp t="s">
        <v>#N/A Field Not Applicable</v>
        <stp/>
        <stp>##V3_BDPV12</stp>
        <stp>912834AX Govt</stp>
        <stp>IDX_RATIO</stp>
        <stp>[STRIPS.xlsx]Sheet1!R388C20</stp>
        <tr r="T388" s="1"/>
      </tp>
      <tp t="s">
        <v>#N/A Field Not Applicable</v>
        <stp/>
        <stp>##V3_BDPV12</stp>
        <stp>912834AH Govt</stp>
        <stp>IDX_RATIO</stp>
        <stp>[STRIPS.xlsx]Sheet1!R385C20</stp>
        <tr r="T385" s="1"/>
      </tp>
      <tp t="s">
        <v>#N/A Field Not Applicable</v>
        <stp/>
        <stp>##V3_BDPV12</stp>
        <stp>912833MK Govt</stp>
        <stp>IDX_RATIO</stp>
        <stp>[STRIPS.xlsx]Sheet1!R445C20</stp>
        <tr r="T445" s="1"/>
      </tp>
      <tp t="s">
        <v>#N/A Field Not Applicable</v>
        <stp/>
        <stp>##V3_BDPV12</stp>
        <stp>912834AC Govt</stp>
        <stp>IDX_RATIO</stp>
        <stp>[STRIPS.xlsx]Sheet1!R384C20</stp>
        <tr r="T384" s="1"/>
      </tp>
      <tp t="s">
        <v>#N/A Field Not Applicable</v>
        <stp/>
        <stp>##V3_BDPV12</stp>
        <stp>912834KT Govt</stp>
        <stp>IDX_RATIO</stp>
        <stp>[STRIPS.xlsx]Sheet1!R319C20</stp>
        <tr r="T319" s="1"/>
      </tp>
      <tp t="s">
        <v>#N/A Field Not Applicable</v>
        <stp/>
        <stp>##V3_BDPV12</stp>
        <stp>912834BP Govt</stp>
        <stp>IDX_RATIO</stp>
        <stp>[STRIPS.xlsx]Sheet1!R389C20</stp>
        <tr r="T389" s="1"/>
      </tp>
      <tp t="s">
        <v>#N/A Field Not Applicable</v>
        <stp/>
        <stp>##V3_BDPV12</stp>
        <stp>912834KQ Govt</stp>
        <stp>IDX_RATIO</stp>
        <stp>[STRIPS.xlsx]Sheet1!R318C20</stp>
        <tr r="T318" s="1"/>
      </tp>
      <tp t="s">
        <v>#N/A Field Not Applicable</v>
        <stp/>
        <stp>##V3_BDPV12</stp>
        <stp>912834LW Govt</stp>
        <stp>IDX_RATIO</stp>
        <stp>[STRIPS.xlsx]Sheet1!R360C20</stp>
        <tr r="T360" s="1"/>
      </tp>
      <tp t="s">
        <v>#N/A Field Not Applicable</v>
        <stp/>
        <stp>##V3_BDPV12</stp>
        <stp>912834KK Govt</stp>
        <stp>IDX_RATIO</stp>
        <stp>[STRIPS.xlsx]Sheet1!R317C20</stp>
        <tr r="T317" s="1"/>
      </tp>
      <tp t="s">
        <v>#N/A Field Not Applicable</v>
        <stp/>
        <stp>##V3_BDPV12</stp>
        <stp>912833NA Govt</stp>
        <stp>IDX_RATIO</stp>
        <stp>[STRIPS.xlsx]Sheet1!R446C20</stp>
        <tr r="T446" s="1"/>
      </tp>
      <tp t="s">
        <v>#N/A Field Not Applicable</v>
        <stp/>
        <stp>##V3_BDPV12</stp>
        <stp>912833NF Govt</stp>
        <stp>IDX_RATIO</stp>
        <stp>[STRIPS.xlsx]Sheet1!R447C20</stp>
        <tr r="T447" s="1"/>
      </tp>
      <tp t="s">
        <v>#N/A Field Not Applicable</v>
        <stp/>
        <stp>##V3_BDPV12</stp>
        <stp>912834KE Govt</stp>
        <stp>IDX_RATIO</stp>
        <stp>[STRIPS.xlsx]Sheet1!R316C20</stp>
        <tr r="T316" s="1"/>
      </tp>
      <tp t="s">
        <v>#N/A Field Not Applicable</v>
        <stp/>
        <stp>##V3_BDPV12</stp>
        <stp>912834JS Govt</stp>
        <stp>IDX_RATIO</stp>
        <stp>[STRIPS.xlsx]Sheet1!R315C20</stp>
        <tr r="T315" s="1"/>
      </tp>
      <tp t="s">
        <v>#N/A Field Not Applicable</v>
        <stp/>
        <stp>##V3_BDPV12</stp>
        <stp>912834JD Govt</stp>
        <stp>IDX_RATIO</stp>
        <stp>[STRIPS.xlsx]Sheet1!R314C20</stp>
        <tr r="T314" s="1"/>
      </tp>
      <tp t="s">
        <v>#N/A Field Not Applicable</v>
        <stp/>
        <stp>##V3_BDPV12</stp>
        <stp>912833RX Govt</stp>
        <stp>IDX_RATIO</stp>
        <stp>[STRIPS.xlsx]Sheet1!R449C20</stp>
        <tr r="T449" s="1"/>
      </tp>
      <tp t="s">
        <v>#N/A Field Not Applicable</v>
        <stp/>
        <stp>##V3_BDPV12</stp>
        <stp>912833RM Govt</stp>
        <stp>IDX_RATIO</stp>
        <stp>[STRIPS.xlsx]Sheet1!R448C20</stp>
        <tr r="T448" s="1"/>
      </tp>
      <tp t="s">
        <v>#N/A Field Not Applicable</v>
        <stp/>
        <stp>##V3_BDPV12</stp>
        <stp>912834PK Govt</stp>
        <stp>IDX_RATIO</stp>
        <stp>[STRIPS.xlsx]Sheet1!R329C20</stp>
        <tr r="T329" s="1"/>
      </tp>
      <tp t="s">
        <v>#N/A Field Not Applicable</v>
        <stp/>
        <stp>##V3_BDPV12</stp>
        <stp>912833Y9 Govt</stp>
        <stp>IDX_RATIO</stp>
        <stp>[STRIPS.xlsx]Sheet1!R450C20</stp>
        <tr r="T450" s="1"/>
      </tp>
      <tp t="s">
        <v>#N/A Field Not Applicable</v>
        <stp/>
        <stp>##V3_BDPV12</stp>
        <stp>912833YY Govt</stp>
        <stp>IDX_RATIO</stp>
        <stp>[STRIPS.xlsx]Sheet1!R453C20</stp>
        <tr r="T453" s="1"/>
      </tp>
      <tp t="s">
        <v>#N/A Field Not Applicable</v>
        <stp/>
        <stp>##V3_BDPV12</stp>
        <stp>912833YM Govt</stp>
        <stp>IDX_RATIO</stp>
        <stp>[STRIPS.xlsx]Sheet1!R452C20</stp>
        <tr r="T452" s="1"/>
      </tp>
      <tp t="s">
        <v>#N/A Field Not Applicable</v>
        <stp/>
        <stp>##V3_BDPV12</stp>
        <stp>912833YB Govt</stp>
        <stp>IDX_RATIO</stp>
        <stp>[STRIPS.xlsx]Sheet1!R451C20</stp>
        <tr r="T451" s="1"/>
      </tp>
      <tp t="s">
        <v>#N/A Field Not Applicable</v>
        <stp/>
        <stp>##V3_BDPV12</stp>
        <stp>912833ZS Govt</stp>
        <stp>IDX_RATIO</stp>
        <stp>[STRIPS.xlsx]Sheet1!R455C20</stp>
        <tr r="T455" s="1"/>
      </tp>
      <tp t="s">
        <v>#N/A Field Not Applicable</v>
        <stp/>
        <stp>##V3_BDPV12</stp>
        <stp>912833ZB Govt</stp>
        <stp>IDX_RATIO</stp>
        <stp>[STRIPS.xlsx]Sheet1!R454C20</stp>
        <tr r="T454" s="1"/>
      </tp>
      <tp t="s">
        <v>#N/A Field Not Applicable</v>
        <stp/>
        <stp>##V3_BDPV12</stp>
        <stp>9128333S Govt</stp>
        <stp>IDX_RATIO</stp>
        <stp>[STRIPS.xlsx]Sheet1!R553C20</stp>
        <tr r="T553" s="1"/>
      </tp>
      <tp t="s">
        <v>#N/A Field Not Applicable</v>
        <stp/>
        <stp>##V3_BDPV12</stp>
        <stp>9128333L Govt</stp>
        <stp>IDX_RATIO</stp>
        <stp>[STRIPS.xlsx]Sheet1!R552C20</stp>
        <tr r="T552" s="1"/>
      </tp>
      <tp t="s">
        <v>#N/A Field Not Applicable</v>
        <stp/>
        <stp>##V3_BDPV12</stp>
        <stp>9128335R Govt</stp>
        <stp>IDX_RATIO</stp>
        <stp>[STRIPS.xlsx]Sheet1!R555C20</stp>
        <tr r="T555" s="1"/>
      </tp>
      <tp t="s">
        <v>#N/A Field Not Applicable</v>
        <stp/>
        <stp>##V3_BDPV12</stp>
        <stp>9128335T Govt</stp>
        <stp>IDX_RATIO</stp>
        <stp>[STRIPS.xlsx]Sheet1!R556C20</stp>
        <tr r="T556" s="1"/>
      </tp>
      <tp t="s">
        <v>#N/A Field Not Applicable</v>
        <stp/>
        <stp>##V3_BDPV12</stp>
        <stp>9128334R Govt</stp>
        <stp>IDX_RATIO</stp>
        <stp>[STRIPS.xlsx]Sheet1!R554C20</stp>
        <tr r="T554" s="1"/>
      </tp>
      <tp t="s">
        <v>#N/A Field Not Applicable</v>
        <stp/>
        <stp>##V3_BDPV12</stp>
        <stp>9128337M Govt</stp>
        <stp>IDX_RATIO</stp>
        <stp>[STRIPS.xlsx]Sheet1!R559C20</stp>
        <tr r="T559" s="1"/>
      </tp>
      <tp t="s">
        <v>#N/A Field Not Applicable</v>
        <stp/>
        <stp>##V3_BDPV12</stp>
        <stp>9128336L Govt</stp>
        <stp>IDX_RATIO</stp>
        <stp>[STRIPS.xlsx]Sheet1!R557C20</stp>
        <tr r="T557" s="1"/>
      </tp>
      <tp t="s">
        <v>#N/A Field Not Applicable</v>
        <stp/>
        <stp>##V3_BDPV12</stp>
        <stp>9128336M Govt</stp>
        <stp>IDX_RATIO</stp>
        <stp>[STRIPS.xlsx]Sheet1!R558C20</stp>
        <tr r="T558" s="1"/>
      </tp>
      <tp t="s">
        <v>#N/A Field Not Applicable</v>
        <stp/>
        <stp>##V3_BDPV12</stp>
        <stp>9128333M Govt</stp>
        <stp>IDX_RATIO</stp>
        <stp>[STRIPS.xlsx]Sheet1!R599C20</stp>
        <tr r="T599" s="1"/>
      </tp>
      <tp t="s">
        <v>#N/A Field Not Applicable</v>
        <stp/>
        <stp>##V3_BDPV12</stp>
        <stp>9128332E Govt</stp>
        <stp>IDX_RATIO</stp>
        <stp>[STRIPS.xlsx]Sheet1!R597C20</stp>
        <tr r="T597" s="1"/>
      </tp>
      <tp t="s">
        <v>#N/A Field Not Applicable</v>
        <stp/>
        <stp>##V3_BDPV12</stp>
        <stp>9128332J Govt</stp>
        <stp>IDX_RATIO</stp>
        <stp>[STRIPS.xlsx]Sheet1!R598C20</stp>
        <tr r="T598" s="1"/>
      </tp>
      <tp t="s">
        <v>912833JX9</v>
        <stp/>
        <stp>##V3_BDPV12</stp>
        <stp>912833JX Govt</stp>
        <stp>ID_CUSIP</stp>
        <stp>[STRIPS.xlsx]Sheet1!R669C19</stp>
        <tr r="S669" s="1"/>
      </tp>
      <tp t="s">
        <v>912833MX5</v>
        <stp/>
        <stp>##V3_BDPV12</stp>
        <stp>912833MX Govt</stp>
        <stp>ID_CUSIP</stp>
        <stp>[STRIPS.xlsx]Sheet1!R627C19</stp>
        <tr r="S627" s="1"/>
      </tp>
      <tp t="s">
        <v>912833FX3</v>
        <stp/>
        <stp>##V3_BDPV12</stp>
        <stp>912833FX Govt</stp>
        <stp>ID_CUSIP</stp>
        <stp>[STRIPS.xlsx]Sheet1!R622C19</stp>
        <tr r="S622" s="1"/>
      </tp>
      <tp t="s">
        <v>9128333X6</v>
        <stp/>
        <stp>##V3_BDPV12</stp>
        <stp>9128333X Govt</stp>
        <stp>ID_CUSIP</stp>
        <stp>[STRIPS.xlsx]Sheet1!R601C19</stp>
        <tr r="S601" s="1"/>
      </tp>
      <tp t="s">
        <v>3/31/2004</v>
        <stp/>
        <stp>##V3_BDPV12</stp>
        <stp>9128332C Govt</stp>
        <stp>ISSUE_DT</stp>
        <stp>[STRIPS.xlsx]Sheet1!R701C15</stp>
        <tr r="O701" s="1"/>
      </tp>
      <tp t="s">
        <v>7/15/2005</v>
        <stp/>
        <stp>##V3_BDPV12</stp>
        <stp>9128334C Govt</stp>
        <stp>ISSUE_DT</stp>
        <stp>[STRIPS.xlsx]Sheet1!R707C15</stp>
        <tr r="O707" s="1"/>
      </tp>
      <tp t="s">
        <v>5/31/2006</v>
        <stp/>
        <stp>##V3_BDPV12</stp>
        <stp>9128336C Govt</stp>
        <stp>ISSUE_DT</stp>
        <stp>[STRIPS.xlsx]Sheet1!R713C15</stp>
        <tr r="O713" s="1"/>
      </tp>
      <tp t="s">
        <v>11/30/2018</v>
        <stp/>
        <stp>##V3_BDPV12</stp>
        <stp>912834UC Govt</stp>
        <stp>ISSUE_DT</stp>
        <stp>[STRIPS.xlsx]Sheet1!R761C15</stp>
        <tr r="O761" s="1"/>
      </tp>
      <tp t="s">
        <v>10/15/2019</v>
        <stp/>
        <stp>##V3_BDPV12</stp>
        <stp>912834VC Govt</stp>
        <stp>ISSUE_DT</stp>
        <stp>[STRIPS.xlsx]Sheet1!R763C15</stp>
        <tr r="O763" s="1"/>
      </tp>
      <tp t="s">
        <v>2/28/2006</v>
        <stp/>
        <stp>##V3_BDPV12</stp>
        <stp>9128335C Govt</stp>
        <stp>ISSUE_DT</stp>
        <stp>[STRIPS.xlsx]Sheet1!R720C15</stp>
        <tr r="O720" s="1"/>
      </tp>
      <tp t="s">
        <v>#N/A Field Not Applicable</v>
        <stp/>
        <stp>##V3_BDPV12</stp>
        <stp>912833B2 Govt</stp>
        <stp>IDX_RATIO</stp>
        <stp>[STRIPS.xlsx]Sheet1!R561C20</stp>
        <tr r="T561" s="1"/>
      </tp>
      <tp t="s">
        <v>#N/A Field Not Applicable</v>
        <stp/>
        <stp>##V3_BDPV12</stp>
        <stp>912833BZ Govt</stp>
        <stp>IDX_RATIO</stp>
        <stp>[STRIPS.xlsx]Sheet1!R562C20</stp>
        <tr r="T562" s="1"/>
      </tp>
      <tp t="s">
        <v>#N/A Field Not Applicable</v>
        <stp/>
        <stp>##V3_BDPV12</stp>
        <stp>912834BN Govt</stp>
        <stp>IDX_RATIO</stp>
        <stp>[STRIPS.xlsx]Sheet1!R263C20</stp>
        <tr r="T263" s="1"/>
      </tp>
      <tp t="s">
        <v>#N/A Field Not Applicable</v>
        <stp/>
        <stp>##V3_BDPV12</stp>
        <stp>912834AK Govt</stp>
        <stp>IDX_RATIO</stp>
        <stp>[STRIPS.xlsx]Sheet1!R257C20</stp>
        <tr r="T257" s="1"/>
      </tp>
      <tp t="s">
        <v>#N/A Field Not Applicable</v>
        <stp/>
        <stp>##V3_BDPV12</stp>
        <stp>912833DH Govt</stp>
        <stp>IDX_RATIO</stp>
        <stp>[STRIPS.xlsx]Sheet1!R506C20</stp>
        <tr r="T506" s="1"/>
      </tp>
      <tp t="s">
        <v>#N/A Field Not Applicable</v>
        <stp/>
        <stp>##V3_BDPV12</stp>
        <stp>912834BL Govt</stp>
        <stp>IDX_RATIO</stp>
        <stp>[STRIPS.xlsx]Sheet1!R262C20</stp>
        <tr r="T262" s="1"/>
      </tp>
      <tp t="s">
        <v>#N/A Field Not Applicable</v>
        <stp/>
        <stp>##V3_BDPV12</stp>
        <stp>912834AB Govt</stp>
        <stp>IDX_RATIO</stp>
        <stp>[STRIPS.xlsx]Sheet1!R256C20</stp>
        <tr r="T256" s="1"/>
      </tp>
      <tp t="s">
        <v>#N/A Field Not Applicable</v>
        <stp/>
        <stp>##V3_BDPV12</stp>
        <stp>912834AL Govt</stp>
        <stp>IDX_RATIO</stp>
        <stp>[STRIPS.xlsx]Sheet1!R258C20</stp>
        <tr r="T258" s="1"/>
      </tp>
      <tp t="s">
        <v>#N/A Field Not Applicable</v>
        <stp/>
        <stp>##V3_BDPV12</stp>
        <stp>912833DC Govt</stp>
        <stp>IDX_RATIO</stp>
        <stp>[STRIPS.xlsx]Sheet1!R504C20</stp>
        <tr r="T504" s="1"/>
      </tp>
      <tp t="s">
        <v>#N/A Field Not Applicable</v>
        <stp/>
        <stp>##V3_BDPV12</stp>
        <stp>912834AN Govt</stp>
        <stp>IDX_RATIO</stp>
        <stp>[STRIPS.xlsx]Sheet1!R259C20</stp>
        <tr r="T259" s="1"/>
      </tp>
      <tp t="s">
        <v>#N/A Field Not Applicable</v>
        <stp/>
        <stp>##V3_BDPV12</stp>
        <stp>912833DE Govt</stp>
        <stp>IDX_RATIO</stp>
        <stp>[STRIPS.xlsx]Sheet1!R505C20</stp>
        <tr r="T505" s="1"/>
      </tp>
      <tp t="s">
        <v>#N/A Field Not Applicable</v>
        <stp/>
        <stp>##V3_BDPV12</stp>
        <stp>912833C6 Govt</stp>
        <stp>IDX_RATIO</stp>
        <stp>[STRIPS.xlsx]Sheet1!R563C20</stp>
        <tr r="T563" s="1"/>
      </tp>
      <tp t="s">
        <v>#N/A Field Not Applicable</v>
        <stp/>
        <stp>##V3_BDPV12</stp>
        <stp>912833CP Govt</stp>
        <stp>IDX_RATIO</stp>
        <stp>[STRIPS.xlsx]Sheet1!R564C20</stp>
        <tr r="T564" s="1"/>
      </tp>
      <tp t="s">
        <v>#N/A Field Not Applicable</v>
        <stp/>
        <stp>##V3_BDPV12</stp>
        <stp>912833FU Govt</stp>
        <stp>IDX_RATIO</stp>
        <stp>[STRIPS.xlsx]Sheet1!R509C20</stp>
        <tr r="T509" s="1"/>
      </tp>
      <tp t="s">
        <v>#N/A Field Not Applicable</v>
        <stp/>
        <stp>##V3_BDPV12</stp>
        <stp>912833FS Govt</stp>
        <stp>IDX_RATIO</stp>
        <stp>[STRIPS.xlsx]Sheet1!R508C20</stp>
        <tr r="T508" s="1"/>
      </tp>
      <tp t="s">
        <v>#N/A Field Not Applicable</v>
        <stp/>
        <stp>##V3_BDPV12</stp>
        <stp>912833FH Govt</stp>
        <stp>IDX_RATIO</stp>
        <stp>[STRIPS.xlsx]Sheet1!R507C20</stp>
        <tr r="T507" s="1"/>
      </tp>
      <tp t="s">
        <v>#N/A Field Not Applicable</v>
        <stp/>
        <stp>##V3_BDPV12</stp>
        <stp>912833A8 Govt</stp>
        <stp>IDX_RATIO</stp>
        <stp>[STRIPS.xlsx]Sheet1!R560C20</stp>
        <tr r="T560" s="1"/>
      </tp>
      <tp t="s">
        <v>#N/A Field Not Applicable</v>
        <stp/>
        <stp>##V3_BDPV12</stp>
        <stp>912833FZ Govt</stp>
        <stp>IDX_RATIO</stp>
        <stp>[STRIPS.xlsx]Sheet1!R511C20</stp>
        <tr r="T511" s="1"/>
      </tp>
      <tp t="s">
        <v>#N/A Field Not Applicable</v>
        <stp/>
        <stp>##V3_BDPV12</stp>
        <stp>912834AZ Govt</stp>
        <stp>IDX_RATIO</stp>
        <stp>[STRIPS.xlsx]Sheet1!R261C20</stp>
        <tr r="T261" s="1"/>
      </tp>
      <tp t="s">
        <v>#N/A Field Not Applicable</v>
        <stp/>
        <stp>##V3_BDPV12</stp>
        <stp>912833FV Govt</stp>
        <stp>IDX_RATIO</stp>
        <stp>[STRIPS.xlsx]Sheet1!R510C20</stp>
        <tr r="T510" s="1"/>
      </tp>
      <tp t="s">
        <v>#N/A Field Not Applicable</v>
        <stp/>
        <stp>##V3_BDPV12</stp>
        <stp>912834AQ Govt</stp>
        <stp>IDX_RATIO</stp>
        <stp>[STRIPS.xlsx]Sheet1!R260C20</stp>
        <tr r="T260" s="1"/>
      </tp>
      <tp t="s">
        <v>#N/A Field Not Applicable</v>
        <stp/>
        <stp>##V3_BDPV12</stp>
        <stp>912833B6 Govt</stp>
        <stp>IDX_RATIO</stp>
        <stp>[STRIPS.xlsx]Sheet1!R500C20</stp>
        <tr r="T500" s="1"/>
      </tp>
      <tp t="s">
        <v>#N/A Field Not Applicable</v>
        <stp/>
        <stp>##V3_BDPV12</stp>
        <stp>912834DY Govt</stp>
        <stp>IDX_RATIO</stp>
        <stp>[STRIPS.xlsx]Sheet1!R264C20</stp>
        <tr r="T264" s="1"/>
      </tp>
      <tp t="s">
        <v>#N/A Field Not Applicable</v>
        <stp/>
        <stp>##V3_BDPV12</stp>
        <stp>912833BY Govt</stp>
        <stp>IDX_RATIO</stp>
        <stp>[STRIPS.xlsx]Sheet1!R501C20</stp>
        <tr r="T501" s="1"/>
      </tp>
      <tp t="s">
        <v>#N/A Field Not Applicable</v>
        <stp/>
        <stp>##V3_BDPV12</stp>
        <stp>912833CX Govt</stp>
        <stp>IDX_RATIO</stp>
        <stp>[STRIPS.xlsx]Sheet1!R503C20</stp>
        <tr r="T503" s="1"/>
      </tp>
      <tp t="s">
        <v>#N/A Field Not Applicable</v>
        <stp/>
        <stp>##V3_BDPV12</stp>
        <stp>912833CA Govt</stp>
        <stp>IDX_RATIO</stp>
        <stp>[STRIPS.xlsx]Sheet1!R502C20</stp>
        <tr r="T502" s="1"/>
      </tp>
      <tp t="s">
        <v>#N/A Field Not Applicable</v>
        <stp/>
        <stp>##V3_BDPV12</stp>
        <stp>912834JZ Govt</stp>
        <stp>IDX_RATIO</stp>
        <stp>[STRIPS.xlsx]Sheet1!R266C20</stp>
        <tr r="T266" s="1"/>
      </tp>
      <tp t="s">
        <v>#N/A Field Not Applicable</v>
        <stp/>
        <stp>##V3_BDPV12</stp>
        <stp>912833MU Govt</stp>
        <stp>IDX_RATIO</stp>
        <stp>[STRIPS.xlsx]Sheet1!R515C20</stp>
        <tr r="T515" s="1"/>
      </tp>
      <tp t="s">
        <v>#N/A Field Not Applicable</v>
        <stp/>
        <stp>##V3_BDPV12</stp>
        <stp>912833MG Govt</stp>
        <stp>IDX_RATIO</stp>
        <stp>[STRIPS.xlsx]Sheet1!R514C20</stp>
        <tr r="T514" s="1"/>
      </tp>
      <tp t="s">
        <v>#N/A Field Not Applicable</v>
        <stp/>
        <stp>##V3_BDPV12</stp>
        <stp>912834KS Govt</stp>
        <stp>IDX_RATIO</stp>
        <stp>[STRIPS.xlsx]Sheet1!R268C20</stp>
        <tr r="T268" s="1"/>
      </tp>
      <tp t="s">
        <v>#N/A Field Not Applicable</v>
        <stp/>
        <stp>##V3_BDPV12</stp>
        <stp>912833KQ Govt</stp>
        <stp>IDX_RATIO</stp>
        <stp>[STRIPS.xlsx]Sheet1!R566C20</stp>
        <tr r="T566" s="1"/>
      </tp>
      <tp t="s">
        <v>#N/A Field Not Applicable</v>
        <stp/>
        <stp>##V3_BDPV12</stp>
        <stp>912834KZ Govt</stp>
        <stp>IDX_RATIO</stp>
        <stp>[STRIPS.xlsx]Sheet1!R269C20</stp>
        <tr r="T269" s="1"/>
      </tp>
      <tp t="s">
        <v>#N/A Field Not Applicable</v>
        <stp/>
        <stp>##V3_BDPV12</stp>
        <stp>912833KH Govt</stp>
        <stp>IDX_RATIO</stp>
        <stp>[STRIPS.xlsx]Sheet1!R565C20</stp>
        <tr r="T565" s="1"/>
      </tp>
      <tp t="s">
        <v>#N/A Field Not Applicable</v>
        <stp/>
        <stp>##V3_BDPV12</stp>
        <stp>912834KJ Govt</stp>
        <stp>IDX_RATIO</stp>
        <stp>[STRIPS.xlsx]Sheet1!R267C20</stp>
        <tr r="T267" s="1"/>
      </tp>
      <tp t="s">
        <v>#N/A Field Not Applicable</v>
        <stp/>
        <stp>##V3_BDPV12</stp>
        <stp>912834HZ Govt</stp>
        <stp>IDX_RATIO</stp>
        <stp>[STRIPS.xlsx]Sheet1!R265C20</stp>
        <tr r="T265" s="1"/>
      </tp>
      <tp t="s">
        <v>#N/A Field Not Applicable</v>
        <stp/>
        <stp>##V3_BDPV12</stp>
        <stp>912834MW Govt</stp>
        <stp>IDX_RATIO</stp>
        <stp>[STRIPS.xlsx]Sheet1!R234C20</stp>
        <tr r="T234" s="1"/>
      </tp>
      <tp t="s">
        <v>#N/A Field Not Applicable</v>
        <stp/>
        <stp>##V3_BDPV12</stp>
        <stp>912834MJ Govt</stp>
        <stp>IDX_RATIO</stp>
        <stp>[STRIPS.xlsx]Sheet1!R233C20</stp>
        <tr r="T233" s="1"/>
      </tp>
      <tp t="s">
        <v>#N/A Field Not Applicable</v>
        <stp/>
        <stp>##V3_BDPV12</stp>
        <stp>912834LV Govt</stp>
        <stp>IDX_RATIO</stp>
        <stp>[STRIPS.xlsx]Sheet1!R232C20</stp>
        <tr r="T232" s="1"/>
      </tp>
      <tp t="s">
        <v>#N/A Field Not Applicable</v>
        <stp/>
        <stp>##V3_BDPV12</stp>
        <stp>912834LN Govt</stp>
        <stp>IDX_RATIO</stp>
        <stp>[STRIPS.xlsx]Sheet1!R231C20</stp>
        <tr r="T231" s="1"/>
      </tp>
      <tp t="s">
        <v>#N/A Field Not Applicable</v>
        <stp/>
        <stp>##V3_BDPV12</stp>
        <stp>912833NM Govt</stp>
        <stp>IDX_RATIO</stp>
        <stp>[STRIPS.xlsx]Sheet1!R517C20</stp>
        <tr r="T517" s="1"/>
      </tp>
      <tp t="s">
        <v>#N/A Field Not Applicable</v>
        <stp/>
        <stp>##V3_BDPV12</stp>
        <stp>912833NN Govt</stp>
        <stp>IDX_RATIO</stp>
        <stp>[STRIPS.xlsx]Sheet1!R518C20</stp>
        <tr r="T518" s="1"/>
      </tp>
      <tp t="s">
        <v>#N/A Field Not Applicable</v>
        <stp/>
        <stp>##V3_BDPV12</stp>
        <stp>912833NG Govt</stp>
        <stp>IDX_RATIO</stp>
        <stp>[STRIPS.xlsx]Sheet1!R516C20</stp>
        <tr r="T516" s="1"/>
      </tp>
      <tp t="s">
        <v>#N/A Field Not Applicable</v>
        <stp/>
        <stp>##V3_BDPV12</stp>
        <stp>912834JX Govt</stp>
        <stp>IDX_RATIO</stp>
        <stp>[STRIPS.xlsx]Sheet1!R221C20</stp>
        <tr r="T221" s="1"/>
      </tp>
      <tp t="s">
        <v>#N/A Field Not Applicable</v>
        <stp/>
        <stp>##V3_BDPV12</stp>
        <stp>912834JG Govt</stp>
        <stp>IDX_RATIO</stp>
        <stp>[STRIPS.xlsx]Sheet1!R228C20</stp>
        <tr r="T228" s="1"/>
      </tp>
      <tp t="s">
        <v>#N/A Field Not Applicable</v>
        <stp/>
        <stp>##V3_BDPV12</stp>
        <stp>912834JC Govt</stp>
        <stp>IDX_RATIO</stp>
        <stp>[STRIPS.xlsx]Sheet1!R227C20</stp>
        <tr r="T227" s="1"/>
      </tp>
      <tp t="s">
        <v>#N/A Field Not Applicable</v>
        <stp/>
        <stp>##V3_BDPV12</stp>
        <stp>912834KG Govt</stp>
        <stp>IDX_RATIO</stp>
        <stp>[STRIPS.xlsx]Sheet1!R230C20</stp>
        <tr r="T230" s="1"/>
      </tp>
      <tp t="s">
        <v>#N/A Field Not Applicable</v>
        <stp/>
        <stp>##V3_BDPV12</stp>
        <stp>912834NZ Govt</stp>
        <stp>IDX_RATIO</stp>
        <stp>[STRIPS.xlsx]Sheet1!R275C20</stp>
        <tr r="T275" s="1"/>
      </tp>
      <tp t="s">
        <v>#N/A Field Not Applicable</v>
        <stp/>
        <stp>##V3_BDPV12</stp>
        <stp>912834NU Govt</stp>
        <stp>IDX_RATIO</stp>
        <stp>[STRIPS.xlsx]Sheet1!R274C20</stp>
        <tr r="T274" s="1"/>
      </tp>
      <tp t="s">
        <v>#N/A Field Not Applicable</v>
        <stp/>
        <stp>##V3_BDPV12</stp>
        <stp>912833NR Govt</stp>
        <stp>IDX_RATIO</stp>
        <stp>[STRIPS.xlsx]Sheet1!R572C20</stp>
        <tr r="T572" s="1"/>
      </tp>
      <tp t="s">
        <v>#N/A Field Not Applicable</v>
        <stp/>
        <stp>##V3_BDPV12</stp>
        <stp>912834NQ Govt</stp>
        <stp>IDX_RATIO</stp>
        <stp>[STRIPS.xlsx]Sheet1!R273C20</stp>
        <tr r="T273" s="1"/>
      </tp>
      <tp t="s">
        <v>#N/A Field Not Applicable</v>
        <stp/>
        <stp>##V3_BDPV12</stp>
        <stp>912834KF Govt</stp>
        <stp>IDX_RATIO</stp>
        <stp>[STRIPS.xlsx]Sheet1!R229C20</stp>
        <tr r="T229" s="1"/>
      </tp>
      <tp t="s">
        <v>#N/A Field Not Applicable</v>
        <stp/>
        <stp>##V3_BDPV12</stp>
        <stp>912833NE Govt</stp>
        <stp>IDX_RATIO</stp>
        <stp>[STRIPS.xlsx]Sheet1!R571C20</stp>
        <tr r="T571" s="1"/>
      </tp>
      <tp t="s">
        <v>#N/A Field Not Applicable</v>
        <stp/>
        <stp>##V3_BDPV12</stp>
        <stp>912833NC Govt</stp>
        <stp>IDX_RATIO</stp>
        <stp>[STRIPS.xlsx]Sheet1!R570C20</stp>
        <tr r="T570" s="1"/>
      </tp>
      <tp t="s">
        <v>#N/A Field Not Applicable</v>
        <stp/>
        <stp>##V3_BDPV12</stp>
        <stp>912834HY Govt</stp>
        <stp>IDX_RATIO</stp>
        <stp>[STRIPS.xlsx]Sheet1!R226C20</stp>
        <tr r="T226" s="1"/>
      </tp>
      <tp t="s">
        <v>#N/A Field Not Applicable</v>
        <stp/>
        <stp>##V3_BDPV12</stp>
        <stp>912833KY Govt</stp>
        <stp>IDX_RATIO</stp>
        <stp>[STRIPS.xlsx]Sheet1!R513C20</stp>
        <tr r="T513" s="1"/>
      </tp>
      <tp t="s">
        <v>#N/A Field Not Applicable</v>
        <stp/>
        <stp>##V3_BDPV12</stp>
        <stp>912834HU Govt</stp>
        <stp>IDX_RATIO</stp>
        <stp>[STRIPS.xlsx]Sheet1!R225C20</stp>
        <tr r="T225" s="1"/>
      </tp>
      <tp t="s">
        <v>#N/A Field Not Applicable</v>
        <stp/>
        <stp>##V3_BDPV12</stp>
        <stp>912834MR Govt</stp>
        <stp>IDX_RATIO</stp>
        <stp>[STRIPS.xlsx]Sheet1!R272C20</stp>
        <tr r="T272" s="1"/>
      </tp>
      <tp t="s">
        <v>#N/A Field Not Applicable</v>
        <stp/>
        <stp>##V3_BDPV12</stp>
        <stp>912833KJ Govt</stp>
        <stp>IDX_RATIO</stp>
        <stp>[STRIPS.xlsx]Sheet1!R512C20</stp>
        <tr r="T512" s="1"/>
      </tp>
      <tp t="s">
        <v>#N/A Field Not Applicable</v>
        <stp/>
        <stp>##V3_BDPV12</stp>
        <stp>912834MG Govt</stp>
        <stp>IDX_RATIO</stp>
        <stp>[STRIPS.xlsx]Sheet1!R271C20</stp>
        <tr r="T271" s="1"/>
      </tp>
      <tp t="s">
        <v>#N/A Field Not Applicable</v>
        <stp/>
        <stp>##V3_BDPV12</stp>
        <stp>912834JW Govt</stp>
        <stp>IDX_RATIO</stp>
        <stp>[STRIPS.xlsx]Sheet1!R210C20</stp>
        <tr r="T210" s="1"/>
      </tp>
      <tp t="s">
        <v>#N/A Field Not Applicable</v>
        <stp/>
        <stp>##V3_BDPV12</stp>
        <stp>912833MY Govt</stp>
        <stp>IDX_RATIO</stp>
        <stp>[STRIPS.xlsx]Sheet1!R569C20</stp>
        <tr r="T569" s="1"/>
      </tp>
      <tp t="s">
        <v>#N/A Field Not Applicable</v>
        <stp/>
        <stp>##V3_BDPV12</stp>
        <stp>912834LS Govt</stp>
        <stp>IDX_RATIO</stp>
        <stp>[STRIPS.xlsx]Sheet1!R270C20</stp>
        <tr r="T270" s="1"/>
      </tp>
      <tp t="s">
        <v>#N/A Field Not Applicable</v>
        <stp/>
        <stp>##V3_BDPV12</stp>
        <stp>912833ML Govt</stp>
        <stp>IDX_RATIO</stp>
        <stp>[STRIPS.xlsx]Sheet1!R568C20</stp>
        <tr r="T568" s="1"/>
      </tp>
      <tp t="s">
        <v>#N/A Field Not Applicable</v>
        <stp/>
        <stp>##V3_BDPV12</stp>
        <stp>912833ME Govt</stp>
        <stp>IDX_RATIO</stp>
        <stp>[STRIPS.xlsx]Sheet1!R567C20</stp>
        <tr r="T567" s="1"/>
      </tp>
      <tp t="s">
        <v>#N/A Field Not Applicable</v>
        <stp/>
        <stp>##V3_BDPV12</stp>
        <stp>912834VR Govt</stp>
        <stp>IDX_RATIO</stp>
        <stp>[STRIPS.xlsx]Sheet1!R224C20</stp>
        <tr r="T224" s="1"/>
      </tp>
      <tp t="s">
        <v>#N/A Field Not Applicable</v>
        <stp/>
        <stp>##V3_BDPV12</stp>
        <stp>912834VQ Govt</stp>
        <stp>IDX_RATIO</stp>
        <stp>[STRIPS.xlsx]Sheet1!R222C20</stp>
        <tr r="T222" s="1"/>
      </tp>
      <tp t="s">
        <v>#N/A Field Not Applicable</v>
        <stp/>
        <stp>##V3_BDPV12</stp>
        <stp>912834UV Govt</stp>
        <stp>IDX_RATIO</stp>
        <stp>[STRIPS.xlsx]Sheet1!R208C20</stp>
        <tr r="T208" s="1"/>
      </tp>
      <tp t="s">
        <v>#N/A Field Not Applicable</v>
        <stp/>
        <stp>##V3_BDPV12</stp>
        <stp>912834UN Govt</stp>
        <stp>IDX_RATIO</stp>
        <stp>[STRIPS.xlsx]Sheet1!R206C20</stp>
        <tr r="T206" s="1"/>
      </tp>
      <tp t="s">
        <v>#N/A Field Not Applicable</v>
        <stp/>
        <stp>##V3_BDPV12</stp>
        <stp>912833RN Govt</stp>
        <stp>IDX_RATIO</stp>
        <stp>[STRIPS.xlsx]Sheet1!R579C20</stp>
        <tr r="T579" s="1"/>
      </tp>
      <tp t="s">
        <v>#N/A Field Not Applicable</v>
        <stp/>
        <stp>##V3_BDPV12</stp>
        <stp>912834WE Govt</stp>
        <stp>IDX_RATIO</stp>
        <stp>[STRIPS.xlsx]Sheet1!R223C20</stp>
        <tr r="T223" s="1"/>
      </tp>
      <tp t="s">
        <v>#N/A Field Not Applicable</v>
        <stp/>
        <stp>##V3_BDPV12</stp>
        <stp>912834UA Govt</stp>
        <stp>IDX_RATIO</stp>
        <stp>[STRIPS.xlsx]Sheet1!R200C20</stp>
        <tr r="T200" s="1"/>
      </tp>
      <tp t="s">
        <v>#N/A Field Not Applicable</v>
        <stp/>
        <stp>##V3_BDPV12</stp>
        <stp>912833RK Govt</stp>
        <stp>IDX_RATIO</stp>
        <stp>[STRIPS.xlsx]Sheet1!R578C20</stp>
        <tr r="T578" s="1"/>
      </tp>
      <tp t="s">
        <v>#N/A Field Not Applicable</v>
        <stp/>
        <stp>##V3_BDPV12</stp>
        <stp>912834UE Govt</stp>
        <stp>IDX_RATIO</stp>
        <stp>[STRIPS.xlsx]Sheet1!R207C20</stp>
        <tr r="T207" s="1"/>
      </tp>
      <tp t="s">
        <v>#N/A Field Not Applicable</v>
        <stp/>
        <stp>##V3_BDPV12</stp>
        <stp>912834QZ Govt</stp>
        <stp>IDX_RATIO</stp>
        <stp>[STRIPS.xlsx]Sheet1!R279C20</stp>
        <tr r="T279" s="1"/>
      </tp>
      <tp t="s">
        <v>#N/A Field Not Applicable</v>
        <stp/>
        <stp>##V3_BDPV12</stp>
        <stp>912834WH Govt</stp>
        <stp>IDX_RATIO</stp>
        <stp>[STRIPS.xlsx]Sheet1!R215C20</stp>
        <tr r="T215" s="1"/>
      </tp>
      <tp t="s">
        <v>#N/A Field Not Applicable</v>
        <stp/>
        <stp>##V3_BDPV12</stp>
        <stp>912833QN Govt</stp>
        <stp>IDX_RATIO</stp>
        <stp>[STRIPS.xlsx]Sheet1!R577C20</stp>
        <tr r="T577" s="1"/>
      </tp>
      <tp t="s">
        <v>#N/A Field Not Applicable</v>
        <stp/>
        <stp>##V3_BDPV12</stp>
        <stp>912834QF Govt</stp>
        <stp>IDX_RATIO</stp>
        <stp>[STRIPS.xlsx]Sheet1!R277C20</stp>
        <tr r="T277" s="1"/>
      </tp>
      <tp t="s">
        <v>#N/A Field Not Applicable</v>
        <stp/>
        <stp>##V3_BDPV12</stp>
        <stp>912834QK Govt</stp>
        <stp>IDX_RATIO</stp>
        <stp>[STRIPS.xlsx]Sheet1!R278C20</stp>
        <tr r="T278" s="1"/>
      </tp>
      <tp t="s">
        <v>#N/A Field Not Applicable</v>
        <stp/>
        <stp>##V3_BDPV12</stp>
        <stp>912833QD Govt</stp>
        <stp>IDX_RATIO</stp>
        <stp>[STRIPS.xlsx]Sheet1!R576C20</stp>
        <tr r="T576" s="1"/>
      </tp>
      <tp t="s">
        <v>#N/A Field Not Applicable</v>
        <stp/>
        <stp>##V3_BDPV12</stp>
        <stp>912833PS Govt</stp>
        <stp>IDX_RATIO</stp>
        <stp>[STRIPS.xlsx]Sheet1!R574C20</stp>
        <tr r="T574" s="1"/>
      </tp>
      <tp t="s">
        <v>#N/A Field Not Applicable</v>
        <stp/>
        <stp>##V3_BDPV12</stp>
        <stp>912834PP Govt</stp>
        <stp>IDX_RATIO</stp>
        <stp>[STRIPS.xlsx]Sheet1!R276C20</stp>
        <tr r="T276" s="1"/>
      </tp>
      <tp t="s">
        <v>#N/A Field Not Applicable</v>
        <stp/>
        <stp>##V3_BDPV12</stp>
        <stp>912833PT Govt</stp>
        <stp>IDX_RATIO</stp>
        <stp>[STRIPS.xlsx]Sheet1!R575C20</stp>
        <tr r="T575" s="1"/>
      </tp>
      <tp t="s">
        <v>#N/A Field Not Applicable</v>
        <stp/>
        <stp>##V3_BDPV12</stp>
        <stp>912834VY Govt</stp>
        <stp>IDX_RATIO</stp>
        <stp>[STRIPS.xlsx]Sheet1!R218C20</stp>
        <tr r="T218" s="1"/>
      </tp>
      <tp t="s">
        <v>#N/A Field Not Applicable</v>
        <stp/>
        <stp>##V3_BDPV12</stp>
        <stp>912834VF Govt</stp>
        <stp>IDX_RATIO</stp>
        <stp>[STRIPS.xlsx]Sheet1!R219C20</stp>
        <tr r="T219" s="1"/>
      </tp>
      <tp t="s">
        <v>#N/A Field Not Applicable</v>
        <stp/>
        <stp>##V3_BDPV12</stp>
        <stp>912833PK Govt</stp>
        <stp>IDX_RATIO</stp>
        <stp>[STRIPS.xlsx]Sheet1!R573C20</stp>
        <tr r="T573" s="1"/>
      </tp>
      <tp t="s">
        <v>#N/A Field Not Applicable</v>
        <stp/>
        <stp>##V3_BDPV12</stp>
        <stp>912834PY Govt</stp>
        <stp>IDX_RATIO</stp>
        <stp>[STRIPS.xlsx]Sheet1!R202C20</stp>
        <tr r="T202" s="1"/>
      </tp>
      <tp t="s">
        <v>#N/A Field Not Applicable</v>
        <stp/>
        <stp>##V3_BDPV12</stp>
        <stp>912834PS Govt</stp>
        <stp>IDX_RATIO</stp>
        <stp>[STRIPS.xlsx]Sheet1!R209C20</stp>
        <tr r="T209" s="1"/>
      </tp>
      <tp t="s">
        <v>#N/A Field Not Applicable</v>
        <stp/>
        <stp>##V3_BDPV12</stp>
        <stp>912833RP Govt</stp>
        <stp>IDX_RATIO</stp>
        <stp>[STRIPS.xlsx]Sheet1!R524C20</stp>
        <tr r="T524" s="1"/>
      </tp>
      <tp t="s">
        <v>#N/A Field Not Applicable</v>
        <stp/>
        <stp>##V3_BDPV12</stp>
        <stp>912833RS Govt</stp>
        <stp>IDX_RATIO</stp>
        <stp>[STRIPS.xlsx]Sheet1!R525C20</stp>
        <tr r="T525" s="1"/>
      </tp>
      <tp t="s">
        <v>#N/A Field Not Applicable</v>
        <stp/>
        <stp>##V3_BDPV12</stp>
        <stp>912833RL Govt</stp>
        <stp>IDX_RATIO</stp>
        <stp>[STRIPS.xlsx]Sheet1!R523C20</stp>
        <tr r="T523" s="1"/>
      </tp>
      <tp t="s">
        <v>#N/A Field Not Applicable</v>
        <stp/>
        <stp>##V3_BDPV12</stp>
        <stp>912834QJ Govt</stp>
        <stp>IDX_RATIO</stp>
        <stp>[STRIPS.xlsx]Sheet1!R213C20</stp>
        <tr r="T213" s="1"/>
      </tp>
      <tp t="s">
        <v>#N/A Field Not Applicable</v>
        <stp/>
        <stp>##V3_BDPV12</stp>
        <stp>912833RF Govt</stp>
        <stp>IDX_RATIO</stp>
        <stp>[STRIPS.xlsx]Sheet1!R522C20</stp>
        <tr r="T522" s="1"/>
      </tp>
      <tp t="s">
        <v>#N/A Field Not Applicable</v>
        <stp/>
        <stp>##V3_BDPV12</stp>
        <stp>912834QG Govt</stp>
        <stp>IDX_RATIO</stp>
        <stp>[STRIPS.xlsx]Sheet1!R211C20</stp>
        <tr r="T211" s="1"/>
      </tp>
      <tp t="s">
        <v>#N/A Field Not Applicable</v>
        <stp/>
        <stp>##V3_BDPV12</stp>
        <stp>912833QK Govt</stp>
        <stp>IDX_RATIO</stp>
        <stp>[STRIPS.xlsx]Sheet1!R519C20</stp>
        <tr r="T519" s="1"/>
      </tp>
      <tp t="s">
        <v>#N/A Field Not Applicable</v>
        <stp/>
        <stp>##V3_BDPV12</stp>
        <stp>912833Y7 Govt</stp>
        <stp>IDX_RATIO</stp>
        <stp>[STRIPS.xlsx]Sheet1!R583C20</stp>
        <tr r="T583" s="1"/>
      </tp>
      <tp t="s">
        <v>#N/A Field Not Applicable</v>
        <stp/>
        <stp>##V3_BDPV12</stp>
        <stp>912833Y5 Govt</stp>
        <stp>IDX_RATIO</stp>
        <stp>[STRIPS.xlsx]Sheet1!R582C20</stp>
        <tr r="T582" s="1"/>
      </tp>
      <tp t="s">
        <v>#N/A Field Not Applicable</v>
        <stp/>
        <stp>##V3_BDPV12</stp>
        <stp>912834QQ Govt</stp>
        <stp>IDX_RATIO</stp>
        <stp>[STRIPS.xlsx]Sheet1!R205C20</stp>
        <tr r="T205" s="1"/>
      </tp>
      <tp t="s">
        <v>#N/A Field Not Applicable</v>
        <stp/>
        <stp>##V3_BDPV12</stp>
        <stp>912834QU Govt</stp>
        <stp>IDX_RATIO</stp>
        <stp>[STRIPS.xlsx]Sheet1!R201C20</stp>
        <tr r="T201" s="1"/>
      </tp>
      <tp t="s">
        <v>#N/A Field Not Applicable</v>
        <stp/>
        <stp>##V3_BDPV12</stp>
        <stp>912834PU Govt</stp>
        <stp>IDX_RATIO</stp>
        <stp>[STRIPS.xlsx]Sheet1!R212C20</stp>
        <tr r="T212" s="1"/>
      </tp>
      <tp t="s">
        <v>#N/A Field Not Applicable</v>
        <stp/>
        <stp>##V3_BDPV12</stp>
        <stp>912833YS Govt</stp>
        <stp>IDX_RATIO</stp>
        <stp>[STRIPS.xlsx]Sheet1!R585C20</stp>
        <tr r="T585" s="1"/>
      </tp>
      <tp t="s">
        <v>#N/A Field Not Applicable</v>
        <stp/>
        <stp>##V3_BDPV12</stp>
        <stp>912833YU Govt</stp>
        <stp>IDX_RATIO</stp>
        <stp>[STRIPS.xlsx]Sheet1!R586C20</stp>
        <tr r="T586" s="1"/>
      </tp>
      <tp t="s">
        <v>#N/A Field Not Applicable</v>
        <stp/>
        <stp>##V3_BDPV12</stp>
        <stp>912833YK Govt</stp>
        <stp>IDX_RATIO</stp>
        <stp>[STRIPS.xlsx]Sheet1!R584C20</stp>
        <tr r="T584" s="1"/>
      </tp>
      <tp t="s">
        <v>#N/A Field Not Applicable</v>
        <stp/>
        <stp>##V3_BDPV12</stp>
        <stp>912834RQ Govt</stp>
        <stp>IDX_RATIO</stp>
        <stp>[STRIPS.xlsx]Sheet1!R204C20</stp>
        <tr r="T204" s="1"/>
      </tp>
      <tp t="s">
        <v>#N/A Field Not Applicable</v>
        <stp/>
        <stp>##V3_BDPV12</stp>
        <stp>912833ZX Govt</stp>
        <stp>IDX_RATIO</stp>
        <stp>[STRIPS.xlsx]Sheet1!R588C20</stp>
        <tr r="T588" s="1"/>
      </tp>
      <tp t="s">
        <v>#N/A Field Not Applicable</v>
        <stp/>
        <stp>##V3_BDPV12</stp>
        <stp>912834RJ Govt</stp>
        <stp>IDX_RATIO</stp>
        <stp>[STRIPS.xlsx]Sheet1!R203C20</stp>
        <tr r="T203" s="1"/>
      </tp>
      <tp t="s">
        <v>#N/A Field Not Applicable</v>
        <stp/>
        <stp>##V3_BDPV12</stp>
        <stp>912833ZF Govt</stp>
        <stp>IDX_RATIO</stp>
        <stp>[STRIPS.xlsx]Sheet1!R587C20</stp>
        <tr r="T587" s="1"/>
      </tp>
      <tp t="s">
        <v>#N/A Field Not Applicable</v>
        <stp/>
        <stp>##V3_BDPV12</stp>
        <stp>912833QR Govt</stp>
        <stp>IDX_RATIO</stp>
        <stp>[STRIPS.xlsx]Sheet1!R521C20</stp>
        <tr r="T521" s="1"/>
      </tp>
      <tp t="s">
        <v>#N/A Field Not Applicable</v>
        <stp/>
        <stp>##V3_BDPV12</stp>
        <stp>912833QM Govt</stp>
        <stp>IDX_RATIO</stp>
        <stp>[STRIPS.xlsx]Sheet1!R520C20</stp>
        <tr r="T520" s="1"/>
      </tp>
      <tp t="s">
        <v>#N/A Field Not Applicable</v>
        <stp/>
        <stp>##V3_BDPV12</stp>
        <stp>912834RA Govt</stp>
        <stp>IDX_RATIO</stp>
        <stp>[STRIPS.xlsx]Sheet1!R216C20</stp>
        <tr r="T216" s="1"/>
      </tp>
      <tp t="s">
        <v>#N/A Field Not Applicable</v>
        <stp/>
        <stp>##V3_BDPV12</stp>
        <stp>912834RG Govt</stp>
        <stp>IDX_RATIO</stp>
        <stp>[STRIPS.xlsx]Sheet1!R217C20</stp>
        <tr r="T217" s="1"/>
      </tp>
      <tp t="s">
        <v>#N/A Field Not Applicable</v>
        <stp/>
        <stp>##V3_BDPV12</stp>
        <stp>912834TT Govt</stp>
        <stp>IDX_RATIO</stp>
        <stp>[STRIPS.xlsx]Sheet1!R283C20</stp>
        <tr r="T283" s="1"/>
      </tp>
      <tp t="s">
        <v>#N/A Field Not Applicable</v>
        <stp/>
        <stp>##V3_BDPV12</stp>
        <stp>912834TM Govt</stp>
        <stp>IDX_RATIO</stp>
        <stp>[STRIPS.xlsx]Sheet1!R282C20</stp>
        <tr r="T282" s="1"/>
      </tp>
      <tp t="s">
        <v>#N/A Field Not Applicable</v>
        <stp/>
        <stp>##V3_BDPV12</stp>
        <stp>912834TD Govt</stp>
        <stp>IDX_RATIO</stp>
        <stp>[STRIPS.xlsx]Sheet1!R281C20</stp>
        <tr r="T281" s="1"/>
      </tp>
      <tp t="s">
        <v>#N/A Field Not Applicable</v>
        <stp/>
        <stp>##V3_BDPV12</stp>
        <stp>912833Z9 Govt</stp>
        <stp>IDX_RATIO</stp>
        <stp>[STRIPS.xlsx]Sheet1!R526C20</stp>
        <tr r="T526" s="1"/>
      </tp>
      <tp t="s">
        <v>#N/A Field Not Applicable</v>
        <stp/>
        <stp>##V3_BDPV12</stp>
        <stp>912833ZZ Govt</stp>
        <stp>IDX_RATIO</stp>
        <stp>[STRIPS.xlsx]Sheet1!R528C20</stp>
        <tr r="T528" s="1"/>
      </tp>
      <tp t="s">
        <v>#N/A Field Not Applicable</v>
        <stp/>
        <stp>##V3_BDPV12</stp>
        <stp>912833ZJ Govt</stp>
        <stp>IDX_RATIO</stp>
        <stp>[STRIPS.xlsx]Sheet1!R527C20</stp>
        <tr r="T527" s="1"/>
      </tp>
      <tp t="s">
        <v>#N/A Field Not Applicable</v>
        <stp/>
        <stp>##V3_BDPV12</stp>
        <stp>912834XC Govt</stp>
        <stp>IDX_RATIO</stp>
        <stp>[STRIPS.xlsx]Sheet1!R214C20</stp>
        <tr r="T214" s="1"/>
      </tp>
      <tp t="s">
        <v>#N/A Field Not Applicable</v>
        <stp/>
        <stp>##V3_BDPV12</stp>
        <stp>912833RT Govt</stp>
        <stp>IDX_RATIO</stp>
        <stp>[STRIPS.xlsx]Sheet1!R580C20</stp>
        <tr r="T580" s="1"/>
      </tp>
      <tp t="s">
        <v>#N/A Field Not Applicable</v>
        <stp/>
        <stp>##V3_BDPV12</stp>
        <stp>912834RT Govt</stp>
        <stp>IDX_RATIO</stp>
        <stp>[STRIPS.xlsx]Sheet1!R280C20</stp>
        <tr r="T280" s="1"/>
      </tp>
      <tp t="s">
        <v>#N/A Field Not Applicable</v>
        <stp/>
        <stp>##V3_BDPV12</stp>
        <stp>912833RV Govt</stp>
        <stp>IDX_RATIO</stp>
        <stp>[STRIPS.xlsx]Sheet1!R581C20</stp>
        <tr r="T581" s="1"/>
      </tp>
      <tp t="s">
        <v>#N/A Field Not Applicable</v>
        <stp/>
        <stp>##V3_BDPV12</stp>
        <stp>9128334J Govt</stp>
        <stp>IDX_RATIO</stp>
        <stp>[STRIPS.xlsx]Sheet1!R605C20</stp>
        <tr r="T605" s="1"/>
      </tp>
      <tp t="s">
        <v>#N/A Field Not Applicable</v>
        <stp/>
        <stp>##V3_BDPV12</stp>
        <stp>9128334B Govt</stp>
        <stp>IDX_RATIO</stp>
        <stp>[STRIPS.xlsx]Sheet1!R603C20</stp>
        <tr r="T603" s="1"/>
      </tp>
      <tp t="s">
        <v>#N/A Field Not Applicable</v>
        <stp/>
        <stp>##V3_BDPV12</stp>
        <stp>9128334F Govt</stp>
        <stp>IDX_RATIO</stp>
        <stp>[STRIPS.xlsx]Sheet1!R604C20</stp>
        <tr r="T604" s="1"/>
      </tp>
      <tp t="s">
        <v>#N/A Field Not Applicable</v>
        <stp/>
        <stp>##V3_BDPV12</stp>
        <stp>9128336W Govt</stp>
        <stp>IDX_RATIO</stp>
        <stp>[STRIPS.xlsx]Sheet1!R607C20</stp>
        <tr r="T607" s="1"/>
      </tp>
      <tp t="s">
        <v>#N/A Field Not Applicable</v>
        <stp/>
        <stp>##V3_BDPV12</stp>
        <stp>9128336U Govt</stp>
        <stp>IDX_RATIO</stp>
        <stp>[STRIPS.xlsx]Sheet1!R606C20</stp>
        <tr r="T606" s="1"/>
      </tp>
      <tp t="s">
        <v>#N/A Field Not Applicable</v>
        <stp/>
        <stp>##V3_BDPV12</stp>
        <stp>9128332D Govt</stp>
        <stp>IDX_RATIO</stp>
        <stp>[STRIPS.xlsx]Sheet1!R648C20</stp>
        <tr r="T648" s="1"/>
      </tp>
      <tp t="s">
        <v>#N/A Field Not Applicable</v>
        <stp/>
        <stp>##V3_BDPV12</stp>
        <stp>9128335Z Govt</stp>
        <stp>IDX_RATIO</stp>
        <stp>[STRIPS.xlsx]Sheet1!R650C20</stp>
        <tr r="T650" s="1"/>
      </tp>
      <tp t="s">
        <v>#N/A Field Not Applicable</v>
        <stp/>
        <stp>##V3_BDPV12</stp>
        <stp>9128335S Govt</stp>
        <stp>IDX_RATIO</stp>
        <stp>[STRIPS.xlsx]Sheet1!R649C20</stp>
        <tr r="T649" s="1"/>
      </tp>
      <tp t="s">
        <v>#N/A Field Not Applicable</v>
        <stp/>
        <stp>##V3_BDPV12</stp>
        <stp>9128337L Govt</stp>
        <stp>IDX_RATIO</stp>
        <stp>[STRIPS.xlsx]Sheet1!R651C20</stp>
        <tr r="T651" s="1"/>
      </tp>
      <tp t="s">
        <v>#N/A Field Not Applicable</v>
        <stp/>
        <stp>##V3_BDPV12</stp>
        <stp>9128333X Govt</stp>
        <stp>IDX_RATIO</stp>
        <stp>[STRIPS.xlsx]Sheet1!R601C20</stp>
        <tr r="T601" s="1"/>
      </tp>
      <tp t="s">
        <v>#N/A Field Not Applicable</v>
        <stp/>
        <stp>##V3_BDPV12</stp>
        <stp>9128333Z Govt</stp>
        <stp>IDX_RATIO</stp>
        <stp>[STRIPS.xlsx]Sheet1!R602C20</stp>
        <tr r="T602" s="1"/>
      </tp>
      <tp t="s">
        <v>#N/A Field Not Applicable</v>
        <stp/>
        <stp>##V3_BDPV12</stp>
        <stp>9128333H Govt</stp>
        <stp>IDX_RATIO</stp>
        <stp>[STRIPS.xlsx]Sheet1!R600C20</stp>
        <tr r="T600" s="1"/>
      </tp>
      <tp t="s">
        <v>912833CX6</v>
        <stp/>
        <stp>##V3_BDPV12</stp>
        <stp>912833CX Govt</stp>
        <stp>ID_CUSIP</stp>
        <stp>[STRIPS.xlsx]Sheet1!R503C19</stp>
        <tr r="S503" s="1"/>
      </tp>
      <tp t="s">
        <v>912833ZX1</v>
        <stp/>
        <stp>##V3_BDPV12</stp>
        <stp>912833ZX Govt</stp>
        <stp>ID_CUSIP</stp>
        <stp>[STRIPS.xlsx]Sheet1!R588C19</stp>
        <tr r="S588" s="1"/>
      </tp>
      <tp t="s">
        <v>6/30/2009</v>
        <stp/>
        <stp>##V3_BDPV12</stp>
        <stp>912834EC Govt</stp>
        <stp>ISSUE_DT</stp>
        <stp>[STRIPS.xlsx]Sheet1!R461C15</stp>
        <tr r="O461" s="1"/>
      </tp>
      <tp t="s">
        <v>3/16/2009</v>
        <stp/>
        <stp>##V3_BDPV12</stp>
        <stp>912834BC Govt</stp>
        <stp>ISSUE_DT</stp>
        <stp>[STRIPS.xlsx]Sheet1!R458C15</stp>
        <tr r="O458" s="1"/>
      </tp>
      <tp t="s">
        <v>2/15/1985</v>
        <stp/>
        <stp>##V3_BDPV12</stp>
        <stp>912833CC Govt</stp>
        <stp>ISSUE_DT</stp>
        <stp>[STRIPS.xlsx]Sheet1!R436C15</stp>
        <tr r="O436" s="1"/>
      </tp>
      <tp t="s">
        <v>11/15/1985</v>
        <stp/>
        <stp>##V3_BDPV12</stp>
        <stp>912833KC Govt</stp>
        <stp>ISSUE_DT</stp>
        <stp>[STRIPS.xlsx]Sheet1!R442C15</stp>
        <tr r="O442" s="1"/>
      </tp>
      <tp t="s">
        <v>11/15/1984</v>
        <stp/>
        <stp>##V3_BDPV12</stp>
        <stp>912833GC Govt</stp>
        <stp>ISSUE_DT</stp>
        <stp>[STRIPS.xlsx]Sheet1!R440C15</stp>
        <tr r="O440" s="1"/>
      </tp>
      <tp t="s">
        <v>12/31/2013</v>
        <stp/>
        <stp>##V3_BDPV12</stp>
        <stp>912834NC Govt</stp>
        <stp>ISSUE_DT</stp>
        <stp>[STRIPS.xlsx]Sheet1!R407C15</stp>
        <tr r="O407" s="1"/>
      </tp>
      <tp t="s">
        <v>#N/A Field Not Applicable</v>
        <stp/>
        <stp>##V3_BDPV12</stp>
        <stp>912833A6 Govt</stp>
        <stp>IDX_RATIO</stp>
        <stp>[STRIPS.xlsx]Sheet1!R652C20</stp>
        <tr r="T652" s="1"/>
      </tp>
      <tp t="s">
        <v>#N/A Field Not Applicable</v>
        <stp/>
        <stp>##V3_BDPV12</stp>
        <stp>912833A7 Govt</stp>
        <stp>IDX_RATIO</stp>
        <stp>[STRIPS.xlsx]Sheet1!R653C20</stp>
        <tr r="T653" s="1"/>
      </tp>
      <tp t="s">
        <v>#N/A Field Not Applicable</v>
        <stp/>
        <stp>##V3_BDPV12</stp>
        <stp>912833FX Govt</stp>
        <stp>IDX_RATIO</stp>
        <stp>[STRIPS.xlsx]Sheet1!R622C20</stp>
        <tr r="T622" s="1"/>
      </tp>
      <tp t="s">
        <v>#N/A Field Not Applicable</v>
        <stp/>
        <stp>##V3_BDPV12</stp>
        <stp>912833FT Govt</stp>
        <stp>IDX_RATIO</stp>
        <stp>[STRIPS.xlsx]Sheet1!R621C20</stp>
        <tr r="T621" s="1"/>
      </tp>
      <tp t="s">
        <v>#N/A Field Not Applicable</v>
        <stp/>
        <stp>##V3_BDPV12</stp>
        <stp>912833FQ Govt</stp>
        <stp>IDX_RATIO</stp>
        <stp>[STRIPS.xlsx]Sheet1!R620C20</stp>
        <tr r="T620" s="1"/>
      </tp>
      <tp t="s">
        <v>#N/A Field Not Applicable</v>
        <stp/>
        <stp>##V3_BDPV12</stp>
        <stp>912834FB Govt</stp>
        <stp>IDX_RATIO</stp>
        <stp>[STRIPS.xlsx]Sheet1!R120C20</stp>
        <tr r="T120" s="1"/>
      </tp>
      <tp t="s">
        <v>#N/A Field Not Applicable</v>
        <stp/>
        <stp>##V3_BDPV12</stp>
        <stp>912833QB Govt</stp>
        <stp>FIRST_CPN_DT</stp>
        <stp>[STRIPS.xlsx]Sheet1!R20C9</stp>
        <tr r="I20" s="1"/>
      </tp>
      <tp t="s">
        <v>#N/A Field Not Applicable</v>
        <stp/>
        <stp>##V3_BDPV12</stp>
        <stp>912834EV Govt</stp>
        <stp>IDX_RATIO</stp>
        <stp>[STRIPS.xlsx]Sheet1!R101C20</stp>
        <tr r="T101" s="1"/>
      </tp>
      <tp t="s">
        <v>#N/A Field Not Applicable</v>
        <stp/>
        <stp>##V3_BDPV12</stp>
        <stp>912833CV Govt</stp>
        <stp>IDX_RATIO</stp>
        <stp>[STRIPS.xlsx]Sheet1!R658C20</stp>
        <tr r="T658" s="1"/>
      </tp>
      <tp t="s">
        <v>#N/A Field Not Applicable</v>
        <stp/>
        <stp>##V3_BDPV12</stp>
        <stp>912834DV Govt</stp>
        <stp>IDX_RATIO</stp>
        <stp>[STRIPS.xlsx]Sheet1!R127C20</stp>
        <tr r="T127" s="1"/>
      </tp>
      <tp t="s">
        <v>#N/A Field Not Applicable</v>
        <stp/>
        <stp>##V3_BDPV12</stp>
        <stp>912833CT Govt</stp>
        <stp>IDX_RATIO</stp>
        <stp>[STRIPS.xlsx]Sheet1!R657C20</stp>
        <tr r="T657" s="1"/>
      </tp>
      <tp t="s">
        <v>#N/A Field Not Applicable</v>
        <stp/>
        <stp>##V3_BDPV12</stp>
        <stp>912833CM Govt</stp>
        <stp>IDX_RATIO</stp>
        <stp>[STRIPS.xlsx]Sheet1!R656C20</stp>
        <tr r="T656" s="1"/>
      </tp>
      <tp t="s">
        <v>#N/A Field Not Applicable</v>
        <stp/>
        <stp>##V3_BDPV12</stp>
        <stp>912833CF Govt</stp>
        <stp>IDX_RATIO</stp>
        <stp>[STRIPS.xlsx]Sheet1!R655C20</stp>
        <tr r="T655" s="1"/>
      </tp>
      <tp t="s">
        <v>#N/A Field Not Applicable</v>
        <stp/>
        <stp>##V3_BDPV12</stp>
        <stp>912833B4 Govt</stp>
        <stp>IDX_RATIO</stp>
        <stp>[STRIPS.xlsx]Sheet1!R654C20</stp>
        <tr r="T654" s="1"/>
      </tp>
      <tp t="s">
        <v>#N/A Field Not Applicable</v>
        <stp/>
        <stp>##V3_BDPV12</stp>
        <stp>912833FF Govt</stp>
        <stp>IDX_RATIO</stp>
        <stp>[STRIPS.xlsx]Sheet1!R618C20</stp>
        <tr r="T618" s="1"/>
      </tp>
      <tp t="s">
        <v>#N/A Field Not Applicable</v>
        <stp/>
        <stp>##V3_BDPV12</stp>
        <stp>912833FM Govt</stp>
        <stp>IDX_RATIO</stp>
        <stp>[STRIPS.xlsx]Sheet1!R619C20</stp>
        <tr r="T619" s="1"/>
      </tp>
      <tp t="s">
        <v>#N/A Field Not Applicable</v>
        <stp/>
        <stp>##V3_BDPV12</stp>
        <stp>912834A3 Govt</stp>
        <stp>IDX_RATIO</stp>
        <stp>[STRIPS.xlsx]Sheet1!R119C20</stp>
        <tr r="T119" s="1"/>
      </tp>
      <tp t="s">
        <v>#N/A Field Not Applicable</v>
        <stp/>
        <stp>##V3_BDPV12</stp>
        <stp>912833FY Govt</stp>
        <stp>IDX_RATIO</stp>
        <stp>[STRIPS.xlsx]Sheet1!R665C20</stp>
        <tr r="T665" s="1"/>
      </tp>
      <tp t="s">
        <v>#N/A Field Not Applicable</v>
        <stp/>
        <stp>##V3_BDPV12</stp>
        <stp>912833FP Govt</stp>
        <stp>IDX_RATIO</stp>
        <stp>[STRIPS.xlsx]Sheet1!R664C20</stp>
        <tr r="T664" s="1"/>
      </tp>
      <tp t="s">
        <v>#N/A Field Not Applicable</v>
        <stp/>
        <stp>##V3_BDPV12</stp>
        <stp>912834AE Govt</stp>
        <stp>IDX_RATIO</stp>
        <stp>[STRIPS.xlsx]Sheet1!R118C20</stp>
        <tr r="T118" s="1"/>
      </tp>
      <tp t="s">
        <v>#N/A Field Not Applicable</v>
        <stp/>
        <stp>##V3_BDPV12</stp>
        <stp>912833FL Govt</stp>
        <stp>IDX_RATIO</stp>
        <stp>[STRIPS.xlsx]Sheet1!R663C20</stp>
        <tr r="T663" s="1"/>
      </tp>
      <tp t="s">
        <v>#N/A Field Not Applicable</v>
        <stp/>
        <stp>##V3_BDPV12</stp>
        <stp>912833FK Govt</stp>
        <stp>IDX_RATIO</stp>
        <stp>[STRIPS.xlsx]Sheet1!R662C20</stp>
        <tr r="T662" s="1"/>
      </tp>
      <tp t="s">
        <v>#N/A Field Not Applicable</v>
        <stp/>
        <stp>##V3_BDPV12</stp>
        <stp>912833FG Govt</stp>
        <stp>IDX_RATIO</stp>
        <stp>[STRIPS.xlsx]Sheet1!R661C20</stp>
        <tr r="T661" s="1"/>
      </tp>
      <tp t="s">
        <v>#N/A Field Not Applicable</v>
        <stp/>
        <stp>##V3_BDPV12</stp>
        <stp>912833A2 Govt</stp>
        <stp>IDX_RATIO</stp>
        <stp>[STRIPS.xlsx]Sheet1!R608C20</stp>
        <tr r="T608" s="1"/>
      </tp>
      <tp t="s">
        <v>#N/A Field Not Applicable</v>
        <stp/>
        <stp>##V3_BDPV12</stp>
        <stp>912833A9 Govt</stp>
        <stp>IDX_RATIO</stp>
        <stp>[STRIPS.xlsx]Sheet1!R609C20</stp>
        <tr r="T609" s="1"/>
      </tp>
      <tp t="s">
        <v>#N/A Field Not Applicable</v>
        <stp/>
        <stp>##V3_BDPV12</stp>
        <stp>912833DD Govt</stp>
        <stp>IDX_RATIO</stp>
        <stp>[STRIPS.xlsx]Sheet1!R659C20</stp>
        <tr r="T659" s="1"/>
      </tp>
      <tp t="s">
        <v>#N/A Field Not Applicable</v>
        <stp/>
        <stp>##V3_BDPV12</stp>
        <stp>912833GB Govt</stp>
        <stp>IDX_RATIO</stp>
        <stp>[STRIPS.xlsx]Sheet1!R666C20</stp>
        <tr r="T666" s="1"/>
      </tp>
      <tp t="s">
        <v>#N/A Field Not Applicable</v>
        <stp/>
        <stp>##V3_BDPV12</stp>
        <stp>912833GF Govt</stp>
        <stp>IDX_RATIO</stp>
        <stp>[STRIPS.xlsx]Sheet1!R667C20</stp>
        <tr r="T667" s="1"/>
      </tp>
      <tp t="s">
        <v>#N/A Field Not Applicable</v>
        <stp/>
        <stp>##V3_BDPV12</stp>
        <stp>912833C9 Govt</stp>
        <stp>IDX_RATIO</stp>
        <stp>[STRIPS.xlsx]Sheet1!R613C20</stp>
        <tr r="T613" s="1"/>
      </tp>
      <tp t="s">
        <v>#N/A Field Not Applicable</v>
        <stp/>
        <stp>##V3_BDPV12</stp>
        <stp>912833C4 Govt</stp>
        <stp>IDX_RATIO</stp>
        <stp>[STRIPS.xlsx]Sheet1!R612C20</stp>
        <tr r="T612" s="1"/>
      </tp>
      <tp t="s">
        <v>#N/A Field Not Applicable</v>
        <stp/>
        <stp>##V3_BDPV12</stp>
        <stp>912833C2 Govt</stp>
        <stp>IDX_RATIO</stp>
        <stp>[STRIPS.xlsx]Sheet1!R611C20</stp>
        <tr r="T611" s="1"/>
      </tp>
      <tp t="s">
        <v>#N/A Field Not Applicable</v>
        <stp/>
        <stp>##V3_BDPV12</stp>
        <stp>912833CR Govt</stp>
        <stp>IDX_RATIO</stp>
        <stp>[STRIPS.xlsx]Sheet1!R617C20</stp>
        <tr r="T617" s="1"/>
      </tp>
      <tp t="s">
        <v>#N/A Field Not Applicable</v>
        <stp/>
        <stp>##V3_BDPV12</stp>
        <stp>912834EU Govt</stp>
        <stp>IDX_RATIO</stp>
        <stp>[STRIPS.xlsx]Sheet1!R175C20</stp>
        <tr r="T175" s="1"/>
      </tp>
      <tp t="s">
        <v>#N/A Field Not Applicable</v>
        <stp/>
        <stp>##V3_BDPV12</stp>
        <stp>912833CH Govt</stp>
        <stp>IDX_RATIO</stp>
        <stp>[STRIPS.xlsx]Sheet1!R615C20</stp>
        <tr r="T615" s="1"/>
      </tp>
      <tp t="s">
        <v>#N/A Field Not Applicable</v>
        <stp/>
        <stp>##V3_BDPV12</stp>
        <stp>912833CL Govt</stp>
        <stp>IDX_RATIO</stp>
        <stp>[STRIPS.xlsx]Sheet1!R616C20</stp>
        <tr r="T616" s="1"/>
      </tp>
      <tp t="s">
        <v>#N/A Field Not Applicable</v>
        <stp/>
        <stp>##V3_BDPV12</stp>
        <stp>912833CB Govt</stp>
        <stp>IDX_RATIO</stp>
        <stp>[STRIPS.xlsx]Sheet1!R614C20</stp>
        <tr r="T614" s="1"/>
      </tp>
      <tp t="s">
        <v>#N/A Field Not Applicable</v>
        <stp/>
        <stp>##V3_BDPV12</stp>
        <stp>912833DF Govt</stp>
        <stp>IDX_RATIO</stp>
        <stp>[STRIPS.xlsx]Sheet1!R660C20</stp>
        <tr r="T660" s="1"/>
      </tp>
      <tp t="s">
        <v>#N/A Field Not Applicable</v>
        <stp/>
        <stp>##V3_BDPV12</stp>
        <stp>912834A2 Govt</stp>
        <stp>IDX_RATIO</stp>
        <stp>[STRIPS.xlsx]Sheet1!R122C20</stp>
        <tr r="T122" s="1"/>
      </tp>
      <tp t="s">
        <v>#N/A Field Not Applicable</v>
        <stp/>
        <stp>##V3_BDPV12</stp>
        <stp>912833BW Govt</stp>
        <stp>IDX_RATIO</stp>
        <stp>[STRIPS.xlsx]Sheet1!R610C20</stp>
        <tr r="T610" s="1"/>
      </tp>
      <tp t="s">
        <v>#N/A Field Not Applicable</v>
        <stp/>
        <stp>##V3_BDPV12</stp>
        <stp>912834AU Govt</stp>
        <stp>IDX_RATIO</stp>
        <stp>[STRIPS.xlsx]Sheet1!R125C20</stp>
        <tr r="T125" s="1"/>
      </tp>
      <tp t="s">
        <v>#N/A Field Not Applicable</v>
        <stp/>
        <stp>##V3_BDPV12</stp>
        <stp>912833JV Govt</stp>
        <stp>IDX_RATIO</stp>
        <stp>[STRIPS.xlsx]Sheet1!R668C20</stp>
        <tr r="T668" s="1"/>
      </tp>
      <tp t="s">
        <v>#N/A Field Not Applicable</v>
        <stp/>
        <stp>##V3_BDPV12</stp>
        <stp>912833JX Govt</stp>
        <stp>IDX_RATIO</stp>
        <stp>[STRIPS.xlsx]Sheet1!R669C20</stp>
        <tr r="T669" s="1"/>
      </tp>
      <tp t="s">
        <v>#N/A Field Not Applicable</v>
        <stp/>
        <stp>##V3_BDPV12</stp>
        <stp>912833KN Govt</stp>
        <stp>IDX_RATIO</stp>
        <stp>[STRIPS.xlsx]Sheet1!R672C20</stp>
        <tr r="T672" s="1"/>
      </tp>
      <tp t="s">
        <v>#N/A Field Not Applicable</v>
        <stp/>
        <stp>##V3_BDPV12</stp>
        <stp>912833NB Govt</stp>
        <stp>IDX_RATIO</stp>
        <stp>[STRIPS.xlsx]Sheet1!R629C20</stp>
        <tr r="T629" s="1"/>
      </tp>
      <tp t="s">
        <v>#N/A Field Not Applicable</v>
        <stp/>
        <stp>##V3_BDPV12</stp>
        <stp>912833KE Govt</stp>
        <stp>IDX_RATIO</stp>
        <stp>[STRIPS.xlsx]Sheet1!R670C20</stp>
        <tr r="T670" s="1"/>
      </tp>
      <tp t="s">
        <v>#N/A Field Not Applicable</v>
        <stp/>
        <stp>##V3_BDPV12</stp>
        <stp>912833KG Govt</stp>
        <stp>IDX_RATIO</stp>
        <stp>[STRIPS.xlsx]Sheet1!R671C20</stp>
        <tr r="T671" s="1"/>
      </tp>
      <tp t="s">
        <v>#N/A Field Not Applicable</v>
        <stp/>
        <stp>##V3_BDPV12</stp>
        <stp>912834NP Govt</stp>
        <stp>IDX_RATIO</stp>
        <stp>[STRIPS.xlsx]Sheet1!R130C20</stp>
        <tr r="T130" s="1"/>
      </tp>
      <tp t="s">
        <v>#N/A Field Not Applicable</v>
        <stp/>
        <stp>##V3_BDPV12</stp>
        <stp>912834KA Govt</stp>
        <stp>IDX_RATIO</stp>
        <stp>[STRIPS.xlsx]Sheet1!R165C20</stp>
        <tr r="T165" s="1"/>
      </tp>
      <tp t="s">
        <v>#N/A Field Not Applicable</v>
        <stp/>
        <stp>##V3_BDPV12</stp>
        <stp>912833MX Govt</stp>
        <stp>IDX_RATIO</stp>
        <stp>[STRIPS.xlsx]Sheet1!R627C20</stp>
        <tr r="T627" s="1"/>
      </tp>
      <tp t="s">
        <v>#N/A Field Not Applicable</v>
        <stp/>
        <stp>##V3_BDPV12</stp>
        <stp>912833MS Govt</stp>
        <stp>IDX_RATIO</stp>
        <stp>[STRIPS.xlsx]Sheet1!R625C20</stp>
        <tr r="T625" s="1"/>
      </tp>
      <tp t="s">
        <v>#N/A Field Not Applicable</v>
        <stp/>
        <stp>##V3_BDPV12</stp>
        <stp>912833MV Govt</stp>
        <stp>IDX_RATIO</stp>
        <stp>[STRIPS.xlsx]Sheet1!R626C20</stp>
        <tr r="T626" s="1"/>
      </tp>
      <tp t="s">
        <v>#N/A Field Not Applicable</v>
        <stp/>
        <stp>##V3_BDPV12</stp>
        <stp>912834NV Govt</stp>
        <stp>IDX_RATIO</stp>
        <stp>[STRIPS.xlsx]Sheet1!R115C20</stp>
        <tr r="T115" s="1"/>
      </tp>
      <tp t="s">
        <v>#N/A Field Not Applicable</v>
        <stp/>
        <stp>##V3_BDPV12</stp>
        <stp>912833MZ Govt</stp>
        <stp>IDX_RATIO</stp>
        <stp>[STRIPS.xlsx]Sheet1!R628C20</stp>
        <tr r="T628" s="1"/>
      </tp>
      <tp t="s">
        <v>#N/A Field Not Applicable</v>
        <stp/>
        <stp>##V3_BDPV12</stp>
        <stp>912833MN Govt</stp>
        <stp>IDX_RATIO</stp>
        <stp>[STRIPS.xlsx]Sheet1!R624C20</stp>
        <tr r="T624" s="1"/>
      </tp>
      <tp t="s">
        <v>#N/A Field Not Applicable</v>
        <stp/>
        <stp>##V3_BDPV12</stp>
        <stp>912834KC Govt</stp>
        <stp>IDX_RATIO</stp>
        <stp>[STRIPS.xlsx]Sheet1!R133C20</stp>
        <tr r="T133" s="1"/>
      </tp>
      <tp t="s">
        <v>#N/A Field Not Applicable</v>
        <stp/>
        <stp>##V3_BDPV12</stp>
        <stp>912833NQ Govt</stp>
        <stp>IDX_RATIO</stp>
        <stp>[STRIPS.xlsx]Sheet1!R677C20</stp>
        <tr r="T677" s="1"/>
      </tp>
      <tp t="s">
        <v>#N/A Field Not Applicable</v>
        <stp/>
        <stp>##V3_BDPV12</stp>
        <stp>912834NT Govt</stp>
        <stp>IDX_RATIO</stp>
        <stp>[STRIPS.xlsx]Sheet1!R174C20</stp>
        <tr r="T174" s="1"/>
      </tp>
      <tp t="s">
        <v>#N/A Field Not Applicable</v>
        <stp/>
        <stp>##V3_BDPV12</stp>
        <stp>912833KP Govt</stp>
        <stp>IDX_RATIO</stp>
        <stp>[STRIPS.xlsx]Sheet1!R623C20</stp>
        <tr r="T623" s="1"/>
      </tp>
      <tp t="s">
        <v>#N/A Field Not Applicable</v>
        <stp/>
        <stp>##V3_BDPV12</stp>
        <stp>912833ND Govt</stp>
        <stp>IDX_RATIO</stp>
        <stp>[STRIPS.xlsx]Sheet1!R676C20</stp>
        <tr r="T676" s="1"/>
      </tp>
      <tp t="s">
        <v>#N/A Field Not Applicable</v>
        <stp/>
        <stp>##V3_BDPV12</stp>
        <stp>912834NY Govt</stp>
        <stp>IDX_RATIO</stp>
        <stp>[STRIPS.xlsx]Sheet1!R143C20</stp>
        <tr r="T143" s="1"/>
      </tp>
      <tp t="s">
        <v>#N/A Field Not Applicable</v>
        <stp/>
        <stp>##V3_BDPV12</stp>
        <stp>912833MT Govt</stp>
        <stp>IDX_RATIO</stp>
        <stp>[STRIPS.xlsx]Sheet1!R674C20</stp>
        <tr r="T674" s="1"/>
      </tp>
      <tp t="s">
        <v>#N/A Field Not Applicable</v>
        <stp/>
        <stp>##V3_BDPV12</stp>
        <stp>912833MW Govt</stp>
        <stp>IDX_RATIO</stp>
        <stp>[STRIPS.xlsx]Sheet1!R675C20</stp>
        <tr r="T675" s="1"/>
      </tp>
      <tp t="s">
        <v>#N/A Field Not Applicable</v>
        <stp/>
        <stp>##V3_BDPV12</stp>
        <stp>912834MA Govt</stp>
        <stp>IDX_RATIO</stp>
        <stp>[STRIPS.xlsx]Sheet1!R172C20</stp>
        <tr r="T172" s="1"/>
      </tp>
      <tp t="s">
        <v>#N/A Field Not Applicable</v>
        <stp/>
        <stp>##V3_BDPV12</stp>
        <stp>912834KB Govt</stp>
        <stp>IDX_RATIO</stp>
        <stp>[STRIPS.xlsx]Sheet1!R110C20</stp>
        <tr r="T110" s="1"/>
      </tp>
      <tp t="s">
        <v>#N/A Field Not Applicable</v>
        <stp/>
        <stp>##V3_BDPV12</stp>
        <stp>912833LC Govt</stp>
        <stp>IDX_RATIO</stp>
        <stp>[STRIPS.xlsx]Sheet1!R673C20</stp>
        <tr r="T673" s="1"/>
      </tp>
      <tp t="s">
        <v>#N/A Field Not Applicable</v>
        <stp/>
        <stp>##V3_BDPV12</stp>
        <stp>912834RS Govt</stp>
        <stp>IDX_RATIO</stp>
        <stp>[STRIPS.xlsx]Sheet1!R169C20</stp>
        <tr r="T169" s="1"/>
      </tp>
      <tp t="s">
        <v>#N/A Field Not Applicable</v>
        <stp/>
        <stp>##V3_BDPV12</stp>
        <stp>912834WQ Govt</stp>
        <stp>IDX_RATIO</stp>
        <stp>[STRIPS.xlsx]Sheet1!R136C20</stp>
        <tr r="T136" s="1"/>
      </tp>
      <tp t="s">
        <v>#N/A Field Not Applicable</v>
        <stp/>
        <stp>##V3_BDPV12</stp>
        <stp>912834PQ Govt</stp>
        <stp>IDX_RATIO</stp>
        <stp>[STRIPS.xlsx]Sheet1!R140C20</stp>
        <tr r="T140" s="1"/>
      </tp>
      <tp t="s">
        <v>#N/A Field Not Applicable</v>
        <stp/>
        <stp>##V3_BDPV12</stp>
        <stp>912834RE Govt</stp>
        <stp>IDX_RATIO</stp>
        <stp>[STRIPS.xlsx]Sheet1!R168C20</stp>
        <tr r="T168" s="1"/>
      </tp>
      <tp t="s">
        <v>#N/A Field Not Applicable</v>
        <stp/>
        <stp>##V3_BDPV12</stp>
        <stp>912834PJ Govt</stp>
        <stp>IDX_RATIO</stp>
        <stp>[STRIPS.xlsx]Sheet1!R144C20</stp>
        <tr r="T144" s="1"/>
      </tp>
      <tp t="s">
        <v>#N/A Field Not Applicable</v>
        <stp/>
        <stp>##V3_BDPV12</stp>
        <stp>912834PC Govt</stp>
        <stp>IDX_RATIO</stp>
        <stp>[STRIPS.xlsx]Sheet1!R148C20</stp>
        <tr r="T148" s="1"/>
      </tp>
      <tp t="s">
        <v>#N/A Field Not Applicable</v>
        <stp/>
        <stp>##V3_BDPV12</stp>
        <stp>912834UB Govt</stp>
        <stp>IDX_RATIO</stp>
        <stp>[STRIPS.xlsx]Sheet1!R113C20</stp>
        <tr r="T113" s="1"/>
      </tp>
      <tp t="s">
        <v>#N/A Field Not Applicable</v>
        <stp/>
        <stp>##V3_BDPV12</stp>
        <stp>912834WV Govt</stp>
        <stp>IDX_RATIO</stp>
        <stp>[STRIPS.xlsx]Sheet1!R129C20</stp>
        <tr r="T129" s="1"/>
      </tp>
      <tp t="s">
        <v>#N/A Field Not Applicable</v>
        <stp/>
        <stp>##V3_BDPV12</stp>
        <stp>912834TP Govt</stp>
        <stp>IDX_RATIO</stp>
        <stp>[STRIPS.xlsx]Sheet1!R117C20</stp>
        <tr r="T117" s="1"/>
      </tp>
      <tp t="s">
        <v>#N/A Field Not Applicable</v>
        <stp/>
        <stp>##V3_BDPV12</stp>
        <stp>912834VW Govt</stp>
        <stp>IDX_RATIO</stp>
        <stp>[STRIPS.xlsx]Sheet1!R131C20</stp>
        <tr r="T131" s="1"/>
      </tp>
      <tp t="s">
        <v>#N/A Field Not Applicable</v>
        <stp/>
        <stp>##V3_BDPV12</stp>
        <stp>912834PW Govt</stp>
        <stp>IDX_RATIO</stp>
        <stp>[STRIPS.xlsx]Sheet1!R154C20</stp>
        <tr r="T154" s="1"/>
      </tp>
      <tp t="s">
        <v>#N/A Field Not Applicable</v>
        <stp/>
        <stp>##V3_BDPV12</stp>
        <stp>912834UH Govt</stp>
        <stp>IDX_RATIO</stp>
        <stp>[STRIPS.xlsx]Sheet1!R105C20</stp>
        <tr r="T105" s="1"/>
      </tp>
      <tp t="s">
        <v>#N/A Field Not Applicable</v>
        <stp/>
        <stp>##V3_BDPV12</stp>
        <stp>912834QE Govt</stp>
        <stp>IDX_RATIO</stp>
        <stp>[STRIPS.xlsx]Sheet1!R149C20</stp>
        <tr r="T149" s="1"/>
      </tp>
      <tp t="s">
        <v>#N/A Field Not Applicable</v>
        <stp/>
        <stp>##V3_BDPV12</stp>
        <stp>912834QL Govt</stp>
        <stp>IDX_RATIO</stp>
        <stp>[STRIPS.xlsx]Sheet1!R142C20</stp>
        <tr r="T142" s="1"/>
      </tp>
      <tp t="s">
        <v>#N/A Field Not Applicable</v>
        <stp/>
        <stp>##V3_BDPV12</stp>
        <stp>912834VL Govt</stp>
        <stp>IDX_RATIO</stp>
        <stp>[STRIPS.xlsx]Sheet1!R138C20</stp>
        <tr r="T138" s="1"/>
      </tp>
      <tp t="s">
        <v>#N/A Field Not Applicable</v>
        <stp/>
        <stp>##V3_BDPV12</stp>
        <stp>912834QC Govt</stp>
        <stp>IDX_RATIO</stp>
        <stp>[STRIPS.xlsx]Sheet1!R141C20</stp>
        <tr r="T141" s="1"/>
      </tp>
      <tp t="s">
        <v>#N/A Field Not Applicable</v>
        <stp/>
        <stp>##V3_BDPV12</stp>
        <stp>912834QW Govt</stp>
        <stp>IDX_RATIO</stp>
        <stp>[STRIPS.xlsx]Sheet1!R171C20</stp>
        <tr r="T171" s="1"/>
      </tp>
      <tp t="s">
        <v>#N/A Field Not Applicable</v>
        <stp/>
        <stp>##V3_BDPV12</stp>
        <stp>912834PN Govt</stp>
        <stp>IDX_RATIO</stp>
        <stp>[STRIPS.xlsx]Sheet1!R164C20</stp>
        <tr r="T164" s="1"/>
      </tp>
      <tp t="s">
        <v>#N/A Field Not Applicable</v>
        <stp/>
        <stp>##V3_BDPV12</stp>
        <stp>912834QN Govt</stp>
        <stp>IDX_RATIO</stp>
        <stp>[STRIPS.xlsx]Sheet1!R179C20</stp>
        <tr r="T179" s="1"/>
      </tp>
      <tp t="s">
        <v>#N/A Field Not Applicable</v>
        <stp/>
        <stp>##V3_BDPV12</stp>
        <stp>912834UG Govt</stp>
        <stp>IDX_RATIO</stp>
        <stp>[STRIPS.xlsx]Sheet1!R137C20</stp>
        <tr r="T137" s="1"/>
      </tp>
      <tp t="s">
        <v>#N/A Field Not Applicable</v>
        <stp/>
        <stp>##V3_BDPV12</stp>
        <stp>912834TZ Govt</stp>
        <stp>IDX_RATIO</stp>
        <stp>[STRIPS.xlsx]Sheet1!R139C20</stp>
        <tr r="T139" s="1"/>
      </tp>
      <tp t="s">
        <v>#N/A Field Not Applicable</v>
        <stp/>
        <stp>##V3_BDPV12</stp>
        <stp>912833PF Govt</stp>
        <stp>IDX_RATIO</stp>
        <stp>[STRIPS.xlsx]Sheet1!R678C20</stp>
        <tr r="T678" s="1"/>
      </tp>
      <tp t="s">
        <v>#N/A Field Not Applicable</v>
        <stp/>
        <stp>##V3_BDPV12</stp>
        <stp>912833PG Govt</stp>
        <stp>IDX_RATIO</stp>
        <stp>[STRIPS.xlsx]Sheet1!R679C20</stp>
        <tr r="T679" s="1"/>
      </tp>
      <tp t="s">
        <v>#N/A Field Not Applicable</v>
        <stp/>
        <stp>##V3_BDPV12</stp>
        <stp>912834VE Govt</stp>
        <stp>IDX_RATIO</stp>
        <stp>[STRIPS.xlsx]Sheet1!R116C20</stp>
        <tr r="T116" s="1"/>
      </tp>
      <tp t="s">
        <v>#N/A Field Not Applicable</v>
        <stp/>
        <stp>##V3_BDPV12</stp>
        <stp>912834TX Govt</stp>
        <stp>IDX_RATIO</stp>
        <stp>[STRIPS.xlsx]Sheet1!R145C20</stp>
        <tr r="T145" s="1"/>
      </tp>
      <tp t="s">
        <v>#N/A Field Not Applicable</v>
        <stp/>
        <stp>##V3_BDPV12</stp>
        <stp>912833YZ Govt</stp>
        <stp>IDX_RATIO</stp>
        <stp>[STRIPS.xlsx]Sheet1!R695C20</stp>
        <tr r="T695" s="1"/>
      </tp>
      <tp t="s">
        <v>#N/A Field Not Applicable</v>
        <stp/>
        <stp>##V3_BDPV12</stp>
        <stp>912834PT Govt</stp>
        <stp>IDX_RATIO</stp>
        <stp>[STRIPS.xlsx]Sheet1!R106C20</stp>
        <tr r="T106" s="1"/>
      </tp>
      <tp t="s">
        <v>#N/A Field Not Applicable</v>
        <stp/>
        <stp>##V3_BDPV12</stp>
        <stp>912834RK Govt</stp>
        <stp>IDX_RATIO</stp>
        <stp>[STRIPS.xlsx]Sheet1!R124C20</stp>
        <tr r="T124" s="1"/>
      </tp>
      <tp t="s">
        <v>#N/A Field Not Applicable</v>
        <stp/>
        <stp>##V3_BDPV12</stp>
        <stp>912834PB Govt</stp>
        <stp>IDX_RATIO</stp>
        <stp>[STRIPS.xlsx]Sheet1!R109C20</stp>
        <tr r="T109" s="1"/>
      </tp>
      <tp t="s">
        <v>#N/A Field Not Applicable</v>
        <stp/>
        <stp>##V3_BDPV12</stp>
        <stp>912833YA Govt</stp>
        <stp>IDX_RATIO</stp>
        <stp>[STRIPS.xlsx]Sheet1!R694C20</stp>
        <tr r="T694" s="1"/>
      </tp>
      <tp t="s">
        <v>#N/A Field Not Applicable</v>
        <stp/>
        <stp>##V3_BDPV12</stp>
        <stp>912834VG Govt</stp>
        <stp>IDX_RATIO</stp>
        <stp>[STRIPS.xlsx]Sheet1!R160C20</stp>
        <tr r="T160" s="1"/>
      </tp>
      <tp t="s">
        <v>#N/A Field Not Applicable</v>
        <stp/>
        <stp>##V3_BDPV12</stp>
        <stp>912834XB Govt</stp>
        <stp>IDX_RATIO</stp>
        <stp>[STRIPS.xlsx]Sheet1!R183C20</stp>
        <tr r="T183" s="1"/>
      </tp>
      <tp t="s">
        <v>#N/A Field Not Applicable</v>
        <stp/>
        <stp>##V3_BDPV12</stp>
        <stp>912834XF Govt</stp>
        <stp>IDX_RATIO</stp>
        <stp>[STRIPS.xlsx]Sheet1!R187C20</stp>
        <tr r="T187" s="1"/>
      </tp>
      <tp t="s">
        <v>#N/A Field Not Applicable</v>
        <stp/>
        <stp>##V3_BDPV12</stp>
        <stp>912834QP Govt</stp>
        <stp>IDX_RATIO</stp>
        <stp>[STRIPS.xlsx]Sheet1!R108C20</stp>
        <tr r="T108" s="1"/>
      </tp>
      <tp t="s">
        <v>#N/A Field Not Applicable</v>
        <stp/>
        <stp>##V3_BDPV12</stp>
        <stp>912833RU Govt</stp>
        <stp>IDX_RATIO</stp>
        <stp>[STRIPS.xlsx]Sheet1!R635C20</stp>
        <tr r="T635" s="1"/>
      </tp>
      <tp t="s">
        <v>#N/A Field Not Applicable</v>
        <stp/>
        <stp>##V3_BDPV12</stp>
        <stp>912834VS Govt</stp>
        <stp>IDX_RATIO</stp>
        <stp>[STRIPS.xlsx]Sheet1!R170C20</stp>
        <tr r="T170" s="1"/>
      </tp>
      <tp t="s">
        <v>#N/A Field Not Applicable</v>
        <stp/>
        <stp>##V3_BDPV12</stp>
        <stp>912834WU Govt</stp>
        <stp>IDX_RATIO</stp>
        <stp>[STRIPS.xlsx]Sheet1!R166C20</stp>
        <tr r="T166" s="1"/>
      </tp>
      <tp t="s">
        <v>#N/A Field Not Applicable</v>
        <stp/>
        <stp>##V3_BDPV12</stp>
        <stp>912834QV Govt</stp>
        <stp>IDX_RATIO</stp>
        <stp>[STRIPS.xlsx]Sheet1!R104C20</stp>
        <tr r="T104" s="1"/>
      </tp>
      <tp t="s">
        <v>#N/A Field Not Applicable</v>
        <stp/>
        <stp>##V3_BDPV12</stp>
        <stp>912833RH Govt</stp>
        <stp>IDX_RATIO</stp>
        <stp>[STRIPS.xlsx]Sheet1!R634C20</stp>
        <tr r="T634" s="1"/>
      </tp>
      <tp t="s">
        <v>#N/A Field Not Applicable</v>
        <stp/>
        <stp>##V3_BDPV12</stp>
        <stp>912834VA Govt</stp>
        <stp>IDX_RATIO</stp>
        <stp>[STRIPS.xlsx]Sheet1!R178C20</stp>
        <tr r="T178" s="1"/>
      </tp>
      <tp t="s">
        <v>#N/A Field Not Applicable</v>
        <stp/>
        <stp>##V3_BDPV12</stp>
        <stp>912834TN Govt</stp>
        <stp>IDX_RATIO</stp>
        <stp>[STRIPS.xlsx]Sheet1!R158C20</stp>
        <tr r="T158" s="1"/>
      </tp>
      <tp t="s">
        <v>#N/A Field Not Applicable</v>
        <stp/>
        <stp>##V3_BDPV12</stp>
        <stp>912834UF Govt</stp>
        <stp>IDX_RATIO</stp>
        <stp>[STRIPS.xlsx]Sheet1!R147C20</stp>
        <tr r="T147" s="1"/>
      </tp>
      <tp t="s">
        <v>#N/A Field Not Applicable</v>
        <stp/>
        <stp>##V3_BDPV12</stp>
        <stp>912834XA Govt</stp>
        <stp>IDX_RATIO</stp>
        <stp>[STRIPS.xlsx]Sheet1!R190C20</stp>
        <tr r="T190" s="1"/>
      </tp>
      <tp t="s">
        <v>#N/A Field Not Applicable</v>
        <stp/>
        <stp>##V3_BDPV12</stp>
        <stp>912834TE Govt</stp>
        <stp>IDX_RATIO</stp>
        <stp>[STRIPS.xlsx]Sheet1!R155C20</stp>
        <tr r="T155" s="1"/>
      </tp>
      <tp t="s">
        <v>#N/A Field Not Applicable</v>
        <stp/>
        <stp>##V3_BDPV12</stp>
        <stp>912834QY Govt</stp>
        <stp>IDX_RATIO</stp>
        <stp>[STRIPS.xlsx]Sheet1!R134C20</stp>
        <tr r="T134" s="1"/>
      </tp>
      <tp t="s">
        <v>#N/A Field Not Applicable</v>
        <stp/>
        <stp>##V3_BDPV12</stp>
        <stp>912834PZ Govt</stp>
        <stp>IDX_RATIO</stp>
        <stp>[STRIPS.xlsx]Sheet1!R126C20</stp>
        <tr r="T126" s="1"/>
      </tp>
      <tp t="s">
        <v>#N/A Field Not Applicable</v>
        <stp/>
        <stp>##V3_BDPV12</stp>
        <stp>912833QY Govt</stp>
        <stp>IDX_RATIO</stp>
        <stp>[STRIPS.xlsx]Sheet1!R633C20</stp>
        <tr r="T633" s="1"/>
      </tp>
      <tp t="s">
        <v>#N/A Field Not Applicable</v>
        <stp/>
        <stp>##V3_BDPV12</stp>
        <stp>912834QS Govt</stp>
        <stp>IDX_RATIO</stp>
        <stp>[STRIPS.xlsx]Sheet1!R135C20</stp>
        <tr r="T135" s="1"/>
      </tp>
      <tp t="s">
        <v>#N/A Field Not Applicable</v>
        <stp/>
        <stp>##V3_BDPV12</stp>
        <stp>912833QS Govt</stp>
        <stp>IDX_RATIO</stp>
        <stp>[STRIPS.xlsx]Sheet1!R632C20</stp>
        <tr r="T632" s="1"/>
      </tp>
      <tp t="s">
        <v>#N/A Field Not Applicable</v>
        <stp/>
        <stp>##V3_BDPV12</stp>
        <stp>912833QL Govt</stp>
        <stp>IDX_RATIO</stp>
        <stp>[STRIPS.xlsx]Sheet1!R631C20</stp>
        <tr r="T631" s="1"/>
      </tp>
      <tp t="s">
        <v>#N/A Field Not Applicable</v>
        <stp/>
        <stp>##V3_BDPV12</stp>
        <stp>912834VH Govt</stp>
        <stp>IDX_RATIO</stp>
        <stp>[STRIPS.xlsx]Sheet1!R146C20</stp>
        <tr r="T146" s="1"/>
      </tp>
      <tp t="s">
        <v>#N/A Field Not Applicable</v>
        <stp/>
        <stp>##V3_BDPV12</stp>
        <stp>912833QH Govt</stp>
        <stp>IDX_RATIO</stp>
        <stp>[STRIPS.xlsx]Sheet1!R630C20</stp>
        <tr r="T630" s="1"/>
      </tp>
      <tp t="s">
        <v>#N/A Field Not Applicable</v>
        <stp/>
        <stp>##V3_BDPV12</stp>
        <stp>912834PL Govt</stp>
        <stp>IDX_RATIO</stp>
        <stp>[STRIPS.xlsx]Sheet1!R128C20</stp>
        <tr r="T128" s="1"/>
      </tp>
      <tp t="s">
        <v>#N/A Field Not Applicable</v>
        <stp/>
        <stp>##V3_BDPV12</stp>
        <stp>912834TC Govt</stp>
        <stp>IDX_RATIO</stp>
        <stp>[STRIPS.xlsx]Sheet1!R163C20</stp>
        <tr r="T163" s="1"/>
      </tp>
      <tp t="s">
        <v>#N/A Field Not Applicable</v>
        <stp/>
        <stp>##V3_BDPV12</stp>
        <stp>912834PA Govt</stp>
        <stp>IDX_RATIO</stp>
        <stp>[STRIPS.xlsx]Sheet1!R123C20</stp>
        <tr r="T123" s="1"/>
      </tp>
      <tp t="s">
        <v>#N/A Field Not Applicable</v>
        <stp/>
        <stp>##V3_BDPV12</stp>
        <stp>912833Z8 Govt</stp>
        <stp>IDX_RATIO</stp>
        <stp>[STRIPS.xlsx]Sheet1!R697C20</stp>
        <tr r="T697" s="1"/>
      </tp>
      <tp t="s">
        <v>#N/A Field Not Applicable</v>
        <stp/>
        <stp>##V3_BDPV12</stp>
        <stp>912833Z7 Govt</stp>
        <stp>IDX_RATIO</stp>
        <stp>[STRIPS.xlsx]Sheet1!R696C20</stp>
        <tr r="T696" s="1"/>
      </tp>
      <tp t="s">
        <v>#N/A Field Not Applicable</v>
        <stp/>
        <stp>##V3_BDPV12</stp>
        <stp>912834VB Govt</stp>
        <stp>IDX_RATIO</stp>
        <stp>[STRIPS.xlsx]Sheet1!R159C20</stp>
        <tr r="T159" s="1"/>
      </tp>
      <tp t="s">
        <v>#N/A Field Not Applicable</v>
        <stp/>
        <stp>##V3_BDPV12</stp>
        <stp>912833ZM Govt</stp>
        <stp>IDX_RATIO</stp>
        <stp>[STRIPS.xlsx]Sheet1!R699C20</stp>
        <tr r="T699" s="1"/>
      </tp>
      <tp t="s">
        <v>#N/A Field Not Applicable</v>
        <stp/>
        <stp>##V3_BDPV12</stp>
        <stp>912834PE Govt</stp>
        <stp>IDX_RATIO</stp>
        <stp>[STRIPS.xlsx]Sheet1!R132C20</stp>
        <tr r="T132" s="1"/>
      </tp>
      <tp t="s">
        <v>#N/A Field Not Applicable</v>
        <stp/>
        <stp>##V3_BDPV12</stp>
        <stp>912833ZH Govt</stp>
        <stp>IDX_RATIO</stp>
        <stp>[STRIPS.xlsx]Sheet1!R698C20</stp>
        <tr r="T698" s="1"/>
      </tp>
      <tp t="s">
        <v>#N/A Field Not Applicable</v>
        <stp/>
        <stp>##V3_BDPV12</stp>
        <stp>912834RB Govt</stp>
        <stp>IDX_RATIO</stp>
        <stp>[STRIPS.xlsx]Sheet1!R112C20</stp>
        <tr r="T112" s="1"/>
      </tp>
      <tp t="s">
        <v>#N/A Field Not Applicable</v>
        <stp/>
        <stp>##V3_BDPV12</stp>
        <stp>912834UD Govt</stp>
        <stp>IDX_RATIO</stp>
        <stp>[STRIPS.xlsx]Sheet1!R197C20</stp>
        <tr r="T197" s="1"/>
      </tp>
      <tp t="s">
        <v>#N/A Field Not Applicable</v>
        <stp/>
        <stp>##V3_BDPV12</stp>
        <stp>912834UZ Govt</stp>
        <stp>IDX_RATIO</stp>
        <stp>[STRIPS.xlsx]Sheet1!R181C20</stp>
        <tr r="T181" s="1"/>
      </tp>
      <tp t="s">
        <v>#N/A Field Not Applicable</v>
        <stp/>
        <stp>##V3_BDPV12</stp>
        <stp>912834UX Govt</stp>
        <stp>IDX_RATIO</stp>
        <stp>[STRIPS.xlsx]Sheet1!R182C20</stp>
        <tr r="T182" s="1"/>
      </tp>
      <tp t="s">
        <v>#N/A Field Not Applicable</v>
        <stp/>
        <stp>##V3_BDPV12</stp>
        <stp>912834TS Govt</stp>
        <stp>IDX_RATIO</stp>
        <stp>[STRIPS.xlsx]Sheet1!R196C20</stp>
        <tr r="T196" s="1"/>
      </tp>
      <tp t="s">
        <v>#N/A Field Not Applicable</v>
        <stp/>
        <stp>##V3_BDPV12</stp>
        <stp>912834TY Govt</stp>
        <stp>IDX_RATIO</stp>
        <stp>[STRIPS.xlsx]Sheet1!R199C20</stp>
        <tr r="T199" s="1"/>
      </tp>
      <tp t="s">
        <v>#N/A Field Not Applicable</v>
        <stp/>
        <stp>##V3_BDPV12</stp>
        <stp>912834UT Govt</stp>
        <stp>IDX_RATIO</stp>
        <stp>[STRIPS.xlsx]Sheet1!R184C20</stp>
        <tr r="T184" s="1"/>
      </tp>
      <tp t="s">
        <v>#N/A Field Not Applicable</v>
        <stp/>
        <stp>##V3_BDPV12</stp>
        <stp>912834UM Govt</stp>
        <stp>IDX_RATIO</stp>
        <stp>[STRIPS.xlsx]Sheet1!R180C20</stp>
        <tr r="T180" s="1"/>
      </tp>
      <tp t="s">
        <v>#N/A Field Not Applicable</v>
        <stp/>
        <stp>##V3_BDPV12</stp>
        <stp>912834TL Govt</stp>
        <stp>IDX_RATIO</stp>
        <stp>[STRIPS.xlsx]Sheet1!R195C20</stp>
        <tr r="T195" s="1"/>
      </tp>
      <tp t="s">
        <v>#N/A Field Not Applicable</v>
        <stp/>
        <stp>##V3_BDPV12</stp>
        <stp>912834XH Govt</stp>
        <stp>IDX_RATIO</stp>
        <stp>[STRIPS.xlsx]Sheet1!R150C20</stp>
        <tr r="T150" s="1"/>
      </tp>
      <tp t="s">
        <v>#N/A Field Not Applicable</v>
        <stp/>
        <stp>##V3_BDPV12</stp>
        <stp>912833ZW Govt</stp>
        <stp>IDX_RATIO</stp>
        <stp>[STRIPS.xlsx]Sheet1!R640C20</stp>
        <tr r="T640" s="1"/>
      </tp>
      <tp t="s">
        <v>#N/A Field Not Applicable</v>
        <stp/>
        <stp>##V3_BDPV12</stp>
        <stp>912834WN Govt</stp>
        <stp>IDX_RATIO</stp>
        <stp>[STRIPS.xlsx]Sheet1!R191C20</stp>
        <tr r="T191" s="1"/>
      </tp>
      <tp t="s">
        <v>#N/A Field Not Applicable</v>
        <stp/>
        <stp>##V3_BDPV12</stp>
        <stp>912834WY Govt</stp>
        <stp>IDX_RATIO</stp>
        <stp>[STRIPS.xlsx]Sheet1!R189C20</stp>
        <tr r="T189" s="1"/>
      </tp>
      <tp t="s">
        <v>#N/A Field Not Applicable</v>
        <stp/>
        <stp>##V3_BDPV12</stp>
        <stp>912834WW Govt</stp>
        <stp>IDX_RATIO</stp>
        <stp>[STRIPS.xlsx]Sheet1!R185C20</stp>
        <tr r="T185" s="1"/>
      </tp>
      <tp t="s">
        <v>#N/A Field Not Applicable</v>
        <stp/>
        <stp>##V3_BDPV12</stp>
        <stp>912834WM Govt</stp>
        <stp>IDX_RATIO</stp>
        <stp>[STRIPS.xlsx]Sheet1!R188C20</stp>
        <tr r="T188" s="1"/>
      </tp>
      <tp t="s">
        <v>#N/A Field Not Applicable</v>
        <stp/>
        <stp>##V3_BDPV12</stp>
        <stp>912834WD Govt</stp>
        <stp>IDX_RATIO</stp>
        <stp>[STRIPS.xlsx]Sheet1!R186C20</stp>
        <tr r="T186" s="1"/>
      </tp>
      <tp t="s">
        <v>#N/A Field Not Applicable</v>
        <stp/>
        <stp>##V3_BDPV12</stp>
        <stp>912833PU Govt</stp>
        <stp>IDX_RATIO</stp>
        <stp>[STRIPS.xlsx]Sheet1!R683C20</stp>
        <tr r="T683" s="1"/>
      </tp>
      <tp t="s">
        <v>#N/A Field Not Applicable</v>
        <stp/>
        <stp>##V3_BDPV12</stp>
        <stp>912833PQ Govt</stp>
        <stp>IDX_RATIO</stp>
        <stp>[STRIPS.xlsx]Sheet1!R682C20</stp>
        <tr r="T682" s="1"/>
      </tp>
      <tp t="s">
        <v>#N/A Field Not Applicable</v>
        <stp/>
        <stp>##V3_BDPV12</stp>
        <stp>912833PN Govt</stp>
        <stp>IDX_RATIO</stp>
        <stp>[STRIPS.xlsx]Sheet1!R681C20</stp>
        <tr r="T681" s="1"/>
      </tp>
      <tp t="s">
        <v>#N/A Field Not Applicable</v>
        <stp/>
        <stp>##V3_BDPV12</stp>
        <stp>912833PJ Govt</stp>
        <stp>IDX_RATIO</stp>
        <stp>[STRIPS.xlsx]Sheet1!R680C20</stp>
        <tr r="T680" s="1"/>
      </tp>
      <tp t="s">
        <v>#N/A Field Not Applicable</v>
        <stp/>
        <stp>##V3_BDPV12</stp>
        <stp>912833QU Govt</stp>
        <stp>IDX_RATIO</stp>
        <stp>[STRIPS.xlsx]Sheet1!R688C20</stp>
        <tr r="T688" s="1"/>
      </tp>
      <tp t="s">
        <v>#N/A Field Not Applicable</v>
        <stp/>
        <stp>##V3_BDPV12</stp>
        <stp>912833ZQ Govt</stp>
        <stp>IDX_RATIO</stp>
        <stp>[STRIPS.xlsx]Sheet1!R639C20</stp>
        <tr r="T639" s="1"/>
      </tp>
      <tp t="s">
        <v>#N/A Field Not Applicable</v>
        <stp/>
        <stp>##V3_BDPV12</stp>
        <stp>912833QP Govt</stp>
        <stp>IDX_RATIO</stp>
        <stp>[STRIPS.xlsx]Sheet1!R687C20</stp>
        <tr r="T687" s="1"/>
      </tp>
      <tp t="s">
        <v>#N/A Field Not Applicable</v>
        <stp/>
        <stp>##V3_BDPV12</stp>
        <stp>912833QJ Govt</stp>
        <stp>IDX_RATIO</stp>
        <stp>[STRIPS.xlsx]Sheet1!R686C20</stp>
        <tr r="T686" s="1"/>
      </tp>
      <tp t="s">
        <v>#N/A Field Not Applicable</v>
        <stp/>
        <stp>##V3_BDPV12</stp>
        <stp>912833ZN Govt</stp>
        <stp>IDX_RATIO</stp>
        <stp>[STRIPS.xlsx]Sheet1!R638C20</stp>
        <tr r="T638" s="1"/>
      </tp>
      <tp t="s">
        <v>#N/A Field Not Applicable</v>
        <stp/>
        <stp>##V3_BDPV12</stp>
        <stp>912833ZD Govt</stp>
        <stp>IDX_RATIO</stp>
        <stp>[STRIPS.xlsx]Sheet1!R637C20</stp>
        <tr r="T637" s="1"/>
      </tp>
      <tp t="s">
        <v>#N/A Field Not Applicable</v>
        <stp/>
        <stp>##V3_BDPV12</stp>
        <stp>912833QF Govt</stp>
        <stp>IDX_RATIO</stp>
        <stp>[STRIPS.xlsx]Sheet1!R684C20</stp>
        <tr r="T684" s="1"/>
      </tp>
      <tp t="s">
        <v>#N/A Field Not Applicable</v>
        <stp/>
        <stp>##V3_BDPV12</stp>
        <stp>912833QG Govt</stp>
        <stp>IDX_RATIO</stp>
        <stp>[STRIPS.xlsx]Sheet1!R685C20</stp>
        <tr r="T685" s="1"/>
      </tp>
      <tp t="s">
        <v>#N/A Field Not Applicable</v>
        <stp/>
        <stp>##V3_BDPV12</stp>
        <stp>912833RB Govt</stp>
        <stp>IDX_RATIO</stp>
        <stp>[STRIPS.xlsx]Sheet1!R689C20</stp>
        <tr r="T689" s="1"/>
      </tp>
      <tp t="s">
        <v>#N/A Field Not Applicable</v>
        <stp/>
        <stp>##V3_BDPV12</stp>
        <stp>912833YC Govt</stp>
        <stp>IDX_RATIO</stp>
        <stp>[STRIPS.xlsx]Sheet1!R636C20</stp>
        <tr r="T636" s="1"/>
      </tp>
      <tp t="s">
        <v>#N/A Field Not Applicable</v>
        <stp/>
        <stp>##V3_BDPV12</stp>
        <stp>912833RR Govt</stp>
        <stp>IDX_RATIO</stp>
        <stp>[STRIPS.xlsx]Sheet1!R693C20</stp>
        <tr r="T693" s="1"/>
      </tp>
      <tp t="s">
        <v>#N/A Field Not Applicable</v>
        <stp/>
        <stp>##V3_BDPV12</stp>
        <stp>912833RQ Govt</stp>
        <stp>IDX_RATIO</stp>
        <stp>[STRIPS.xlsx]Sheet1!R692C20</stp>
        <tr r="T692" s="1"/>
      </tp>
      <tp t="s">
        <v>#N/A Field Not Applicable</v>
        <stp/>
        <stp>##V3_BDPV12</stp>
        <stp>912834RN Govt</stp>
        <stp>IDX_RATIO</stp>
        <stp>[STRIPS.xlsx]Sheet1!R194C20</stp>
        <tr r="T194" s="1"/>
      </tp>
      <tp t="s">
        <v>#N/A Field Not Applicable</v>
        <stp/>
        <stp>##V3_BDPV12</stp>
        <stp>912833RE Govt</stp>
        <stp>IDX_RATIO</stp>
        <stp>[STRIPS.xlsx]Sheet1!R691C20</stp>
        <tr r="T691" s="1"/>
      </tp>
      <tp t="s">
        <v>#N/A Field Not Applicable</v>
        <stp/>
        <stp>##V3_BDPV12</stp>
        <stp>912834RL Govt</stp>
        <stp>IDX_RATIO</stp>
        <stp>[STRIPS.xlsx]Sheet1!R198C20</stp>
        <tr r="T198" s="1"/>
      </tp>
      <tp t="s">
        <v>#N/A Field Not Applicable</v>
        <stp/>
        <stp>##V3_BDPV12</stp>
        <stp>912833RC Govt</stp>
        <stp>IDX_RATIO</stp>
        <stp>[STRIPS.xlsx]Sheet1!R690C20</stp>
        <tr r="T690" s="1"/>
      </tp>
      <tp t="s">
        <v>#N/A Field Not Applicable</v>
        <stp/>
        <stp>##V3_BDPV12</stp>
        <stp>9128336P Govt</stp>
        <stp>IDX_RATIO</stp>
        <stp>[STRIPS.xlsx]Sheet1!R729C20</stp>
        <tr r="T729" s="1"/>
      </tp>
      <tp t="s">
        <v>#N/A Field Not Applicable</v>
        <stp/>
        <stp>##V3_BDPV12</stp>
        <stp>9128335U Govt</stp>
        <stp>IDX_RATIO</stp>
        <stp>[STRIPS.xlsx]Sheet1!R712C20</stp>
        <tr r="T712" s="1"/>
      </tp>
      <tp t="s">
        <v>#N/A Field Not Applicable</v>
        <stp/>
        <stp>##V3_BDPV12</stp>
        <stp>9128335Q Govt</stp>
        <stp>IDX_RATIO</stp>
        <stp>[STRIPS.xlsx]Sheet1!R711C20</stp>
        <tr r="T711" s="1"/>
      </tp>
      <tp t="s">
        <v>#N/A Field Not Applicable</v>
        <stp/>
        <stp>##V3_BDPV12</stp>
        <stp>9128334E Govt</stp>
        <stp>IDX_RATIO</stp>
        <stp>[STRIPS.xlsx]Sheet1!R708C20</stp>
        <tr r="T708" s="1"/>
      </tp>
      <tp t="s">
        <v>#N/A Field Not Applicable</v>
        <stp/>
        <stp>##V3_BDPV12</stp>
        <stp>9128335M Govt</stp>
        <stp>IDX_RATIO</stp>
        <stp>[STRIPS.xlsx]Sheet1!R710C20</stp>
        <tr r="T710" s="1"/>
      </tp>
      <tp t="s">
        <v>#N/A Field Not Applicable</v>
        <stp/>
        <stp>##V3_BDPV12</stp>
        <stp>9128336E Govt</stp>
        <stp>IDX_RATIO</stp>
        <stp>[STRIPS.xlsx]Sheet1!R728C20</stp>
        <tr r="T728" s="1"/>
      </tp>
      <tp t="s">
        <v>#N/A Field Not Applicable</v>
        <stp/>
        <stp>##V3_BDPV12</stp>
        <stp>9128334G Govt</stp>
        <stp>IDX_RATIO</stp>
        <stp>[STRIPS.xlsx]Sheet1!R709C20</stp>
        <tr r="T709" s="1"/>
      </tp>
      <tp t="s">
        <v>#N/A Field Not Applicable</v>
        <stp/>
        <stp>##V3_BDPV12</stp>
        <stp>9128337J Govt</stp>
        <stp>IDX_RATIO</stp>
        <stp>[STRIPS.xlsx]Sheet1!R730C20</stp>
        <tr r="T730" s="1"/>
      </tp>
      <tp t="s">
        <v>#N/A Field Not Applicable</v>
        <stp/>
        <stp>##V3_BDPV12</stp>
        <stp>9128336B Govt</stp>
        <stp>IDX_RATIO</stp>
        <stp>[STRIPS.xlsx]Sheet1!R727C20</stp>
        <tr r="T727" s="1"/>
      </tp>
      <tp t="s">
        <v>#N/A Field Not Applicable</v>
        <stp/>
        <stp>##V3_BDPV12</stp>
        <stp>9128334C Govt</stp>
        <stp>IDX_RATIO</stp>
        <stp>[STRIPS.xlsx]Sheet1!R707C20</stp>
        <tr r="T707" s="1"/>
      </tp>
      <tp t="s">
        <v>#N/A Field Not Applicable</v>
        <stp/>
        <stp>##V3_BDPV12</stp>
        <stp>9128337G Govt</stp>
        <stp>IDX_RATIO</stp>
        <stp>[STRIPS.xlsx]Sheet1!R716C20</stp>
        <tr r="T716" s="1"/>
      </tp>
      <tp t="s">
        <v>#N/A Field Not Applicable</v>
        <stp/>
        <stp>##V3_BDPV12</stp>
        <stp>9128335Y Govt</stp>
        <stp>IDX_RATIO</stp>
        <stp>[STRIPS.xlsx]Sheet1!R726C20</stp>
        <tr r="T726" s="1"/>
      </tp>
      <tp t="s">
        <v>#N/A Field Not Applicable</v>
        <stp/>
        <stp>##V3_BDPV12</stp>
        <stp>9128336T Govt</stp>
        <stp>IDX_RATIO</stp>
        <stp>[STRIPS.xlsx]Sheet1!R714C20</stp>
        <tr r="T714" s="1"/>
      </tp>
      <tp t="s">
        <v>#N/A Field Not Applicable</v>
        <stp/>
        <stp>##V3_BDPV12</stp>
        <stp>9128335P Govt</stp>
        <stp>IDX_RATIO</stp>
        <stp>[STRIPS.xlsx]Sheet1!R723C20</stp>
        <tr r="T723" s="1"/>
      </tp>
      <tp t="s">
        <v>#N/A Field Not Applicable</v>
        <stp/>
        <stp>##V3_BDPV12</stp>
        <stp>9128336V Govt</stp>
        <stp>IDX_RATIO</stp>
        <stp>[STRIPS.xlsx]Sheet1!R715C20</stp>
        <tr r="T715" s="1"/>
      </tp>
      <tp t="s">
        <v>#N/A Field Not Applicable</v>
        <stp/>
        <stp>##V3_BDPV12</stp>
        <stp>9128335V Govt</stp>
        <stp>IDX_RATIO</stp>
        <stp>[STRIPS.xlsx]Sheet1!R724C20</stp>
        <tr r="T724" s="1"/>
      </tp>
      <tp t="s">
        <v>#N/A Field Not Applicable</v>
        <stp/>
        <stp>##V3_BDPV12</stp>
        <stp>9128335W Govt</stp>
        <stp>IDX_RATIO</stp>
        <stp>[STRIPS.xlsx]Sheet1!R725C20</stp>
        <tr r="T725" s="1"/>
      </tp>
      <tp t="s">
        <v>#N/A Field Not Applicable</v>
        <stp/>
        <stp>##V3_BDPV12</stp>
        <stp>9128333K Govt</stp>
        <stp>IDX_RATIO</stp>
        <stp>[STRIPS.xlsx]Sheet1!R743C20</stp>
        <tr r="T743" s="1"/>
      </tp>
      <tp t="s">
        <v>#N/A Field Not Applicable</v>
        <stp/>
        <stp>##V3_BDPV12</stp>
        <stp>9128335H Govt</stp>
        <stp>IDX_RATIO</stp>
        <stp>[STRIPS.xlsx]Sheet1!R722C20</stp>
        <tr r="T722" s="1"/>
      </tp>
      <tp t="s">
        <v>#N/A Field Not Applicable</v>
        <stp/>
        <stp>##V3_BDPV12</stp>
        <stp>9128335F Govt</stp>
        <stp>IDX_RATIO</stp>
        <stp>[STRIPS.xlsx]Sheet1!R721C20</stp>
        <tr r="T721" s="1"/>
      </tp>
      <tp t="s">
        <v>#N/A Field Not Applicable</v>
        <stp/>
        <stp>##V3_BDPV12</stp>
        <stp>9128336C Govt</stp>
        <stp>IDX_RATIO</stp>
        <stp>[STRIPS.xlsx]Sheet1!R713C20</stp>
        <tr r="T713" s="1"/>
      </tp>
      <tp t="s">
        <v>#N/A Field Not Applicable</v>
        <stp/>
        <stp>##V3_BDPV12</stp>
        <stp>9128335C Govt</stp>
        <stp>IDX_RATIO</stp>
        <stp>[STRIPS.xlsx]Sheet1!R720C20</stp>
        <tr r="T720" s="1"/>
      </tp>
      <tp t="s">
        <v>#N/A Field Not Applicable</v>
        <stp/>
        <stp>##V3_BDPV12</stp>
        <stp>9128334N Govt</stp>
        <stp>IDX_RATIO</stp>
        <stp>[STRIPS.xlsx]Sheet1!R744C20</stp>
        <tr r="T744" s="1"/>
      </tp>
      <tp t="s">
        <v>#N/A Field Not Applicable</v>
        <stp/>
        <stp>##V3_BDPV12</stp>
        <stp>9128335X Govt</stp>
        <stp>IDX_RATIO</stp>
        <stp>[STRIPS.xlsx]Sheet1!R747C20</stp>
        <tr r="T747" s="1"/>
      </tp>
      <tp t="s">
        <v>#N/A Field Not Applicable</v>
        <stp/>
        <stp>##V3_BDPV12</stp>
        <stp>9128335N Govt</stp>
        <stp>IDX_RATIO</stp>
        <stp>[STRIPS.xlsx]Sheet1!R746C20</stp>
        <tr r="T746" s="1"/>
      </tp>
      <tp t="s">
        <v>#N/A Field Not Applicable</v>
        <stp/>
        <stp>##V3_BDPV12</stp>
        <stp>9128335E Govt</stp>
        <stp>IDX_RATIO</stp>
        <stp>[STRIPS.xlsx]Sheet1!R745C20</stp>
        <tr r="T745" s="1"/>
      </tp>
      <tp t="s">
        <v>#N/A Field Not Applicable</v>
        <stp/>
        <stp>##V3_BDPV12</stp>
        <stp>9128333Q Govt</stp>
        <stp>IDX_RATIO</stp>
        <stp>[STRIPS.xlsx]Sheet1!R719C20</stp>
        <tr r="T719" s="1"/>
      </tp>
      <tp t="s">
        <v>#N/A Field Not Applicable</v>
        <stp/>
        <stp>##V3_BDPV12</stp>
        <stp>9128336D Govt</stp>
        <stp>IDX_RATIO</stp>
        <stp>[STRIPS.xlsx]Sheet1!R749C20</stp>
        <tr r="T749" s="1"/>
      </tp>
      <tp t="s">
        <v>#N/A Field Not Applicable</v>
        <stp/>
        <stp>##V3_BDPV12</stp>
        <stp>9128336A Govt</stp>
        <stp>IDX_RATIO</stp>
        <stp>[STRIPS.xlsx]Sheet1!R748C20</stp>
        <tr r="T748" s="1"/>
      </tp>
      <tp t="s">
        <v>#N/A Field Not Applicable</v>
        <stp/>
        <stp>##V3_BDPV12</stp>
        <stp>9128332F Govt</stp>
        <stp>IDX_RATIO</stp>
        <stp>[STRIPS.xlsx]Sheet1!R702C20</stp>
        <tr r="T702" s="1"/>
      </tp>
      <tp t="s">
        <v>#N/A Field Not Applicable</v>
        <stp/>
        <stp>##V3_BDPV12</stp>
        <stp>9128332G Govt</stp>
        <stp>IDX_RATIO</stp>
        <stp>[STRIPS.xlsx]Sheet1!R703C20</stp>
        <tr r="T703" s="1"/>
      </tp>
      <tp t="s">
        <v>#N/A Field Not Applicable</v>
        <stp/>
        <stp>##V3_BDPV12</stp>
        <stp>9128332A Govt</stp>
        <stp>IDX_RATIO</stp>
        <stp>[STRIPS.xlsx]Sheet1!R700C20</stp>
        <tr r="T700" s="1"/>
      </tp>
      <tp t="s">
        <v>#N/A Field Not Applicable</v>
        <stp/>
        <stp>##V3_BDPV12</stp>
        <stp>9128332C Govt</stp>
        <stp>IDX_RATIO</stp>
        <stp>[STRIPS.xlsx]Sheet1!R701C20</stp>
        <tr r="T701" s="1"/>
      </tp>
      <tp t="s">
        <v>#N/A Field Not Applicable</v>
        <stp/>
        <stp>##V3_BDPV12</stp>
        <stp>9128333P Govt</stp>
        <stp>IDX_RATIO</stp>
        <stp>[STRIPS.xlsx]Sheet1!R704C20</stp>
        <tr r="T704" s="1"/>
      </tp>
      <tp t="s">
        <v>#N/A Field Not Applicable</v>
        <stp/>
        <stp>##V3_BDPV12</stp>
        <stp>9128333R Govt</stp>
        <stp>IDX_RATIO</stp>
        <stp>[STRIPS.xlsx]Sheet1!R705C20</stp>
        <tr r="T705" s="1"/>
      </tp>
      <tp t="s">
        <v>#N/A Field Not Applicable</v>
        <stp/>
        <stp>##V3_BDPV12</stp>
        <stp>9128336Q Govt</stp>
        <stp>IDX_RATIO</stp>
        <stp>[STRIPS.xlsx]Sheet1!R750C20</stp>
        <tr r="T750" s="1"/>
      </tp>
      <tp t="s">
        <v>#N/A Field Not Applicable</v>
        <stp/>
        <stp>##V3_BDPV12</stp>
        <stp>9128333U Govt</stp>
        <stp>IDX_RATIO</stp>
        <stp>[STRIPS.xlsx]Sheet1!R706C20</stp>
        <tr r="T706" s="1"/>
      </tp>
      <tp t="s">
        <v>#N/A Field Not Applicable</v>
        <stp/>
        <stp>##V3_BDPV12</stp>
        <stp>9128336S Govt</stp>
        <stp>IDX_RATIO</stp>
        <stp>[STRIPS.xlsx]Sheet1!R751C20</stp>
        <tr r="T751" s="1"/>
      </tp>
      <tp t="s">
        <v>#N/A Field Not Applicable</v>
        <stp/>
        <stp>##V3_BDPV12</stp>
        <stp>9128332B Govt</stp>
        <stp>IDX_RATIO</stp>
        <stp>[STRIPS.xlsx]Sheet1!R717C20</stp>
        <tr r="T717" s="1"/>
      </tp>
      <tp t="s">
        <v>#N/A Field Not Applicable</v>
        <stp/>
        <stp>##V3_BDPV12</stp>
        <stp>9128332H Govt</stp>
        <stp>IDX_RATIO</stp>
        <stp>[STRIPS.xlsx]Sheet1!R718C20</stp>
        <tr r="T718" s="1"/>
      </tp>
      <tp t="s">
        <v>912834NX2</v>
        <stp/>
        <stp>##V3_BDPV12</stp>
        <stp>912834NX Govt</stp>
        <stp>ID_CUSIP</stp>
        <stp>[STRIPS.xlsx]Sheet1!R410C19</stp>
        <tr r="S410" s="1"/>
      </tp>
      <tp t="s">
        <v>912834PX0</v>
        <stp/>
        <stp>##V3_BDPV12</stp>
        <stp>912834PX Govt</stp>
        <stp>ID_CUSIP</stp>
        <stp>[STRIPS.xlsx]Sheet1!R412C19</stp>
        <tr r="S412" s="1"/>
      </tp>
      <tp t="s">
        <v>912833RX0</v>
        <stp/>
        <stp>##V3_BDPV12</stp>
        <stp>912833RX Govt</stp>
        <stp>ID_CUSIP</stp>
        <stp>[STRIPS.xlsx]Sheet1!R449C19</stp>
        <tr r="S449" s="1"/>
      </tp>
      <tp t="s">
        <v>912834QX9</v>
        <stp/>
        <stp>##V3_BDPV12</stp>
        <stp>912834QX Govt</stp>
        <stp>ID_CUSIP</stp>
        <stp>[STRIPS.xlsx]Sheet1!R423C19</stp>
        <tr r="S423" s="1"/>
      </tp>
      <tp t="s">
        <v>912834KX5</v>
        <stp/>
        <stp>##V3_BDPV12</stp>
        <stp>912834KX Govt</stp>
        <stp>ID_CUSIP</stp>
        <stp>[STRIPS.xlsx]Sheet1!R471C19</stp>
        <tr r="S471" s="1"/>
      </tp>
      <tp t="s">
        <v>2/15/1985</v>
        <stp/>
        <stp>##V3_BDPV12</stp>
        <stp>912833DC Govt</stp>
        <stp>ISSUE_DT</stp>
        <stp>[STRIPS.xlsx]Sheet1!R504C15</stp>
        <tr r="O504" s="1"/>
      </tp>
      <tp t="s">
        <v>1/31/2013</v>
        <stp/>
        <stp>##V3_BDPV12</stp>
        <stp>912834MC Govt</stp>
        <stp>ISSUE_DT</stp>
        <stp>[STRIPS.xlsx]Sheet1!R541C15</stp>
        <tr r="O541" s="1"/>
      </tp>
      <tp t="s">
        <v>3/1/2010</v>
        <stp/>
        <stp>##V3_BDPV12</stp>
        <stp>912834FC Govt</stp>
        <stp>ISSUE_DT</stp>
        <stp>[STRIPS.xlsx]Sheet1!R534C15</stp>
        <tr r="O534" s="1"/>
      </tp>
      <tp t="s">
        <v>7/15/1996</v>
        <stp/>
        <stp>##V3_BDPV12</stp>
        <stp>912833NC Govt</stp>
        <stp>ISSUE_DT</stp>
        <stp>[STRIPS.xlsx]Sheet1!R570C15</stp>
        <tr r="O570" s="1"/>
      </tp>
      <tp t="s">
        <v>#N/A Field Not Applicable</v>
        <stp/>
        <stp>##V3_BDPV12</stp>
        <stp>912833FW Govt</stp>
        <stp>IDX_RATIO</stp>
        <stp>[STRIPS.xlsx]Sheet1!R739C20</stp>
        <tr r="T739" s="1"/>
      </tp>
      <tp t="s">
        <v>#N/A Field Not Applicable</v>
        <stp/>
        <stp>##V3_BDPV12</stp>
        <stp>912833FJ Govt</stp>
        <stp>IDX_RATIO</stp>
        <stp>[STRIPS.xlsx]Sheet1!R737C20</stp>
        <tr r="T737" s="1"/>
      </tp>
      <tp t="s">
        <v>#N/A Field Not Applicable</v>
        <stp/>
        <stp>##V3_BDPV12</stp>
        <stp>912833FN Govt</stp>
        <stp>IDX_RATIO</stp>
        <stp>[STRIPS.xlsx]Sheet1!R738C20</stp>
        <tr r="T738" s="1"/>
      </tp>
      <tp t="s">
        <v>#N/A Field Not Applicable</v>
        <stp/>
        <stp>##V3_BDPV12</stp>
        <stp>912833DG Govt</stp>
        <stp>IDX_RATIO</stp>
        <stp>[STRIPS.xlsx]Sheet1!R736C20</stp>
        <tr r="T736" s="1"/>
      </tp>
      <tp t="s">
        <v>#N/A Field Not Applicable</v>
        <stp/>
        <stp>##V3_BDPV12</stp>
        <stp>912833CW Govt</stp>
        <stp>IDX_RATIO</stp>
        <stp>[STRIPS.xlsx]Sheet1!R735C20</stp>
        <tr r="T735" s="1"/>
      </tp>
      <tp t="s">
        <v>#N/A Field Not Applicable</v>
        <stp/>
        <stp>##V3_BDPV12</stp>
        <stp>912833CK Govt</stp>
        <stp>IDX_RATIO</stp>
        <stp>[STRIPS.xlsx]Sheet1!R733C20</stp>
        <tr r="T733" s="1"/>
      </tp>
      <tp t="s">
        <v>#N/A Field Not Applicable</v>
        <stp/>
        <stp>##V3_BDPV12</stp>
        <stp>912833CN Govt</stp>
        <stp>IDX_RATIO</stp>
        <stp>[STRIPS.xlsx]Sheet1!R734C20</stp>
        <tr r="T734" s="1"/>
      </tp>
      <tp t="s">
        <v>#N/A Field Not Applicable</v>
        <stp/>
        <stp>##V3_BDPV12</stp>
        <stp>912833B3 Govt</stp>
        <stp>IDX_RATIO</stp>
        <stp>[STRIPS.xlsx]Sheet1!R732C20</stp>
        <tr r="T732" s="1"/>
      </tp>
      <tp t="s">
        <v>#N/A Field Not Applicable</v>
        <stp/>
        <stp>##V3_BDPV12</stp>
        <stp>912833A3 Govt</stp>
        <stp>IDX_RATIO</stp>
        <stp>[STRIPS.xlsx]Sheet1!R731C20</stp>
        <tr r="T731" s="1"/>
      </tp>
      <tp t="s">
        <v>#N/A Field Not Applicable</v>
        <stp/>
        <stp>##V3_BDPV12</stp>
        <stp>912833JZ Govt</stp>
        <stp>IDX_RATIO</stp>
        <stp>[STRIPS.xlsx]Sheet1!R741C20</stp>
        <tr r="T741" s="1"/>
      </tp>
      <tp t="s">
        <v>#N/A Field Not Applicable</v>
        <stp/>
        <stp>##V3_BDPV12</stp>
        <stp>912833JW Govt</stp>
        <stp>IDX_RATIO</stp>
        <stp>[STRIPS.xlsx]Sheet1!R740C20</stp>
        <tr r="T740" s="1"/>
      </tp>
      <tp t="s">
        <v>#N/A Field Not Applicable</v>
        <stp/>
        <stp>##V3_BDPV12</stp>
        <stp>912833KV Govt</stp>
        <stp>IDX_RATIO</stp>
        <stp>[STRIPS.xlsx]Sheet1!R742C20</stp>
        <tr r="T742" s="1"/>
      </tp>
      <tp t="s">
        <v>912833BX7</v>
        <stp/>
        <stp>##V3_BDPV12</stp>
        <stp>912833BX Govt</stp>
        <stp>ID_CUSIP</stp>
        <stp>[STRIPS.xlsx]Sheet1!R361C19</stp>
        <tr r="S361" s="1"/>
      </tp>
      <tp t="s">
        <v>912834MX3</v>
        <stp/>
        <stp>##V3_BDPV12</stp>
        <stp>912834MX Govt</stp>
        <stp>ID_CUSIP</stp>
        <stp>[STRIPS.xlsx]Sheet1!R327C19</stp>
        <tr r="S327" s="1"/>
      </tp>
      <tp t="s">
        <v>ZERO</v>
        <stp/>
        <stp>##V3_BDPV12</stp>
        <stp>912834VX Govt</stp>
        <stp>CPN_TYP</stp>
        <stp>[STRIPS.xlsx]Sheet1!R767C11</stp>
        <tr r="K767" s="1"/>
      </tp>
      <tp t="s">
        <v>912834HX9</v>
        <stp/>
        <stp>##V3_BDPV12</stp>
        <stp>912834HX Govt</stp>
        <stp>ID_CUSIP</stp>
        <stp>[STRIPS.xlsx]Sheet1!R356C19</stp>
        <tr r="S356" s="1"/>
      </tp>
      <tp t="s">
        <v>912834EX2</v>
        <stp/>
        <stp>##V3_BDPV12</stp>
        <stp>912834EX Govt</stp>
        <stp>ID_CUSIP</stp>
        <stp>[STRIPS.xlsx]Sheet1!R354C19</stp>
        <tr r="S354" s="1"/>
      </tp>
      <tp t="s">
        <v>912833PX2</v>
        <stp/>
        <stp>##V3_BDPV12</stp>
        <stp>912833PX Govt</stp>
        <stp>ID_CUSIP</stp>
        <stp>[STRIPS.xlsx]Sheet1!R339C19</stp>
        <tr r="S339" s="1"/>
      </tp>
      <tp t="s">
        <v>912834DX3</v>
        <stp/>
        <stp>##V3_BDPV12</stp>
        <stp>912834DX Govt</stp>
        <stp>ID_CUSIP</stp>
        <stp>[STRIPS.xlsx]Sheet1!R391C19</stp>
        <tr r="S391" s="1"/>
      </tp>
      <tp t="s">
        <v>912834AX6</v>
        <stp/>
        <stp>##V3_BDPV12</stp>
        <stp>912834AX Govt</stp>
        <stp>ID_CUSIP</stp>
        <stp>[STRIPS.xlsx]Sheet1!R388C19</stp>
        <tr r="S388" s="1"/>
      </tp>
      <tp t="s">
        <v>912833YX2</v>
        <stp/>
        <stp>##V3_BDPV12</stp>
        <stp>912833YX Govt</stp>
        <stp>ID_CUSIP</stp>
        <stp>[STRIPS.xlsx]Sheet1!R381C19</stp>
        <tr r="S381" s="1"/>
      </tp>
      <tp t="s">
        <v>8/31/2010</v>
        <stp/>
        <stp>##V3_BDPV12</stp>
        <stp>912834JC Govt</stp>
        <stp>ISSUE_DT</stp>
        <stp>[STRIPS.xlsx]Sheet1!R227C15</stp>
        <tr r="O227" s="1"/>
      </tp>
      <tp t="s">
        <v>6/30/2021</v>
        <stp/>
        <stp>##V3_BDPV12</stp>
        <stp>912834XC Govt</stp>
        <stp>ISSUE_DT</stp>
        <stp>[STRIPS.xlsx]Sheet1!R214C15</stp>
        <tr r="O214" s="1"/>
      </tp>
      <tp t="s">
        <v>#N/A Field Not Applicable</v>
        <stp/>
        <stp>##V3_BDPV12</stp>
        <stp>912834RU Govt</stp>
        <stp>IDX_RATIO</stp>
        <stp>[STRIPS.xlsx]Sheet1!R759C20</stp>
        <tr r="T759" s="1"/>
      </tp>
      <tp t="s">
        <v>#N/A Field Not Applicable</v>
        <stp/>
        <stp>##V3_BDPV12</stp>
        <stp>912834RW Govt</stp>
        <stp>IDX_RATIO</stp>
        <stp>[STRIPS.xlsx]Sheet1!R753C20</stp>
        <tr r="T753" s="1"/>
      </tp>
      <tp t="s">
        <v>#N/A Field Not Applicable</v>
        <stp/>
        <stp>##V3_BDPV12</stp>
        <stp>912834VU Govt</stp>
        <stp>IDX_RATIO</stp>
        <stp>[STRIPS.xlsx]Sheet1!R769C20</stp>
        <tr r="T769" s="1"/>
      </tp>
      <tp t="s">
        <v>#N/A Field Not Applicable</v>
        <stp/>
        <stp>##V3_BDPV12</stp>
        <stp>912834VZ Govt</stp>
        <stp>IDX_RATIO</stp>
        <stp>[STRIPS.xlsx]Sheet1!R766C20</stp>
        <tr r="T766" s="1"/>
      </tp>
      <tp t="s">
        <v>#N/A Field Not Applicable</v>
        <stp/>
        <stp>##V3_BDPV12</stp>
        <stp>912834VX Govt</stp>
        <stp>IDX_RATIO</stp>
        <stp>[STRIPS.xlsx]Sheet1!R767C20</stp>
        <tr r="T767" s="1"/>
      </tp>
      <tp t="s">
        <v>#N/A Field Not Applicable</v>
        <stp/>
        <stp>##V3_BDPV12</stp>
        <stp>912834WX Govt</stp>
        <stp>IDX_RATIO</stp>
        <stp>[STRIPS.xlsx]Sheet1!R776C20</stp>
        <tr r="T776" s="1"/>
      </tp>
      <tp t="s">
        <v>#N/A Field Not Applicable</v>
        <stp/>
        <stp>##V3_BDPV12</stp>
        <stp>912834UP Govt</stp>
        <stp>IDX_RATIO</stp>
        <stp>[STRIPS.xlsx]Sheet1!R754C20</stp>
        <tr r="T754" s="1"/>
      </tp>
      <tp t="s">
        <v>#N/A Field Not Applicable</v>
        <stp/>
        <stp>##V3_BDPV12</stp>
        <stp>912834UU Govt</stp>
        <stp>IDX_RATIO</stp>
        <stp>[STRIPS.xlsx]Sheet1!R755C20</stp>
        <tr r="T755" s="1"/>
      </tp>
      <tp t="s">
        <v>#N/A Field Not Applicable</v>
        <stp/>
        <stp>##V3_BDPV12</stp>
        <stp>912834WK Govt</stp>
        <stp>IDX_RATIO</stp>
        <stp>[STRIPS.xlsx]Sheet1!R775C20</stp>
        <tr r="T775" s="1"/>
      </tp>
      <tp t="s">
        <v>#N/A Field Not Applicable</v>
        <stp/>
        <stp>##V3_BDPV12</stp>
        <stp>912834WG Govt</stp>
        <stp>IDX_RATIO</stp>
        <stp>[STRIPS.xlsx]Sheet1!R772C20</stp>
        <tr r="T772" s="1"/>
      </tp>
      <tp t="s">
        <v>#N/A Field Not Applicable</v>
        <stp/>
        <stp>##V3_BDPV12</stp>
        <stp>912834WF Govt</stp>
        <stp>IDX_RATIO</stp>
        <stp>[STRIPS.xlsx]Sheet1!R770C20</stp>
        <tr r="T770" s="1"/>
      </tp>
      <tp t="s">
        <v>#N/A Field Not Applicable</v>
        <stp/>
        <stp>##V3_BDPV12</stp>
        <stp>912834VD Govt</stp>
        <stp>IDX_RATIO</stp>
        <stp>[STRIPS.xlsx]Sheet1!R765C20</stp>
        <tr r="T765" s="1"/>
      </tp>
      <tp t="s">
        <v>#N/A Field Not Applicable</v>
        <stp/>
        <stp>##V3_BDPV12</stp>
        <stp>912834VC Govt</stp>
        <stp>IDX_RATIO</stp>
        <stp>[STRIPS.xlsx]Sheet1!R763C20</stp>
        <tr r="T763" s="1"/>
      </tp>
      <tp t="s">
        <v>#N/A Field Not Applicable</v>
        <stp/>
        <stp>##V3_BDPV12</stp>
        <stp>912834WB Govt</stp>
        <stp>IDX_RATIO</stp>
        <stp>[STRIPS.xlsx]Sheet1!R771C20</stp>
        <tr r="T771" s="1"/>
      </tp>
      <tp t="s">
        <v>#N/A Field Not Applicable</v>
        <stp/>
        <stp>##V3_BDPV12</stp>
        <stp>912834TQ Govt</stp>
        <stp>IDX_RATIO</stp>
        <stp>[STRIPS.xlsx]Sheet1!R758C20</stp>
        <tr r="T758" s="1"/>
      </tp>
      <tp t="s">
        <v>#N/A Field Not Applicable</v>
        <stp/>
        <stp>##V3_BDPV12</stp>
        <stp>912834TU Govt</stp>
        <stp>IDX_RATIO</stp>
        <stp>[STRIPS.xlsx]Sheet1!R752C20</stp>
        <tr r="T752" s="1"/>
      </tp>
      <tp t="s">
        <v>#N/A Field Not Applicable</v>
        <stp/>
        <stp>##V3_BDPV12</stp>
        <stp>912834VT Govt</stp>
        <stp>IDX_RATIO</stp>
        <stp>[STRIPS.xlsx]Sheet1!R773C20</stp>
        <tr r="T773" s="1"/>
      </tp>
      <tp t="s">
        <v>#N/A Field Not Applicable</v>
        <stp/>
        <stp>##V3_BDPV12</stp>
        <stp>912834TJ Govt</stp>
        <stp>IDX_RATIO</stp>
        <stp>[STRIPS.xlsx]Sheet1!R757C20</stp>
        <tr r="T757" s="1"/>
      </tp>
      <tp t="s">
        <v>#N/A Field Not Applicable</v>
        <stp/>
        <stp>##V3_BDPV12</stp>
        <stp>912834VJ Govt</stp>
        <stp>IDX_RATIO</stp>
        <stp>[STRIPS.xlsx]Sheet1!R774C20</stp>
        <tr r="T774" s="1"/>
      </tp>
      <tp t="s">
        <v>#N/A Field Not Applicable</v>
        <stp/>
        <stp>##V3_BDPV12</stp>
        <stp>912834WL Govt</stp>
        <stp>IDX_RATIO</stp>
        <stp>[STRIPS.xlsx]Sheet1!R768C20</stp>
        <tr r="T768" s="1"/>
      </tp>
      <tp t="s">
        <v>#N/A Field Not Applicable</v>
        <stp/>
        <stp>##V3_BDPV12</stp>
        <stp>912834TA Govt</stp>
        <stp>IDX_RATIO</stp>
        <stp>[STRIPS.xlsx]Sheet1!R756C20</stp>
        <tr r="T756" s="1"/>
      </tp>
      <tp t="s">
        <v>#N/A Field Not Applicable</v>
        <stp/>
        <stp>##V3_BDPV12</stp>
        <stp>912834TW Govt</stp>
        <stp>IDX_RATIO</stp>
        <stp>[STRIPS.xlsx]Sheet1!R760C20</stp>
        <tr r="T760" s="1"/>
      </tp>
      <tp t="s">
        <v>#N/A Field Not Applicable</v>
        <stp/>
        <stp>##V3_BDPV12</stp>
        <stp>912834US Govt</stp>
        <stp>IDX_RATIO</stp>
        <stp>[STRIPS.xlsx]Sheet1!R762C20</stp>
        <tr r="T762" s="1"/>
      </tp>
      <tp t="s">
        <v>#N/A Field Not Applicable</v>
        <stp/>
        <stp>##V3_BDPV12</stp>
        <stp>912834UC Govt</stp>
        <stp>IDX_RATIO</stp>
        <stp>[STRIPS.xlsx]Sheet1!R761C20</stp>
        <tr r="T761" s="1"/>
      </tp>
      <tp t="s">
        <v>#N/A Field Not Applicable</v>
        <stp/>
        <stp>##V3_BDPV12</stp>
        <stp>912834XD Govt</stp>
        <stp>IDX_RATIO</stp>
        <stp>[STRIPS.xlsx]Sheet1!R764C20</stp>
        <tr r="T764" s="1"/>
      </tp>
      <tp t="s">
        <v>#N/A Field Not Applicable</v>
        <stp/>
        <stp>##V3_BDPV12</stp>
        <stp>9128334X Govt</stp>
        <stp>IDX_RATIO</stp>
        <stp>[STRIPS.xlsx]Sheet1!R107C20</stp>
        <tr r="T107" s="1"/>
      </tp>
      <tp t="s">
        <v>#N/A Field Not Applicable</v>
        <stp/>
        <stp>##V3_BDPV12</stp>
        <stp>9128334U Govt</stp>
        <stp>IDX_RATIO</stp>
        <stp>[STRIPS.xlsx]Sheet1!R102C20</stp>
        <tr r="T102" s="1"/>
      </tp>
      <tp t="s">
        <v>#N/A Field Not Applicable</v>
        <stp/>
        <stp>##V3_BDPV12</stp>
        <stp>9128337T Govt</stp>
        <stp>IDX_RATIO</stp>
        <stp>[STRIPS.xlsx]Sheet1!R121C20</stp>
        <tr r="T121" s="1"/>
      </tp>
      <tp t="s">
        <v>#N/A Field Not Applicable</v>
        <stp/>
        <stp>##V3_BDPV12</stp>
        <stp>9128337R Govt</stp>
        <stp>IDX_RATIO</stp>
        <stp>[STRIPS.xlsx]Sheet1!R114C20</stp>
        <tr r="T114" s="1"/>
      </tp>
      <tp t="s">
        <v>#N/A Field Not Applicable</v>
        <stp/>
        <stp>##V3_BDPV12</stp>
        <stp>9128337V Govt</stp>
        <stp>IDX_RATIO</stp>
        <stp>[STRIPS.xlsx]Sheet1!R100C20</stp>
        <tr r="T100" s="1"/>
      </tp>
      <tp t="s">
        <v>912833QX1</v>
        <stp/>
        <stp>##V3_BDPV12</stp>
        <stp>912833QX Govt</stp>
        <stp>ID_CUSIP</stp>
        <stp>[STRIPS.xlsx]Sheet1!R243C19</stp>
        <tr r="S243" s="1"/>
      </tp>
      <tp t="s">
        <v>912834JX7</v>
        <stp/>
        <stp>##V3_BDPV12</stp>
        <stp>912834JX Govt</stp>
        <stp>ID_CUSIP</stp>
        <stp>[STRIPS.xlsx]Sheet1!R221C19</stp>
        <tr r="S221" s="1"/>
      </tp>
      <tp t="s">
        <v>9128336X3</v>
        <stp/>
        <stp>##V3_BDPV12</stp>
        <stp>9128336X Govt</stp>
        <stp>ID_CUSIP</stp>
        <stp>[STRIPS.xlsx]Sheet1!R290C19</stp>
        <tr r="S290" s="1"/>
      </tp>
      <tp t="s">
        <v>7/31/2008</v>
        <stp/>
        <stp>##V3_BDPV12</stp>
        <stp>912834AC Govt</stp>
        <stp>ISSUE_DT</stp>
        <stp>[STRIPS.xlsx]Sheet1!R384C15</stp>
        <tr r="O384" s="1"/>
      </tp>
      <tp t="s">
        <v>12/31/2002</v>
        <stp/>
        <stp>##V3_BDPV12</stp>
        <stp>912833ZC Govt</stp>
        <stp>ISSUE_DT</stp>
        <stp>[STRIPS.xlsx]Sheet1!R346C15</stp>
        <tr r="O346" s="1"/>
      </tp>
      <tp t="s">
        <v>12/1/1997</v>
        <stp/>
        <stp>##V3_BDPV12</stp>
        <stp>912833QC Govt</stp>
        <stp>ISSUE_DT</stp>
        <stp>[STRIPS.xlsx]Sheet1!R341C15</stp>
        <tr r="O341" s="1"/>
      </tp>
      <tp t="s">
        <v>#N/A Field Not Applicable</v>
        <stp/>
        <stp>##V3_BDPV12</stp>
        <stp>912834AY Govt</stp>
        <stp>IDX_RATIO</stp>
        <stp>[STRIPS.xlsx]Sheet1!R642C20</stp>
        <tr r="T642" s="1"/>
      </tp>
      <tp t="s">
        <v>#N/A Field Not Applicable</v>
        <stp/>
        <stp>##V3_BDPV12</stp>
        <stp>912834AW Govt</stp>
        <stp>IDX_RATIO</stp>
        <stp>[STRIPS.xlsx]Sheet1!R641C20</stp>
        <tr r="T641" s="1"/>
      </tp>
      <tp t="s">
        <v>#N/A Field Not Applicable</v>
        <stp/>
        <stp>##V3_BDPV12</stp>
        <stp>912834BD Govt</stp>
        <stp>IDX_RATIO</stp>
        <stp>[STRIPS.xlsx]Sheet1!R643C20</stp>
        <tr r="T643" s="1"/>
      </tp>
      <tp t="s">
        <v>#N/A Field Not Applicable</v>
        <stp/>
        <stp>##V3_BDPV12</stp>
        <stp>912834EB Govt</stp>
        <stp>IDX_RATIO</stp>
        <stp>[STRIPS.xlsx]Sheet1!R644C20</stp>
        <tr r="T644" s="1"/>
      </tp>
      <tp t="s">
        <v>#N/A Field Not Applicable</v>
        <stp/>
        <stp>##V3_BDPV12</stp>
        <stp>912834ED Govt</stp>
        <stp>IDX_RATIO</stp>
        <stp>[STRIPS.xlsx]Sheet1!R645C20</stp>
        <tr r="T645" s="1"/>
      </tp>
      <tp t="s">
        <v>#N/A Field Not Applicable</v>
        <stp/>
        <stp>##V3_BDPV12</stp>
        <stp>912833DA Govt</stp>
        <stp>IDX_RATIO</stp>
        <stp>[STRIPS.xlsx]Sheet1!R167C20</stp>
        <tr r="T167" s="1"/>
      </tp>
      <tp t="s">
        <v>#N/A Field Not Applicable</v>
        <stp/>
        <stp>##V3_BDPV12</stp>
        <stp>912833DB Govt</stp>
        <stp>IDX_RATIO</stp>
        <stp>[STRIPS.xlsx]Sheet1!R162C20</stp>
        <tr r="T162" s="1"/>
      </tp>
      <tp t="s">
        <v>#N/A Field Not Applicable</v>
        <stp/>
        <stp>##V3_BDPV12</stp>
        <stp>912833KA Govt</stp>
        <stp>IDX_RATIO</stp>
        <stp>[STRIPS.xlsx]Sheet1!R193C20</stp>
        <tr r="T193" s="1"/>
      </tp>
      <tp t="s">
        <v>#N/A Field Not Applicable</v>
        <stp/>
        <stp>##V3_BDPV12</stp>
        <stp>912833KS Govt</stp>
        <stp>IDX_RATIO</stp>
        <stp>[STRIPS.xlsx]Sheet1!R176C20</stp>
        <tr r="T176" s="1"/>
      </tp>
      <tp t="s">
        <v>#N/A Field Not Applicable</v>
        <stp/>
        <stp>##V3_BDPV12</stp>
        <stp>912833KW Govt</stp>
        <stp>IDX_RATIO</stp>
        <stp>[STRIPS.xlsx]Sheet1!R177C20</stp>
        <tr r="T177" s="1"/>
      </tp>
      <tp t="s">
        <v>#N/A Field Not Applicable</v>
        <stp/>
        <stp>##V3_BDPV12</stp>
        <stp>912833JY Govt</stp>
        <stp>IDX_RATIO</stp>
        <stp>[STRIPS.xlsx]Sheet1!R173C20</stp>
        <tr r="T173" s="1"/>
      </tp>
      <tp t="s">
        <v>#N/A Field Not Applicable</v>
        <stp/>
        <stp>##V3_BDPV12</stp>
        <stp>912833KT Govt</stp>
        <stp>IDX_RATIO</stp>
        <stp>[STRIPS.xlsx]Sheet1!R161C20</stp>
        <tr r="T161" s="1"/>
      </tp>
      <tp t="s">
        <v>#N/A Field Not Applicable</v>
        <stp/>
        <stp>##V3_BDPV12</stp>
        <stp>912833KX Govt</stp>
        <stp>IDX_RATIO</stp>
        <stp>[STRIPS.xlsx]Sheet1!R157C20</stp>
        <tr r="T157" s="1"/>
      </tp>
      <tp t="s">
        <v>#N/A Field Not Applicable</v>
        <stp/>
        <stp>##V3_BDPV12</stp>
        <stp>912833KZ Govt</stp>
        <stp>IDX_RATIO</stp>
        <stp>[STRIPS.xlsx]Sheet1!R152C20</stp>
        <tr r="T152" s="1"/>
      </tp>
      <tp t="s">
        <v>#N/A Field Not Applicable</v>
        <stp/>
        <stp>##V3_BDPV12</stp>
        <stp>912834JF Govt</stp>
        <stp>IDX_RATIO</stp>
        <stp>[STRIPS.xlsx]Sheet1!R647C20</stp>
        <tr r="T647" s="1"/>
      </tp>
      <tp t="s">
        <v>#N/A Field Not Applicable</v>
        <stp/>
        <stp>##V3_BDPV12</stp>
        <stp>912834JE Govt</stp>
        <stp>IDX_RATIO</stp>
        <stp>[STRIPS.xlsx]Sheet1!R646C20</stp>
        <tr r="T646" s="1"/>
      </tp>
      <tp t="s">
        <v>#N/A Field Not Applicable</v>
        <stp/>
        <stp>##V3_BDPV12</stp>
        <stp>912833JT Govt</stp>
        <stp>IDX_RATIO</stp>
        <stp>[STRIPS.xlsx]Sheet1!R156C20</stp>
        <tr r="T156" s="1"/>
      </tp>
      <tp t="s">
        <v>#N/A Field Not Applicable</v>
        <stp/>
        <stp>##V3_BDPV12</stp>
        <stp>912833LD Govt</stp>
        <stp>IDX_RATIO</stp>
        <stp>[STRIPS.xlsx]Sheet1!R151C20</stp>
        <tr r="T151" s="1"/>
      </tp>
      <tp t="s">
        <v>#N/A Field Not Applicable</v>
        <stp/>
        <stp>##V3_BDPV12</stp>
        <stp>912833LE Govt</stp>
        <stp>IDX_RATIO</stp>
        <stp>[STRIPS.xlsx]Sheet1!R153C20</stp>
        <tr r="T153" s="1"/>
      </tp>
      <tp t="s">
        <v>#N/A Field Not Applicable</v>
        <stp/>
        <stp>##V3_BDPV12</stp>
        <stp>912833ZP Govt</stp>
        <stp>IDX_RATIO</stp>
        <stp>[STRIPS.xlsx]Sheet1!R192C20</stp>
        <tr r="T192" s="1"/>
      </tp>
      <tp t="s">
        <v>#N/A Field Not Applicable</v>
        <stp/>
        <stp>##V3_BDPV12</stp>
        <stp>912833Y3 Govt</stp>
        <stp>IDX_RATIO</stp>
        <stp>[STRIPS.xlsx]Sheet1!R103C20</stp>
        <tr r="T103" s="1"/>
      </tp>
      <tp t="s">
        <v>#N/A Field Not Applicable</v>
        <stp/>
        <stp>##V3_BDPV12</stp>
        <stp>912833Z6 Govt</stp>
        <stp>IDX_RATIO</stp>
        <stp>[STRIPS.xlsx]Sheet1!R111C20</stp>
        <tr r="T111" s="1"/>
      </tp>
      <tp t="s">
        <v>#N/A Field Not Applicable</v>
        <stp/>
        <stp>##V3_BDPV12</stp>
        <stp>9128334L Govt</stp>
        <stp>IDX_RATIO</stp>
        <stp>[STRIPS.xlsx]Sheet1!R284C20</stp>
        <tr r="T284" s="1"/>
      </tp>
      <tp t="s">
        <v>#N/A Field Not Applicable</v>
        <stp/>
        <stp>##V3_BDPV12</stp>
        <stp>9128335L Govt</stp>
        <stp>IDX_RATIO</stp>
        <stp>[STRIPS.xlsx]Sheet1!R287C20</stp>
        <tr r="T287" s="1"/>
      </tp>
      <tp t="s">
        <v>#N/A Field Not Applicable</v>
        <stp/>
        <stp>##V3_BDPV12</stp>
        <stp>9128335D Govt</stp>
        <stp>IDX_RATIO</stp>
        <stp>[STRIPS.xlsx]Sheet1!R285C20</stp>
        <tr r="T285" s="1"/>
      </tp>
      <tp t="s">
        <v>#N/A Field Not Applicable</v>
        <stp/>
        <stp>##V3_BDPV12</stp>
        <stp>9128335G Govt</stp>
        <stp>IDX_RATIO</stp>
        <stp>[STRIPS.xlsx]Sheet1!R286C20</stp>
        <tr r="T286" s="1"/>
      </tp>
      <tp t="s">
        <v>#N/A Field Not Applicable</v>
        <stp/>
        <stp>##V3_BDPV12</stp>
        <stp>9128336F Govt</stp>
        <stp>IDX_RATIO</stp>
        <stp>[STRIPS.xlsx]Sheet1!R288C20</stp>
        <tr r="T288" s="1"/>
      </tp>
      <tp t="s">
        <v>#N/A Field Not Applicable</v>
        <stp/>
        <stp>##V3_BDPV12</stp>
        <stp>9128337K Govt</stp>
        <stp>IDX_RATIO</stp>
        <stp>[STRIPS.xlsx]Sheet1!R292C20</stp>
        <tr r="T292" s="1"/>
      </tp>
      <tp t="s">
        <v>#N/A Field Not Applicable</v>
        <stp/>
        <stp>##V3_BDPV12</stp>
        <stp>9128337D Govt</stp>
        <stp>IDX_RATIO</stp>
        <stp>[STRIPS.xlsx]Sheet1!R291C20</stp>
        <tr r="T291" s="1"/>
      </tp>
      <tp t="s">
        <v>#N/A Field Not Applicable</v>
        <stp/>
        <stp>##V3_BDPV12</stp>
        <stp>9128336J Govt</stp>
        <stp>IDX_RATIO</stp>
        <stp>[STRIPS.xlsx]Sheet1!R289C20</stp>
        <tr r="T289" s="1"/>
      </tp>
      <tp t="s">
        <v>#N/A Field Not Applicable</v>
        <stp/>
        <stp>##V3_BDPV12</stp>
        <stp>9128336X Govt</stp>
        <stp>IDX_RATIO</stp>
        <stp>[STRIPS.xlsx]Sheet1!R290C20</stp>
        <tr r="T290" s="1"/>
      </tp>
      <tp t="s">
        <v>912833KX7</v>
        <stp/>
        <stp>##V3_BDPV12</stp>
        <stp>912833KX Govt</stp>
        <stp>ID_CUSIP</stp>
        <stp>[STRIPS.xlsx]Sheet1!R157C19</stp>
        <tr r="S157" s="1"/>
      </tp>
      <tp t="s">
        <v>ZERO</v>
        <stp/>
        <stp>##V3_BDPV12</stp>
        <stp>912834VZ Govt</stp>
        <stp>CPN_TYP</stp>
        <stp>[STRIPS.xlsx]Sheet1!R766C11</stp>
        <tr r="K766" s="1"/>
      </tp>
      <tp t="s">
        <v>912834TX6</v>
        <stp/>
        <stp>##V3_BDPV12</stp>
        <stp>912834TX Govt</stp>
        <stp>ID_CUSIP</stp>
        <stp>[STRIPS.xlsx]Sheet1!R145C19</stp>
        <tr r="S145" s="1"/>
      </tp>
      <tp t="s">
        <v>9128334X5</v>
        <stp/>
        <stp>##V3_BDPV12</stp>
        <stp>9128334X Govt</stp>
        <stp>ID_CUSIP</stp>
        <stp>[STRIPS.xlsx]Sheet1!R107C19</stp>
        <tr r="S107" s="1"/>
      </tp>
      <tp t="s">
        <v>912834UX4</v>
        <stp/>
        <stp>##V3_BDPV12</stp>
        <stp>912834UX Govt</stp>
        <stp>ID_CUSIP</stp>
        <stp>[STRIPS.xlsx]Sheet1!R182C19</stp>
        <tr r="S182" s="1"/>
      </tp>
      <tp t="s">
        <v>#N/A Field Not Applicable</v>
        <stp/>
        <stp>##V3_BDPV12</stp>
        <stp>912834FC Govt</stp>
        <stp>IDX_RATIO</stp>
        <stp>[STRIPS.xlsx]Sheet1!R534C20</stp>
        <tr r="T534" s="1"/>
      </tp>
      <tp t="s">
        <v>#N/A Field Not Applicable</v>
        <stp/>
        <stp>##V3_BDPV12</stp>
        <stp>912834EG Govt</stp>
        <stp>IDX_RATIO</stp>
        <stp>[STRIPS.xlsx]Sheet1!R533C20</stp>
        <tr r="T533" s="1"/>
      </tp>
      <tp t="s">
        <v>#N/A Field Not Applicable</v>
        <stp/>
        <stp>##V3_BDPV12</stp>
        <stp>912834EE Govt</stp>
        <stp>IDX_RATIO</stp>
        <stp>[STRIPS.xlsx]Sheet1!R532C20</stp>
        <tr r="T532" s="1"/>
      </tp>
      <tp t="s">
        <v>#N/A Field Not Applicable</v>
        <stp/>
        <stp>##V3_BDPV12</stp>
        <stp>912834BA Govt</stp>
        <stp>IDX_RATIO</stp>
        <stp>[STRIPS.xlsx]Sheet1!R529C20</stp>
        <tr r="T529" s="1"/>
      </tp>
      <tp t="s">
        <v>#N/A Field Not Applicable</v>
        <stp/>
        <stp>##V3_BDPV12</stp>
        <stp>912833CZ Govt</stp>
        <stp>IDX_RATIO</stp>
        <stp>[STRIPS.xlsx]Sheet1!R220C20</stp>
        <tr r="T220" s="1"/>
      </tp>
      <tp t="s">
        <v>#N/A Field Not Applicable</v>
        <stp/>
        <stp>##V3_BDPV12</stp>
        <stp>912834BR Govt</stp>
        <stp>IDX_RATIO</stp>
        <stp>[STRIPS.xlsx]Sheet1!R531C20</stp>
        <tr r="T531" s="1"/>
      </tp>
      <tp t="s">
        <v>#N/A Field Not Applicable</v>
        <stp/>
        <stp>##V3_BDPV12</stp>
        <stp>912834BE Govt</stp>
        <stp>IDX_RATIO</stp>
        <stp>[STRIPS.xlsx]Sheet1!R530C20</stp>
        <tr r="T530" s="1"/>
      </tp>
      <tp t="s">
        <v>#N/A Field Not Applicable</v>
        <stp/>
        <stp>##V3_BDPV12</stp>
        <stp>912834ER Govt</stp>
        <stp>IDX_RATIO</stp>
        <stp>[STRIPS.xlsx]Sheet1!R596C20</stp>
        <tr r="T596" s="1"/>
      </tp>
      <tp t="s">
        <v>#N/A Field Not Applicable</v>
        <stp/>
        <stp>##V3_BDPV12</stp>
        <stp>912834EJ Govt</stp>
        <stp>IDX_RATIO</stp>
        <stp>[STRIPS.xlsx]Sheet1!R595C20</stp>
        <tr r="T595" s="1"/>
      </tp>
      <tp t="s">
        <v>#N/A Field Not Applicable</v>
        <stp/>
        <stp>##V3_BDPV12</stp>
        <stp>912834EA Govt</stp>
        <stp>IDX_RATIO</stp>
        <stp>[STRIPS.xlsx]Sheet1!R593C20</stp>
        <tr r="T593" s="1"/>
      </tp>
      <tp t="s">
        <v>#N/A Field Not Applicable</v>
        <stp/>
        <stp>##V3_BDPV12</stp>
        <stp>912834EF Govt</stp>
        <stp>IDX_RATIO</stp>
        <stp>[STRIPS.xlsx]Sheet1!R594C20</stp>
        <tr r="T594" s="1"/>
      </tp>
      <tp t="s">
        <v>#N/A Field Not Applicable</v>
        <stp/>
        <stp>##V3_BDPV12</stp>
        <stp>912833NH Govt</stp>
        <stp>IDX_RATIO</stp>
        <stp>[STRIPS.xlsx]Sheet1!R237C20</stp>
        <tr r="T237" s="1"/>
      </tp>
      <tp t="s">
        <v>#N/A Field Not Applicable</v>
        <stp/>
        <stp>##V3_BDPV12</stp>
        <stp>912833MP Govt</stp>
        <stp>IDX_RATIO</stp>
        <stp>[STRIPS.xlsx]Sheet1!R235C20</stp>
        <tr r="T235" s="1"/>
      </tp>
      <tp t="s">
        <v>#N/A Field Not Applicable</v>
        <stp/>
        <stp>##V3_BDPV12</stp>
        <stp>912833MQ Govt</stp>
        <stp>IDX_RATIO</stp>
        <stp>[STRIPS.xlsx]Sheet1!R236C20</stp>
        <tr r="T236" s="1"/>
      </tp>
      <tp t="s">
        <v>#N/A Field Not Applicable</v>
        <stp/>
        <stp>##V3_BDPV12</stp>
        <stp>912834LY Govt</stp>
        <stp>IDX_RATIO</stp>
        <stp>[STRIPS.xlsx]Sheet1!R539C20</stp>
        <tr r="T539" s="1"/>
      </tp>
      <tp t="s">
        <v>#N/A Field Not Applicable</v>
        <stp/>
        <stp>##V3_BDPV12</stp>
        <stp>912834AJ Govt</stp>
        <stp>IDX_RATIO</stp>
        <stp>[STRIPS.xlsx]Sheet1!R591C20</stp>
        <tr r="T591" s="1"/>
      </tp>
      <tp t="s">
        <v>#N/A Field Not Applicable</v>
        <stp/>
        <stp>##V3_BDPV12</stp>
        <stp>912834AG Govt</stp>
        <stp>IDX_RATIO</stp>
        <stp>[STRIPS.xlsx]Sheet1!R590C20</stp>
        <tr r="T590" s="1"/>
      </tp>
      <tp t="s">
        <v>#N/A Field Not Applicable</v>
        <stp/>
        <stp>##V3_BDPV12</stp>
        <stp>912834MV Govt</stp>
        <stp>IDX_RATIO</stp>
        <stp>[STRIPS.xlsx]Sheet1!R543C20</stp>
        <tr r="T543" s="1"/>
      </tp>
      <tp t="s">
        <v>#N/A Field Not Applicable</v>
        <stp/>
        <stp>##V3_BDPV12</stp>
        <stp>912834MP Govt</stp>
        <stp>IDX_RATIO</stp>
        <stp>[STRIPS.xlsx]Sheet1!R542C20</stp>
        <tr r="T542" s="1"/>
      </tp>
      <tp t="s">
        <v>#N/A Field Not Applicable</v>
        <stp/>
        <stp>##V3_BDPV12</stp>
        <stp>912834AA Govt</stp>
        <stp>IDX_RATIO</stp>
        <stp>[STRIPS.xlsx]Sheet1!R589C20</stp>
        <tr r="T589" s="1"/>
      </tp>
      <tp t="s">
        <v>#N/A Field Not Applicable</v>
        <stp/>
        <stp>##V3_BDPV12</stp>
        <stp>912834JL Govt</stp>
        <stp>IDX_RATIO</stp>
        <stp>[STRIPS.xlsx]Sheet1!R538C20</stp>
        <tr r="T538" s="1"/>
      </tp>
      <tp t="s">
        <v>#N/A Field Not Applicable</v>
        <stp/>
        <stp>##V3_BDPV12</stp>
        <stp>912834JA Govt</stp>
        <stp>IDX_RATIO</stp>
        <stp>[STRIPS.xlsx]Sheet1!R537C20</stp>
        <tr r="T537" s="1"/>
      </tp>
      <tp t="s">
        <v>#N/A Field Not Applicable</v>
        <stp/>
        <stp>##V3_BDPV12</stp>
        <stp>912834MB Govt</stp>
        <stp>IDX_RATIO</stp>
        <stp>[STRIPS.xlsx]Sheet1!R540C20</stp>
        <tr r="T540" s="1"/>
      </tp>
      <tp t="s">
        <v>#N/A Field Not Applicable</v>
        <stp/>
        <stp>##V3_BDPV12</stp>
        <stp>912834MC Govt</stp>
        <stp>IDX_RATIO</stp>
        <stp>[STRIPS.xlsx]Sheet1!R541C20</stp>
        <tr r="T541" s="1"/>
      </tp>
      <tp t="s">
        <v>#N/A Field Not Applicable</v>
        <stp/>
        <stp>##V3_BDPV12</stp>
        <stp>912833C7 Govt</stp>
        <stp>IDX_RATIO</stp>
        <stp>[STRIPS.xlsx]Sheet1!R294C20</stp>
        <tr r="T294" s="1"/>
      </tp>
      <tp t="s">
        <v>#N/A Field Not Applicable</v>
        <stp/>
        <stp>##V3_BDPV12</stp>
        <stp>912833CU Govt</stp>
        <stp>IDX_RATIO</stp>
        <stp>[STRIPS.xlsx]Sheet1!R299C20</stp>
        <tr r="T299" s="1"/>
      </tp>
      <tp t="s">
        <v>#N/A Field Not Applicable</v>
        <stp/>
        <stp>##V3_BDPV12</stp>
        <stp>912834NW Govt</stp>
        <stp>IDX_RATIO</stp>
        <stp>[STRIPS.xlsx]Sheet1!R548C20</stp>
        <tr r="T548" s="1"/>
      </tp>
      <tp t="s">
        <v>#N/A Field Not Applicable</v>
        <stp/>
        <stp>##V3_BDPV12</stp>
        <stp>912833CS Govt</stp>
        <stp>IDX_RATIO</stp>
        <stp>[STRIPS.xlsx]Sheet1!R298C20</stp>
        <tr r="T298" s="1"/>
      </tp>
      <tp t="s">
        <v>#N/A Field Not Applicable</v>
        <stp/>
        <stp>##V3_BDPV12</stp>
        <stp>912834NS Govt</stp>
        <stp>IDX_RATIO</stp>
        <stp>[STRIPS.xlsx]Sheet1!R547C20</stp>
        <tr r="T547" s="1"/>
      </tp>
      <tp t="s">
        <v>#N/A Field Not Applicable</v>
        <stp/>
        <stp>##V3_BDPV12</stp>
        <stp>912833CJ Govt</stp>
        <stp>IDX_RATIO</stp>
        <stp>[STRIPS.xlsx]Sheet1!R297C20</stp>
        <tr r="T297" s="1"/>
      </tp>
      <tp t="s">
        <v>#N/A Field Not Applicable</v>
        <stp/>
        <stp>##V3_BDPV12</stp>
        <stp>912834NB Govt</stp>
        <stp>IDX_RATIO</stp>
        <stp>[STRIPS.xlsx]Sheet1!R544C20</stp>
        <tr r="T544" s="1"/>
      </tp>
      <tp t="s">
        <v>#N/A Field Not Applicable</v>
        <stp/>
        <stp>##V3_BDPV12</stp>
        <stp>912833CD Govt</stp>
        <stp>IDX_RATIO</stp>
        <stp>[STRIPS.xlsx]Sheet1!R295C20</stp>
        <tr r="T295" s="1"/>
      </tp>
      <tp t="s">
        <v>#N/A Field Not Applicable</v>
        <stp/>
        <stp>##V3_BDPV12</stp>
        <stp>912833CG Govt</stp>
        <stp>IDX_RATIO</stp>
        <stp>[STRIPS.xlsx]Sheet1!R296C20</stp>
        <tr r="T296" s="1"/>
      </tp>
      <tp t="s">
        <v>#N/A Field Not Applicable</v>
        <stp/>
        <stp>##V3_BDPV12</stp>
        <stp>912834ND Govt</stp>
        <stp>IDX_RATIO</stp>
        <stp>[STRIPS.xlsx]Sheet1!R545C20</stp>
        <tr r="T545" s="1"/>
      </tp>
      <tp t="s">
        <v>#N/A Field Not Applicable</v>
        <stp/>
        <stp>##V3_BDPV12</stp>
        <stp>912834NE Govt</stp>
        <stp>IDX_RATIO</stp>
        <stp>[STRIPS.xlsx]Sheet1!R546C20</stp>
        <tr r="T546" s="1"/>
      </tp>
      <tp t="s">
        <v>#N/A Field Not Applicable</v>
        <stp/>
        <stp>##V3_BDPV12</stp>
        <stp>912833B8 Govt</stp>
        <stp>IDX_RATIO</stp>
        <stp>[STRIPS.xlsx]Sheet1!R293C20</stp>
        <tr r="T293" s="1"/>
      </tp>
      <tp t="s">
        <v>#N/A Field Not Applicable</v>
        <stp/>
        <stp>##V3_BDPV12</stp>
        <stp>912834HR Govt</stp>
        <stp>IDX_RATIO</stp>
        <stp>[STRIPS.xlsx]Sheet1!R535C20</stp>
        <tr r="T535" s="1"/>
      </tp>
      <tp t="s">
        <v>#N/A Field Not Applicable</v>
        <stp/>
        <stp>##V3_BDPV12</stp>
        <stp>912834HW Govt</stp>
        <stp>IDX_RATIO</stp>
        <stp>[STRIPS.xlsx]Sheet1!R536C20</stp>
        <tr r="T536" s="1"/>
      </tp>
      <tp t="s">
        <v>#N/A Field Not Applicable</v>
        <stp/>
        <stp>##V3_BDPV12</stp>
        <stp>912834BG Govt</stp>
        <stp>IDX_RATIO</stp>
        <stp>[STRIPS.xlsx]Sheet1!R592C20</stp>
        <tr r="T592" s="1"/>
      </tp>
      <tp t="s">
        <v>#N/A Field Not Applicable</v>
        <stp/>
        <stp>##V3_BDPV12</stp>
        <stp>912834PR Govt</stp>
        <stp>IDX_RATIO</stp>
        <stp>[STRIPS.xlsx]Sheet1!R549C20</stp>
        <tr r="T549" s="1"/>
      </tp>
      <tp t="s">
        <v>#N/A Field Not Applicable</v>
        <stp/>
        <stp>##V3_BDPV12</stp>
        <stp>912833PZ Govt</stp>
        <stp>IDX_RATIO</stp>
        <stp>[STRIPS.xlsx]Sheet1!R240C20</stp>
        <tr r="T240" s="1"/>
      </tp>
      <tp t="s">
        <v>#N/A Field Not Applicable</v>
        <stp/>
        <stp>##V3_BDPV12</stp>
        <stp>912834QD Govt</stp>
        <stp>IDX_RATIO</stp>
        <stp>[STRIPS.xlsx]Sheet1!R550C20</stp>
        <tr r="T550" s="1"/>
      </tp>
      <tp t="s">
        <v>#N/A Field Not Applicable</v>
        <stp/>
        <stp>##V3_BDPV12</stp>
        <stp>912833QX Govt</stp>
        <stp>IDX_RATIO</stp>
        <stp>[STRIPS.xlsx]Sheet1!R243C20</stp>
        <tr r="T243" s="1"/>
      </tp>
      <tp t="s">
        <v>#N/A Field Not Applicable</v>
        <stp/>
        <stp>##V3_BDPV12</stp>
        <stp>912833QV Govt</stp>
        <stp>IDX_RATIO</stp>
        <stp>[STRIPS.xlsx]Sheet1!R242C20</stp>
        <tr r="T242" s="1"/>
      </tp>
      <tp t="s">
        <v>#N/A Field Not Applicable</v>
        <stp/>
        <stp>##V3_BDPV12</stp>
        <stp>912833QE Govt</stp>
        <stp>IDX_RATIO</stp>
        <stp>[STRIPS.xlsx]Sheet1!R241C20</stp>
        <tr r="T241" s="1"/>
      </tp>
      <tp t="s">
        <v>#N/A Field Not Applicable</v>
        <stp/>
        <stp>##V3_BDPV12</stp>
        <stp>912834UQ Govt</stp>
        <stp>FIRST_CPN_DT</stp>
        <stp>[STRIPS.xlsx]Sheet1!R97C9</stp>
        <tr r="I97" s="1"/>
      </tp>
      <tp t="s">
        <v>#N/A Field Not Applicable</v>
        <stp/>
        <stp>##V3_BDPV12</stp>
        <stp>912833RW Govt</stp>
        <stp>IDX_RATIO</stp>
        <stp>[STRIPS.xlsx]Sheet1!R246C20</stp>
        <tr r="T246" s="1"/>
      </tp>
      <tp t="s">
        <v>#N/A Field Not Applicable</v>
        <stp/>
        <stp>##V3_BDPV12</stp>
        <stp>912833RJ Govt</stp>
        <stp>IDX_RATIO</stp>
        <stp>[STRIPS.xlsx]Sheet1!R245C20</stp>
        <tr r="T245" s="1"/>
      </tp>
      <tp t="s">
        <v>#N/A Field Not Applicable</v>
        <stp/>
        <stp>##V3_BDPV12</stp>
        <stp>912833RG Govt</stp>
        <stp>IDX_RATIO</stp>
        <stp>[STRIPS.xlsx]Sheet1!R244C20</stp>
        <tr r="T244" s="1"/>
      </tp>
      <tp t="s">
        <v>#N/A Field Not Applicable</v>
        <stp/>
        <stp>##V3_BDPV12</stp>
        <stp>912834RF Govt</stp>
        <stp>IDX_RATIO</stp>
        <stp>[STRIPS.xlsx]Sheet1!R551C20</stp>
        <tr r="T551" s="1"/>
      </tp>
      <tp t="s">
        <v>#N/A Field Not Applicable</v>
        <stp/>
        <stp>##V3_BDPV12</stp>
        <stp>912833PW Govt</stp>
        <stp>IDX_RATIO</stp>
        <stp>[STRIPS.xlsx]Sheet1!R239C20</stp>
        <tr r="T239" s="1"/>
      </tp>
      <tp t="s">
        <v>#N/A Field Not Applicable</v>
        <stp/>
        <stp>##V3_BDPV12</stp>
        <stp>912833PM Govt</stp>
        <stp>IDX_RATIO</stp>
        <stp>[STRIPS.xlsx]Sheet1!R238C20</stp>
        <tr r="T238" s="1"/>
      </tp>
      <tp t="s">
        <v>#N/A Field Not Applicable</v>
        <stp/>
        <stp>##V3_BDPV12</stp>
        <stp>912833YV Govt</stp>
        <stp>IDX_RATIO</stp>
        <stp>[STRIPS.xlsx]Sheet1!R250C20</stp>
        <tr r="T250" s="1"/>
      </tp>
      <tp t="s">
        <v>#N/A Field Not Applicable</v>
        <stp/>
        <stp>##V3_BDPV12</stp>
        <stp>912833Y6 Govt</stp>
        <stp>IDX_RATIO</stp>
        <stp>[STRIPS.xlsx]Sheet1!R247C20</stp>
        <tr r="T247" s="1"/>
      </tp>
      <tp t="s">
        <v>#N/A Field Not Applicable</v>
        <stp/>
        <stp>##V3_BDPV12</stp>
        <stp>912833Y8 Govt</stp>
        <stp>IDX_RATIO</stp>
        <stp>[STRIPS.xlsx]Sheet1!R248C20</stp>
        <tr r="T248" s="1"/>
      </tp>
      <tp t="s">
        <v>#N/A Field Not Applicable</v>
        <stp/>
        <stp>##V3_BDPV12</stp>
        <stp>912833YT Govt</stp>
        <stp>IDX_RATIO</stp>
        <stp>[STRIPS.xlsx]Sheet1!R249C20</stp>
        <tr r="T249" s="1"/>
      </tp>
      <tp t="s">
        <v>#N/A Field Not Applicable</v>
        <stp/>
        <stp>##V3_BDPV12</stp>
        <stp>912833ZY Govt</stp>
        <stp>IDX_RATIO</stp>
        <stp>[STRIPS.xlsx]Sheet1!R255C20</stp>
        <tr r="T255" s="1"/>
      </tp>
      <tp t="s">
        <v>#N/A Field Not Applicable</v>
        <stp/>
        <stp>##V3_BDPV12</stp>
        <stp>912833ZV Govt</stp>
        <stp>IDX_RATIO</stp>
        <stp>[STRIPS.xlsx]Sheet1!R254C20</stp>
        <tr r="T254" s="1"/>
      </tp>
      <tp t="s">
        <v>#N/A Field Not Applicable</v>
        <stp/>
        <stp>##V3_BDPV12</stp>
        <stp>912833ZG Govt</stp>
        <stp>IDX_RATIO</stp>
        <stp>[STRIPS.xlsx]Sheet1!R253C20</stp>
        <tr r="T253" s="1"/>
      </tp>
      <tp t="s">
        <v>#N/A Field Not Applicable</v>
        <stp/>
        <stp>##V3_BDPV12</stp>
        <stp>912833ZE Govt</stp>
        <stp>IDX_RATIO</stp>
        <stp>[STRIPS.xlsx]Sheet1!R252C20</stp>
        <tr r="T252" s="1"/>
      </tp>
      <tp t="s">
        <v>#N/A Field Not Applicable</v>
        <stp/>
        <stp>##V3_BDPV12</stp>
        <stp>912833ZA Govt</stp>
        <stp>IDX_RATIO</stp>
        <stp>[STRIPS.xlsx]Sheet1!R251C20</stp>
        <tr r="T251" s="1"/>
      </tp>
      <tp t="s">
        <v>1/2/2018</v>
        <stp/>
        <stp>##V3_BDPV12</stp>
        <stp>912834TC Govt</stp>
        <stp>ISSUE_DT</stp>
        <stp>[STRIPS.xlsx]Sheet1!R163C15</stp>
        <tr r="O163" s="1"/>
      </tp>
      <tp t="s">
        <v>12/1/2014</v>
        <stp/>
        <stp>##V3_BDPV12</stp>
        <stp>912834PC Govt</stp>
        <stp>ISSUE_DT</stp>
        <stp>[STRIPS.xlsx]Sheet1!R148C15</stp>
        <tr r="O148" s="1"/>
      </tp>
      <tp t="s">
        <v>2/29/2016</v>
        <stp/>
        <stp>##V3_BDPV12</stp>
        <stp>912834QC Govt</stp>
        <stp>ISSUE_DT</stp>
        <stp>[STRIPS.xlsx]Sheet1!R141C15</stp>
        <tr r="O141" s="1"/>
      </tp>
      <tp t="s">
        <v>6/1/2015</v>
        <stp/>
        <stp>##V3_BDPV12</stp>
        <stp>912834KC Govt</stp>
        <stp>ISSUE_DT</stp>
        <stp>[STRIPS.xlsx]Sheet1!R133C15</stp>
        <tr r="O133" s="1"/>
      </tp>
      <tp t="s">
        <v>#N/A Field Not Applicable</v>
        <stp/>
        <stp>##V3_BDPV12</stp>
        <stp>912833BX Govt</stp>
        <stp>IDX_RATIO</stp>
        <stp>[STRIPS.xlsx]Sheet1!R361C20</stp>
        <tr r="T361" s="1"/>
      </tp>
      <tp t="s">
        <v>#N/A Field Not Applicable</v>
        <stp/>
        <stp>##V3_BDPV12</stp>
        <stp>912834AM Govt</stp>
        <stp>IDX_RATIO</stp>
        <stp>[STRIPS.xlsx]Sheet1!R457C20</stp>
        <tr r="T457" s="1"/>
      </tp>
      <tp t="s">
        <v>#N/A Field Not Applicable</v>
        <stp/>
        <stp>##V3_BDPV12</stp>
        <stp>912834AF Govt</stp>
        <stp>IDX_RATIO</stp>
        <stp>[STRIPS.xlsx]Sheet1!R456C20</stp>
        <tr r="T456" s="1"/>
      </tp>
      <tp t="s">
        <v>#N/A Field Not Applicable</v>
        <stp/>
        <stp>##V3_BDPV12</stp>
        <stp>912833C3 Govt</stp>
        <stp>IDX_RATIO</stp>
        <stp>[STRIPS.xlsx]Sheet1!R362C20</stp>
        <tr r="T362" s="1"/>
      </tp>
      <tp t="s">
        <v>#N/A Field Not Applicable</v>
        <stp/>
        <stp>##V3_BDPV12</stp>
        <stp>912833CY Govt</stp>
        <stp>IDX_RATIO</stp>
        <stp>[STRIPS.xlsx]Sheet1!R363C20</stp>
        <tr r="T363" s="1"/>
      </tp>
      <tp t="s">
        <v>#N/A Field Not Applicable</v>
        <stp/>
        <stp>##V3_BDPV12</stp>
        <stp>912834BQ Govt</stp>
        <stp>IDX_RATIO</stp>
        <stp>[STRIPS.xlsx]Sheet1!R459C20</stp>
        <tr r="T459" s="1"/>
      </tp>
      <tp t="s">
        <v>#N/A Field Not Applicable</v>
        <stp/>
        <stp>##V3_BDPV12</stp>
        <stp>912834BC Govt</stp>
        <stp>IDX_RATIO</stp>
        <stp>[STRIPS.xlsx]Sheet1!R458C20</stp>
        <tr r="T458" s="1"/>
      </tp>
      <tp t="s">
        <v>#N/A Field Not Applicable</v>
        <stp/>
        <stp>##V3_BDPV12</stp>
        <stp>912833FR Govt</stp>
        <stp>IDX_RATIO</stp>
        <stp>[STRIPS.xlsx]Sheet1!R364C20</stp>
        <tr r="T364" s="1"/>
      </tp>
      <tp t="s">
        <v>#N/A Field Not Applicable</v>
        <stp/>
        <stp>##V3_BDPV12</stp>
        <stp>912833B5 Govt</stp>
        <stp>IDX_RATIO</stp>
        <stp>[STRIPS.xlsx]Sheet1!R331C20</stp>
        <tr r="T331" s="1"/>
      </tp>
      <tp t="s">
        <v>#N/A Field Not Applicable</v>
        <stp/>
        <stp>##V3_BDPV12</stp>
        <stp>912833GD Govt</stp>
        <stp>IDX_RATIO</stp>
        <stp>[STRIPS.xlsx]Sheet1!R365C20</stp>
        <tr r="T365" s="1"/>
      </tp>
      <tp t="s">
        <v>#N/A Field Not Applicable</v>
        <stp/>
        <stp>##V3_BDPV12</stp>
        <stp>912833A4 Govt</stp>
        <stp>IDX_RATIO</stp>
        <stp>[STRIPS.xlsx]Sheet1!R330C20</stp>
        <tr r="T330" s="1"/>
      </tp>
      <tp t="s">
        <v>#N/A Field Not Applicable</v>
        <stp/>
        <stp>##V3_BDPV12</stp>
        <stp>912834DZ Govt</stp>
        <stp>IDX_RATIO</stp>
        <stp>[STRIPS.xlsx]Sheet1!R460C20</stp>
        <tr r="T460" s="1"/>
      </tp>
      <tp t="s">
        <v>#N/A Field Not Applicable</v>
        <stp/>
        <stp>##V3_BDPV12</stp>
        <stp>912834ES Govt</stp>
        <stp>IDX_RATIO</stp>
        <stp>[STRIPS.xlsx]Sheet1!R464C20</stp>
        <tr r="T464" s="1"/>
      </tp>
      <tp t="s">
        <v>#N/A Field Not Applicable</v>
        <stp/>
        <stp>##V3_BDPV12</stp>
        <stp>912834EL Govt</stp>
        <stp>IDX_RATIO</stp>
        <stp>[STRIPS.xlsx]Sheet1!R462C20</stp>
        <tr r="T462" s="1"/>
      </tp>
      <tp t="s">
        <v>#N/A Field Not Applicable</v>
        <stp/>
        <stp>##V3_BDPV12</stp>
        <stp>912834EM Govt</stp>
        <stp>IDX_RATIO</stp>
        <stp>[STRIPS.xlsx]Sheet1!R463C20</stp>
        <tr r="T463" s="1"/>
      </tp>
      <tp t="s">
        <v>#N/A Field Not Applicable</v>
        <stp/>
        <stp>##V3_BDPV12</stp>
        <stp>912834EC Govt</stp>
        <stp>IDX_RATIO</stp>
        <stp>[STRIPS.xlsx]Sheet1!R461C20</stp>
        <tr r="T461" s="1"/>
      </tp>
      <tp t="s">
        <v>#N/A Field Not Applicable</v>
        <stp/>
        <stp>##V3_BDPV12</stp>
        <stp>912834MU Govt</stp>
        <stp>IDX_RATIO</stp>
        <stp>[STRIPS.xlsx]Sheet1!R419C20</stp>
        <tr r="T419" s="1"/>
      </tp>
      <tp t="s">
        <v>#N/A Field Not Applicable</v>
        <stp/>
        <stp>##V3_BDPV12</stp>
        <stp>912834KX Govt</stp>
        <stp>IDX_RATIO</stp>
        <stp>[STRIPS.xlsx]Sheet1!R471C20</stp>
        <tr r="T471" s="1"/>
      </tp>
      <tp t="s">
        <v>#N/A Field Not Applicable</v>
        <stp/>
        <stp>##V3_BDPV12</stp>
        <stp>912834MQ Govt</stp>
        <stp>IDX_RATIO</stp>
        <stp>[STRIPS.xlsx]Sheet1!R418C20</stp>
        <tr r="T418" s="1"/>
      </tp>
      <tp t="s">
        <v>#N/A Field Not Applicable</v>
        <stp/>
        <stp>##V3_BDPV12</stp>
        <stp>912834KY Govt</stp>
        <stp>IDX_RATIO</stp>
        <stp>[STRIPS.xlsx]Sheet1!R472C20</stp>
        <tr r="T472" s="1"/>
      </tp>
      <tp t="s">
        <v>#N/A Field Not Applicable</v>
        <stp/>
        <stp>##V3_BDPV12</stp>
        <stp>912834LQ Govt</stp>
        <stp>IDX_RATIO</stp>
        <stp>[STRIPS.xlsx]Sheet1!R404C20</stp>
        <tr r="T404" s="1"/>
      </tp>
      <tp t="s">
        <v>#N/A Field Not Applicable</v>
        <stp/>
        <stp>##V3_BDPV12</stp>
        <stp>912834KW Govt</stp>
        <stp>IDX_RATIO</stp>
        <stp>[STRIPS.xlsx]Sheet1!R470C20</stp>
        <tr r="T470" s="1"/>
      </tp>
      <tp t="s">
        <v>#N/A Field Not Applicable</v>
        <stp/>
        <stp>##V3_BDPV12</stp>
        <stp>912834NR Govt</stp>
        <stp>IDX_RATIO</stp>
        <stp>[STRIPS.xlsx]Sheet1!R422C20</stp>
        <tr r="T422" s="1"/>
      </tp>
      <tp t="s">
        <v>#N/A Field Not Applicable</v>
        <stp/>
        <stp>##V3_BDPV12</stp>
        <stp>912833JU Govt</stp>
        <stp>IDX_RATIO</stp>
        <stp>[STRIPS.xlsx]Sheet1!R366C20</stp>
        <tr r="T366" s="1"/>
      </tp>
      <tp t="s">
        <v>#N/A Field Not Applicable</v>
        <stp/>
        <stp>##V3_BDPV12</stp>
        <stp>912834JT Govt</stp>
        <stp>IDX_RATIO</stp>
        <stp>[STRIPS.xlsx]Sheet1!R467C20</stp>
        <tr r="T467" s="1"/>
      </tp>
      <tp t="s">
        <v>#N/A Field Not Applicable</v>
        <stp/>
        <stp>##V3_BDPV12</stp>
        <stp>912834JK Govt</stp>
        <stp>IDX_RATIO</stp>
        <stp>[STRIPS.xlsx]Sheet1!R466C20</stp>
        <tr r="T466" s="1"/>
      </tp>
      <tp t="s">
        <v>#N/A Field Not Applicable</v>
        <stp/>
        <stp>##V3_BDPV12</stp>
        <stp>912834JJ Govt</stp>
        <stp>IDX_RATIO</stp>
        <stp>[STRIPS.xlsx]Sheet1!R465C20</stp>
        <tr r="T465" s="1"/>
      </tp>
      <tp t="s">
        <v>#N/A Field Not Applicable</v>
        <stp/>
        <stp>##V3_BDPV12</stp>
        <stp>912834NN Govt</stp>
        <stp>IDX_RATIO</stp>
        <stp>[STRIPS.xlsx]Sheet1!R421C20</stp>
        <tr r="T421" s="1"/>
      </tp>
      <tp t="s">
        <v>#N/A Field Not Applicable</v>
        <stp/>
        <stp>##V3_BDPV12</stp>
        <stp>912834LJ Govt</stp>
        <stp>IDX_RATIO</stp>
        <stp>[STRIPS.xlsx]Sheet1!R403C20</stp>
        <tr r="T403" s="1"/>
      </tp>
      <tp t="s">
        <v>#N/A Field Not Applicable</v>
        <stp/>
        <stp>##V3_BDPV12</stp>
        <stp>912834MN Govt</stp>
        <stp>IDX_RATIO</stp>
        <stp>[STRIPS.xlsx]Sheet1!R417C20</stp>
        <tr r="T417" s="1"/>
      </tp>
      <tp t="s">
        <v>#N/A Field Not Applicable</v>
        <stp/>
        <stp>##V3_BDPV12</stp>
        <stp>912834NJ Govt</stp>
        <stp>IDX_RATIO</stp>
        <stp>[STRIPS.xlsx]Sheet1!R420C20</stp>
        <tr r="T420" s="1"/>
      </tp>
      <tp t="s">
        <v>#N/A Field Not Applicable</v>
        <stp/>
        <stp>##V3_BDPV12</stp>
        <stp>912834LA Govt</stp>
        <stp>IDX_RATIO</stp>
        <stp>[STRIPS.xlsx]Sheet1!R402C20</stp>
        <tr r="T402" s="1"/>
      </tp>
      <tp t="s">
        <v>#N/A Field Not Applicable</v>
        <stp/>
        <stp>##V3_BDPV12</stp>
        <stp>912834MS Govt</stp>
        <stp>IDX_RATIO</stp>
        <stp>[STRIPS.xlsx]Sheet1!R406C20</stp>
        <tr r="T406" s="1"/>
      </tp>
      <tp t="s">
        <v>#N/A Field Not Applicable</v>
        <stp/>
        <stp>##V3_BDPV12</stp>
        <stp>912833KF Govt</stp>
        <stp>IDX_RATIO</stp>
        <stp>[STRIPS.xlsx]Sheet1!R368C20</stp>
        <tr r="T368" s="1"/>
      </tp>
      <tp t="s">
        <v>#N/A Field Not Applicable</v>
        <stp/>
        <stp>##V3_BDPV12</stp>
        <stp>912833MH Govt</stp>
        <stp>IDX_RATIO</stp>
        <stp>[STRIPS.xlsx]Sheet1!R306C20</stp>
        <tr r="T306" s="1"/>
      </tp>
      <tp t="s">
        <v>#N/A Field Not Applicable</v>
        <stp/>
        <stp>##V3_BDPV12</stp>
        <stp>912833NJ Govt</stp>
        <stp>IDX_RATIO</stp>
        <stp>[STRIPS.xlsx]Sheet1!R334C20</stp>
        <tr r="T334" s="1"/>
      </tp>
      <tp t="s">
        <v>#N/A Field Not Applicable</v>
        <stp/>
        <stp>##V3_BDPV12</stp>
        <stp>912834MK Govt</stp>
        <stp>IDX_RATIO</stp>
        <stp>[STRIPS.xlsx]Sheet1!R405C20</stp>
        <tr r="T405" s="1"/>
      </tp>
      <tp t="s">
        <v>#N/A Field Not Applicable</v>
        <stp/>
        <stp>##V3_BDPV12</stp>
        <stp>912833NL Govt</stp>
        <stp>IDX_RATIO</stp>
        <stp>[STRIPS.xlsx]Sheet1!R335C20</stp>
        <tr r="T335" s="1"/>
      </tp>
      <tp t="s">
        <v>#N/A Field Not Applicable</v>
        <stp/>
        <stp>##V3_BDPV12</stp>
        <stp>912833KB Govt</stp>
        <stp>IDX_RATIO</stp>
        <stp>[STRIPS.xlsx]Sheet1!R367C20</stp>
        <tr r="T367" s="1"/>
      </tp>
      <tp t="s">
        <v>#N/A Field Not Applicable</v>
        <stp/>
        <stp>##V3_BDPV12</stp>
        <stp>912834KL Govt</stp>
        <stp>IDX_RATIO</stp>
        <stp>[STRIPS.xlsx]Sheet1!R468C20</stp>
        <tr r="T468" s="1"/>
      </tp>
      <tp t="s">
        <v>#N/A Field Not Applicable</v>
        <stp/>
        <stp>##V3_BDPV12</stp>
        <stp>912834KN Govt</stp>
        <stp>IDX_RATIO</stp>
        <stp>[STRIPS.xlsx]Sheet1!R469C20</stp>
        <tr r="T469" s="1"/>
      </tp>
      <tp t="s">
        <v>#N/A Field Not Applicable</v>
        <stp/>
        <stp>##V3_BDPV12</stp>
        <stp>912833MD Govt</stp>
        <stp>IDX_RATIO</stp>
        <stp>[STRIPS.xlsx]Sheet1!R304C20</stp>
        <tr r="T304" s="1"/>
      </tp>
      <tp t="s">
        <v>#N/A Field Not Applicable</v>
        <stp/>
        <stp>##V3_BDPV12</stp>
        <stp>912833MF Govt</stp>
        <stp>IDX_RATIO</stp>
        <stp>[STRIPS.xlsx]Sheet1!R305C20</stp>
        <tr r="T305" s="1"/>
      </tp>
      <tp t="s">
        <v>#N/A Field Not Applicable</v>
        <stp/>
        <stp>##V3_BDPV12</stp>
        <stp>912833MR Govt</stp>
        <stp>IDX_RATIO</stp>
        <stp>[STRIPS.xlsx]Sheet1!R333C20</stp>
        <tr r="T333" s="1"/>
      </tp>
      <tp t="s">
        <v>#N/A Field Not Applicable</v>
        <stp/>
        <stp>##V3_BDPV12</stp>
        <stp>912834NC Govt</stp>
        <stp>IDX_RATIO</stp>
        <stp>[STRIPS.xlsx]Sheet1!R407C20</stp>
        <tr r="T407" s="1"/>
      </tp>
      <tp t="s">
        <v>#N/A Field Not Applicable</v>
        <stp/>
        <stp>##V3_BDPV12</stp>
        <stp>912834NL Govt</stp>
        <stp>IDX_RATIO</stp>
        <stp>[STRIPS.xlsx]Sheet1!R408C20</stp>
        <tr r="T408" s="1"/>
      </tp>
      <tp t="s">
        <v>#N/A Field Not Applicable</v>
        <stp/>
        <stp>##V3_BDPV12</stp>
        <stp>912834NM Govt</stp>
        <stp>IDX_RATIO</stp>
        <stp>[STRIPS.xlsx]Sheet1!R409C20</stp>
        <tr r="T409" s="1"/>
      </tp>
      <tp t="s">
        <v>#N/A Field Not Applicable</v>
        <stp/>
        <stp>##V3_BDPV12</stp>
        <stp>912834NX Govt</stp>
        <stp>IDX_RATIO</stp>
        <stp>[STRIPS.xlsx]Sheet1!R410C20</stp>
        <tr r="T410" s="1"/>
      </tp>
      <tp t="s">
        <v>#N/A Field Not Applicable</v>
        <stp/>
        <stp>##V3_BDPV12</stp>
        <stp>912833LB Govt</stp>
        <stp>IDX_RATIO</stp>
        <stp>[STRIPS.xlsx]Sheet1!R332C20</stp>
        <tr r="T332" s="1"/>
      </tp>
      <tp t="s">
        <v>#N/A Field Not Applicable</v>
        <stp/>
        <stp>##V3_BDPV12</stp>
        <stp>912833NP Govt</stp>
        <stp>IDX_RATIO</stp>
        <stp>[STRIPS.xlsx]Sheet1!R373C20</stp>
        <tr r="T373" s="1"/>
      </tp>
      <tp t="s">
        <v>#N/A Field Not Applicable</v>
        <stp/>
        <stp>##V3_BDPV12</stp>
        <stp>912834NK Govt</stp>
        <stp>IDX_RATIO</stp>
        <stp>[STRIPS.xlsx]Sheet1!R477C20</stp>
        <tr r="T477" s="1"/>
      </tp>
      <tp t="s">
        <v>#N/A Field Not Applicable</v>
        <stp/>
        <stp>##V3_BDPV12</stp>
        <stp>912833NK Govt</stp>
        <stp>IDX_RATIO</stp>
        <stp>[STRIPS.xlsx]Sheet1!R372C20</stp>
        <tr r="T372" s="1"/>
      </tp>
      <tp t="s">
        <v>#N/A Field Not Applicable</v>
        <stp/>
        <stp>##V3_BDPV12</stp>
        <stp>912834NA Govt</stp>
        <stp>IDX_RATIO</stp>
        <stp>[STRIPS.xlsx]Sheet1!R476C20</stp>
        <tr r="T476" s="1"/>
      </tp>
      <tp t="s">
        <v>#N/A Field Not Applicable</v>
        <stp/>
        <stp>##V3_BDPV12</stp>
        <stp>912833MM Govt</stp>
        <stp>IDX_RATIO</stp>
        <stp>[STRIPS.xlsx]Sheet1!R371C20</stp>
        <tr r="T371" s="1"/>
      </tp>
      <tp t="s">
        <v>#N/A Field Not Applicable</v>
        <stp/>
        <stp>##V3_BDPV12</stp>
        <stp>912834ML Govt</stp>
        <stp>IDX_RATIO</stp>
        <stp>[STRIPS.xlsx]Sheet1!R475C20</stp>
        <tr r="T475" s="1"/>
      </tp>
      <tp t="s">
        <v>#N/A Field Not Applicable</v>
        <stp/>
        <stp>##V3_BDPV12</stp>
        <stp>912833LA Govt</stp>
        <stp>IDX_RATIO</stp>
        <stp>[STRIPS.xlsx]Sheet1!R369C20</stp>
        <tr r="T369" s="1"/>
      </tp>
      <tp t="s">
        <v>#N/A Field Not Applicable</v>
        <stp/>
        <stp>##V3_BDPV12</stp>
        <stp>912833MJ Govt</stp>
        <stp>IDX_RATIO</stp>
        <stp>[STRIPS.xlsx]Sheet1!R370C20</stp>
        <tr r="T370" s="1"/>
      </tp>
      <tp t="s">
        <v>#N/A Field Not Applicable</v>
        <stp/>
        <stp>##V3_BDPV12</stp>
        <stp>912834KU Govt</stp>
        <stp>IDX_RATIO</stp>
        <stp>[STRIPS.xlsx]Sheet1!R401C20</stp>
        <tr r="T401" s="1"/>
      </tp>
      <tp t="s">
        <v>#N/A Field Not Applicable</v>
        <stp/>
        <stp>##V3_BDPV12</stp>
        <stp>912834LP Govt</stp>
        <stp>IDX_RATIO</stp>
        <stp>[STRIPS.xlsx]Sheet1!R474C20</stp>
        <tr r="T474" s="1"/>
      </tp>
      <tp t="s">
        <v>#N/A Field Not Applicable</v>
        <stp/>
        <stp>##V3_BDPV12</stp>
        <stp>912834KR Govt</stp>
        <stp>IDX_RATIO</stp>
        <stp>[STRIPS.xlsx]Sheet1!R400C20</stp>
        <tr r="T400" s="1"/>
      </tp>
      <tp t="s">
        <v>#N/A Field Not Applicable</v>
        <stp/>
        <stp>##V3_BDPV12</stp>
        <stp>912833KL Govt</stp>
        <stp>IDX_RATIO</stp>
        <stp>[STRIPS.xlsx]Sheet1!R302C20</stp>
        <tr r="T302" s="1"/>
      </tp>
      <tp t="s">
        <v>#N/A Field Not Applicable</v>
        <stp/>
        <stp>##V3_BDPV12</stp>
        <stp>912833KM Govt</stp>
        <stp>IDX_RATIO</stp>
        <stp>[STRIPS.xlsx]Sheet1!R303C20</stp>
        <tr r="T303" s="1"/>
      </tp>
      <tp t="s">
        <v>#N/A Field Not Applicable</v>
        <stp/>
        <stp>##V3_BDPV12</stp>
        <stp>912833KK Govt</stp>
        <stp>IDX_RATIO</stp>
        <stp>[STRIPS.xlsx]Sheet1!R301C20</stp>
        <tr r="T301" s="1"/>
      </tp>
      <tp t="s">
        <v>#N/A Field Not Applicable</v>
        <stp/>
        <stp>##V3_BDPV12</stp>
        <stp>912833KD Govt</stp>
        <stp>IDX_RATIO</stp>
        <stp>[STRIPS.xlsx]Sheet1!R300C20</stp>
        <tr r="T300" s="1"/>
      </tp>
      <tp t="s">
        <v>#N/A Field Not Applicable</v>
        <stp/>
        <stp>##V3_BDPV12</stp>
        <stp>912834LE Govt</stp>
        <stp>IDX_RATIO</stp>
        <stp>[STRIPS.xlsx]Sheet1!R473C20</stp>
        <tr r="T473" s="1"/>
      </tp>
      <tp t="s">
        <v>#N/A Field Not Applicable</v>
        <stp/>
        <stp>##V3_BDPV12</stp>
        <stp>912833PY Govt</stp>
        <stp>IDX_RATIO</stp>
        <stp>[STRIPS.xlsx]Sheet1!R340C20</stp>
        <tr r="T340" s="1"/>
      </tp>
      <tp t="s">
        <v>#N/A Field Not Applicable</v>
        <stp/>
        <stp>##V3_BDPV12</stp>
        <stp>912833QC Govt</stp>
        <stp>IDX_RATIO</stp>
        <stp>[STRIPS.xlsx]Sheet1!R341C20</stp>
        <tr r="T341" s="1"/>
      </tp>
      <tp t="s">
        <v>#N/A Field Not Applicable</v>
        <stp/>
        <stp>##V3_BDPV12</stp>
        <stp>912833QW Govt</stp>
        <stp>IDX_RATIO</stp>
        <stp>[STRIPS.xlsx]Sheet1!R378C20</stp>
        <tr r="T378" s="1"/>
      </tp>
      <tp t="s">
        <v>#N/A Field Not Applicable</v>
        <stp/>
        <stp>##V3_BDPV12</stp>
        <stp>912834TR Govt</stp>
        <stp>IDX_RATIO</stp>
        <stp>[STRIPS.xlsx]Sheet1!R426C20</stp>
        <tr r="T426" s="1"/>
      </tp>
      <tp t="s">
        <v>#N/A Field Not Applicable</v>
        <stp/>
        <stp>##V3_BDPV12</stp>
        <stp>912833QQ Govt</stp>
        <stp>IDX_RATIO</stp>
        <stp>[STRIPS.xlsx]Sheet1!R377C20</stp>
        <tr r="T377" s="1"/>
      </tp>
      <tp t="s">
        <v>#N/A Field Not Applicable</v>
        <stp/>
        <stp>##V3_BDPV12</stp>
        <stp>912833QZ Govt</stp>
        <stp>IDX_RATIO</stp>
        <stp>[STRIPS.xlsx]Sheet1!R379C20</stp>
        <tr r="T379" s="1"/>
      </tp>
      <tp t="s">
        <v>#N/A Field Not Applicable</v>
        <stp/>
        <stp>##V3_BDPV12</stp>
        <stp>912834TK Govt</stp>
        <stp>IDX_RATIO</stp>
        <stp>[STRIPS.xlsx]Sheet1!R425C20</stp>
        <tr r="T425" s="1"/>
      </tp>
      <tp t="s">
        <v>#N/A Field Not Applicable</v>
        <stp/>
        <stp>##V3_BDPV12</stp>
        <stp>912833QA Govt</stp>
        <stp>IDX_RATIO</stp>
        <stp>[STRIPS.xlsx]Sheet1!R376C20</stp>
        <tr r="T376" s="1"/>
      </tp>
      <tp t="s">
        <v>#N/A Field Not Applicable</v>
        <stp/>
        <stp>##V3_BDPV12</stp>
        <stp>912834TB Govt</stp>
        <stp>IDX_RATIO</stp>
        <stp>[STRIPS.xlsx]Sheet1!R424C20</stp>
        <tr r="T424" s="1"/>
      </tp>
      <tp t="s">
        <v>#N/A Field Not Applicable</v>
        <stp/>
        <stp>##V3_BDPV12</stp>
        <stp>912833RA Govt</stp>
        <stp>IDX_RATIO</stp>
        <stp>[STRIPS.xlsx]Sheet1!R342C20</stp>
        <tr r="T342" s="1"/>
      </tp>
      <tp t="s">
        <v>#N/A Field Not Applicable</v>
        <stp/>
        <stp>##V3_BDPV12</stp>
        <stp>912834PV Govt</stp>
        <stp>IDX_RATIO</stp>
        <stp>[STRIPS.xlsx]Sheet1!R479C20</stp>
        <tr r="T479" s="1"/>
      </tp>
      <tp t="s">
        <v>#N/A Field Not Applicable</v>
        <stp/>
        <stp>##V3_BDPV12</stp>
        <stp>912833PR Govt</stp>
        <stp>IDX_RATIO</stp>
        <stp>[STRIPS.xlsx]Sheet1!R375C20</stp>
        <tr r="T375" s="1"/>
      </tp>
      <tp t="s">
        <v>#N/A Field Not Applicable</v>
        <stp/>
        <stp>##V3_BDPV12</stp>
        <stp>912834PD Govt</stp>
        <stp>IDX_RATIO</stp>
        <stp>[STRIPS.xlsx]Sheet1!R478C20</stp>
        <tr r="T478" s="1"/>
      </tp>
      <tp t="s">
        <v>#N/A Field Not Applicable</v>
        <stp/>
        <stp>##V3_BDPV12</stp>
        <stp>912833PL Govt</stp>
        <stp>IDX_RATIO</stp>
        <stp>[STRIPS.xlsx]Sheet1!R374C20</stp>
        <tr r="T374" s="1"/>
      </tp>
      <tp t="s">
        <v>#N/A Field Not Applicable</v>
        <stp/>
        <stp>##V3_BDPV12</stp>
        <stp>912834QT Govt</stp>
        <stp>IDX_RATIO</stp>
        <stp>[STRIPS.xlsx]Sheet1!R414C20</stp>
        <tr r="T414" s="1"/>
      </tp>
      <tp t="s">
        <v>#N/A Field Not Applicable</v>
        <stp/>
        <stp>##V3_BDPV12</stp>
        <stp>912834QM Govt</stp>
        <stp>IDX_RATIO</stp>
        <stp>[STRIPS.xlsx]Sheet1!R413C20</stp>
        <tr r="T413" s="1"/>
      </tp>
      <tp t="s">
        <v>#N/A Field Not Applicable</v>
        <stp/>
        <stp>##V3_BDPV12</stp>
        <stp>912833YX Govt</stp>
        <stp>IDX_RATIO</stp>
        <stp>[STRIPS.xlsx]Sheet1!R381C20</stp>
        <tr r="T381" s="1"/>
      </tp>
      <tp t="s">
        <v>#N/A Field Not Applicable</v>
        <stp/>
        <stp>##V3_BDPV12</stp>
        <stp>912834PX Govt</stp>
        <stp>IDX_RATIO</stp>
        <stp>[STRIPS.xlsx]Sheet1!R412C20</stp>
        <tr r="T412" s="1"/>
      </tp>
      <tp t="s">
        <v>#N/A Field Not Applicable</v>
        <stp/>
        <stp>##V3_BDPV12</stp>
        <stp>912833QT Govt</stp>
        <stp>IDX_RATIO</stp>
        <stp>[STRIPS.xlsx]Sheet1!R307C20</stp>
        <tr r="T307" s="1"/>
      </tp>
      <tp t="s">
        <v>#N/A Field Not Applicable</v>
        <stp/>
        <stp>##V3_BDPV12</stp>
        <stp>912834PF Govt</stp>
        <stp>IDX_RATIO</stp>
        <stp>[STRIPS.xlsx]Sheet1!R411C20</stp>
        <tr r="T411" s="1"/>
      </tp>
      <tp t="s">
        <v>#N/A Field Not Applicable</v>
        <stp/>
        <stp>##V3_BDPV12</stp>
        <stp>912833Z4 Govt</stp>
        <stp>IDX_RATIO</stp>
        <stp>[STRIPS.xlsx]Sheet1!R382C20</stp>
        <tr r="T382" s="1"/>
      </tp>
      <tp t="s">
        <v>#N/A Field Not Applicable</v>
        <stp/>
        <stp>##V3_BDPV12</stp>
        <stp>912833ZR Govt</stp>
        <stp>IDX_RATIO</stp>
        <stp>[STRIPS.xlsx]Sheet1!R383C20</stp>
        <tr r="T383" s="1"/>
      </tp>
      <tp t="s">
        <v>#N/A Field Not Applicable</v>
        <stp/>
        <stp>##V3_BDPV12</stp>
        <stp>912833PV Govt</stp>
        <stp>IDX_RATIO</stp>
        <stp>[STRIPS.xlsx]Sheet1!R338C20</stp>
        <tr r="T338" s="1"/>
      </tp>
      <tp t="s">
        <v>#N/A Field Not Applicable</v>
        <stp/>
        <stp>##V3_BDPV12</stp>
        <stp>912834QX Govt</stp>
        <stp>IDX_RATIO</stp>
        <stp>[STRIPS.xlsx]Sheet1!R423C20</stp>
        <tr r="T423" s="1"/>
      </tp>
      <tp t="s">
        <v>#N/A Field Not Applicable</v>
        <stp/>
        <stp>##V3_BDPV12</stp>
        <stp>912833PP Govt</stp>
        <stp>IDX_RATIO</stp>
        <stp>[STRIPS.xlsx]Sheet1!R337C20</stp>
        <tr r="T337" s="1"/>
      </tp>
      <tp t="s">
        <v>#N/A Field Not Applicable</v>
        <stp/>
        <stp>##V3_BDPV12</stp>
        <stp>912834RP Govt</stp>
        <stp>IDX_RATIO</stp>
        <stp>[STRIPS.xlsx]Sheet1!R416C20</stp>
        <tr r="T416" s="1"/>
      </tp>
      <tp t="s">
        <v>#N/A Field Not Applicable</v>
        <stp/>
        <stp>##V3_BDPV12</stp>
        <stp>912833PX Govt</stp>
        <stp>IDX_RATIO</stp>
        <stp>[STRIPS.xlsx]Sheet1!R339C20</stp>
        <tr r="T339" s="1"/>
      </tp>
      <tp t="s">
        <v>#N/A Field Not Applicable</v>
        <stp/>
        <stp>##V3_BDPV12</stp>
        <stp>912833PH Govt</stp>
        <stp>IDX_RATIO</stp>
        <stp>[STRIPS.xlsx]Sheet1!R336C20</stp>
        <tr r="T336" s="1"/>
      </tp>
      <tp t="s">
        <v>#N/A Field Not Applicable</v>
        <stp/>
        <stp>##V3_BDPV12</stp>
        <stp>912834RM Govt</stp>
        <stp>IDX_RATIO</stp>
        <stp>[STRIPS.xlsx]Sheet1!R415C20</stp>
        <tr r="T415" s="1"/>
      </tp>
      <tp t="s">
        <v>#N/A Field Not Applicable</v>
        <stp/>
        <stp>##V3_BDPV12</stp>
        <stp>912833YQ Govt</stp>
        <stp>IDX_RATIO</stp>
        <stp>[STRIPS.xlsx]Sheet1!R344C20</stp>
        <tr r="T344" s="1"/>
      </tp>
      <tp t="s">
        <v>#N/A Field Not Applicable</v>
        <stp/>
        <stp>##V3_BDPV12</stp>
        <stp>912833YR Govt</stp>
        <stp>IDX_RATIO</stp>
        <stp>[STRIPS.xlsx]Sheet1!R345C20</stp>
        <tr r="T345" s="1"/>
      </tp>
      <tp t="s">
        <v>#N/A Field Not Applicable</v>
        <stp/>
        <stp>##V3_BDPV12</stp>
        <stp>912833YL Govt</stp>
        <stp>IDX_RATIO</stp>
        <stp>[STRIPS.xlsx]Sheet1!R343C20</stp>
        <tr r="T343" s="1"/>
      </tp>
      <tp t="s">
        <v>#N/A Field Not Applicable</v>
        <stp/>
        <stp>##V3_BDPV12</stp>
        <stp>912833ZU Govt</stp>
        <stp>IDX_RATIO</stp>
        <stp>[STRIPS.xlsx]Sheet1!R348C20</stp>
        <tr r="T348" s="1"/>
      </tp>
      <tp t="s">
        <v>#N/A Field Not Applicable</v>
        <stp/>
        <stp>##V3_BDPV12</stp>
        <stp>912833ZT Govt</stp>
        <stp>IDX_RATIO</stp>
        <stp>[STRIPS.xlsx]Sheet1!R347C20</stp>
        <tr r="T347" s="1"/>
      </tp>
      <tp t="s">
        <v>#N/A Field Not Applicable</v>
        <stp/>
        <stp>##V3_BDPV12</stp>
        <stp>912833ZC Govt</stp>
        <stp>IDX_RATIO</stp>
        <stp>[STRIPS.xlsx]Sheet1!R346C20</stp>
        <tr r="T346" s="1"/>
      </tp>
      <tp t="s">
        <v>#N/A Field Not Applicable</v>
        <stp/>
        <stp>##V3_BDPV12</stp>
        <stp>912834QR Govt</stp>
        <stp>IDX_RATIO</stp>
        <stp>[STRIPS.xlsx]Sheet1!R480C20</stp>
        <tr r="T480" s="1"/>
      </tp>
      <tp t="s">
        <v>#N/A Field Not Applicable</v>
        <stp/>
        <stp>##V3_BDPV12</stp>
        <stp>912834RV Govt</stp>
        <stp>IDX_RATIO</stp>
        <stp>[STRIPS.xlsx]Sheet1!R482C20</stp>
        <tr r="T482" s="1"/>
      </tp>
      <tp t="s">
        <v>#N/A Field Not Applicable</v>
        <stp/>
        <stp>##V3_BDPV12</stp>
        <stp>912834RH Govt</stp>
        <stp>IDX_RATIO</stp>
        <stp>[STRIPS.xlsx]Sheet1!R481C20</stp>
        <tr r="T481" s="1"/>
      </tp>
      <tp t="s">
        <v>#N/A Field Not Applicable</v>
        <stp/>
        <stp>##V3_BDPV12</stp>
        <stp>912833RD Govt</stp>
        <stp>IDX_RATIO</stp>
        <stp>[STRIPS.xlsx]Sheet1!R380C20</stp>
        <tr r="T380" s="1"/>
      </tp>
      <tp t="s">
        <v>ZERO</v>
        <stp/>
        <stp>##V3_BDPV12</stp>
        <stp>912834VD Govt</stp>
        <stp>CPN_TYP</stp>
        <stp>[STRIPS.xlsx]Sheet1!R765C11</stp>
        <tr r="K765" s="1"/>
      </tp>
      <tp t="s">
        <v>ZERO</v>
        <stp/>
        <stp>##V3_BDPV12</stp>
        <stp>912834VB Govt</stp>
        <stp>CPN_TYP</stp>
        <stp>[STRIPS.xlsx]Sheet1!R159C11</stp>
        <tr r="K159" s="1"/>
      </tp>
      <tp t="s">
        <v>#N/A Field Not Applicable</v>
        <stp/>
        <stp>##V3_BDPV12</stp>
        <stp>912834KV Govt</stp>
        <stp>FIRST_CPN_DT</stp>
        <stp>[STRIPS.xlsx]Sheet1!R57C9</stp>
        <tr r="I57" s="1"/>
      </tp>
      <tp t="s">
        <v>ZERO</v>
        <stp/>
        <stp>##V3_BDPV12</stp>
        <stp>912834VA Govt</stp>
        <stp>CPN_TYP</stp>
        <stp>[STRIPS.xlsx]Sheet1!R178C11</stp>
        <tr r="K178" s="1"/>
      </tp>
      <tp t="s">
        <v>ZERO</v>
        <stp/>
        <stp>##V3_BDPV12</stp>
        <stp>912834VG Govt</stp>
        <stp>CPN_TYP</stp>
        <stp>[STRIPS.xlsx]Sheet1!R160C11</stp>
        <tr r="K160" s="1"/>
      </tp>
      <tp t="s">
        <v>ZERO</v>
        <stp/>
        <stp>##V3_BDPV12</stp>
        <stp>912834VF Govt</stp>
        <stp>CPN_TYP</stp>
        <stp>[STRIPS.xlsx]Sheet1!R219C11</stp>
        <tr r="K219" s="1"/>
      </tp>
      <tp t="s">
        <v>ZERO</v>
        <stp/>
        <stp>##V3_BDPV12</stp>
        <stp>912834VE Govt</stp>
        <stp>CPN_TYP</stp>
        <stp>[STRIPS.xlsx]Sheet1!R116C11</stp>
        <tr r="K116" s="1"/>
      </tp>
      <tp t="s">
        <v>ZERO</v>
        <stp/>
        <stp>##V3_BDPV12</stp>
        <stp>912834VC Govt</stp>
        <stp>CPN_TYP</stp>
        <stp>[STRIPS.xlsx]Sheet1!R763C11</stp>
        <tr r="K763" s="1"/>
      </tp>
      <tp t="s">
        <v>#N/A Field Not Applicable</v>
        <stp/>
        <stp>##V3_BDPV12</stp>
        <stp>912833LH Govt</stp>
        <stp>FIRST_CPN_DT</stp>
        <stp>[STRIPS.xlsx]Sheet1!R40C9</stp>
        <tr r="I40" s="1"/>
      </tp>
      <tp t="s">
        <v>#N/A Field Not Applicable</v>
        <stp/>
        <stp>##V3_BDPV12</stp>
        <stp>912833LX Govt</stp>
        <stp>FIRST_CPN_DT</stp>
        <stp>[STRIPS.xlsx]Sheet1!R10C9</stp>
        <tr r="I10" s="1"/>
      </tp>
      <tp t="s">
        <v>ZERO</v>
        <stp/>
        <stp>##V3_BDPV12</stp>
        <stp>912834VH Govt</stp>
        <stp>CPN_TYP</stp>
        <stp>[STRIPS.xlsx]Sheet1!R146C11</stp>
        <tr r="K146" s="1"/>
      </tp>
      <tp t="s">
        <v>ZERO</v>
        <stp/>
        <stp>##V3_BDPV12</stp>
        <stp>912834VL Govt</stp>
        <stp>CPN_TYP</stp>
        <stp>[STRIPS.xlsx]Sheet1!R138C11</stp>
        <tr r="K138" s="1"/>
      </tp>
      <tp t="s">
        <v>ZERO</v>
        <stp/>
        <stp>##V3_BDPV12</stp>
        <stp>912834VJ Govt</stp>
        <stp>CPN_TYP</stp>
        <stp>[STRIPS.xlsx]Sheet1!R774C11</stp>
        <tr r="K774" s="1"/>
      </tp>
      <tp t="s">
        <v>#N/A Field Not Applicable</v>
        <stp/>
        <stp>##V3_BDPV12</stp>
        <stp>912834EP Govt</stp>
        <stp>FIRST_CPN_DT</stp>
        <stp>[STRIPS.xlsx]Sheet1!R77C9</stp>
        <tr r="I77" s="1"/>
      </tp>
      <tp t="s">
        <v>#N/A Field Not Applicable</v>
        <stp/>
        <stp>##V3_BDPV12</stp>
        <stp>912834DU Govt</stp>
        <stp>FIRST_CPN_DT</stp>
        <stp>[STRIPS.xlsx]Sheet1!R87C9</stp>
        <tr r="I87" s="1"/>
      </tp>
      <tp t="s">
        <v>#N/A Field Not Applicable</v>
        <stp/>
        <stp>##V3_BDPV12</stp>
        <stp>912834HV Govt</stp>
        <stp>COUPON_FREQUENCY_DESCRIPTION</stp>
        <stp>[STRIPS.xlsx]Sheet1!R70C10</stp>
        <tr r="J70" s="1"/>
      </tp>
      <tp t="s">
        <v>S 0 11/15/34</v>
        <stp/>
        <stp>##V3_BDPV12</stp>
        <stp>9128337W Govt</stp>
        <stp>SECURITY_NAME</stp>
        <stp>[STRIPS.xlsx]Sheet1!R79C16</stp>
        <tr r="P79" s="1"/>
      </tp>
      <tp t="s">
        <v>S 0 08/15/33</v>
        <stp/>
        <stp>##V3_BDPV12</stp>
        <stp>9128334W Govt</stp>
        <stp>SECURITY_NAME</stp>
        <stp>[STRIPS.xlsx]Sheet1!R61C16</stp>
        <tr r="P61" s="1"/>
      </tp>
      <tp t="s">
        <v>12/15/2004</v>
        <stp/>
        <stp>##V3_BDPV12</stp>
        <stp>912833A9 Govt</stp>
        <stp>MATURITY</stp>
        <stp>[STRIPS.xlsx]Sheet1!R609C5</stp>
        <tr r="E609" s="1"/>
      </tp>
      <tp t="s">
        <v>ZERO</v>
        <stp/>
        <stp>##V3_BDPV12</stp>
        <stp>912833PB Govt</stp>
        <stp>CPN_TYP</stp>
        <stp>[STRIPS.xlsx]Sheet1!R3C11</stp>
        <tr r="K3" s="1"/>
      </tp>
      <tp t="s">
        <v>ZERO</v>
        <stp/>
        <stp>##V3_BDPV12</stp>
        <stp>912833PA Govt</stp>
        <stp>CPN_TYP</stp>
        <stp>[STRIPS.xlsx]Sheet1!R4C11</stp>
        <tr r="K4" s="1"/>
      </tp>
      <tp t="s">
        <v>ZERO</v>
        <stp/>
        <stp>##V3_BDPV12</stp>
        <stp>912833LF Govt</stp>
        <stp>CPN_TYP</stp>
        <stp>[STRIPS.xlsx]Sheet1!R7C11</stp>
        <tr r="K7" s="1"/>
      </tp>
      <tp t="s">
        <v>ZERO</v>
        <stp/>
        <stp>##V3_BDPV12</stp>
        <stp>912833LZ Govt</stp>
        <stp>CPN_TYP</stp>
        <stp>[STRIPS.xlsx]Sheet1!R9C11</stp>
        <tr r="K9" s="1"/>
      </tp>
      <tp t="s">
        <v>ZERO</v>
        <stp/>
        <stp>##V3_BDPV12</stp>
        <stp>912833LW Govt</stp>
        <stp>CPN_TYP</stp>
        <stp>[STRIPS.xlsx]Sheet1!R2C11</stp>
        <tr r="K2" s="1"/>
      </tp>
      <tp t="s">
        <v>ZERO</v>
        <stp/>
        <stp>##V3_BDPV12</stp>
        <stp>9128334S Govt</stp>
        <stp>CPN_TYP</stp>
        <stp>[STRIPS.xlsx]Sheet1!R5C11</stp>
        <tr r="K5" s="1"/>
      </tp>
      <tp t="s">
        <v>9/30/2028</v>
        <stp/>
        <stp>##V3_BDPV12</stp>
        <stp>912834A3 Govt</stp>
        <stp>MATURITY</stp>
        <stp>[STRIPS.xlsx]Sheet1!R119C5</stp>
        <tr r="E119" s="1"/>
      </tp>
      <tp t="s">
        <v>ZERO</v>
        <stp/>
        <stp>##V3_BDPV12</stp>
        <stp>912834WZ Govt</stp>
        <stp>CPN_TYP</stp>
        <stp>[STRIPS.xlsx]Sheet1!R6C11</stp>
        <tr r="K6" s="1"/>
      </tp>
      <tp t="s">
        <v>ZERO</v>
        <stp/>
        <stp>##V3_BDPV12</stp>
        <stp>912834KP Govt</stp>
        <stp>CPN_TYP</stp>
        <stp>[STRIPS.xlsx]Sheet1!R8C11</stp>
        <tr r="K8" s="1"/>
      </tp>
      <tp t="s">
        <v>2/15/2020</v>
        <stp/>
        <stp>##V3_BDPV12</stp>
        <stp>912833KY Govt</stp>
        <stp>MATURITY</stp>
        <stp>[STRIPS.xlsx]Sheet1!R513C5</stp>
        <tr r="E513" s="1"/>
      </tp>
      <tp t="s">
        <v>7/15/2015</v>
        <stp/>
        <stp>##V3_BDPV12</stp>
        <stp>912834LP Govt</stp>
        <stp>MATURITY</stp>
        <stp>[STRIPS.xlsx]Sheet1!R474C5</stp>
        <tr r="E474" s="1"/>
      </tp>
      <tp t="s">
        <v>11/15/2017</v>
        <stp/>
        <stp>##V3_BDPV12</stp>
        <stp>912833KP Govt</stp>
        <stp>MATURITY</stp>
        <stp>[STRIPS.xlsx]Sheet1!R623C5</stp>
        <tr r="E623" s="1"/>
      </tp>
      <tp t="s">
        <v>4/15/2000</v>
        <stp/>
        <stp>##V3_BDPV12</stp>
        <stp>912833MP Govt</stp>
        <stp>MATURITY</stp>
        <stp>[STRIPS.xlsx]Sheet1!R235C5</stp>
        <tr r="E235" s="1"/>
      </tp>
      <tp t="s">
        <v>7/31/2019</v>
        <stp/>
        <stp>##V3_BDPV12</stp>
        <stp>912834LQ Govt</stp>
        <stp>MATURITY</stp>
        <stp>[STRIPS.xlsx]Sheet1!R404C5</stp>
        <tr r="E404" s="1"/>
      </tp>
      <tp t="s">
        <v>S</v>
        <stp/>
        <stp>##V3_BDPV12</stp>
        <stp>912833Y2 Govt</stp>
        <stp>TICKER</stp>
        <stp>[STRIPS.xlsx]Sheet1!R27C2</stp>
        <tr r="B27" s="1"/>
      </tp>
      <tp t="s">
        <v>5/15/2018</v>
        <stp/>
        <stp>##V3_BDPV12</stp>
        <stp>912833KR Govt</stp>
        <stp>MATURITY</stp>
        <stp>[STRIPS.xlsx]Sheet1!R443C5</stp>
        <tr r="E443" s="1"/>
      </tp>
      <tp t="s">
        <v>1/15/2001</v>
        <stp/>
        <stp>##V3_BDPV12</stp>
        <stp>912833MS Govt</stp>
        <stp>MATURITY</stp>
        <stp>[STRIPS.xlsx]Sheet1!R625C5</stp>
        <tr r="E625" s="1"/>
      </tp>
      <tp t="s">
        <v>7/15/2001</v>
        <stp/>
        <stp>##V3_BDPV12</stp>
        <stp>912833MU Govt</stp>
        <stp>MATURITY</stp>
        <stp>[STRIPS.xlsx]Sheet1!R515C5</stp>
        <tr r="E515" s="1"/>
      </tp>
      <tp t="s">
        <v>1/15/2002</v>
        <stp/>
        <stp>##V3_BDPV12</stp>
        <stp>912833MW Govt</stp>
        <stp>MATURITY</stp>
        <stp>[STRIPS.xlsx]Sheet1!R675C5</stp>
        <tr r="E675" s="1"/>
      </tp>
      <tp t="s">
        <v>UNITED STATES</v>
        <stp/>
        <stp>##V3_BDPV12</stp>
        <stp>912834VX Govt</stp>
        <stp>COUNTRY_FULL_NAME</stp>
        <stp>[STRIPS.xlsx]Sheet1!R767C8</stp>
        <tr r="H767" s="1"/>
      </tp>
      <tp t="s">
        <v>UNITED STATES</v>
        <stp/>
        <stp>##V3_BDPV12</stp>
        <stp>9128334X Govt</stp>
        <stp>COUNTRY_FULL_NAME</stp>
        <stp>[STRIPS.xlsx]Sheet1!R107C8</stp>
        <tr r="H107" s="1"/>
      </tp>
      <tp t="s">
        <v>UNITED STATES</v>
        <stp/>
        <stp>##V3_BDPV12</stp>
        <stp>912833KX Govt</stp>
        <stp>COUNTRY_FULL_NAME</stp>
        <stp>[STRIPS.xlsx]Sheet1!R157C8</stp>
        <tr r="H157" s="1"/>
      </tp>
      <tp t="s">
        <v>UNITED STATES</v>
        <stp/>
        <stp>##V3_BDPV12</stp>
        <stp>912834NW Govt</stp>
        <stp>COUNTRY_FULL_NAME</stp>
        <stp>[STRIPS.xlsx]Sheet1!R548C8</stp>
        <tr r="H548" s="1"/>
      </tp>
      <tp t="s">
        <v>UNITED STATES</v>
        <stp/>
        <stp>##V3_BDPV12</stp>
        <stp>912834PV Govt</stp>
        <stp>COUNTRY_FULL_NAME</stp>
        <stp>[STRIPS.xlsx]Sheet1!R479C8</stp>
        <tr r="H479" s="1"/>
      </tp>
      <tp t="s">
        <v>UNITED STATES</v>
        <stp/>
        <stp>##V3_BDPV12</stp>
        <stp>912833QW Govt</stp>
        <stp>COUNTRY_FULL_NAME</stp>
        <stp>[STRIPS.xlsx]Sheet1!R378C8</stp>
        <tr r="H378" s="1"/>
      </tp>
      <tp t="s">
        <v>UNITED STATES</v>
        <stp/>
        <stp>##V3_BDPV12</stp>
        <stp>9128333Y Govt</stp>
        <stp>COUNTRY_FULL_NAME</stp>
        <stp>[STRIPS.xlsx]Sheet1!R486C8</stp>
        <tr r="H486" s="1"/>
      </tp>
      <tp t="s">
        <v>UNITED STATES</v>
        <stp/>
        <stp>##V3_BDPV12</stp>
        <stp>912834MX Govt</stp>
        <stp>COUNTRY_FULL_NAME</stp>
        <stp>[STRIPS.xlsx]Sheet1!R327C8</stp>
        <tr r="H327" s="1"/>
      </tp>
      <tp t="s">
        <v>UNITED STATES</v>
        <stp/>
        <stp>##V3_BDPV12</stp>
        <stp>912834LZ Govt</stp>
        <stp>COUNTRY_FULL_NAME</stp>
        <stp>[STRIPS.xlsx]Sheet1!R325C8</stp>
        <tr r="H325" s="1"/>
      </tp>
      <tp t="s">
        <v>UNITED STATES</v>
        <stp/>
        <stp>##V3_BDPV12</stp>
        <stp>912834HY Govt</stp>
        <stp>COUNTRY_FULL_NAME</stp>
        <stp>[STRIPS.xlsx]Sheet1!R226C8</stp>
        <tr r="H226" s="1"/>
      </tp>
      <tp t="s">
        <v>UNITED STATES</v>
        <stp/>
        <stp>##V3_BDPV12</stp>
        <stp>912834NZ Govt</stp>
        <stp>COUNTRY_FULL_NAME</stp>
        <stp>[STRIPS.xlsx]Sheet1!R275C8</stp>
        <tr r="H275" s="1"/>
      </tp>
      <tp t="s">
        <v>UNITED STATES</v>
        <stp/>
        <stp>##V3_BDPV12</stp>
        <stp>912834HZ Govt</stp>
        <stp>COUNTRY_FULL_NAME</stp>
        <stp>[STRIPS.xlsx]Sheet1!R265C8</stp>
        <tr r="H265" s="1"/>
      </tp>
      <tp t="s">
        <v>UNITED STATES</v>
        <stp/>
        <stp>##V3_BDPV12</stp>
        <stp>912833MX Govt</stp>
        <stp>COUNTRY_FULL_NAME</stp>
        <stp>[STRIPS.xlsx]Sheet1!R627C8</stp>
        <tr r="H627" s="1"/>
      </tp>
      <tp t="s">
        <v>UNITED STATES</v>
        <stp/>
        <stp>##V3_BDPV12</stp>
        <stp>912833YZ Govt</stp>
        <stp>COUNTRY_FULL_NAME</stp>
        <stp>[STRIPS.xlsx]Sheet1!R695C8</stp>
        <tr r="H695" s="1"/>
      </tp>
      <tp t="s">
        <v>UNITED STATES</v>
        <stp/>
        <stp>##V3_BDPV12</stp>
        <stp>912834WV Govt</stp>
        <stp>COUNTRY_FULL_NAME</stp>
        <stp>[STRIPS.xlsx]Sheet1!R129C8</stp>
        <tr r="H129" s="1"/>
      </tp>
      <tp t="s">
        <v>UNITED STATES</v>
        <stp/>
        <stp>##V3_BDPV12</stp>
        <stp>9128335X Govt</stp>
        <stp>COUNTRY_FULL_NAME</stp>
        <stp>[STRIPS.xlsx]Sheet1!R747C8</stp>
        <tr r="H747" s="1"/>
      </tp>
      <tp t="s">
        <v>UNITED STATES</v>
        <stp/>
        <stp>##V3_BDPV12</stp>
        <stp>9128335Y Govt</stp>
        <stp>COUNTRY_FULL_NAME</stp>
        <stp>[STRIPS.xlsx]Sheet1!R726C8</stp>
        <tr r="H726" s="1"/>
      </tp>
      <tp t="s">
        <v>4/15/1999</v>
        <stp/>
        <stp>##V3_BDPV12</stp>
        <stp>912833MK Govt</stp>
        <stp>MATURITY</stp>
        <stp>[STRIPS.xlsx]Sheet1!R445C5</stp>
        <tr r="E445" s="1"/>
      </tp>
      <tp t="s">
        <v>4/15/2016</v>
        <stp/>
        <stp>##V3_BDPV12</stp>
        <stp>912834MK Govt</stp>
        <stp>MATURITY</stp>
        <stp>[STRIPS.xlsx]Sheet1!R405C5</stp>
        <tr r="E405" s="1"/>
      </tp>
      <tp t="s">
        <v>4/30/2020</v>
        <stp/>
        <stp>##V3_BDPV12</stp>
        <stp>912834ML Govt</stp>
        <stp>MATURITY</stp>
        <stp>[STRIPS.xlsx]Sheet1!R475C5</stp>
        <tr r="E475" s="1"/>
      </tp>
      <tp t="s">
        <v>5/15/2017</v>
        <stp/>
        <stp>##V3_BDPV12</stp>
        <stp>912833KM Govt</stp>
        <stp>MATURITY</stp>
        <stp>[STRIPS.xlsx]Sheet1!R303C5</stp>
        <tr r="E303" s="1"/>
      </tp>
      <tp t="s">
        <v>6/15/2015</v>
        <stp/>
        <stp>##V3_BDPV12</stp>
        <stp>912834LM Govt</stp>
        <stp>MATURITY</stp>
        <stp>[STRIPS.xlsx]Sheet1!R324C5</stp>
        <tr r="E324" s="1"/>
      </tp>
      <tp t="s">
        <v>7/15/2011</v>
        <stp/>
        <stp>##V3_BDPV12</stp>
        <stp>912834AN Govt</stp>
        <stp>MATURITY</stp>
        <stp>[STRIPS.xlsx]Sheet1!R259C5</stp>
        <tr r="E259" s="1"/>
      </tp>
      <tp t="s">
        <v>5/31/2013</v>
        <stp/>
        <stp>##V3_BDPV12</stp>
        <stp>912834AA Govt</stp>
        <stp>MATURITY</stp>
        <stp>[STRIPS.xlsx]Sheet1!R589C5</stp>
        <tr r="E589" s="1"/>
      </tp>
      <tp t="s">
        <v>11/30/2020</v>
        <stp/>
        <stp>##V3_BDPV12</stp>
        <stp>912834NA Govt</stp>
        <stp>MATURITY</stp>
        <stp>[STRIPS.xlsx]Sheet1!R476C5</stp>
        <tr r="E476" s="1"/>
      </tp>
      <tp t="s">
        <v>1/15/2003</v>
        <stp/>
        <stp>##V3_BDPV12</stp>
        <stp>912833NA Govt</stp>
        <stp>MATURITY</stp>
        <stp>[STRIPS.xlsx]Sheet1!R446C5</stp>
        <tr r="E446" s="1"/>
      </tp>
      <tp t="s">
        <v>5/15/2013</v>
        <stp/>
        <stp>##V3_BDPV12</stp>
        <stp>912833KA Govt</stp>
        <stp>MATURITY</stp>
        <stp>[STRIPS.xlsx]Sheet1!R193C5</stp>
        <tr r="E193" s="1"/>
      </tp>
      <tp t="s">
        <v>5/31/2022</v>
        <stp/>
        <stp>##V3_BDPV12</stp>
        <stp>912834KC Govt</stp>
        <stp>MATURITY</stp>
        <stp>[STRIPS.xlsx]Sheet1!R133C5</stp>
        <tr r="E133" s="1"/>
      </tp>
      <tp t="s">
        <v>10/15/2003</v>
        <stp/>
        <stp>##V3_BDPV12</stp>
        <stp>912833ND Govt</stp>
        <stp>MATURITY</stp>
        <stp>[STRIPS.xlsx]Sheet1!R676C5</stp>
        <tr r="E676" s="1"/>
      </tp>
      <tp t="s">
        <v>1/31/2021</v>
        <stp/>
        <stp>##V3_BDPV12</stp>
        <stp>912834NE Govt</stp>
        <stp>MATURITY</stp>
        <stp>[STRIPS.xlsx]Sheet1!R546C5</stp>
        <tr r="E546" s="1"/>
      </tp>
      <tp t="s">
        <v>4/15/1998</v>
        <stp/>
        <stp>##V3_BDPV12</stp>
        <stp>912833MF Govt</stp>
        <stp>MATURITY</stp>
        <stp>[STRIPS.xlsx]Sheet1!R305C5</stp>
        <tr r="E305" s="1"/>
      </tp>
      <tp t="s">
        <v>7/15/2004</v>
        <stp/>
        <stp>##V3_BDPV12</stp>
        <stp>912833NG Govt</stp>
        <stp>MATURITY</stp>
        <stp>[STRIPS.xlsx]Sheet1!R516C5</stp>
        <tr r="E516" s="1"/>
      </tp>
      <tp t="s">
        <v>S</v>
        <stp/>
        <stp>##V3_BDPV12</stp>
        <stp>912833PA Govt</stp>
        <stp>TICKER</stp>
        <stp>[STRIPS.xlsx]Sheet1!R4C2</stp>
        <tr r="B4" s="1"/>
      </tp>
      <tp t="s">
        <v>8/15/2041</v>
        <stp/>
        <stp>##V3_BDPV12</stp>
        <stp>912834KP Govt</stp>
        <stp>MATURITY</stp>
        <stp>[STRIPS.xlsx]Sheet1!R8C5</stp>
        <tr r="E8" s="1"/>
      </tp>
      <tp t="s">
        <v>4/15/2007</v>
        <stp/>
        <stp>##V3_BDPV12</stp>
        <stp>912833A2 Govt</stp>
        <stp>MATURITY</stp>
        <stp>[STRIPS.xlsx]Sheet1!R608C5</stp>
        <tr r="E608" s="1"/>
      </tp>
      <tp t="s">
        <v>UNITED STATES</v>
        <stp/>
        <stp>##V3_BDPV12</stp>
        <stp>912834WZ Govt</stp>
        <stp>COUNTRY_FULL_NAME</stp>
        <stp>[STRIPS.xlsx]Sheet1!R6C8</stp>
        <tr r="H6" s="1"/>
      </tp>
      <tp t="s">
        <v>2/28/2015</v>
        <stp/>
        <stp>##V3_BDPV12</stp>
        <stp>912834AX Govt</stp>
        <stp>MATURITY</stp>
        <stp>[STRIPS.xlsx]Sheet1!R388C5</stp>
        <tr r="E388" s="1"/>
      </tp>
      <tp t="s">
        <v>12/31/2018</v>
        <stp/>
        <stp>##V3_BDPV12</stp>
        <stp>912834KY Govt</stp>
        <stp>MATURITY</stp>
        <stp>[STRIPS.xlsx]Sheet1!R472C5</stp>
        <tr r="E472" s="1"/>
      </tp>
      <tp t="s">
        <v>5/15/2012</v>
        <stp/>
        <stp>##V3_BDPV12</stp>
        <stp>912833JY Govt</stp>
        <stp>MATURITY</stp>
        <stp>[STRIPS.xlsx]Sheet1!R173C5</stp>
        <tr r="E173" s="1"/>
      </tp>
      <tp t="s">
        <v>5/15/2020</v>
        <stp/>
        <stp>##V3_BDPV12</stp>
        <stp>912833KZ Govt</stp>
        <stp>MATURITY</stp>
        <stp>[STRIPS.xlsx]Sheet1!R152C5</stp>
        <tr r="E152" s="1"/>
      </tp>
      <tp t="s">
        <v>12/15/2015</v>
        <stp/>
        <stp>##V3_BDPV12</stp>
        <stp>912834LZ Govt</stp>
        <stp>MATURITY</stp>
        <stp>[STRIPS.xlsx]Sheet1!R325C5</stp>
        <tr r="E325" s="1"/>
      </tp>
      <tp t="s">
        <v>7/15/2006</v>
        <stp/>
        <stp>##V3_BDPV12</stp>
        <stp>912833NQ Govt</stp>
        <stp>MATURITY</stp>
        <stp>[STRIPS.xlsx]Sheet1!R677C5</stp>
        <tr r="E677" s="1"/>
      </tp>
      <tp t="s">
        <v>S</v>
        <stp/>
        <stp>##V3_BDPV12</stp>
        <stp>912833Y4 Govt</stp>
        <stp>TICKER</stp>
        <stp>[STRIPS.xlsx]Sheet1!R60C2</stp>
        <tr r="B60" s="1"/>
      </tp>
      <tp t="s">
        <v>6/30/2021</v>
        <stp/>
        <stp>##V3_BDPV12</stp>
        <stp>912834NS Govt</stp>
        <stp>MATURITY</stp>
        <stp>[STRIPS.xlsx]Sheet1!R547C5</stp>
        <tr r="E547" s="1"/>
      </tp>
      <tp t="s">
        <v>4/15/2001</v>
        <stp/>
        <stp>##V3_BDPV12</stp>
        <stp>912833MT Govt</stp>
        <stp>MATURITY</stp>
        <stp>[STRIPS.xlsx]Sheet1!R674C5</stp>
        <tr r="E674" s="1"/>
      </tp>
      <tp t="s">
        <v>5/15/2019</v>
        <stp/>
        <stp>##V3_BDPV12</stp>
        <stp>912833KV Govt</stp>
        <stp>MATURITY</stp>
        <stp>[STRIPS.xlsx]Sheet1!R742C5</stp>
        <tr r="E742" s="1"/>
      </tp>
      <tp t="s">
        <v>9/30/2020</v>
        <stp/>
        <stp>##V3_BDPV12</stp>
        <stp>912834MW Govt</stp>
        <stp>MATURITY</stp>
        <stp>[STRIPS.xlsx]Sheet1!R234C5</stp>
        <tr r="E234" s="1"/>
      </tp>
      <tp t="s">
        <v>10/15/2004</v>
        <stp/>
        <stp>##V3_BDPV12</stp>
        <stp>912833NH Govt</stp>
        <stp>MATURITY</stp>
        <stp>[STRIPS.xlsx]Sheet1!R237C5</stp>
        <tr r="E237" s="1"/>
      </tp>
      <tp t="s">
        <v>8/15/2016</v>
        <stp/>
        <stp>##V3_BDPV12</stp>
        <stp>912833KJ Govt</stp>
        <stp>MATURITY</stp>
        <stp>[STRIPS.xlsx]Sheet1!R512C5</stp>
        <tr r="E512" s="1"/>
      </tp>
      <tp t="s">
        <v>UNITED STATES</v>
        <stp/>
        <stp>##V3_BDPV12</stp>
        <stp>912834WX Govt</stp>
        <stp>COUNTRY_FULL_NAME</stp>
        <stp>[STRIPS.xlsx]Sheet1!R776C8</stp>
        <tr r="H776" s="1"/>
      </tp>
      <tp t="s">
        <v>UNITED STATES</v>
        <stp/>
        <stp>##V3_BDPV12</stp>
        <stp>912833PW Govt</stp>
        <stp>COUNTRY_FULL_NAME</stp>
        <stp>[STRIPS.xlsx]Sheet1!R239C8</stp>
        <tr r="H239" s="1"/>
      </tp>
      <tp t="s">
        <v>UNITED STATES</v>
        <stp/>
        <stp>##V3_BDPV12</stp>
        <stp>912833PV Govt</stp>
        <stp>COUNTRY_FULL_NAME</stp>
        <stp>[STRIPS.xlsx]Sheet1!R338C8</stp>
        <tr r="H338" s="1"/>
      </tp>
      <tp t="s">
        <v>UNITED STATES</v>
        <stp/>
        <stp>##V3_BDPV12</stp>
        <stp>912834HX Govt</stp>
        <stp>COUNTRY_FULL_NAME</stp>
        <stp>[STRIPS.xlsx]Sheet1!R356C8</stp>
        <tr r="H356" s="1"/>
      </tp>
      <tp t="s">
        <v>UNITED STATES</v>
        <stp/>
        <stp>##V3_BDPV12</stp>
        <stp>912834EZ Govt</stp>
        <stp>COUNTRY_FULL_NAME</stp>
        <stp>[STRIPS.xlsx]Sheet1!R394C8</stp>
        <tr r="H394" s="1"/>
      </tp>
      <tp t="s">
        <v>UNITED STATES</v>
        <stp/>
        <stp>##V3_BDPV12</stp>
        <stp>912834UV Govt</stp>
        <stp>COUNTRY_FULL_NAME</stp>
        <stp>[STRIPS.xlsx]Sheet1!R208C8</stp>
        <tr r="H208" s="1"/>
      </tp>
      <tp t="s">
        <v>UNITED STATES</v>
        <stp/>
        <stp>##V3_BDPV12</stp>
        <stp>912833JV Govt</stp>
        <stp>COUNTRY_FULL_NAME</stp>
        <stp>[STRIPS.xlsx]Sheet1!R668C8</stp>
        <tr r="H668" s="1"/>
      </tp>
      <tp t="s">
        <v>UNITED STATES</v>
        <stp/>
        <stp>##V3_BDPV12</stp>
        <stp>912833CV Govt</stp>
        <stp>COUNTRY_FULL_NAME</stp>
        <stp>[STRIPS.xlsx]Sheet1!R658C8</stp>
        <tr r="H658" s="1"/>
      </tp>
      <tp t="s">
        <v>UNITED STATES</v>
        <stp/>
        <stp>##V3_BDPV12</stp>
        <stp>912833FW Govt</stp>
        <stp>COUNTRY_FULL_NAME</stp>
        <stp>[STRIPS.xlsx]Sheet1!R739C8</stp>
        <tr r="H739" s="1"/>
      </tp>
      <tp t="s">
        <v>3/15/2017</v>
        <stp/>
        <stp>##V3_BDPV12</stp>
        <stp>912834NK Govt</stp>
        <stp>MATURITY</stp>
        <stp>[STRIPS.xlsx]Sheet1!R477C5</stp>
        <tr r="E477" s="1"/>
      </tp>
      <tp t="s">
        <v>2/15/2017</v>
        <stp/>
        <stp>##V3_BDPV12</stp>
        <stp>912833KL Govt</stp>
        <stp>MATURITY</stp>
        <stp>[STRIPS.xlsx]Sheet1!R302C5</stp>
        <tr r="E302" s="1"/>
      </tp>
      <tp t="s">
        <v>12/15/2011</v>
        <stp/>
        <stp>##V3_BDPV12</stp>
        <stp>912834AL Govt</stp>
        <stp>MATURITY</stp>
        <stp>[STRIPS.xlsx]Sheet1!R258C5</stp>
        <tr r="E258" s="1"/>
      </tp>
      <tp t="s">
        <v>10/15/2005</v>
        <stp/>
        <stp>##V3_BDPV12</stp>
        <stp>912833NM Govt</stp>
        <stp>MATURITY</stp>
        <stp>[STRIPS.xlsx]Sheet1!R517C5</stp>
        <tr r="E517" s="1"/>
      </tp>
      <tp t="s">
        <v>1/15/2000</v>
        <stp/>
        <stp>##V3_BDPV12</stp>
        <stp>912833MN Govt</stp>
        <stp>MATURITY</stp>
        <stp>[STRIPS.xlsx]Sheet1!R624C5</stp>
        <tr r="E624" s="1"/>
      </tp>
      <tp t="s">
        <v>8/15/2017</v>
        <stp/>
        <stp>##V3_BDPV12</stp>
        <stp>912833KN Govt</stp>
        <stp>MATURITY</stp>
        <stp>[STRIPS.xlsx]Sheet1!R672C5</stp>
        <tr r="E672" s="1"/>
      </tp>
      <tp t="s">
        <v>5/15/2014</v>
        <stp/>
        <stp>##V3_BDPV12</stp>
        <stp>912833KC Govt</stp>
        <stp>MATURITY</stp>
        <stp>[STRIPS.xlsx]Sheet1!R442C5</stp>
        <tr r="E442" s="1"/>
      </tp>
      <tp t="s">
        <v>12/31/2020</v>
        <stp/>
        <stp>##V3_BDPV12</stp>
        <stp>912834NC Govt</stp>
        <stp>MATURITY</stp>
        <stp>[STRIPS.xlsx]Sheet1!R407C5</stp>
        <tr r="E407" s="1"/>
      </tp>
      <tp t="s">
        <v>10/15/1997</v>
        <stp/>
        <stp>##V3_BDPV12</stp>
        <stp>912833MD Govt</stp>
        <stp>MATURITY</stp>
        <stp>[STRIPS.xlsx]Sheet1!R304C5</stp>
        <tr r="E304" s="1"/>
      </tp>
      <tp t="s">
        <v>5/15/2038</v>
        <stp/>
        <stp>##V3_BDPV12</stp>
        <stp>912834AE Govt</stp>
        <stp>MATURITY</stp>
        <stp>[STRIPS.xlsx]Sheet1!R118C5</stp>
        <tr r="E118" s="1"/>
      </tp>
      <tp t="s">
        <v>4/15/2004</v>
        <stp/>
        <stp>##V3_BDPV12</stp>
        <stp>912833NF Govt</stp>
        <stp>MATURITY</stp>
        <stp>[STRIPS.xlsx]Sheet1!R447C5</stp>
        <tr r="E447" s="1"/>
      </tp>
      <tp t="s">
        <v>7/15/1998</v>
        <stp/>
        <stp>##V3_BDPV12</stp>
        <stp>912833MG Govt</stp>
        <stp>MATURITY</stp>
        <stp>[STRIPS.xlsx]Sheet1!R514C5</stp>
        <tr r="E514" s="1"/>
      </tp>
      <tp t="s">
        <v>5/15/2026</v>
        <stp/>
        <stp>##V3_BDPV12</stp>
        <stp>912833LZ Govt</stp>
        <stp>MATURITY</stp>
        <stp>[STRIPS.xlsx]Sheet1!R9C5</stp>
        <tr r="E9" s="1"/>
      </tp>
      <tp t="s">
        <v>UNITED STATES</v>
        <stp/>
        <stp>##V3_BDPV12</stp>
        <stp>912833LW Govt</stp>
        <stp>COUNTRY_FULL_NAME</stp>
        <stp>[STRIPS.xlsx]Sheet1!R2C8</stp>
        <tr r="H2" s="1"/>
      </tp>
      <tp t="s">
        <v>12/15/2014</v>
        <stp/>
        <stp>##V3_BDPV12</stp>
        <stp>912834KX Govt</stp>
        <stp>MATURITY</stp>
        <stp>[STRIPS.xlsx]Sheet1!R471C5</stp>
        <tr r="E471" s="1"/>
      </tp>
      <tp t="s">
        <v>4/15/2002</v>
        <stp/>
        <stp>##V3_BDPV12</stp>
        <stp>912833MX Govt</stp>
        <stp>MATURITY</stp>
        <stp>[STRIPS.xlsx]Sheet1!R627C5</stp>
        <tr r="E627" s="1"/>
      </tp>
      <tp t="s">
        <v>10/15/2016</v>
        <stp/>
        <stp>##V3_BDPV12</stp>
        <stp>912834MX Govt</stp>
        <stp>MATURITY</stp>
        <stp>[STRIPS.xlsx]Sheet1!R327C5</stp>
        <tr r="E327" s="1"/>
      </tp>
      <tp t="s">
        <v>7/15/2017</v>
        <stp/>
        <stp>##V3_BDPV12</stp>
        <stp>912834NT Govt</stp>
        <stp>MATURITY</stp>
        <stp>[STRIPS.xlsx]Sheet1!R174C5</stp>
        <tr r="E174" s="1"/>
      </tp>
      <tp t="s">
        <v>11/15/2018</v>
        <stp/>
        <stp>##V3_BDPV12</stp>
        <stp>912833KT Govt</stp>
        <stp>MATURITY</stp>
        <stp>[STRIPS.xlsx]Sheet1!R161C5</stp>
        <tr r="E161" s="1"/>
      </tp>
      <tp t="s">
        <v>10/31/2018</v>
        <stp/>
        <stp>##V3_BDPV12</stp>
        <stp>912834KU Govt</stp>
        <stp>MATURITY</stp>
        <stp>[STRIPS.xlsx]Sheet1!R401C5</stp>
        <tr r="E401" s="1"/>
      </tp>
      <tp t="s">
        <v>7/31/2021</v>
        <stp/>
        <stp>##V3_BDPV12</stp>
        <stp>912834NU Govt</stp>
        <stp>MATURITY</stp>
        <stp>[STRIPS.xlsx]Sheet1!R274C5</stp>
        <tr r="E274" s="1"/>
      </tp>
      <tp t="s">
        <v>8/15/2008</v>
        <stp/>
        <stp>##V3_BDPV12</stp>
        <stp>912833CU Govt</stp>
        <stp>MATURITY</stp>
        <stp>[STRIPS.xlsx]Sheet1!R299C5</stp>
        <tr r="E299" s="1"/>
      </tp>
      <tp t="s">
        <v>5/15/2011</v>
        <stp/>
        <stp>##V3_BDPV12</stp>
        <stp>912833JW Govt</stp>
        <stp>MATURITY</stp>
        <stp>[STRIPS.xlsx]Sheet1!R740C5</stp>
        <tr r="E740" s="1"/>
      </tp>
      <tp t="s">
        <v>2/28/2022</v>
        <stp/>
        <stp>##V3_BDPV12</stp>
        <stp>912834JW Govt</stp>
        <stp>MATURITY</stp>
        <stp>[STRIPS.xlsx]Sheet1!R210C5</stp>
        <tr r="E210" s="1"/>
      </tp>
      <tp t="s">
        <v>UNITED STATES</v>
        <stp/>
        <stp>##V3_BDPV12</stp>
        <stp>912833YT Govt</stp>
        <stp>COUNTRY_FULL_NAME</stp>
        <stp>[STRIPS.xlsx]Sheet1!R249C8</stp>
        <tr r="H249" s="1"/>
      </tp>
      <tp t="s">
        <v>UNITED STATES</v>
        <stp/>
        <stp>##V3_BDPV12</stp>
        <stp>912833ZU Govt</stp>
        <stp>COUNTRY_FULL_NAME</stp>
        <stp>[STRIPS.xlsx]Sheet1!R348C8</stp>
        <tr r="H348" s="1"/>
      </tp>
      <tp t="s">
        <v>UNITED STATES</v>
        <stp/>
        <stp>##V3_BDPV12</stp>
        <stp>912834KT Govt</stp>
        <stp>COUNTRY_FULL_NAME</stp>
        <stp>[STRIPS.xlsx]Sheet1!R319C8</stp>
        <tr r="H319" s="1"/>
      </tp>
      <tp t="s">
        <v>UNITED STATES</v>
        <stp/>
        <stp>##V3_BDPV12</stp>
        <stp>912834DY Govt</stp>
        <stp>COUNTRY_FULL_NAME</stp>
        <stp>[STRIPS.xlsx]Sheet1!R264C8</stp>
        <tr r="H264" s="1"/>
      </tp>
      <tp t="s">
        <v>1/15/2005</v>
        <stp/>
        <stp>##V3_BDPV12</stp>
        <stp>912833NJ Govt</stp>
        <stp>MATURITY</stp>
        <stp>[STRIPS.xlsx]Sheet1!R334C5</stp>
        <tr r="E334" s="1"/>
      </tp>
      <tp t="s">
        <v>UNITED STATES</v>
        <stp/>
        <stp>##V3_BDPV12</stp>
        <stp>912833QU Govt</stp>
        <stp>COUNTRY_FULL_NAME</stp>
        <stp>[STRIPS.xlsx]Sheet1!R688C8</stp>
        <tr r="H688" s="1"/>
      </tp>
      <tp t="s">
        <v>UNITED STATES</v>
        <stp/>
        <stp>##V3_BDPV12</stp>
        <stp>912834QY Govt</stp>
        <stp>COUNTRY_FULL_NAME</stp>
        <stp>[STRIPS.xlsx]Sheet1!R134C8</stp>
        <tr r="H134" s="1"/>
      </tp>
      <tp t="s">
        <v>UNITED STATES</v>
        <stp/>
        <stp>##V3_BDPV12</stp>
        <stp>912834TX Govt</stp>
        <stp>COUNTRY_FULL_NAME</stp>
        <stp>[STRIPS.xlsx]Sheet1!R145C8</stp>
        <tr r="H145" s="1"/>
      </tp>
      <tp t="s">
        <v>11/15/2016</v>
        <stp/>
        <stp>##V3_BDPV12</stp>
        <stp>912833KK Govt</stp>
        <stp>MATURITY</stp>
        <stp>[STRIPS.xlsx]Sheet1!R301C5</stp>
        <tr r="E301" s="1"/>
      </tp>
      <tp t="s">
        <v>10/15/2011</v>
        <stp/>
        <stp>##V3_BDPV12</stp>
        <stp>912834BK Govt</stp>
        <stp>MATURITY</stp>
        <stp>[STRIPS.xlsx]Sheet1!R308C5</stp>
        <tr r="E308" s="1"/>
      </tp>
      <tp t="s">
        <v>5/31/2020</v>
        <stp/>
        <stp>##V3_BDPV12</stp>
        <stp>912834MN Govt</stp>
        <stp>MATURITY</stp>
        <stp>[STRIPS.xlsx]Sheet1!R417C5</stp>
        <tr r="E417" s="1"/>
      </tp>
      <tp t="s">
        <v>12/15/2016</v>
        <stp/>
        <stp>##V3_BDPV12</stp>
        <stp>912834NB Govt</stp>
        <stp>MATURITY</stp>
        <stp>[STRIPS.xlsx]Sheet1!R544C5</stp>
        <tr r="E544" s="1"/>
      </tp>
      <tp t="s">
        <v>3/15/2012</v>
        <stp/>
        <stp>##V3_BDPV12</stp>
        <stp>912834BC Govt</stp>
        <stp>MATURITY</stp>
        <stp>[STRIPS.xlsx]Sheet1!R458C5</stp>
        <tr r="E458" s="1"/>
      </tp>
      <tp t="s">
        <v>1/15/1998</v>
        <stp/>
        <stp>##V3_BDPV12</stp>
        <stp>912833ME Govt</stp>
        <stp>MATURITY</stp>
        <stp>[STRIPS.xlsx]Sheet1!R567C5</stp>
        <tr r="E567" s="1"/>
      </tp>
      <tp t="s">
        <v>2/15/2016</v>
        <stp/>
        <stp>##V3_BDPV12</stp>
        <stp>912833KG Govt</stp>
        <stp>MATURITY</stp>
        <stp>[STRIPS.xlsx]Sheet1!R671C5</stp>
        <tr r="E671" s="1"/>
      </tp>
      <tp t="s">
        <v>UNITED STATES</v>
        <stp/>
        <stp>##V3_BDPV12</stp>
        <stp>912833PB Govt</stp>
        <stp>COUNTRY_FULL_NAME</stp>
        <stp>[STRIPS.xlsx]Sheet1!R3C8</stp>
        <tr r="H3" s="1"/>
      </tp>
      <tp t="s">
        <v>S 0 08/15/41</v>
        <stp/>
        <stp>##V3_BDPV12</stp>
        <stp>912834KP Govt</stp>
        <stp>SECURITY_NAME</stp>
        <stp>[STRIPS.xlsx]Sheet1!R8C16</stp>
        <tr r="P8" s="1"/>
      </tp>
      <tp t="s">
        <v>3/15/2018</v>
        <stp/>
        <stp>##V3_BDPV12</stp>
        <stp>912834JX Govt</stp>
        <stp>MATURITY</stp>
        <stp>[STRIPS.xlsx]Sheet1!R221C5</stp>
        <tr r="E221" s="1"/>
      </tp>
      <tp t="s">
        <v>11/15/2012</v>
        <stp/>
        <stp>##V3_BDPV12</stp>
        <stp>912833JZ Govt</stp>
        <stp>MATURITY</stp>
        <stp>[STRIPS.xlsx]Sheet1!R741C5</stp>
        <tr r="E741" s="1"/>
      </tp>
      <tp t="s">
        <v>10/15/2017</v>
        <stp/>
        <stp>##V3_BDPV12</stp>
        <stp>912834NZ Govt</stp>
        <stp>MATURITY</stp>
        <stp>[STRIPS.xlsx]Sheet1!R275C5</stp>
        <tr r="E275" s="1"/>
      </tp>
      <tp t="s">
        <v>4/30/2015</v>
        <stp/>
        <stp>##V3_BDPV12</stp>
        <stp>912834BP Govt</stp>
        <stp>MATURITY</stp>
        <stp>[STRIPS.xlsx]Sheet1!R389C5</stp>
        <tr r="E389" s="1"/>
      </tp>
      <tp t="s">
        <v>10/31/2015</v>
        <stp/>
        <stp>##V3_BDPV12</stp>
        <stp>912834BQ Govt</stp>
        <stp>MATURITY</stp>
        <stp>[STRIPS.xlsx]Sheet1!R459C5</stp>
        <tr r="E459" s="1"/>
      </tp>
      <tp t="s">
        <v>8/15/2006</v>
        <stp/>
        <stp>##V3_BDPV12</stp>
        <stp>912833CQ Govt</stp>
        <stp>MATURITY</stp>
        <stp>[STRIPS.xlsx]Sheet1!R438C5</stp>
        <tr r="E438" s="1"/>
      </tp>
      <tp t="s">
        <v>7/15/2000</v>
        <stp/>
        <stp>##V3_BDPV12</stp>
        <stp>912833MQ Govt</stp>
        <stp>MATURITY</stp>
        <stp>[STRIPS.xlsx]Sheet1!R236C5</stp>
        <tr r="E236" s="1"/>
      </tp>
      <tp t="s">
        <v>9/15/2014</v>
        <stp/>
        <stp>##V3_BDPV12</stp>
        <stp>912834KR Govt</stp>
        <stp>MATURITY</stp>
        <stp>[STRIPS.xlsx]Sheet1!R400C5</stp>
        <tr r="E400" s="1"/>
      </tp>
      <tp t="s">
        <v>7/31/2020</v>
        <stp/>
        <stp>##V3_BDPV12</stp>
        <stp>912834MS Govt</stp>
        <stp>MATURITY</stp>
        <stp>[STRIPS.xlsx]Sheet1!R406C5</stp>
        <tr r="E406" s="1"/>
      </tp>
      <tp t="s">
        <v>8/15/2007</v>
        <stp/>
        <stp>##V3_BDPV12</stp>
        <stp>912833CS Govt</stp>
        <stp>MATURITY</stp>
        <stp>[STRIPS.xlsx]Sheet1!R298C5</stp>
        <tr r="E298" s="1"/>
      </tp>
      <tp t="s">
        <v>10/15/2001</v>
        <stp/>
        <stp>##V3_BDPV12</stp>
        <stp>912833MV Govt</stp>
        <stp>MATURITY</stp>
        <stp>[STRIPS.xlsx]Sheet1!R626C5</stp>
        <tr r="E626" s="1"/>
      </tp>
      <tp t="s">
        <v>2/15/2009</v>
        <stp/>
        <stp>##V3_BDPV12</stp>
        <stp>912833CV Govt</stp>
        <stp>MATURITY</stp>
        <stp>[STRIPS.xlsx]Sheet1!R658C5</stp>
        <tr r="E658" s="1"/>
      </tp>
      <tp t="s">
        <v>8/15/2044</v>
        <stp/>
        <stp>##V3_BDPV12</stp>
        <stp>912834NV Govt</stp>
        <stp>MATURITY</stp>
        <stp>[STRIPS.xlsx]Sheet1!R115C5</stp>
        <tr r="E115" s="1"/>
      </tp>
      <tp t="s">
        <v>11/30/2018</v>
        <stp/>
        <stp>##V3_BDPV12</stp>
        <stp>912834KW Govt</stp>
        <stp>MATURITY</stp>
        <stp>[STRIPS.xlsx]Sheet1!R470C5</stp>
        <tr r="E470" s="1"/>
      </tp>
      <tp t="s">
        <v>10/15/1998</v>
        <stp/>
        <stp>##V3_BDPV12</stp>
        <stp>912833MH Govt</stp>
        <stp>MATURITY</stp>
        <stp>[STRIPS.xlsx]Sheet1!R306C5</stp>
        <tr r="E306" s="1"/>
      </tp>
      <tp t="s">
        <v>3/15/2016</v>
        <stp/>
        <stp>##V3_BDPV12</stp>
        <stp>912834MH Govt</stp>
        <stp>MATURITY</stp>
        <stp>[STRIPS.xlsx]Sheet1!R326C5</stp>
        <tr r="E326" s="1"/>
      </tp>
      <tp t="s">
        <v>UNITED STATES</v>
        <stp/>
        <stp>##V3_BDPV12</stp>
        <stp>912834VU Govt</stp>
        <stp>COUNTRY_FULL_NAME</stp>
        <stp>[STRIPS.xlsx]Sheet1!R769C8</stp>
        <tr r="H769" s="1"/>
      </tp>
      <tp t="s">
        <v>UNITED STATES</v>
        <stp/>
        <stp>##V3_BDPV12</stp>
        <stp>912834VZ Govt</stp>
        <stp>COUNTRY_FULL_NAME</stp>
        <stp>[STRIPS.xlsx]Sheet1!R766C8</stp>
        <tr r="H766" s="1"/>
      </tp>
      <tp t="s">
        <v>UNITED STATES</v>
        <stp/>
        <stp>##V3_BDPV12</stp>
        <stp>912834RU Govt</stp>
        <stp>COUNTRY_FULL_NAME</stp>
        <stp>[STRIPS.xlsx]Sheet1!R759C8</stp>
        <tr r="H759" s="1"/>
      </tp>
      <tp t="s">
        <v>UNITED STATES</v>
        <stp/>
        <stp>##V3_BDPV12</stp>
        <stp>912833CU Govt</stp>
        <stp>COUNTRY_FULL_NAME</stp>
        <stp>[STRIPS.xlsx]Sheet1!R299C8</stp>
        <tr r="H299" s="1"/>
      </tp>
      <tp t="s">
        <v>UNITED STATES</v>
        <stp/>
        <stp>##V3_BDPV12</stp>
        <stp>912833ZY Govt</stp>
        <stp>COUNTRY_FULL_NAME</stp>
        <stp>[STRIPS.xlsx]Sheet1!R255C8</stp>
        <tr r="H255" s="1"/>
      </tp>
      <tp t="s">
        <v>UNITED STATES</v>
        <stp/>
        <stp>##V3_BDPV12</stp>
        <stp>912834MU Govt</stp>
        <stp>COUNTRY_FULL_NAME</stp>
        <stp>[STRIPS.xlsx]Sheet1!R419C8</stp>
        <tr r="H419" s="1"/>
      </tp>
      <tp t="s">
        <v>UNITED STATES</v>
        <stp/>
        <stp>##V3_BDPV12</stp>
        <stp>912834LT Govt</stp>
        <stp>COUNTRY_FULL_NAME</stp>
        <stp>[STRIPS.xlsx]Sheet1!R358C8</stp>
        <tr r="H358" s="1"/>
      </tp>
      <tp t="s">
        <v>UNITED STATES</v>
        <stp/>
        <stp>##V3_BDPV12</stp>
        <stp>912834LU Govt</stp>
        <stp>COUNTRY_FULL_NAME</stp>
        <stp>[STRIPS.xlsx]Sheet1!R359C8</stp>
        <tr r="H359" s="1"/>
      </tp>
      <tp t="s">
        <v>UNITED STATES</v>
        <stp/>
        <stp>##V3_BDPV12</stp>
        <stp>912834EX Govt</stp>
        <stp>COUNTRY_FULL_NAME</stp>
        <stp>[STRIPS.xlsx]Sheet1!R354C8</stp>
        <tr r="H354" s="1"/>
      </tp>
      <tp t="s">
        <v>UNITED STATES</v>
        <stp/>
        <stp>##V3_BDPV12</stp>
        <stp>912834JZ Govt</stp>
        <stp>COUNTRY_FULL_NAME</stp>
        <stp>[STRIPS.xlsx]Sheet1!R266C8</stp>
        <tr r="H266" s="1"/>
      </tp>
      <tp t="s">
        <v>UNITED STATES</v>
        <stp/>
        <stp>##V3_BDPV12</stp>
        <stp>912833FU Govt</stp>
        <stp>COUNTRY_FULL_NAME</stp>
        <stp>[STRIPS.xlsx]Sheet1!R509C8</stp>
        <tr r="H509" s="1"/>
      </tp>
      <tp t="s">
        <v>UNITED STATES</v>
        <stp/>
        <stp>##V3_BDPV12</stp>
        <stp>912833FY Govt</stp>
        <stp>COUNTRY_FULL_NAME</stp>
        <stp>[STRIPS.xlsx]Sheet1!R665C8</stp>
        <tr r="H665" s="1"/>
      </tp>
      <tp t="s">
        <v>UNITED STATES</v>
        <stp/>
        <stp>##V3_BDPV12</stp>
        <stp>912834PZ Govt</stp>
        <stp>COUNTRY_FULL_NAME</stp>
        <stp>[STRIPS.xlsx]Sheet1!R126C8</stp>
        <tr r="H126" s="1"/>
      </tp>
      <tp t="s">
        <v>7/15/2005</v>
        <stp/>
        <stp>##V3_BDPV12</stp>
        <stp>912833NL Govt</stp>
        <stp>MATURITY</stp>
        <stp>[STRIPS.xlsx]Sheet1!R335C5</stp>
        <tr r="E335" s="1"/>
      </tp>
      <tp t="s">
        <v>3/15/2011</v>
        <stp/>
        <stp>##V3_BDPV12</stp>
        <stp>912834BA Govt</stp>
        <stp>MATURITY</stp>
        <stp>[STRIPS.xlsx]Sheet1!R529C5</stp>
        <tr r="E529" s="1"/>
      </tp>
      <tp t="s">
        <v>5/15/2045</v>
        <stp/>
        <stp>##V3_BDPV12</stp>
        <stp>912834KB Govt</stp>
        <stp>MATURITY</stp>
        <stp>[STRIPS.xlsx]Sheet1!R110C5</stp>
        <tr r="E110" s="1"/>
      </tp>
      <tp t="s">
        <v>9/15/2011</v>
        <stp/>
        <stp>##V3_BDPV12</stp>
        <stp>912834BB Govt</stp>
        <stp>MATURITY</stp>
        <stp>[STRIPS.xlsx]Sheet1!R349C5</stp>
        <tr r="E349" s="1"/>
      </tp>
      <tp t="s">
        <v>1/15/2017</v>
        <stp/>
        <stp>##V3_BDPV12</stp>
        <stp>912834ND Govt</stp>
        <stp>MATURITY</stp>
        <stp>[STRIPS.xlsx]Sheet1!R545C5</stp>
        <tr r="E545" s="1"/>
      </tp>
      <tp t="s">
        <v>11/15/2014</v>
        <stp/>
        <stp>##V3_BDPV12</stp>
        <stp>912833KD Govt</stp>
        <stp>MATURITY</stp>
        <stp>[STRIPS.xlsx]Sheet1!R300C5</stp>
        <tr r="E300" s="1"/>
      </tp>
      <tp t="s">
        <v>5/15/2015</v>
        <stp/>
        <stp>##V3_BDPV12</stp>
        <stp>912833KE Govt</stp>
        <stp>MATURITY</stp>
        <stp>[STRIPS.xlsx]Sheet1!R670C5</stp>
        <tr r="E670" s="1"/>
      </tp>
      <tp t="s">
        <v>4/30/2018</v>
        <stp/>
        <stp>##V3_BDPV12</stp>
        <stp>912834KG Govt</stp>
        <stp>MATURITY</stp>
        <stp>[STRIPS.xlsx]Sheet1!R230C5</stp>
        <tr r="E230" s="1"/>
      </tp>
      <tp t="s">
        <v>NORMAL</v>
        <stp/>
        <stp>##V3_BDPV12</stp>
        <stp>912833PA Govt</stp>
        <stp>MTY_TYP</stp>
        <stp>[STRIPS.xlsx]Sheet1!R4C6</stp>
        <tr r="F4" s="1"/>
      </tp>
      <tp t="s">
        <v>S 0 05/15/26</v>
        <stp/>
        <stp>##V3_BDPV12</stp>
        <stp>912833LZ Govt</stp>
        <stp>SECURITY_NAME</stp>
        <stp>[STRIPS.xlsx]Sheet1!R9C16</stp>
        <tr r="P9" s="1"/>
      </tp>
      <tp t="s">
        <v>UNITED STATES</v>
        <stp/>
        <stp>##V3_BDPV12</stp>
        <stp>912833PA Govt</stp>
        <stp>COUNTRY_FULL_NAME</stp>
        <stp>[STRIPS.xlsx]Sheet1!R4C8</stp>
        <tr r="H4" s="1"/>
      </tp>
      <tp t="s">
        <v>S 0 08/15/25</v>
        <stp/>
        <stp>##V3_BDPV12</stp>
        <stp>912833LW Govt</stp>
        <stp>SECURITY_NAME</stp>
        <stp>[STRIPS.xlsx]Sheet1!R2C16</stp>
        <tr r="P2" s="1"/>
      </tp>
      <tp t="s">
        <v>S 0 11/15/21</v>
        <stp/>
        <stp>##V3_BDPV12</stp>
        <stp>912833LF Govt</stp>
        <stp>SECURITY_NAME</stp>
        <stp>[STRIPS.xlsx]Sheet1!R7C16</stp>
        <tr r="P7" s="1"/>
      </tp>
      <tp t="s">
        <v>11/15/2019</v>
        <stp/>
        <stp>##V3_BDPV12</stp>
        <stp>912833KX Govt</stp>
        <stp>MATURITY</stp>
        <stp>[STRIPS.xlsx]Sheet1!R157C5</stp>
        <tr r="E157" s="1"/>
      </tp>
      <tp t="s">
        <v>4/15/2018</v>
        <stp/>
        <stp>##V3_BDPV12</stp>
        <stp>912834JZ Govt</stp>
        <stp>MATURITY</stp>
        <stp>[STRIPS.xlsx]Sheet1!R266C5</stp>
        <tr r="E266" s="1"/>
      </tp>
      <tp t="s">
        <v>S</v>
        <stp/>
        <stp>##V3_BDPV12</stp>
        <stp>912833Z5 Govt</stp>
        <stp>TICKER</stp>
        <stp>[STRIPS.xlsx]Sheet1!R74C2</stp>
        <tr r="B74" s="1"/>
      </tp>
      <tp t="s">
        <v>10/15/2006</v>
        <stp/>
        <stp>##V3_BDPV12</stp>
        <stp>912833NR Govt</stp>
        <stp>MATURITY</stp>
        <stp>[STRIPS.xlsx]Sheet1!R572C5</stp>
        <tr r="E572" s="1"/>
      </tp>
      <tp t="s">
        <v>6/15/2017</v>
        <stp/>
        <stp>##V3_BDPV12</stp>
        <stp>912834NR Govt</stp>
        <stp>MATURITY</stp>
        <stp>[STRIPS.xlsx]Sheet1!R422C5</stp>
        <tr r="E422" s="1"/>
      </tp>
      <tp t="s">
        <v>USD</v>
        <stp/>
        <stp>##V3_BDPV12</stp>
        <stp>9128337Q Govt</stp>
        <stp>CRNCY</stp>
        <stp>[STRIPS.xlsx]Sheet1!R29C7</stp>
        <tr r="G29" s="1"/>
      </tp>
      <tp t="s">
        <v>8/31/2019</v>
        <stp/>
        <stp>##V3_BDPV12</stp>
        <stp>912834LS Govt</stp>
        <stp>MATURITY</stp>
        <stp>[STRIPS.xlsx]Sheet1!R270C5</stp>
        <tr r="E270" s="1"/>
      </tp>
      <tp t="s">
        <v>8/15/2015</v>
        <stp/>
        <stp>##V3_BDPV12</stp>
        <stp>912833JT Govt</stp>
        <stp>MATURITY</stp>
        <stp>[STRIPS.xlsx]Sheet1!R156C5</stp>
        <tr r="E156" s="1"/>
      </tp>
      <tp t="s">
        <v>USD</v>
        <stp/>
        <stp>##V3_BDPV12</stp>
        <stp>9128337W Govt</stp>
        <stp>CRNCY</stp>
        <stp>[STRIPS.xlsx]Sheet1!R79C7</stp>
        <tr r="G79" s="1"/>
      </tp>
      <tp t="s">
        <v>5/15/2010</v>
        <stp/>
        <stp>##V3_BDPV12</stp>
        <stp>912833JU Govt</stp>
        <stp>MATURITY</stp>
        <stp>[STRIPS.xlsx]Sheet1!R366C5</stp>
        <tr r="E366" s="1"/>
      </tp>
      <tp t="s">
        <v>8/15/2019</v>
        <stp/>
        <stp>##V3_BDPV12</stp>
        <stp>912833KW Govt</stp>
        <stp>MATURITY</stp>
        <stp>[STRIPS.xlsx]Sheet1!R177C5</stp>
        <tr r="E177" s="1"/>
      </tp>
      <tp t="s">
        <v>10/31/2019</v>
        <stp/>
        <stp>##V3_BDPV12</stp>
        <stp>912834LW Govt</stp>
        <stp>MATURITY</stp>
        <stp>[STRIPS.xlsx]Sheet1!R360C5</stp>
        <tr r="E360" s="1"/>
      </tp>
      <tp t="s">
        <v>7/15/2012</v>
        <stp/>
        <stp>##V3_BDPV12</stp>
        <stp>912834EH Govt</stp>
        <stp>MATURITY</stp>
        <stp>[STRIPS.xlsx]Sheet1!R309C5</stp>
        <tr r="E309" s="1"/>
      </tp>
      <tp t="s">
        <v>UNITED STATES</v>
        <stp/>
        <stp>##V3_BDPV12</stp>
        <stp>912834AY Govt</stp>
        <stp>COUNTRY_FULL_NAME</stp>
        <stp>[STRIPS.xlsx]Sheet1!R642C8</stp>
        <tr r="H642" s="1"/>
      </tp>
      <tp t="s">
        <v>UNITED STATES</v>
        <stp/>
        <stp>##V3_BDPV12</stp>
        <stp>912833CS Govt</stp>
        <stp>COUNTRY_FULL_NAME</stp>
        <stp>[STRIPS.xlsx]Sheet1!R298C8</stp>
        <tr r="H298" s="1"/>
      </tp>
      <tp t="s">
        <v>UNITED STATES</v>
        <stp/>
        <stp>##V3_BDPV12</stp>
        <stp>912833QX Govt</stp>
        <stp>COUNTRY_FULL_NAME</stp>
        <stp>[STRIPS.xlsx]Sheet1!R243C8</stp>
        <tr r="H243" s="1"/>
      </tp>
      <tp t="s">
        <v>UNITED STATES</v>
        <stp/>
        <stp>##V3_BDPV12</stp>
        <stp>912834PR Govt</stp>
        <stp>COUNTRY_FULL_NAME</stp>
        <stp>[STRIPS.xlsx]Sheet1!R549C8</stp>
        <tr r="H549" s="1"/>
      </tp>
      <tp t="s">
        <v>UNITED STATES</v>
        <stp/>
        <stp>##V3_BDPV12</stp>
        <stp>912834KY Govt</stp>
        <stp>COUNTRY_FULL_NAME</stp>
        <stp>[STRIPS.xlsx]Sheet1!R472C8</stp>
        <tr r="H472" s="1"/>
      </tp>
      <tp t="s">
        <v>UNITED STATES</v>
        <stp/>
        <stp>##V3_BDPV12</stp>
        <stp>912834QX Govt</stp>
        <stp>COUNTRY_FULL_NAME</stp>
        <stp>[STRIPS.xlsx]Sheet1!R423C8</stp>
        <tr r="H423" s="1"/>
      </tp>
      <tp t="s">
        <v>UNITED STATES</v>
        <stp/>
        <stp>##V3_BDPV12</stp>
        <stp>912834KS Govt</stp>
        <stp>COUNTRY_FULL_NAME</stp>
        <stp>[STRIPS.xlsx]Sheet1!R268C8</stp>
        <tr r="H268" s="1"/>
      </tp>
      <tp t="s">
        <v>UNITED STATES</v>
        <stp/>
        <stp>##V3_BDPV12</stp>
        <stp>912833CX Govt</stp>
        <stp>COUNTRY_FULL_NAME</stp>
        <stp>[STRIPS.xlsx]Sheet1!R503C8</stp>
        <tr r="H503" s="1"/>
      </tp>
      <tp t="s">
        <v>UNITED STATES</v>
        <stp/>
        <stp>##V3_BDPV12</stp>
        <stp>912833FZ Govt</stp>
        <stp>COUNTRY_FULL_NAME</stp>
        <stp>[STRIPS.xlsx]Sheet1!R511C8</stp>
        <tr r="H511" s="1"/>
      </tp>
      <tp t="s">
        <v>UNITED STATES</v>
        <stp/>
        <stp>##V3_BDPV12</stp>
        <stp>912834AZ Govt</stp>
        <stp>COUNTRY_FULL_NAME</stp>
        <stp>[STRIPS.xlsx]Sheet1!R261C8</stp>
        <tr r="H261" s="1"/>
      </tp>
      <tp t="s">
        <v>UNITED STATES</v>
        <stp/>
        <stp>##V3_BDPV12</stp>
        <stp>912833FS Govt</stp>
        <stp>COUNTRY_FULL_NAME</stp>
        <stp>[STRIPS.xlsx]Sheet1!R508C8</stp>
        <tr r="H508" s="1"/>
      </tp>
      <tp t="s">
        <v>UNITED STATES</v>
        <stp/>
        <stp>##V3_BDPV12</stp>
        <stp>912834PY Govt</stp>
        <stp>COUNTRY_FULL_NAME</stp>
        <stp>[STRIPS.xlsx]Sheet1!R202C8</stp>
        <tr r="H202" s="1"/>
      </tp>
      <tp t="s">
        <v>UNITED STATES</v>
        <stp/>
        <stp>##V3_BDPV12</stp>
        <stp>912834UZ Govt</stp>
        <stp>COUNTRY_FULL_NAME</stp>
        <stp>[STRIPS.xlsx]Sheet1!R181C8</stp>
        <tr r="H181" s="1"/>
      </tp>
      <tp t="s">
        <v>5/31/2018</v>
        <stp/>
        <stp>##V3_BDPV12</stp>
        <stp>912834KJ Govt</stp>
        <stp>MATURITY</stp>
        <stp>[STRIPS.xlsx]Sheet1!R267C5</stp>
        <tr r="E267" s="1"/>
      </tp>
      <tp t="s">
        <v>UNITED STATES</v>
        <stp/>
        <stp>##V3_BDPV12</stp>
        <stp>912833JZ Govt</stp>
        <stp>COUNTRY_FULL_NAME</stp>
        <stp>[STRIPS.xlsx]Sheet1!R741C8</stp>
        <tr r="H741" s="1"/>
      </tp>
      <tp t="s">
        <v>12/15/2013</v>
        <stp/>
        <stp>##V3_BDPV12</stp>
        <stp>912834JK Govt</stp>
        <stp>MATURITY</stp>
        <stp>[STRIPS.xlsx]Sheet1!R466C5</stp>
        <tr r="E466" s="1"/>
      </tp>
      <tp t="s">
        <v>6/15/2014</v>
        <stp/>
        <stp>##V3_BDPV12</stp>
        <stp>912834KK Govt</stp>
        <stp>MATURITY</stp>
        <stp>[STRIPS.xlsx]Sheet1!R317C5</stp>
        <tr r="E317" s="1"/>
      </tp>
      <tp t="s">
        <v>4/15/2005</v>
        <stp/>
        <stp>##V3_BDPV12</stp>
        <stp>912833NK Govt</stp>
        <stp>MATURITY</stp>
        <stp>[STRIPS.xlsx]Sheet1!R372C5</stp>
        <tr r="E372" s="1"/>
      </tp>
      <tp t="s">
        <v>10/15/1999</v>
        <stp/>
        <stp>##V3_BDPV12</stp>
        <stp>912833MM Govt</stp>
        <stp>MATURITY</stp>
        <stp>[STRIPS.xlsx]Sheet1!R371C5</stp>
        <tr r="E371" s="1"/>
      </tp>
      <tp t="s">
        <v>USD</v>
        <stp/>
        <stp>##V3_BDPV12</stp>
        <stp>9128337N Govt</stp>
        <stp>CRNCY</stp>
        <stp>[STRIPS.xlsx]Sheet1!R49C7</stp>
        <tr r="G49" s="1"/>
      </tp>
      <tp t="s">
        <v>11/15/2013</v>
        <stp/>
        <stp>##V3_BDPV12</stp>
        <stp>912833KB Govt</stp>
        <stp>MATURITY</stp>
        <stp>[STRIPS.xlsx]Sheet1!R367C5</stp>
        <tr r="E367" s="1"/>
      </tp>
      <tp t="s">
        <v>1/31/2020</v>
        <stp/>
        <stp>##V3_BDPV12</stp>
        <stp>912834MC Govt</stp>
        <stp>MATURITY</stp>
        <stp>[STRIPS.xlsx]Sheet1!R541C5</stp>
        <tr r="E541" s="1"/>
      </tp>
      <tp t="s">
        <v>9/30/2017</v>
        <stp/>
        <stp>##V3_BDPV12</stp>
        <stp>912834JE Govt</stp>
        <stp>MATURITY</stp>
        <stp>[STRIPS.xlsx]Sheet1!R646C5</stp>
        <tr r="E646" s="1"/>
      </tp>
      <tp t="s">
        <v>USD</v>
        <stp/>
        <stp>##V3_BDPV12</stp>
        <stp>9128337F Govt</stp>
        <stp>CRNCY</stp>
        <stp>[STRIPS.xlsx]Sheet1!R99C7</stp>
        <tr r="G99" s="1"/>
      </tp>
      <tp t="s">
        <v>3/15/2015</v>
        <stp/>
        <stp>##V3_BDPV12</stp>
        <stp>912834LF Govt</stp>
        <stp>MATURITY</stp>
        <stp>[STRIPS.xlsx]Sheet1!R320C5</stp>
        <tr r="E320" s="1"/>
      </tp>
      <tp t="s">
        <v>2/29/2020</v>
        <stp/>
        <stp>##V3_BDPV12</stp>
        <stp>912834MG Govt</stp>
        <stp>MATURITY</stp>
        <stp>[STRIPS.xlsx]Sheet1!R271C5</stp>
        <tr r="E271" s="1"/>
      </tp>
      <tp t="s">
        <v>9/30/2021</v>
        <stp/>
        <stp>##V3_BDPV12</stp>
        <stp>912834NY Govt</stp>
        <stp>MATURITY</stp>
        <stp>[STRIPS.xlsx]Sheet1!R143C5</stp>
        <tr r="E143" s="1"/>
      </tp>
      <tp t="s">
        <v>7/15/2013</v>
        <stp/>
        <stp>##V3_BDPV12</stp>
        <stp>912834HZ Govt</stp>
        <stp>MATURITY</stp>
        <stp>[STRIPS.xlsx]Sheet1!R265C5</stp>
        <tr r="E265" s="1"/>
      </tp>
      <tp t="s">
        <v>4/15/2006</v>
        <stp/>
        <stp>##V3_BDPV12</stp>
        <stp>912833NP Govt</stp>
        <stp>MATURITY</stp>
        <stp>[STRIPS.xlsx]Sheet1!R373C5</stp>
        <tr r="E373" s="1"/>
      </tp>
      <tp t="s">
        <v>2/15/2018</v>
        <stp/>
        <stp>##V3_BDPV12</stp>
        <stp>912833KQ Govt</stp>
        <stp>MATURITY</stp>
        <stp>[STRIPS.xlsx]Sheet1!R566C5</stp>
        <tr r="E566" s="1"/>
      </tp>
      <tp t="s">
        <v>5/31/2021</v>
        <stp/>
        <stp>##V3_BDPV12</stp>
        <stp>912834NQ Govt</stp>
        <stp>MATURITY</stp>
        <stp>[STRIPS.xlsx]Sheet1!R273C5</stp>
        <tr r="E273" s="1"/>
      </tp>
      <tp t="s">
        <v>S</v>
        <stp/>
        <stp>##V3_BDPV12</stp>
        <stp>912833X9 Govt</stp>
        <stp>TICKER</stp>
        <stp>[STRIPS.xlsx]Sheet1!R59C2</stp>
        <tr r="B59" s="1"/>
      </tp>
      <tp t="s">
        <v>3/15/2013</v>
        <stp/>
        <stp>##V3_BDPV12</stp>
        <stp>912834HR Govt</stp>
        <stp>MATURITY</stp>
        <stp>[STRIPS.xlsx]Sheet1!R535C5</stp>
        <tr r="E535" s="1"/>
      </tp>
      <tp t="s">
        <v>8/15/2018</v>
        <stp/>
        <stp>##V3_BDPV12</stp>
        <stp>912833KS Govt</stp>
        <stp>MATURITY</stp>
        <stp>[STRIPS.xlsx]Sheet1!R176C5</stp>
        <tr r="E176" s="1"/>
      </tp>
      <tp t="s">
        <v>3/15/2014</v>
        <stp/>
        <stp>##V3_BDPV12</stp>
        <stp>912834JT Govt</stp>
        <stp>MATURITY</stp>
        <stp>[STRIPS.xlsx]Sheet1!R467C5</stp>
        <tr r="E467" s="1"/>
      </tp>
      <tp t="s">
        <v>4/15/2013</v>
        <stp/>
        <stp>##V3_BDPV12</stp>
        <stp>912834HT Govt</stp>
        <stp>MATURITY</stp>
        <stp>[STRIPS.xlsx]Sheet1!R355C5</stp>
        <tr r="E355" s="1"/>
      </tp>
      <tp t="s">
        <v>UNITED STATES</v>
        <stp/>
        <stp>##V3_BDPV12</stp>
        <stp>9128334S Govt</stp>
        <stp>COUNTRY_FULL_NAME</stp>
        <stp>[STRIPS.xlsx]Sheet1!R5C8</stp>
        <tr r="H5" s="1"/>
      </tp>
      <tp t="s">
        <v>4/30/2017</v>
        <stp/>
        <stp>##V3_BDPV12</stp>
        <stp>912834HU Govt</stp>
        <stp>MATURITY</stp>
        <stp>[STRIPS.xlsx]Sheet1!R225C5</stp>
        <tr r="E225" s="1"/>
      </tp>
      <tp t="s">
        <v>UNITED STATES</v>
        <stp/>
        <stp>##V3_BDPV12</stp>
        <stp>912833JY Govt</stp>
        <stp>COUNTRY_FULL_NAME</stp>
        <stp>[STRIPS.xlsx]Sheet1!R173C8</stp>
        <tr r="H173" s="1"/>
      </tp>
      <tp t="s">
        <v>UNITED STATES</v>
        <stp/>
        <stp>##V3_BDPV12</stp>
        <stp>912833CZ Govt</stp>
        <stp>COUNTRY_FULL_NAME</stp>
        <stp>[STRIPS.xlsx]Sheet1!R220C8</stp>
        <tr r="H220" s="1"/>
      </tp>
      <tp t="s">
        <v>UNITED STATES</v>
        <stp/>
        <stp>##V3_BDPV12</stp>
        <stp>912833PZ Govt</stp>
        <stp>COUNTRY_FULL_NAME</stp>
        <stp>[STRIPS.xlsx]Sheet1!R240C8</stp>
        <tr r="H240" s="1"/>
      </tp>
      <tp t="s">
        <v>UNITED STATES</v>
        <stp/>
        <stp>##V3_BDPV12</stp>
        <stp>912834DZ Govt</stp>
        <stp>COUNTRY_FULL_NAME</stp>
        <stp>[STRIPS.xlsx]Sheet1!R460C8</stp>
        <tr r="H460" s="1"/>
      </tp>
      <tp t="s">
        <v>UNITED STATES</v>
        <stp/>
        <stp>##V3_BDPV12</stp>
        <stp>912833CY Govt</stp>
        <stp>COUNTRY_FULL_NAME</stp>
        <stp>[STRIPS.xlsx]Sheet1!R363C8</stp>
        <tr r="H363" s="1"/>
      </tp>
      <tp t="s">
        <v>UNITED STATES</v>
        <stp/>
        <stp>##V3_BDPV12</stp>
        <stp>912834PX Govt</stp>
        <stp>COUNTRY_FULL_NAME</stp>
        <stp>[STRIPS.xlsx]Sheet1!R412C8</stp>
        <tr r="H412" s="1"/>
      </tp>
      <tp t="s">
        <v>UNITED STATES</v>
        <stp/>
        <stp>##V3_BDPV12</stp>
        <stp>9128336R Govt</stp>
        <stp>COUNTRY_FULL_NAME</stp>
        <stp>[STRIPS.xlsx]Sheet1!R498C8</stp>
        <tr r="H498" s="1"/>
      </tp>
      <tp t="s">
        <v>UNITED STATES</v>
        <stp/>
        <stp>##V3_BDPV12</stp>
        <stp>9128336Z Govt</stp>
        <stp>COUNTRY_FULL_NAME</stp>
        <stp>[STRIPS.xlsx]Sheet1!R430C8</stp>
        <tr r="H430" s="1"/>
      </tp>
      <tp t="s">
        <v>UNITED STATES</v>
        <stp/>
        <stp>##V3_BDPV12</stp>
        <stp>912834EY Govt</stp>
        <stp>COUNTRY_FULL_NAME</stp>
        <stp>[STRIPS.xlsx]Sheet1!R313C8</stp>
        <tr r="H313" s="1"/>
      </tp>
      <tp t="s">
        <v>UNITED STATES</v>
        <stp/>
        <stp>##V3_BDPV12</stp>
        <stp>912833YY Govt</stp>
        <stp>COUNTRY_FULL_NAME</stp>
        <stp>[STRIPS.xlsx]Sheet1!R453C8</stp>
        <tr r="H453" s="1"/>
      </tp>
      <tp t="s">
        <v>UNITED STATES</v>
        <stp/>
        <stp>##V3_BDPV12</stp>
        <stp>912833KY Govt</stp>
        <stp>COUNTRY_FULL_NAME</stp>
        <stp>[STRIPS.xlsx]Sheet1!R513C8</stp>
        <tr r="H513" s="1"/>
      </tp>
      <tp t="s">
        <v>UNITED STATES</v>
        <stp/>
        <stp>##V3_BDPV12</stp>
        <stp>912834PS Govt</stp>
        <stp>COUNTRY_FULL_NAME</stp>
        <stp>[STRIPS.xlsx]Sheet1!R209C8</stp>
        <tr r="H209" s="1"/>
      </tp>
      <tp t="s">
        <v>1/15/1999</v>
        <stp/>
        <stp>##V3_BDPV12</stp>
        <stp>912833MJ Govt</stp>
        <stp>MATURITY</stp>
        <stp>[STRIPS.xlsx]Sheet1!R370C5</stp>
        <tr r="E370" s="1"/>
      </tp>
      <tp t="s">
        <v>UNITED STATES</v>
        <stp/>
        <stp>##V3_BDPV12</stp>
        <stp>9128335S Govt</stp>
        <stp>COUNTRY_FULL_NAME</stp>
        <stp>[STRIPS.xlsx]Sheet1!R649C8</stp>
        <tr r="H649" s="1"/>
      </tp>
      <tp t="s">
        <v>UNITED STATES</v>
        <stp/>
        <stp>##V3_BDPV12</stp>
        <stp>9128335Z Govt</stp>
        <stp>COUNTRY_FULL_NAME</stp>
        <stp>[STRIPS.xlsx]Sheet1!R650C8</stp>
        <tr r="H650" s="1"/>
      </tp>
      <tp t="s">
        <v>UNITED STATES</v>
        <stp/>
        <stp>##V3_BDPV12</stp>
        <stp>912834NY Govt</stp>
        <stp>COUNTRY_FULL_NAME</stp>
        <stp>[STRIPS.xlsx]Sheet1!R143C8</stp>
        <tr r="H143" s="1"/>
      </tp>
      <tp t="s">
        <v>UNITED STATES</v>
        <stp/>
        <stp>##V3_BDPV12</stp>
        <stp>912833FX Govt</stp>
        <stp>COUNTRY_FULL_NAME</stp>
        <stp>[STRIPS.xlsx]Sheet1!R622C8</stp>
        <tr r="H622" s="1"/>
      </tp>
      <tp t="s">
        <v>UNITED STATES</v>
        <stp/>
        <stp>##V3_BDPV12</stp>
        <stp>912834UX Govt</stp>
        <stp>COUNTRY_FULL_NAME</stp>
        <stp>[STRIPS.xlsx]Sheet1!R182C8</stp>
        <tr r="H182" s="1"/>
      </tp>
      <tp t="s">
        <v>UNITED STATES</v>
        <stp/>
        <stp>##V3_BDPV12</stp>
        <stp>912833QY Govt</stp>
        <stp>COUNTRY_FULL_NAME</stp>
        <stp>[STRIPS.xlsx]Sheet1!R633C8</stp>
        <tr r="H633" s="1"/>
      </tp>
      <tp t="s">
        <v>UNITED STATES</v>
        <stp/>
        <stp>##V3_BDPV12</stp>
        <stp>912834RS Govt</stp>
        <stp>COUNTRY_FULL_NAME</stp>
        <stp>[STRIPS.xlsx]Sheet1!R169C8</stp>
        <tr r="H169" s="1"/>
      </tp>
      <tp t="s">
        <v>1/15/2014</v>
        <stp/>
        <stp>##V3_BDPV12</stp>
        <stp>912834JM Govt</stp>
        <stp>MATURITY</stp>
        <stp>[STRIPS.xlsx]Sheet1!R397C5</stp>
        <tr r="E397" s="1"/>
      </tp>
      <tp t="s">
        <v>1/31/2018</v>
        <stp/>
        <stp>##V3_BDPV12</stp>
        <stp>912834JN Govt</stp>
        <stp>MATURITY</stp>
        <stp>[STRIPS.xlsx]Sheet1!R357C5</stp>
        <tr r="E357" s="1"/>
      </tp>
      <tp t="s">
        <v>6/30/2019</v>
        <stp/>
        <stp>##V3_BDPV12</stp>
        <stp>912834LN Govt</stp>
        <stp>MATURITY</stp>
        <stp>[STRIPS.xlsx]Sheet1!R231C5</stp>
        <tr r="E231" s="1"/>
      </tp>
      <tp t="s">
        <v>7/31/2017</v>
        <stp/>
        <stp>##V3_BDPV12</stp>
        <stp>912834JA Govt</stp>
        <stp>MATURITY</stp>
        <stp>[STRIPS.xlsx]Sheet1!R537C5</stp>
        <tr r="E537" s="1"/>
      </tp>
      <tp t="s">
        <v>1/15/2016</v>
        <stp/>
        <stp>##V3_BDPV12</stp>
        <stp>912834MB Govt</stp>
        <stp>MATURITY</stp>
        <stp>[STRIPS.xlsx]Sheet1!R540C5</stp>
        <tr r="E540" s="1"/>
      </tp>
      <tp t="s">
        <v>8/31/2017</v>
        <stp/>
        <stp>##V3_BDPV12</stp>
        <stp>912834JC Govt</stp>
        <stp>MATURITY</stp>
        <stp>[STRIPS.xlsx]Sheet1!R227C5</stp>
        <tr r="E227" s="1"/>
      </tp>
      <tp t="s">
        <v>2/15/2013</v>
        <stp/>
        <stp>##V3_BDPV12</stp>
        <stp>912833DD Govt</stp>
        <stp>MATURITY</stp>
        <stp>[STRIPS.xlsx]Sheet1!R659C5</stp>
        <tr r="E659" s="1"/>
      </tp>
      <tp t="s">
        <v>5/15/2021</v>
        <stp/>
        <stp>##V3_BDPV12</stp>
        <stp>912833LD Govt</stp>
        <stp>MATURITY</stp>
        <stp>[STRIPS.xlsx]Sheet1!R151C5</stp>
        <tr r="E151" s="1"/>
      </tp>
      <tp t="s">
        <v>3/31/2018</v>
        <stp/>
        <stp>##V3_BDPV12</stp>
        <stp>912834KE Govt</stp>
        <stp>MATURITY</stp>
        <stp>[STRIPS.xlsx]Sheet1!R316C5</stp>
        <tr r="E316" s="1"/>
      </tp>
      <tp t="s">
        <v>10/15/2013</v>
        <stp/>
        <stp>##V3_BDPV12</stp>
        <stp>912834JF Govt</stp>
        <stp>MATURITY</stp>
        <stp>[STRIPS.xlsx]Sheet1!R647C5</stp>
        <tr r="E647" s="1"/>
      </tp>
      <tp t="s">
        <v>3/31/2019</v>
        <stp/>
        <stp>##V3_BDPV12</stp>
        <stp>912834LG Govt</stp>
        <stp>MATURITY</stp>
        <stp>[STRIPS.xlsx]Sheet1!R321C5</stp>
        <tr r="E321" s="1"/>
      </tp>
      <tp t="s">
        <v>S</v>
        <stp/>
        <stp>##V3_BDPV12</stp>
        <stp>912834WZ Govt</stp>
        <stp>TICKER</stp>
        <stp>[STRIPS.xlsx]Sheet1!R6C2</stp>
        <tr r="B6" s="1"/>
      </tp>
      <tp t="s">
        <v>9/15/2017</v>
        <stp/>
        <stp>##V3_BDPV12</stp>
        <stp>912834NX Govt</stp>
        <stp>MATURITY</stp>
        <stp>[STRIPS.xlsx]Sheet1!R410C5</stp>
        <tr r="E410" s="1"/>
      </tp>
      <tp t="s">
        <v>6/15/2013</v>
        <stp/>
        <stp>##V3_BDPV12</stp>
        <stp>912834HX Govt</stp>
        <stp>MATURITY</stp>
        <stp>[STRIPS.xlsx]Sheet1!R356C5</stp>
        <tr r="E356" s="1"/>
      </tp>
      <tp t="s">
        <v>6/30/2017</v>
        <stp/>
        <stp>##V3_BDPV12</stp>
        <stp>912834HY Govt</stp>
        <stp>MATURITY</stp>
        <stp>[STRIPS.xlsx]Sheet1!R226C5</stp>
        <tr r="E226" s="1"/>
      </tp>
      <tp t="s">
        <v>5/15/2044</v>
        <stp/>
        <stp>##V3_BDPV12</stp>
        <stp>912834NP Govt</stp>
        <stp>MATURITY</stp>
        <stp>[STRIPS.xlsx]Sheet1!R130C5</stp>
        <tr r="E130" s="1"/>
      </tp>
      <tp t="s">
        <v>10/15/2000</v>
        <stp/>
        <stp>##V3_BDPV12</stp>
        <stp>912833MR Govt</stp>
        <stp>MATURITY</stp>
        <stp>[STRIPS.xlsx]Sheet1!R333C5</stp>
        <tr r="E333" s="1"/>
      </tp>
      <tp t="s">
        <v>5/15/2003</v>
        <stp/>
        <stp>##V3_BDPV12</stp>
        <stp>912833FS Govt</stp>
        <stp>MATURITY</stp>
        <stp>[STRIPS.xlsx]Sheet1!R508C5</stp>
        <tr r="E508" s="1"/>
      </tp>
      <tp t="s">
        <v>3/31/2017</v>
        <stp/>
        <stp>##V3_BDPV12</stp>
        <stp>912834HS Govt</stp>
        <stp>MATURITY</stp>
        <stp>[STRIPS.xlsx]Sheet1!R396C5</stp>
        <tr r="E396" s="1"/>
      </tp>
      <tp t="s">
        <v>9/15/2016</v>
        <stp/>
        <stp>##V3_BDPV12</stp>
        <stp>912834MV Govt</stp>
        <stp>MATURITY</stp>
        <stp>[STRIPS.xlsx]Sheet1!R543C5</stp>
        <tr r="E543" s="1"/>
      </tp>
      <tp t="s">
        <v>10/15/2015</v>
        <stp/>
        <stp>##V3_BDPV12</stp>
        <stp>912834LV Govt</stp>
        <stp>MATURITY</stp>
        <stp>[STRIPS.xlsx]Sheet1!R232C5</stp>
        <tr r="E232" s="1"/>
      </tp>
      <tp t="s">
        <v>5/31/2017</v>
        <stp/>
        <stp>##V3_BDPV12</stp>
        <stp>912834HW Govt</stp>
        <stp>MATURITY</stp>
        <stp>[STRIPS.xlsx]Sheet1!R536C5</stp>
        <tr r="E536" s="1"/>
      </tp>
      <tp t="s">
        <v>USD</v>
        <stp/>
        <stp>##V3_BDPV12</stp>
        <stp>9128334T Govt</stp>
        <stp>CRNCY</stp>
        <stp>[STRIPS.xlsx]Sheet1!R48C7</stp>
        <tr r="G48" s="1"/>
      </tp>
      <tp t="s">
        <v>5/15/2016</v>
        <stp/>
        <stp>##V3_BDPV12</stp>
        <stp>912833KH Govt</stp>
        <stp>MATURITY</stp>
        <stp>[STRIPS.xlsx]Sheet1!R565C5</stp>
        <tr r="E565" s="1"/>
      </tp>
      <tp t="s">
        <v>4/15/2015</v>
        <stp/>
        <stp>##V3_BDPV12</stp>
        <stp>912834LH Govt</stp>
        <stp>MATURITY</stp>
        <stp>[STRIPS.xlsx]Sheet1!R322C5</stp>
        <tr r="E322" s="1"/>
      </tp>
      <tp t="s">
        <v>UNITED STATES</v>
        <stp/>
        <stp>##V3_BDPV12</stp>
        <stp>912834TQ Govt</stp>
        <stp>COUNTRY_FULL_NAME</stp>
        <stp>[STRIPS.xlsx]Sheet1!R758C8</stp>
        <tr r="H758" s="1"/>
      </tp>
      <tp t="s">
        <v>2/28/2021</v>
        <stp/>
        <stp>##V3_BDPV12</stp>
        <stp>912834NJ Govt</stp>
        <stp>MATURITY</stp>
        <stp>[STRIPS.xlsx]Sheet1!R420C5</stp>
        <tr r="E420" s="1"/>
      </tp>
      <tp t="s">
        <v>UNITED STATES</v>
        <stp/>
        <stp>##V3_BDPV12</stp>
        <stp>912834KX Govt</stp>
        <stp>COUNTRY_FULL_NAME</stp>
        <stp>[STRIPS.xlsx]Sheet1!R471C8</stp>
        <tr r="H471" s="1"/>
      </tp>
      <tp t="s">
        <v>UNITED STATES</v>
        <stp/>
        <stp>##V3_BDPV12</stp>
        <stp>912834MQ Govt</stp>
        <stp>COUNTRY_FULL_NAME</stp>
        <stp>[STRIPS.xlsx]Sheet1!R418C8</stp>
        <tr r="H418" s="1"/>
      </tp>
      <tp t="s">
        <v>UNITED STATES</v>
        <stp/>
        <stp>##V3_BDPV12</stp>
        <stp>912833BX Govt</stp>
        <stp>COUNTRY_FULL_NAME</stp>
        <stp>[STRIPS.xlsx]Sheet1!R361C8</stp>
        <tr r="H361" s="1"/>
      </tp>
      <tp t="s">
        <v>UNITED STATES</v>
        <stp/>
        <stp>##V3_BDPV12</stp>
        <stp>912833YX Govt</stp>
        <stp>COUNTRY_FULL_NAME</stp>
        <stp>[STRIPS.xlsx]Sheet1!R381C8</stp>
        <tr r="H381" s="1"/>
      </tp>
      <tp t="s">
        <v>UNITED STATES</v>
        <stp/>
        <stp>##V3_BDPV12</stp>
        <stp>912833PY Govt</stp>
        <stp>COUNTRY_FULL_NAME</stp>
        <stp>[STRIPS.xlsx]Sheet1!R340C8</stp>
        <tr r="H340" s="1"/>
      </tp>
      <tp t="s">
        <v>UNITED STATES</v>
        <stp/>
        <stp>##V3_BDPV12</stp>
        <stp>912834BP Govt</stp>
        <stp>COUNTRY_FULL_NAME</stp>
        <stp>[STRIPS.xlsx]Sheet1!R389C8</stp>
        <tr r="H389" s="1"/>
      </tp>
      <tp t="s">
        <v>UNITED STATES</v>
        <stp/>
        <stp>##V3_BDPV12</stp>
        <stp>912834KQ Govt</stp>
        <stp>COUNTRY_FULL_NAME</stp>
        <stp>[STRIPS.xlsx]Sheet1!R318C8</stp>
        <tr r="H318" s="1"/>
      </tp>
      <tp t="s">
        <v>UNITED STATES</v>
        <stp/>
        <stp>##V3_BDPV12</stp>
        <stp>912834DX Govt</stp>
        <stp>COUNTRY_FULL_NAME</stp>
        <stp>[STRIPS.xlsx]Sheet1!R391C8</stp>
        <tr r="H391" s="1"/>
      </tp>
      <tp t="s">
        <v>UNITED STATES</v>
        <stp/>
        <stp>##V3_BDPV12</stp>
        <stp>912833CQ Govt</stp>
        <stp>COUNTRY_FULL_NAME</stp>
        <stp>[STRIPS.xlsx]Sheet1!R438C8</stp>
        <tr r="H438" s="1"/>
      </tp>
      <tp t="s">
        <v>UNITED STATES</v>
        <stp/>
        <stp>##V3_BDPV12</stp>
        <stp>912834JX Govt</stp>
        <stp>COUNTRY_FULL_NAME</stp>
        <stp>[STRIPS.xlsx]Sheet1!R221C8</stp>
        <tr r="H221" s="1"/>
      </tp>
      <tp t="s">
        <v>UNITED STATES</v>
        <stp/>
        <stp>##V3_BDPV12</stp>
        <stp>9128333X Govt</stp>
        <stp>COUNTRY_FULL_NAME</stp>
        <stp>[STRIPS.xlsx]Sheet1!R601C8</stp>
        <tr r="H601" s="1"/>
      </tp>
      <tp t="s">
        <v>3/31/2020</v>
        <stp/>
        <stp>##V3_BDPV12</stp>
        <stp>912834MJ Govt</stp>
        <stp>MATURITY</stp>
        <stp>[STRIPS.xlsx]Sheet1!R233C5</stp>
        <tr r="E233" s="1"/>
      </tp>
      <tp t="s">
        <v>UNITED STATES</v>
        <stp/>
        <stp>##V3_BDPV12</stp>
        <stp>9128336P Govt</stp>
        <stp>COUNTRY_FULL_NAME</stp>
        <stp>[STRIPS.xlsx]Sheet1!R729C8</stp>
        <tr r="H729" s="1"/>
      </tp>
      <tp t="s">
        <v>5/15/2001</v>
        <stp/>
        <stp>##V3_BDPV12</stp>
        <stp>912833FN Govt</stp>
        <stp>MATURITY</stp>
        <stp>[STRIPS.xlsx]Sheet1!R738C5</stp>
        <tr r="E738" s="1"/>
      </tp>
      <tp t="s">
        <v>5/15/2007</v>
        <stp/>
        <stp>##V3_BDPV12</stp>
        <stp>912833GA Govt</stp>
        <stp>MATURITY</stp>
        <stp>[STRIPS.xlsx]Sheet1!R439C5</stp>
        <tr r="E439" s="1"/>
      </tp>
      <tp t="s">
        <v>1/31/2019</v>
        <stp/>
        <stp>##V3_BDPV12</stp>
        <stp>912834LA Govt</stp>
        <stp>MATURITY</stp>
        <stp>[STRIPS.xlsx]Sheet1!R402C5</stp>
        <tr r="E402" s="1"/>
      </tp>
      <tp t="s">
        <v>4/30/2022</v>
        <stp/>
        <stp>##V3_BDPV12</stp>
        <stp>912834KA Govt</stp>
        <stp>MATURITY</stp>
        <stp>[STRIPS.xlsx]Sheet1!R165C5</stp>
        <tr r="E165" s="1"/>
      </tp>
      <tp t="s">
        <v>11/15/2020</v>
        <stp/>
        <stp>##V3_BDPV12</stp>
        <stp>912833LB Govt</stp>
        <stp>MATURITY</stp>
        <stp>[STRIPS.xlsx]Sheet1!R332C5</stp>
        <tr r="E332" s="1"/>
      </tp>
      <tp t="s">
        <v>7/15/2003</v>
        <stp/>
        <stp>##V3_BDPV12</stp>
        <stp>912833NC Govt</stp>
        <stp>MATURITY</stp>
        <stp>[STRIPS.xlsx]Sheet1!R570C5</stp>
        <tr r="E570" s="1"/>
      </tp>
      <tp t="s">
        <v>9/15/2013</v>
        <stp/>
        <stp>##V3_BDPV12</stp>
        <stp>912834JD Govt</stp>
        <stp>MATURITY</stp>
        <stp>[STRIPS.xlsx]Sheet1!R314C5</stp>
        <tr r="E314" s="1"/>
      </tp>
      <tp t="s">
        <v>11/15/1997</v>
        <stp/>
        <stp>##V3_BDPV12</stp>
        <stp>912833FF Govt</stp>
        <stp>MATURITY</stp>
        <stp>[STRIPS.xlsx]Sheet1!R618C5</stp>
        <tr r="E618" s="1"/>
      </tp>
      <tp t="s">
        <v>UNITED STATES</v>
        <stp/>
        <stp>##V3_BDPV12</stp>
        <stp>912833LF Govt</stp>
        <stp>COUNTRY_FULL_NAME</stp>
        <stp>[STRIPS.xlsx]Sheet1!R7C8</stp>
        <tr r="H7" s="1"/>
      </tp>
      <tp t="s">
        <v>6/15/2016</v>
        <stp/>
        <stp>##V3_BDPV12</stp>
        <stp>912834MP Govt</stp>
        <stp>MATURITY</stp>
        <stp>[STRIPS.xlsx]Sheet1!R542C5</stp>
        <tr r="E542" s="1"/>
      </tp>
      <tp t="s">
        <v>7/15/2016</v>
        <stp/>
        <stp>##V3_BDPV12</stp>
        <stp>912834MR Govt</stp>
        <stp>MATURITY</stp>
        <stp>[STRIPS.xlsx]Sheet1!R272C5</stp>
        <tr r="E272" s="1"/>
      </tp>
      <tp t="s">
        <v>2/28/2018</v>
        <stp/>
        <stp>##V3_BDPV12</stp>
        <stp>912834JS Govt</stp>
        <stp>MATURITY</stp>
        <stp>[STRIPS.xlsx]Sheet1!R315C5</stp>
        <tr r="E315" s="1"/>
      </tp>
      <tp t="s">
        <v>5/15/2004</v>
        <stp/>
        <stp>##V3_BDPV12</stp>
        <stp>912833FU Govt</stp>
        <stp>MATURITY</stp>
        <stp>[STRIPS.xlsx]Sheet1!R509C5</stp>
        <tr r="E509" s="1"/>
      </tp>
      <tp t="s">
        <v>2/15/2019</v>
        <stp/>
        <stp>##V3_BDPV12</stp>
        <stp>912833KU Govt</stp>
        <stp>MATURITY</stp>
        <stp>[STRIPS.xlsx]Sheet1!R444C5</stp>
        <tr r="E444" s="1"/>
      </tp>
      <tp t="s">
        <v>USD</v>
        <stp/>
        <stp>##V3_BDPV12</stp>
        <stp>9128334V Govt</stp>
        <stp>CRNCY</stp>
        <stp>[STRIPS.xlsx]Sheet1!R69C7</stp>
        <tr r="G69" s="1"/>
      </tp>
      <tp t="s">
        <v>5/15/2005</v>
        <stp/>
        <stp>##V3_BDPV12</stp>
        <stp>912833FW Govt</stp>
        <stp>MATURITY</stp>
        <stp>[STRIPS.xlsx]Sheet1!R739C5</stp>
        <tr r="E739" s="1"/>
      </tp>
      <tp t="s">
        <v>11/30/2017</v>
        <stp/>
        <stp>##V3_BDPV12</stp>
        <stp>912834JJ Govt</stp>
        <stp>MATURITY</stp>
        <stp>[STRIPS.xlsx]Sheet1!R465C5</stp>
        <tr r="E465" s="1"/>
      </tp>
      <tp t="s">
        <v>4/30/2019</v>
        <stp/>
        <stp>##V3_BDPV12</stp>
        <stp>912834LJ Govt</stp>
        <stp>MATURITY</stp>
        <stp>[STRIPS.xlsx]Sheet1!R403C5</stp>
        <tr r="E403" s="1"/>
      </tp>
      <tp t="s">
        <v>UNITED STATES</v>
        <stp/>
        <stp>##V3_BDPV12</stp>
        <stp>912833KZ Govt</stp>
        <stp>COUNTRY_FULL_NAME</stp>
        <stp>[STRIPS.xlsx]Sheet1!R152C8</stp>
        <tr r="H152" s="1"/>
      </tp>
      <tp t="s">
        <v>UNITED STATES</v>
        <stp/>
        <stp>##V3_BDPV12</stp>
        <stp>9128336X Govt</stp>
        <stp>COUNTRY_FULL_NAME</stp>
        <stp>[STRIPS.xlsx]Sheet1!R290C8</stp>
        <tr r="H290" s="1"/>
      </tp>
      <tp t="s">
        <v>UNITED STATES</v>
        <stp/>
        <stp>##V3_BDPV12</stp>
        <stp>912834NX Govt</stp>
        <stp>COUNTRY_FULL_NAME</stp>
        <stp>[STRIPS.xlsx]Sheet1!R410C8</stp>
        <tr r="H410" s="1"/>
      </tp>
      <tp t="s">
        <v>UNITED STATES</v>
        <stp/>
        <stp>##V3_BDPV12</stp>
        <stp>912834BQ Govt</stp>
        <stp>COUNTRY_FULL_NAME</stp>
        <stp>[STRIPS.xlsx]Sheet1!R459C8</stp>
        <tr r="H459" s="1"/>
      </tp>
      <tp t="s">
        <v>UNITED STATES</v>
        <stp/>
        <stp>##V3_BDPV12</stp>
        <stp>912833BY Govt</stp>
        <stp>COUNTRY_FULL_NAME</stp>
        <stp>[STRIPS.xlsx]Sheet1!R501C8</stp>
        <tr r="H501" s="1"/>
      </tp>
      <tp t="s">
        <v>UNITED STATES</v>
        <stp/>
        <stp>##V3_BDPV12</stp>
        <stp>912833BZ Govt</stp>
        <stp>COUNTRY_FULL_NAME</stp>
        <stp>[STRIPS.xlsx]Sheet1!R562C8</stp>
        <tr r="H562" s="1"/>
      </tp>
      <tp t="s">
        <v>UNITED STATES</v>
        <stp/>
        <stp>##V3_BDPV12</stp>
        <stp>9128333Z Govt</stp>
        <stp>COUNTRY_FULL_NAME</stp>
        <stp>[STRIPS.xlsx]Sheet1!R602C8</stp>
        <tr r="H602" s="1"/>
      </tp>
      <tp t="s">
        <v>UNITED STATES</v>
        <stp/>
        <stp>##V3_BDPV12</stp>
        <stp>912833ZQ Govt</stp>
        <stp>COUNTRY_FULL_NAME</stp>
        <stp>[STRIPS.xlsx]Sheet1!R639C8</stp>
        <tr r="H639" s="1"/>
      </tp>
      <tp t="s">
        <v>UNITED STATES</v>
        <stp/>
        <stp>##V3_BDPV12</stp>
        <stp>912834QP Govt</stp>
        <stp>COUNTRY_FULL_NAME</stp>
        <stp>[STRIPS.xlsx]Sheet1!R108C8</stp>
        <tr r="H108" s="1"/>
      </tp>
      <tp t="s">
        <v>UNITED STATES</v>
        <stp/>
        <stp>##V3_BDPV12</stp>
        <stp>9128333Q Govt</stp>
        <stp>COUNTRY_FULL_NAME</stp>
        <stp>[STRIPS.xlsx]Sheet1!R719C8</stp>
        <tr r="H719" s="1"/>
      </tp>
      <tp t="s">
        <v>5/31/2019</v>
        <stp/>
        <stp>##V3_BDPV12</stp>
        <stp>912834LL Govt</stp>
        <stp>MATURITY</stp>
        <stp>[STRIPS.xlsx]Sheet1!R323C5</stp>
        <tr r="E323" s="1"/>
      </tp>
      <tp t="s">
        <v>11/15/2000</v>
        <stp/>
        <stp>##V3_BDPV12</stp>
        <stp>912833FM Govt</stp>
        <stp>MATURITY</stp>
        <stp>[STRIPS.xlsx]Sheet1!R619C5</stp>
        <tr r="E619" s="1"/>
      </tp>
      <tp t="s">
        <v>4/30/2021</v>
        <stp/>
        <stp>##V3_BDPV12</stp>
        <stp>912834NN Govt</stp>
        <stp>MATURITY</stp>
        <stp>[STRIPS.xlsx]Sheet1!R421C5</stp>
        <tr r="E421" s="1"/>
      </tp>
      <tp t="s">
        <v>12/31/2019</v>
        <stp/>
        <stp>##V3_BDPV12</stp>
        <stp>912834MA Govt</stp>
        <stp>MATURITY</stp>
        <stp>[STRIPS.xlsx]Sheet1!R172C5</stp>
        <tr r="E172" s="1"/>
      </tp>
      <tp t="s">
        <v>2/15/2021</v>
        <stp/>
        <stp>##V3_BDPV12</stp>
        <stp>912833LC Govt</stp>
        <stp>MATURITY</stp>
        <stp>[STRIPS.xlsx]Sheet1!R673C5</stp>
        <tr r="E673" s="1"/>
      </tp>
      <tp t="s">
        <v>1/15/2004</v>
        <stp/>
        <stp>##V3_BDPV12</stp>
        <stp>912833NE Govt</stp>
        <stp>MATURITY</stp>
        <stp>[STRIPS.xlsx]Sheet1!R571C5</stp>
        <tr r="E571" s="1"/>
      </tp>
      <tp t="s">
        <v>2/28/2019</v>
        <stp/>
        <stp>##V3_BDPV12</stp>
        <stp>912834LE Govt</stp>
        <stp>MATURITY</stp>
        <stp>[STRIPS.xlsx]Sheet1!R473C5</stp>
        <tr r="E473" s="1"/>
      </tp>
      <tp t="s">
        <v>8/15/2021</v>
        <stp/>
        <stp>##V3_BDPV12</stp>
        <stp>912833LE Govt</stp>
        <stp>MATURITY</stp>
        <stp>[STRIPS.xlsx]Sheet1!R153C5</stp>
        <tr r="E153" s="1"/>
      </tp>
      <tp t="s">
        <v>S</v>
        <stp/>
        <stp>##V3_BDPV12</stp>
        <stp>912833PB Govt</stp>
        <stp>TICKER</stp>
        <stp>[STRIPS.xlsx]Sheet1!R3C2</stp>
        <tr r="B3" s="1"/>
      </tp>
      <tp t="s">
        <v>NORMAL</v>
        <stp/>
        <stp>##V3_BDPV12</stp>
        <stp>912833LF Govt</stp>
        <stp>MTY_TYP</stp>
        <stp>[STRIPS.xlsx]Sheet1!R7C6</stp>
        <tr r="F7" s="1"/>
      </tp>
      <tp t="s">
        <v>NORMAL</v>
        <stp/>
        <stp>##V3_BDPV12</stp>
        <stp>912833PB Govt</stp>
        <stp>MTY_TYP</stp>
        <stp>[STRIPS.xlsx]Sheet1!R3C6</stp>
        <tr r="F3" s="1"/>
      </tp>
      <tp t="s">
        <v>ACT/ACT</v>
        <stp/>
        <stp>##V3_BDPV12</stp>
        <stp>9128335W Govt</stp>
        <stp>DAY_CNT_DES</stp>
        <stp>[STRIPS.xlsx]Sheet1!R725C17</stp>
        <tr r="Q725" s="1"/>
      </tp>
      <tp t="s">
        <v>ACT/ACT</v>
        <stp/>
        <stp>##V3_BDPV12</stp>
        <stp>9128335T Govt</stp>
        <stp>DAY_CNT_DES</stp>
        <stp>[STRIPS.xlsx]Sheet1!R556C17</stp>
        <tr r="Q556" s="1"/>
      </tp>
      <tp t="s">
        <v>ACT/ACT</v>
        <stp/>
        <stp>##V3_BDPV12</stp>
        <stp>9128335V Govt</stp>
        <stp>DAY_CNT_DES</stp>
        <stp>[STRIPS.xlsx]Sheet1!R724C17</stp>
        <tr r="Q724" s="1"/>
      </tp>
      <tp t="s">
        <v>ACT/ACT</v>
        <stp/>
        <stp>##V3_BDPV12</stp>
        <stp>9128335U Govt</stp>
        <stp>DAY_CNT_DES</stp>
        <stp>[STRIPS.xlsx]Sheet1!R712C17</stp>
        <tr r="Q712" s="1"/>
      </tp>
      <tp t="s">
        <v>ACT/ACT</v>
        <stp/>
        <stp>##V3_BDPV12</stp>
        <stp>9128335S Govt</stp>
        <stp>DAY_CNT_DES</stp>
        <stp>[STRIPS.xlsx]Sheet1!R649C17</stp>
        <tr r="Q649" s="1"/>
      </tp>
      <tp t="s">
        <v>ACT/ACT</v>
        <stp/>
        <stp>##V3_BDPV12</stp>
        <stp>9128335Q Govt</stp>
        <stp>DAY_CNT_DES</stp>
        <stp>[STRIPS.xlsx]Sheet1!R711C17</stp>
        <tr r="Q711" s="1"/>
      </tp>
      <tp t="s">
        <v>ACT/ACT</v>
        <stp/>
        <stp>##V3_BDPV12</stp>
        <stp>9128335R Govt</stp>
        <stp>DAY_CNT_DES</stp>
        <stp>[STRIPS.xlsx]Sheet1!R555C17</stp>
        <tr r="Q555" s="1"/>
      </tp>
      <tp t="s">
        <v>ACT/ACT</v>
        <stp/>
        <stp>##V3_BDPV12</stp>
        <stp>9128335P Govt</stp>
        <stp>DAY_CNT_DES</stp>
        <stp>[STRIPS.xlsx]Sheet1!R723C17</stp>
        <tr r="Q723" s="1"/>
      </tp>
      <tp t="s">
        <v>ACT/ACT</v>
        <stp/>
        <stp>##V3_BDPV12</stp>
        <stp>9128335Z Govt</stp>
        <stp>DAY_CNT_DES</stp>
        <stp>[STRIPS.xlsx]Sheet1!R650C17</stp>
        <tr r="Q650" s="1"/>
      </tp>
      <tp t="s">
        <v>ACT/ACT</v>
        <stp/>
        <stp>##V3_BDPV12</stp>
        <stp>9128335Y Govt</stp>
        <stp>DAY_CNT_DES</stp>
        <stp>[STRIPS.xlsx]Sheet1!R726C17</stp>
        <tr r="Q726" s="1"/>
      </tp>
      <tp t="s">
        <v>ACT/ACT</v>
        <stp/>
        <stp>##V3_BDPV12</stp>
        <stp>9128335X Govt</stp>
        <stp>DAY_CNT_DES</stp>
        <stp>[STRIPS.xlsx]Sheet1!R747C17</stp>
        <tr r="Q747" s="1"/>
      </tp>
      <tp t="s">
        <v>ACT/ACT</v>
        <stp/>
        <stp>##V3_BDPV12</stp>
        <stp>9128335F Govt</stp>
        <stp>DAY_CNT_DES</stp>
        <stp>[STRIPS.xlsx]Sheet1!R721C17</stp>
        <tr r="Q721" s="1"/>
      </tp>
      <tp t="s">
        <v>ACT/ACT</v>
        <stp/>
        <stp>##V3_BDPV12</stp>
        <stp>9128335E Govt</stp>
        <stp>DAY_CNT_DES</stp>
        <stp>[STRIPS.xlsx]Sheet1!R745C17</stp>
        <tr r="Q745" s="1"/>
      </tp>
      <tp t="s">
        <v>ACT/ACT</v>
        <stp/>
        <stp>##V3_BDPV12</stp>
        <stp>9128335C Govt</stp>
        <stp>DAY_CNT_DES</stp>
        <stp>[STRIPS.xlsx]Sheet1!R720C17</stp>
        <tr r="Q720" s="1"/>
      </tp>
      <tp t="s">
        <v>ACT/ACT</v>
        <stp/>
        <stp>##V3_BDPV12</stp>
        <stp>9128335G Govt</stp>
        <stp>DAY_CNT_DES</stp>
        <stp>[STRIPS.xlsx]Sheet1!R286C17</stp>
        <tr r="Q286" s="1"/>
      </tp>
      <tp t="s">
        <v>ACT/ACT</v>
        <stp/>
        <stp>##V3_BDPV12</stp>
        <stp>9128335D Govt</stp>
        <stp>DAY_CNT_DES</stp>
        <stp>[STRIPS.xlsx]Sheet1!R285C17</stp>
        <tr r="Q285" s="1"/>
      </tp>
      <tp t="s">
        <v>ACT/ACT</v>
        <stp/>
        <stp>##V3_BDPV12</stp>
        <stp>9128335N Govt</stp>
        <stp>DAY_CNT_DES</stp>
        <stp>[STRIPS.xlsx]Sheet1!R746C17</stp>
        <tr r="Q746" s="1"/>
      </tp>
      <tp t="s">
        <v>ACT/ACT</v>
        <stp/>
        <stp>##V3_BDPV12</stp>
        <stp>9128335M Govt</stp>
        <stp>DAY_CNT_DES</stp>
        <stp>[STRIPS.xlsx]Sheet1!R710C17</stp>
        <tr r="Q710" s="1"/>
      </tp>
      <tp t="s">
        <v>ACT/ACT</v>
        <stp/>
        <stp>##V3_BDPV12</stp>
        <stp>9128335L Govt</stp>
        <stp>DAY_CNT_DES</stp>
        <stp>[STRIPS.xlsx]Sheet1!R287C17</stp>
        <tr r="Q287" s="1"/>
      </tp>
      <tp t="s">
        <v>ACT/ACT</v>
        <stp/>
        <stp>##V3_BDPV12</stp>
        <stp>9128335J Govt</stp>
        <stp>DAY_CNT_DES</stp>
        <stp>[STRIPS.xlsx]Sheet1!R492C17</stp>
        <tr r="Q492" s="1"/>
      </tp>
      <tp t="s">
        <v>ACT/ACT</v>
        <stp/>
        <stp>##V3_BDPV12</stp>
        <stp>9128335H Govt</stp>
        <stp>DAY_CNT_DES</stp>
        <stp>[STRIPS.xlsx]Sheet1!R722C17</stp>
        <tr r="Q722" s="1"/>
      </tp>
      <tp t="s">
        <v>ACT/ACT</v>
        <stp/>
        <stp>##V3_BDPV12</stp>
        <stp>9128335K Govt</stp>
        <stp>DAY_CNT_DES</stp>
        <stp>[STRIPS.xlsx]Sheet1!R493C17</stp>
        <tr r="Q493" s="1"/>
      </tp>
      <tp t="s">
        <v>1/31/2006</v>
        <stp/>
        <stp>##V3_BDPV12</stp>
        <stp>912833C9 Govt</stp>
        <stp>MATURITY</stp>
        <stp>[STRIPS.xlsx]Sheet1!R613C5</stp>
        <tr r="E613" s="1"/>
      </tp>
      <tp t="s">
        <v>10/15/2007</v>
        <stp/>
        <stp>##V3_BDPV12</stp>
        <stp>912833A3 Govt</stp>
        <stp>MATURITY</stp>
        <stp>[STRIPS.xlsx]Sheet1!R731C5</stp>
        <tr r="E731" s="1"/>
      </tp>
      <tp t="s">
        <v>12/15/2005</v>
        <stp/>
        <stp>##V3_BDPV12</stp>
        <stp>912833B3 Govt</stp>
        <stp>MATURITY</stp>
        <stp>[STRIPS.xlsx]Sheet1!R732C5</stp>
        <tr r="E732" s="1"/>
      </tp>
      <tp t="s">
        <v>7/15/2008</v>
        <stp/>
        <stp>##V3_BDPV12</stp>
        <stp>912833C6 Govt</stp>
        <stp>MATURITY</stp>
        <stp>[STRIPS.xlsx]Sheet1!R563C5</stp>
        <tr r="E563" s="1"/>
      </tp>
      <tp t="s">
        <v>2/15/2010</v>
        <stp/>
        <stp>##V3_BDPV12</stp>
        <stp>912833CX Govt</stp>
        <stp>MATURITY</stp>
        <stp>[STRIPS.xlsx]Sheet1!R503C5</stp>
        <tr r="E503" s="1"/>
      </tp>
      <tp t="s">
        <v>8/15/2010</v>
        <stp/>
        <stp>##V3_BDPV12</stp>
        <stp>912833CY Govt</stp>
        <stp>MATURITY</stp>
        <stp>[STRIPS.xlsx]Sheet1!R363C5</stp>
        <tr r="E363" s="1"/>
      </tp>
      <tp t="s">
        <v>5/31/2015</v>
        <stp/>
        <stp>##V3_BDPV12</stp>
        <stp>912834DY Govt</stp>
        <stp>MATURITY</stp>
        <stp>[STRIPS.xlsx]Sheet1!R264C5</stp>
        <tr r="E264" s="1"/>
      </tp>
      <tp t="s">
        <v>2/15/1999</v>
        <stp/>
        <stp>##V3_BDPV12</stp>
        <stp>912833BZ Govt</stp>
        <stp>MATURITY</stp>
        <stp>[STRIPS.xlsx]Sheet1!R562C5</stp>
        <tr r="E562" s="1"/>
      </tp>
      <tp t="s">
        <v>2/29/2016</v>
        <stp/>
        <stp>##V3_BDPV12</stp>
        <stp>912834AZ Govt</stp>
        <stp>MATURITY</stp>
        <stp>[STRIPS.xlsx]Sheet1!R261C5</stp>
        <tr r="E261" s="1"/>
      </tp>
      <tp t="s">
        <v>USD</v>
        <stp/>
        <stp>##V3_BDPV12</stp>
        <stp>9128337S Govt</stp>
        <stp>CRNCY</stp>
        <stp>[STRIPS.xlsx]Sheet1!R35C7</stp>
        <tr r="G35" s="1"/>
      </tp>
      <tp t="s">
        <v>USD</v>
        <stp/>
        <stp>##V3_BDPV12</stp>
        <stp>9128337P Govt</stp>
        <stp>CRNCY</stp>
        <stp>[STRIPS.xlsx]Sheet1!R25C7</stp>
        <tr r="G25" s="1"/>
      </tp>
      <tp t="s">
        <v>10/31/2016</v>
        <stp/>
        <stp>##V3_BDPV12</stp>
        <stp>912834EU Govt</stp>
        <stp>MATURITY</stp>
        <stp>[STRIPS.xlsx]Sheet1!R175C5</stp>
        <tr r="E175" s="1"/>
      </tp>
      <tp t="s">
        <v>8/31/2014</v>
        <stp/>
        <stp>##V3_BDPV12</stp>
        <stp>912834AW Govt</stp>
        <stp>MATURITY</stp>
        <stp>[STRIPS.xlsx]Sheet1!R641C5</stp>
        <tr r="E641" s="1"/>
      </tp>
      <tp t="s">
        <v>11/30/2013</v>
        <stp/>
        <stp>##V3_BDPV12</stp>
        <stp>912834AJ Govt</stp>
        <stp>MATURITY</stp>
        <stp>[STRIPS.xlsx]Sheet1!R591C5</stp>
        <tr r="E591" s="1"/>
      </tp>
      <tp t="s">
        <v>7/31/2014</v>
        <stp/>
        <stp>##V3_BDPV12</stp>
        <stp>912834EJ Govt</stp>
        <stp>MATURITY</stp>
        <stp>[STRIPS.xlsx]Sheet1!R595C5</stp>
        <tr r="E595" s="1"/>
      </tp>
      <tp t="s">
        <v>UNITED STATES</v>
        <stp/>
        <stp>##V3_BDPV12</stp>
        <stp>912834TW Govt</stp>
        <stp>COUNTRY_FULL_NAME</stp>
        <stp>[STRIPS.xlsx]Sheet1!R760C8</stp>
        <tr r="H760" s="1"/>
      </tp>
      <tp t="s">
        <v>UNITED STATES</v>
        <stp/>
        <stp>##V3_BDPV12</stp>
        <stp>912834TU Govt</stp>
        <stp>COUNTRY_FULL_NAME</stp>
        <stp>[STRIPS.xlsx]Sheet1!R752C8</stp>
        <tr r="H752" s="1"/>
      </tp>
      <tp t="s">
        <v>UNITED STATES</v>
        <stp/>
        <stp>##V3_BDPV12</stp>
        <stp>912834VT Govt</stp>
        <stp>COUNTRY_FULL_NAME</stp>
        <stp>[STRIPS.xlsx]Sheet1!R773C8</stp>
        <tr r="H773" s="1"/>
      </tp>
      <tp t="s">
        <v>UNITED STATES</v>
        <stp/>
        <stp>##V3_BDPV12</stp>
        <stp>9128334U Govt</stp>
        <stp>COUNTRY_FULL_NAME</stp>
        <stp>[STRIPS.xlsx]Sheet1!R102C8</stp>
        <tr r="H102" s="1"/>
      </tp>
      <tp t="s">
        <v>UNITED STATES</v>
        <stp/>
        <stp>##V3_BDPV12</stp>
        <stp>912834HR Govt</stp>
        <stp>COUNTRY_FULL_NAME</stp>
        <stp>[STRIPS.xlsx]Sheet1!R535C8</stp>
        <tr r="H535" s="1"/>
      </tp>
      <tp t="s">
        <v>UNITED STATES</v>
        <stp/>
        <stp>##V3_BDPV12</stp>
        <stp>912833MQ Govt</stp>
        <stp>COUNTRY_FULL_NAME</stp>
        <stp>[STRIPS.xlsx]Sheet1!R236C8</stp>
        <tr r="H236" s="1"/>
      </tp>
      <tp t="s">
        <v>UNITED STATES</v>
        <stp/>
        <stp>##V3_BDPV12</stp>
        <stp>912834KW Govt</stp>
        <stp>COUNTRY_FULL_NAME</stp>
        <stp>[STRIPS.xlsx]Sheet1!R470C8</stp>
        <tr r="H470" s="1"/>
      </tp>
      <tp t="s">
        <v>UNITED STATES</v>
        <stp/>
        <stp>##V3_BDPV12</stp>
        <stp>912834ES Govt</stp>
        <stp>COUNTRY_FULL_NAME</stp>
        <stp>[STRIPS.xlsx]Sheet1!R464C8</stp>
        <tr r="H464" s="1"/>
      </tp>
      <tp t="s">
        <v>UNITED STATES</v>
        <stp/>
        <stp>##V3_BDPV12</stp>
        <stp>912833YR Govt</stp>
        <stp>COUNTRY_FULL_NAME</stp>
        <stp>[STRIPS.xlsx]Sheet1!R345C8</stp>
        <tr r="H345" s="1"/>
      </tp>
      <tp t="s">
        <v>UNITED STATES</v>
        <stp/>
        <stp>##V3_BDPV12</stp>
        <stp>912833PP Govt</stp>
        <stp>COUNTRY_FULL_NAME</stp>
        <stp>[STRIPS.xlsx]Sheet1!R337C8</stp>
        <tr r="H337" s="1"/>
      </tp>
      <tp t="s">
        <v>UNITED STATES</v>
        <stp/>
        <stp>##V3_BDPV12</stp>
        <stp>912833PR Govt</stp>
        <stp>COUNTRY_FULL_NAME</stp>
        <stp>[STRIPS.xlsx]Sheet1!R375C8</stp>
        <tr r="H375" s="1"/>
      </tp>
      <tp t="s">
        <v>UNITED STATES</v>
        <stp/>
        <stp>##V3_BDPV12</stp>
        <stp>9128333T Govt</stp>
        <stp>COUNTRY_FULL_NAME</stp>
        <stp>[STRIPS.xlsx]Sheet1!R483C8</stp>
        <tr r="H483" s="1"/>
      </tp>
      <tp t="s">
        <v>UNITED STATES</v>
        <stp/>
        <stp>##V3_BDPV12</stp>
        <stp>912834LW Govt</stp>
        <stp>COUNTRY_FULL_NAME</stp>
        <stp>[STRIPS.xlsx]Sheet1!R360C8</stp>
        <tr r="H360" s="1"/>
      </tp>
      <tp t="s">
        <v>UNITED STATES</v>
        <stp/>
        <stp>##V3_BDPV12</stp>
        <stp>912834DW Govt</stp>
        <stp>COUNTRY_FULL_NAME</stp>
        <stp>[STRIPS.xlsx]Sheet1!R390C8</stp>
        <tr r="H390" s="1"/>
      </tp>
      <tp t="s">
        <v>UNITED STATES</v>
        <stp/>
        <stp>##V3_BDPV12</stp>
        <stp>912834ET Govt</stp>
        <stp>COUNTRY_FULL_NAME</stp>
        <stp>[STRIPS.xlsx]Sheet1!R393C8</stp>
        <tr r="H393" s="1"/>
      </tp>
      <tp t="s">
        <v>UNITED STATES</v>
        <stp/>
        <stp>##V3_BDPV12</stp>
        <stp>9128335R Govt</stp>
        <stp>COUNTRY_FULL_NAME</stp>
        <stp>[STRIPS.xlsx]Sheet1!R555C8</stp>
        <tr r="H555" s="1"/>
      </tp>
      <tp t="s">
        <v>UNITED STATES</v>
        <stp/>
        <stp>##V3_BDPV12</stp>
        <stp>912834JW Govt</stp>
        <stp>COUNTRY_FULL_NAME</stp>
        <stp>[STRIPS.xlsx]Sheet1!R210C8</stp>
        <tr r="H210" s="1"/>
      </tp>
      <tp t="s">
        <v>UNITED STATES</v>
        <stp/>
        <stp>##V3_BDPV12</stp>
        <stp>912833KQ Govt</stp>
        <stp>COUNTRY_FULL_NAME</stp>
        <stp>[STRIPS.xlsx]Sheet1!R566C8</stp>
        <tr r="H566" s="1"/>
      </tp>
      <tp t="s">
        <v>UNITED STATES</v>
        <stp/>
        <stp>##V3_BDPV12</stp>
        <stp>912833RV Govt</stp>
        <stp>COUNTRY_FULL_NAME</stp>
        <stp>[STRIPS.xlsx]Sheet1!R581C8</stp>
        <tr r="H581" s="1"/>
      </tp>
      <tp t="s">
        <v>UNITED STATES</v>
        <stp/>
        <stp>##V3_BDPV12</stp>
        <stp>912834TT Govt</stp>
        <stp>COUNTRY_FULL_NAME</stp>
        <stp>[STRIPS.xlsx]Sheet1!R283C8</stp>
        <tr r="H283" s="1"/>
      </tp>
      <tp t="s">
        <v>UNITED STATES</v>
        <stp/>
        <stp>##V3_BDPV12</stp>
        <stp>912834PU Govt</stp>
        <stp>COUNTRY_FULL_NAME</stp>
        <stp>[STRIPS.xlsx]Sheet1!R212C8</stp>
        <tr r="H212" s="1"/>
      </tp>
      <tp t="s">
        <v>UNITED STATES</v>
        <stp/>
        <stp>##V3_BDPV12</stp>
        <stp>912833PS Govt</stp>
        <stp>COUNTRY_FULL_NAME</stp>
        <stp>[STRIPS.xlsx]Sheet1!R574C8</stp>
        <tr r="H574" s="1"/>
      </tp>
      <tp t="s">
        <v>4/15/2011</v>
        <stp/>
        <stp>##V3_BDPV12</stp>
        <stp>912834BJ Govt</stp>
        <stp>MATURITY</stp>
        <stp>[STRIPS.xlsx]Sheet1!R352C5</stp>
        <tr r="E352" s="1"/>
      </tp>
      <tp t="s">
        <v>UNITED STATES</v>
        <stp/>
        <stp>##V3_BDPV12</stp>
        <stp>912833BW Govt</stp>
        <stp>COUNTRY_FULL_NAME</stp>
        <stp>[STRIPS.xlsx]Sheet1!R610C8</stp>
        <tr r="H610" s="1"/>
      </tp>
      <tp t="s">
        <v>UNITED STATES</v>
        <stp/>
        <stp>##V3_BDPV12</stp>
        <stp>912834EV Govt</stp>
        <stp>COUNTRY_FULL_NAME</stp>
        <stp>[STRIPS.xlsx]Sheet1!R101C8</stp>
        <tr r="H101" s="1"/>
      </tp>
      <tp t="s">
        <v>UNITED STATES</v>
        <stp/>
        <stp>##V3_BDPV12</stp>
        <stp>912833QP Govt</stp>
        <stp>COUNTRY_FULL_NAME</stp>
        <stp>[STRIPS.xlsx]Sheet1!R687C8</stp>
        <tr r="H687" s="1"/>
      </tp>
      <tp t="s">
        <v>UNITED STATES</v>
        <stp/>
        <stp>##V3_BDPV12</stp>
        <stp>912833ZW Govt</stp>
        <stp>COUNTRY_FULL_NAME</stp>
        <stp>[STRIPS.xlsx]Sheet1!R640C8</stp>
        <tr r="H640" s="1"/>
      </tp>
      <tp t="s">
        <v>UNITED STATES</v>
        <stp/>
        <stp>##V3_BDPV12</stp>
        <stp>912834TP Govt</stp>
        <stp>COUNTRY_FULL_NAME</stp>
        <stp>[STRIPS.xlsx]Sheet1!R117C8</stp>
        <tr r="H117" s="1"/>
      </tp>
      <tp t="s">
        <v>UNITED STATES</v>
        <stp/>
        <stp>##V3_BDPV12</stp>
        <stp>912834WQ Govt</stp>
        <stp>COUNTRY_FULL_NAME</stp>
        <stp>[STRIPS.xlsx]Sheet1!R136C8</stp>
        <tr r="H136" s="1"/>
      </tp>
      <tp t="s">
        <v>UNITED STATES</v>
        <stp/>
        <stp>##V3_BDPV12</stp>
        <stp>9128333R Govt</stp>
        <stp>COUNTRY_FULL_NAME</stp>
        <stp>[STRIPS.xlsx]Sheet1!R705C8</stp>
        <tr r="H705" s="1"/>
      </tp>
      <tp t="s">
        <v>UNITED STATES</v>
        <stp/>
        <stp>##V3_BDPV12</stp>
        <stp>9128335U Govt</stp>
        <stp>COUNTRY_FULL_NAME</stp>
        <stp>[STRIPS.xlsx]Sheet1!R712C8</stp>
        <tr r="H712" s="1"/>
      </tp>
      <tp t="s">
        <v>UNITED STATES</v>
        <stp/>
        <stp>##V3_BDPV12</stp>
        <stp>912833JW Govt</stp>
        <stp>COUNTRY_FULL_NAME</stp>
        <stp>[STRIPS.xlsx]Sheet1!R740C8</stp>
        <tr r="H740" s="1"/>
      </tp>
      <tp t="s">
        <v>2/15/2004</v>
        <stp/>
        <stp>##V3_BDPV12</stp>
        <stp>912833CK Govt</stp>
        <stp>MATURITY</stp>
        <stp>[STRIPS.xlsx]Sheet1!R733C5</stp>
        <tr r="E733" s="1"/>
      </tp>
      <tp t="s">
        <v>4/15/2012</v>
        <stp/>
        <stp>##V3_BDPV12</stp>
        <stp>912834BL Govt</stp>
        <stp>MATURITY</stp>
        <stp>[STRIPS.xlsx]Sheet1!R262C5</stp>
        <tr r="E262" s="1"/>
      </tp>
      <tp t="s">
        <v>8/15/2012</v>
        <stp/>
        <stp>##V3_BDPV12</stp>
        <stp>912833DC Govt</stp>
        <stp>MATURITY</stp>
        <stp>[STRIPS.xlsx]Sheet1!R504C5</stp>
        <tr r="E504" s="1"/>
      </tp>
      <tp t="s">
        <v>12/31/2014</v>
        <stp/>
        <stp>##V3_BDPV12</stp>
        <stp>912834ED Govt</stp>
        <stp>MATURITY</stp>
        <stp>[STRIPS.xlsx]Sheet1!R645C5</stp>
        <tr r="E645" s="1"/>
      </tp>
      <tp t="s">
        <v>11/15/2009</v>
        <stp/>
        <stp>##V3_BDPV12</stp>
        <stp>912833GF Govt</stp>
        <stp>MATURITY</stp>
        <stp>[STRIPS.xlsx]Sheet1!R667C5</stp>
        <tr r="E667" s="1"/>
      </tp>
      <tp t="s">
        <v>9/30/2015</v>
        <stp/>
        <stp>##V3_BDPV12</stp>
        <stp>912834BG Govt</stp>
        <stp>MATURITY</stp>
        <stp>[STRIPS.xlsx]Sheet1!R592C5</stp>
        <tr r="E592" s="1"/>
      </tp>
      <tp t="s">
        <v>ACT/ACT</v>
        <stp/>
        <stp>##V3_BDPV12</stp>
        <stp>9128334U Govt</stp>
        <stp>DAY_CNT_DES</stp>
        <stp>[STRIPS.xlsx]Sheet1!R102C17</stp>
        <tr r="Q102" s="1"/>
      </tp>
      <tp t="s">
        <v>ACT/ACT</v>
        <stp/>
        <stp>##V3_BDPV12</stp>
        <stp>9128334R Govt</stp>
        <stp>DAY_CNT_DES</stp>
        <stp>[STRIPS.xlsx]Sheet1!R554C17</stp>
        <tr r="Q554" s="1"/>
      </tp>
      <tp t="s">
        <v>ACT/ACT</v>
        <stp/>
        <stp>##V3_BDPV12</stp>
        <stp>9128334X Govt</stp>
        <stp>DAY_CNT_DES</stp>
        <stp>[STRIPS.xlsx]Sheet1!R107C17</stp>
        <tr r="Q107" s="1"/>
      </tp>
      <tp t="s">
        <v>ACT/ACT</v>
        <stp/>
        <stp>##V3_BDPV12</stp>
        <stp>9128334G Govt</stp>
        <stp>DAY_CNT_DES</stp>
        <stp>[STRIPS.xlsx]Sheet1!R709C17</stp>
        <tr r="Q709" s="1"/>
      </tp>
      <tp t="s">
        <v>ACT/ACT</v>
        <stp/>
        <stp>##V3_BDPV12</stp>
        <stp>9128334F Govt</stp>
        <stp>DAY_CNT_DES</stp>
        <stp>[STRIPS.xlsx]Sheet1!R604C17</stp>
        <tr r="Q604" s="1"/>
      </tp>
      <tp t="s">
        <v>ACT/ACT</v>
        <stp/>
        <stp>##V3_BDPV12</stp>
        <stp>9128334D Govt</stp>
        <stp>DAY_CNT_DES</stp>
        <stp>[STRIPS.xlsx]Sheet1!R488C17</stp>
        <tr r="Q488" s="1"/>
      </tp>
      <tp t="s">
        <v>ACT/ACT</v>
        <stp/>
        <stp>##V3_BDPV12</stp>
        <stp>9128334E Govt</stp>
        <stp>DAY_CNT_DES</stp>
        <stp>[STRIPS.xlsx]Sheet1!R708C17</stp>
        <tr r="Q708" s="1"/>
      </tp>
      <tp t="s">
        <v>ACT/ACT</v>
        <stp/>
        <stp>##V3_BDPV12</stp>
        <stp>9128334B Govt</stp>
        <stp>DAY_CNT_DES</stp>
        <stp>[STRIPS.xlsx]Sheet1!R603C17</stp>
        <tr r="Q603" s="1"/>
      </tp>
      <tp t="s">
        <v>ACT/ACT</v>
        <stp/>
        <stp>##V3_BDPV12</stp>
        <stp>9128334C Govt</stp>
        <stp>DAY_CNT_DES</stp>
        <stp>[STRIPS.xlsx]Sheet1!R707C17</stp>
        <tr r="Q707" s="1"/>
      </tp>
      <tp t="s">
        <v>ACT/ACT</v>
        <stp/>
        <stp>##V3_BDPV12</stp>
        <stp>9128334A Govt</stp>
        <stp>DAY_CNT_DES</stp>
        <stp>[STRIPS.xlsx]Sheet1!R487C17</stp>
        <tr r="Q487" s="1"/>
      </tp>
      <tp t="s">
        <v>ACT/ACT</v>
        <stp/>
        <stp>##V3_BDPV12</stp>
        <stp>9128334N Govt</stp>
        <stp>DAY_CNT_DES</stp>
        <stp>[STRIPS.xlsx]Sheet1!R744C17</stp>
        <tr r="Q744" s="1"/>
      </tp>
      <tp t="s">
        <v>ACT/ACT</v>
        <stp/>
        <stp>##V3_BDPV12</stp>
        <stp>9128334M Govt</stp>
        <stp>DAY_CNT_DES</stp>
        <stp>[STRIPS.xlsx]Sheet1!R491C17</stp>
        <tr r="Q491" s="1"/>
      </tp>
      <tp t="s">
        <v>ACT/ACT</v>
        <stp/>
        <stp>##V3_BDPV12</stp>
        <stp>9128334J Govt</stp>
        <stp>DAY_CNT_DES</stp>
        <stp>[STRIPS.xlsx]Sheet1!R605C17</stp>
        <tr r="Q605" s="1"/>
      </tp>
      <tp t="s">
        <v>ACT/ACT</v>
        <stp/>
        <stp>##V3_BDPV12</stp>
        <stp>9128334H Govt</stp>
        <stp>DAY_CNT_DES</stp>
        <stp>[STRIPS.xlsx]Sheet1!R489C17</stp>
        <tr r="Q489" s="1"/>
      </tp>
      <tp t="s">
        <v>ACT/ACT</v>
        <stp/>
        <stp>##V3_BDPV12</stp>
        <stp>9128334L Govt</stp>
        <stp>DAY_CNT_DES</stp>
        <stp>[STRIPS.xlsx]Sheet1!R284C17</stp>
        <tr r="Q284" s="1"/>
      </tp>
      <tp t="s">
        <v>ACT/ACT</v>
        <stp/>
        <stp>##V3_BDPV12</stp>
        <stp>9128334K Govt</stp>
        <stp>DAY_CNT_DES</stp>
        <stp>[STRIPS.xlsx]Sheet1!R490C17</stp>
        <tr r="Q490" s="1"/>
      </tp>
      <tp t="s">
        <v>6/15/2004</v>
        <stp/>
        <stp>##V3_BDPV12</stp>
        <stp>912833A8 Govt</stp>
        <stp>MATURITY</stp>
        <stp>[STRIPS.xlsx]Sheet1!R560C5</stp>
        <tr r="E560" s="1"/>
      </tp>
      <tp t="s">
        <v>6/15/2008</v>
        <stp/>
        <stp>##V3_BDPV12</stp>
        <stp>912833B8 Govt</stp>
        <stp>MATURITY</stp>
        <stp>[STRIPS.xlsx]Sheet1!R293C5</stp>
        <tr r="E293" s="1"/>
      </tp>
      <tp t="s">
        <v>1/15/2007</v>
        <stp/>
        <stp>##V3_BDPV12</stp>
        <stp>912833C3 Govt</stp>
        <stp>MATURITY</stp>
        <stp>[STRIPS.xlsx]Sheet1!R362C5</stp>
        <tr r="E362" s="1"/>
      </tp>
      <tp t="s">
        <v>7/15/2007</v>
        <stp/>
        <stp>##V3_BDPV12</stp>
        <stp>912833C4 Govt</stp>
        <stp>MATURITY</stp>
        <stp>[STRIPS.xlsx]Sheet1!R612C5</stp>
        <tr r="E612" s="1"/>
      </tp>
      <tp t="s">
        <v>4/15/2008</v>
        <stp/>
        <stp>##V3_BDPV12</stp>
        <stp>912833A4 Govt</stp>
        <stp>MATURITY</stp>
        <stp>[STRIPS.xlsx]Sheet1!R330C5</stp>
        <tr r="E330" s="1"/>
      </tp>
      <tp t="s">
        <v>12/15/2007</v>
        <stp/>
        <stp>##V3_BDPV12</stp>
        <stp>912833B7 Govt</stp>
        <stp>MATURITY</stp>
        <stp>[STRIPS.xlsx]Sheet1!R433C5</stp>
        <tr r="E433" s="1"/>
      </tp>
      <tp t="s">
        <v>UNITED STATES</v>
        <stp/>
        <stp>##V3_BDPV12</stp>
        <stp>912833LZ Govt</stp>
        <stp>COUNTRY_FULL_NAME</stp>
        <stp>[STRIPS.xlsx]Sheet1!R9C8</stp>
        <tr r="H9" s="1"/>
      </tp>
      <tp t="s">
        <v>12/15/2012</v>
        <stp/>
        <stp>##V3_BDPV12</stp>
        <stp>912834EX Govt</stp>
        <stp>MATURITY</stp>
        <stp>[STRIPS.xlsx]Sheet1!R354C5</stp>
        <tr r="E354" s="1"/>
      </tp>
      <tp t="s">
        <v>1/15/2013</v>
        <stp/>
        <stp>##V3_BDPV12</stp>
        <stp>912834EZ Govt</stp>
        <stp>MATURITY</stp>
        <stp>[STRIPS.xlsx]Sheet1!R394C5</stp>
        <tr r="E394" s="1"/>
      </tp>
      <tp t="s">
        <v>USD</v>
        <stp/>
        <stp>##V3_BDPV12</stp>
        <stp>9128334Y Govt</stp>
        <stp>CRNCY</stp>
        <stp>[STRIPS.xlsx]Sheet1!R67C7</stp>
        <tr r="G67" s="1"/>
      </tp>
      <tp t="s">
        <v>1/31/2014</v>
        <stp/>
        <stp>##V3_BDPV12</stp>
        <stp>912834AQ Govt</stp>
        <stp>MATURITY</stp>
        <stp>[STRIPS.xlsx]Sheet1!R260C5</stp>
        <tr r="E260" s="1"/>
      </tp>
      <tp t="s">
        <v>9/30/2016</v>
        <stp/>
        <stp>##V3_BDPV12</stp>
        <stp>912834ES Govt</stp>
        <stp>MATURITY</stp>
        <stp>[STRIPS.xlsx]Sheet1!R464C5</stp>
        <tr r="E464" s="1"/>
      </tp>
      <tp t="s">
        <v>11/15/1998</v>
        <stp/>
        <stp>##V3_BDPV12</stp>
        <stp>912833FH Govt</stp>
        <stp>MATURITY</stp>
        <stp>[STRIPS.xlsx]Sheet1!R507C5</stp>
        <tr r="E507" s="1"/>
      </tp>
      <tp t="s">
        <v>UNITED STATES</v>
        <stp/>
        <stp>##V3_BDPV12</stp>
        <stp>9128337V Govt</stp>
        <stp>COUNTRY_FULL_NAME</stp>
        <stp>[STRIPS.xlsx]Sheet1!R100C8</stp>
        <tr r="H100" s="1"/>
      </tp>
      <tp t="s">
        <v>UNITED STATES</v>
        <stp/>
        <stp>##V3_BDPV12</stp>
        <stp>9128337R Govt</stp>
        <stp>COUNTRY_FULL_NAME</stp>
        <stp>[STRIPS.xlsx]Sheet1!R114C8</stp>
        <tr r="H114" s="1"/>
      </tp>
      <tp t="s">
        <v>UNITED STATES</v>
        <stp/>
        <stp>##V3_BDPV12</stp>
        <stp>912834AW Govt</stp>
        <stp>COUNTRY_FULL_NAME</stp>
        <stp>[STRIPS.xlsx]Sheet1!R641C8</stp>
        <tr r="H641" s="1"/>
      </tp>
      <tp t="s">
        <v>5/15/1999</v>
        <stp/>
        <stp>##V3_BDPV12</stp>
        <stp>912833FJ Govt</stp>
        <stp>MATURITY</stp>
        <stp>[STRIPS.xlsx]Sheet1!R737C5</stp>
        <tr r="E737" s="1"/>
      </tp>
      <tp t="s">
        <v>UNITED STATES</v>
        <stp/>
        <stp>##V3_BDPV12</stp>
        <stp>912833YV Govt</stp>
        <stp>COUNTRY_FULL_NAME</stp>
        <stp>[STRIPS.xlsx]Sheet1!R250C8</stp>
        <tr r="H250" s="1"/>
      </tp>
      <tp t="s">
        <v>UNITED STATES</v>
        <stp/>
        <stp>##V3_BDPV12</stp>
        <stp>912833FR Govt</stp>
        <stp>COUNTRY_FULL_NAME</stp>
        <stp>[STRIPS.xlsx]Sheet1!R364C8</stp>
        <tr r="H364" s="1"/>
      </tp>
      <tp t="s">
        <v>UNITED STATES</v>
        <stp/>
        <stp>##V3_BDPV12</stp>
        <stp>912834RP Govt</stp>
        <stp>COUNTRY_FULL_NAME</stp>
        <stp>[STRIPS.xlsx]Sheet1!R416C8</stp>
        <tr r="H416" s="1"/>
      </tp>
      <tp t="s">
        <v>UNITED STATES</v>
        <stp/>
        <stp>##V3_BDPV12</stp>
        <stp>912833QQ Govt</stp>
        <stp>COUNTRY_FULL_NAME</stp>
        <stp>[STRIPS.xlsx]Sheet1!R377C8</stp>
        <tr r="H377" s="1"/>
      </tp>
      <tp t="s">
        <v>UNITED STATES</v>
        <stp/>
        <stp>##V3_BDPV12</stp>
        <stp>912834JS Govt</stp>
        <stp>COUNTRY_FULL_NAME</stp>
        <stp>[STRIPS.xlsx]Sheet1!R315C8</stp>
        <tr r="H315" s="1"/>
      </tp>
      <tp t="s">
        <v>UNITED STATES</v>
        <stp/>
        <stp>##V3_BDPV12</stp>
        <stp>912834AP Govt</stp>
        <stp>COUNTRY_FULL_NAME</stp>
        <stp>[STRIPS.xlsx]Sheet1!R386C8</stp>
        <tr r="H386" s="1"/>
      </tp>
      <tp t="s">
        <v>UNITED STATES</v>
        <stp/>
        <stp>##V3_BDPV12</stp>
        <stp>912833ZS Govt</stp>
        <stp>COUNTRY_FULL_NAME</stp>
        <stp>[STRIPS.xlsx]Sheet1!R455C8</stp>
        <tr r="H455" s="1"/>
      </tp>
      <tp t="s">
        <v>UNITED STATES</v>
        <stp/>
        <stp>##V3_BDPV12</stp>
        <stp>9128334R Govt</stp>
        <stp>COUNTRY_FULL_NAME</stp>
        <stp>[STRIPS.xlsx]Sheet1!R554C8</stp>
        <tr r="H554" s="1"/>
      </tp>
      <tp t="s">
        <v>UNITED STATES</v>
        <stp/>
        <stp>##V3_BDPV12</stp>
        <stp>912833FV Govt</stp>
        <stp>COUNTRY_FULL_NAME</stp>
        <stp>[STRIPS.xlsx]Sheet1!R510C8</stp>
        <tr r="H510" s="1"/>
      </tp>
      <tp t="s">
        <v>UNITED STATES</v>
        <stp/>
        <stp>##V3_BDPV12</stp>
        <stp>912833YS Govt</stp>
        <stp>COUNTRY_FULL_NAME</stp>
        <stp>[STRIPS.xlsx]Sheet1!R585C8</stp>
        <tr r="H585" s="1"/>
      </tp>
      <tp t="s">
        <v>UNITED STATES</v>
        <stp/>
        <stp>##V3_BDPV12</stp>
        <stp>912833RS Govt</stp>
        <stp>COUNTRY_FULL_NAME</stp>
        <stp>[STRIPS.xlsx]Sheet1!R525C8</stp>
        <tr r="H525" s="1"/>
      </tp>
      <tp t="s">
        <v>UNITED STATES</v>
        <stp/>
        <stp>##V3_BDPV12</stp>
        <stp>912834PP Govt</stp>
        <stp>COUNTRY_FULL_NAME</stp>
        <stp>[STRIPS.xlsx]Sheet1!R276C8</stp>
        <tr r="H276" s="1"/>
      </tp>
      <tp t="s">
        <v>UNITED STATES</v>
        <stp/>
        <stp>##V3_BDPV12</stp>
        <stp>912834VR Govt</stp>
        <stp>COUNTRY_FULL_NAME</stp>
        <stp>[STRIPS.xlsx]Sheet1!R224C8</stp>
        <tr r="H224" s="1"/>
      </tp>
      <tp t="s">
        <v>UNITED STATES</v>
        <stp/>
        <stp>##V3_BDPV12</stp>
        <stp>912833NQ Govt</stp>
        <stp>COUNTRY_FULL_NAME</stp>
        <stp>[STRIPS.xlsx]Sheet1!R677C8</stp>
        <tr r="H677" s="1"/>
      </tp>
      <tp t="s">
        <v>UNITED STATES</v>
        <stp/>
        <stp>##V3_BDPV12</stp>
        <stp>912833MS Govt</stp>
        <stp>COUNTRY_FULL_NAME</stp>
        <stp>[STRIPS.xlsx]Sheet1!R625C8</stp>
        <tr r="H625" s="1"/>
      </tp>
      <tp t="s">
        <v>UNITED STATES</v>
        <stp/>
        <stp>##V3_BDPV12</stp>
        <stp>912833PU Govt</stp>
        <stp>COUNTRY_FULL_NAME</stp>
        <stp>[STRIPS.xlsx]Sheet1!R683C8</stp>
        <tr r="H683" s="1"/>
      </tp>
      <tp t="s">
        <v>UNITED STATES</v>
        <stp/>
        <stp>##V3_BDPV12</stp>
        <stp>912834QS Govt</stp>
        <stp>COUNTRY_FULL_NAME</stp>
        <stp>[STRIPS.xlsx]Sheet1!R135C8</stp>
        <tr r="H135" s="1"/>
      </tp>
      <tp t="s">
        <v>UNITED STATES</v>
        <stp/>
        <stp>##V3_BDPV12</stp>
        <stp>912834QW Govt</stp>
        <stp>COUNTRY_FULL_NAME</stp>
        <stp>[STRIPS.xlsx]Sheet1!R171C8</stp>
        <tr r="H171" s="1"/>
      </tp>
      <tp t="s">
        <v>UNITED STATES</v>
        <stp/>
        <stp>##V3_BDPV12</stp>
        <stp>912834VW Govt</stp>
        <stp>COUNTRY_FULL_NAME</stp>
        <stp>[STRIPS.xlsx]Sheet1!R131C8</stp>
        <tr r="H131" s="1"/>
      </tp>
      <tp t="s">
        <v>4/30/2014</v>
        <stp/>
        <stp>##V3_BDPV12</stp>
        <stp>912834BM Govt</stp>
        <stp>MATURITY</stp>
        <stp>[STRIPS.xlsx]Sheet1!R353C5</stp>
        <tr r="E353" s="1"/>
      </tp>
      <tp t="s">
        <v>10/31/2014</v>
        <stp/>
        <stp>##V3_BDPV12</stp>
        <stp>912834BN Govt</stp>
        <stp>MATURITY</stp>
        <stp>[STRIPS.xlsx]Sheet1!R263C5</stp>
        <tr r="E263" s="1"/>
      </tp>
      <tp t="s">
        <v>8/15/1999</v>
        <stp/>
        <stp>##V3_BDPV12</stp>
        <stp>912833CA Govt</stp>
        <stp>MATURITY</stp>
        <stp>[STRIPS.xlsx]Sheet1!R502C5</stp>
        <tr r="E502" s="1"/>
      </tp>
      <tp t="s">
        <v>6/15/2012</v>
        <stp/>
        <stp>##V3_BDPV12</stp>
        <stp>912834EB Govt</stp>
        <stp>MATURITY</stp>
        <stp>[STRIPS.xlsx]Sheet1!R644C5</stp>
        <tr r="E644" s="1"/>
      </tp>
      <tp t="s">
        <v>11/15/2007</v>
        <stp/>
        <stp>##V3_BDPV12</stp>
        <stp>912833GB Govt</stp>
        <stp>MATURITY</stp>
        <stp>[STRIPS.xlsx]Sheet1!R666C5</stp>
        <tr r="E666" s="1"/>
      </tp>
      <tp t="s">
        <v>3/31/2014</v>
        <stp/>
        <stp>##V3_BDPV12</stp>
        <stp>912834BD Govt</stp>
        <stp>MATURITY</stp>
        <stp>[STRIPS.xlsx]Sheet1!R643C5</stp>
        <tr r="E643" s="1"/>
      </tp>
      <tp t="s">
        <v>8/15/2013</v>
        <stp/>
        <stp>##V3_BDPV12</stp>
        <stp>912833DE Govt</stp>
        <stp>MATURITY</stp>
        <stp>[STRIPS.xlsx]Sheet1!R505C5</stp>
        <tr r="E505" s="1"/>
      </tp>
      <tp t="s">
        <v>12/31/2015</v>
        <stp/>
        <stp>##V3_BDPV12</stp>
        <stp>912834EF Govt</stp>
        <stp>MATURITY</stp>
        <stp>[STRIPS.xlsx]Sheet1!R594C5</stp>
        <tr r="E594" s="1"/>
      </tp>
      <tp t="s">
        <v>9/30/2013</v>
        <stp/>
        <stp>##V3_BDPV12</stp>
        <stp>912834AG Govt</stp>
        <stp>MATURITY</stp>
        <stp>[STRIPS.xlsx]Sheet1!R590C5</stp>
        <tr r="E590" s="1"/>
      </tp>
      <tp t="s">
        <v>ACT/ACT</v>
        <stp/>
        <stp>##V3_BDPV12</stp>
        <stp>9128337R Govt</stp>
        <stp>DAY_CNT_DES</stp>
        <stp>[STRIPS.xlsx]Sheet1!R114C17</stp>
        <tr r="Q114" s="1"/>
      </tp>
      <tp t="s">
        <v>ACT/ACT</v>
        <stp/>
        <stp>##V3_BDPV12</stp>
        <stp>9128337T Govt</stp>
        <stp>DAY_CNT_DES</stp>
        <stp>[STRIPS.xlsx]Sheet1!R121C17</stp>
        <tr r="Q121" s="1"/>
      </tp>
      <tp t="s">
        <v>ACT/ACT</v>
        <stp/>
        <stp>##V3_BDPV12</stp>
        <stp>9128337V Govt</stp>
        <stp>DAY_CNT_DES</stp>
        <stp>[STRIPS.xlsx]Sheet1!R100C17</stp>
        <tr r="Q100" s="1"/>
      </tp>
      <tp t="s">
        <v>ACT/ACT</v>
        <stp/>
        <stp>##V3_BDPV12</stp>
        <stp>9128337G Govt</stp>
        <stp>DAY_CNT_DES</stp>
        <stp>[STRIPS.xlsx]Sheet1!R716C17</stp>
        <tr r="Q716" s="1"/>
      </tp>
      <tp t="s">
        <v>ACT/ACT</v>
        <stp/>
        <stp>##V3_BDPV12</stp>
        <stp>9128337A Govt</stp>
        <stp>DAY_CNT_DES</stp>
        <stp>[STRIPS.xlsx]Sheet1!R499C17</stp>
        <tr r="Q499" s="1"/>
      </tp>
      <tp t="s">
        <v>ACT/ACT</v>
        <stp/>
        <stp>##V3_BDPV12</stp>
        <stp>9128337D Govt</stp>
        <stp>DAY_CNT_DES</stp>
        <stp>[STRIPS.xlsx]Sheet1!R291C17</stp>
        <tr r="Q291" s="1"/>
      </tp>
      <tp t="s">
        <v>ACT/ACT</v>
        <stp/>
        <stp>##V3_BDPV12</stp>
        <stp>9128337M Govt</stp>
        <stp>DAY_CNT_DES</stp>
        <stp>[STRIPS.xlsx]Sheet1!R559C17</stp>
        <tr r="Q559" s="1"/>
      </tp>
      <tp t="s">
        <v>ACT/ACT</v>
        <stp/>
        <stp>##V3_BDPV12</stp>
        <stp>9128337K Govt</stp>
        <stp>DAY_CNT_DES</stp>
        <stp>[STRIPS.xlsx]Sheet1!R292C17</stp>
        <tr r="Q292" s="1"/>
      </tp>
      <tp t="s">
        <v>ACT/ACT</v>
        <stp/>
        <stp>##V3_BDPV12</stp>
        <stp>9128337L Govt</stp>
        <stp>DAY_CNT_DES</stp>
        <stp>[STRIPS.xlsx]Sheet1!R651C17</stp>
        <tr r="Q651" s="1"/>
      </tp>
      <tp t="s">
        <v>ACT/ACT</v>
        <stp/>
        <stp>##V3_BDPV12</stp>
        <stp>9128337H Govt</stp>
        <stp>DAY_CNT_DES</stp>
        <stp>[STRIPS.xlsx]Sheet1!R431C17</stp>
        <tr r="Q431" s="1"/>
      </tp>
      <tp t="s">
        <v>ACT/ACT</v>
        <stp/>
        <stp>##V3_BDPV12</stp>
        <stp>9128337J Govt</stp>
        <stp>DAY_CNT_DES</stp>
        <stp>[STRIPS.xlsx]Sheet1!R730C17</stp>
        <tr r="Q730" s="1"/>
      </tp>
      <tp t="s">
        <v>12/31/2005</v>
        <stp/>
        <stp>##V3_BDPV12</stp>
        <stp>912833C2 Govt</stp>
        <stp>MATURITY</stp>
        <stp>[STRIPS.xlsx]Sheet1!R611C5</stp>
        <tr r="E611" s="1"/>
      </tp>
      <tp t="s">
        <v>6/15/2007</v>
        <stp/>
        <stp>##V3_BDPV12</stp>
        <stp>912833B6 Govt</stp>
        <stp>MATURITY</stp>
        <stp>[STRIPS.xlsx]Sheet1!R500C5</stp>
        <tr r="E500" s="1"/>
      </tp>
      <tp t="s">
        <v>11/30/2005</v>
        <stp/>
        <stp>##V3_BDPV12</stp>
        <stp>912833A7 Govt</stp>
        <stp>MATURITY</stp>
        <stp>[STRIPS.xlsx]Sheet1!R653C5</stp>
        <tr r="E653" s="1"/>
      </tp>
      <tp t="s">
        <v>1/15/2015</v>
        <stp/>
        <stp>##V3_BDPV12</stp>
        <stp>912834KZ Govt</stp>
        <stp>MATURITY</stp>
        <stp>[STRIPS.xlsx]Sheet1!R269C5</stp>
        <tr r="E269" s="1"/>
      </tp>
      <tp t="s">
        <v>11/15/2001</v>
        <stp/>
        <stp>##V3_BDPV12</stp>
        <stp>912833FP Govt</stp>
        <stp>MATURITY</stp>
        <stp>[STRIPS.xlsx]Sheet1!R664C5</stp>
        <tr r="E664" s="1"/>
      </tp>
      <tp t="s">
        <v>11/15/2002</v>
        <stp/>
        <stp>##V3_BDPV12</stp>
        <stp>912833FR Govt</stp>
        <stp>MATURITY</stp>
        <stp>[STRIPS.xlsx]Sheet1!R364C5</stp>
        <tr r="E364" s="1"/>
      </tp>
      <tp t="s">
        <v>10/15/2014</v>
        <stp/>
        <stp>##V3_BDPV12</stp>
        <stp>912834KT Govt</stp>
        <stp>MATURITY</stp>
        <stp>[STRIPS.xlsx]Sheet1!R319C5</stp>
        <tr r="E319" s="1"/>
      </tp>
      <tp t="s">
        <v>11/15/2010</v>
        <stp/>
        <stp>##V3_BDPV12</stp>
        <stp>912833JV Govt</stp>
        <stp>MATURITY</stp>
        <stp>[STRIPS.xlsx]Sheet1!R668C5</stp>
        <tr r="E668" s="1"/>
      </tp>
      <tp t="s">
        <v>8/15/1997</v>
        <stp/>
        <stp>##V3_BDPV12</stp>
        <stp>912833BW Govt</stp>
        <stp>MATURITY</stp>
        <stp>[STRIPS.xlsx]Sheet1!R610C5</stp>
        <tr r="E610" s="1"/>
      </tp>
      <tp t="s">
        <v>2/15/2015</v>
        <stp/>
        <stp>##V3_BDPV12</stp>
        <stp>912833DH Govt</stp>
        <stp>MATURITY</stp>
        <stp>[STRIPS.xlsx]Sheet1!R506C5</stp>
        <tr r="E506" s="1"/>
      </tp>
      <tp t="s">
        <v>UNITED STATES</v>
        <stp/>
        <stp>##V3_BDPV12</stp>
        <stp>9128337T Govt</stp>
        <stp>COUNTRY_FULL_NAME</stp>
        <stp>[STRIPS.xlsx]Sheet1!R121C8</stp>
        <tr r="H121" s="1"/>
      </tp>
      <tp t="s">
        <v>UNITED STATES</v>
        <stp/>
        <stp>##V3_BDPV12</stp>
        <stp>912833KT Govt</stp>
        <stp>COUNTRY_FULL_NAME</stp>
        <stp>[STRIPS.xlsx]Sheet1!R161C8</stp>
        <tr r="H161" s="1"/>
      </tp>
      <tp t="s">
        <v>UNITED STATES</v>
        <stp/>
        <stp>##V3_BDPV12</stp>
        <stp>912833KS Govt</stp>
        <stp>COUNTRY_FULL_NAME</stp>
        <stp>[STRIPS.xlsx]Sheet1!R176C8</stp>
        <tr r="H176" s="1"/>
      </tp>
      <tp t="s">
        <v>UNITED STATES</v>
        <stp/>
        <stp>##V3_BDPV12</stp>
        <stp>912834MV Govt</stp>
        <stp>COUNTRY_FULL_NAME</stp>
        <stp>[STRIPS.xlsx]Sheet1!R543C8</stp>
        <tr r="H543" s="1"/>
      </tp>
      <tp t="s">
        <v>UNITED STATES</v>
        <stp/>
        <stp>##V3_BDPV12</stp>
        <stp>912833MP Govt</stp>
        <stp>COUNTRY_FULL_NAME</stp>
        <stp>[STRIPS.xlsx]Sheet1!R235C8</stp>
        <tr r="H235" s="1"/>
      </tp>
      <tp t="s">
        <v>UNITED STATES</v>
        <stp/>
        <stp>##V3_BDPV12</stp>
        <stp>912834MS Govt</stp>
        <stp>COUNTRY_FULL_NAME</stp>
        <stp>[STRIPS.xlsx]Sheet1!R406C8</stp>
        <tr r="H406" s="1"/>
      </tp>
      <tp t="s">
        <v>UNITED STATES</v>
        <stp/>
        <stp>##V3_BDPV12</stp>
        <stp>912834LQ Govt</stp>
        <stp>COUNTRY_FULL_NAME</stp>
        <stp>[STRIPS.xlsx]Sheet1!R404C8</stp>
        <tr r="H404" s="1"/>
      </tp>
      <tp t="s">
        <v>UNITED STATES</v>
        <stp/>
        <stp>##V3_BDPV12</stp>
        <stp>912833YQ Govt</stp>
        <stp>COUNTRY_FULL_NAME</stp>
        <stp>[STRIPS.xlsx]Sheet1!R344C8</stp>
        <tr r="H344" s="1"/>
      </tp>
      <tp t="s">
        <v>UNITED STATES</v>
        <stp/>
        <stp>##V3_BDPV12</stp>
        <stp>912834HS Govt</stp>
        <stp>COUNTRY_FULL_NAME</stp>
        <stp>[STRIPS.xlsx]Sheet1!R396C8</stp>
        <tr r="H396" s="1"/>
      </tp>
      <tp t="s">
        <v>UNITED STATES</v>
        <stp/>
        <stp>##V3_BDPV12</stp>
        <stp>912834EW Govt</stp>
        <stp>COUNTRY_FULL_NAME</stp>
        <stp>[STRIPS.xlsx]Sheet1!R312C8</stp>
        <tr r="H312" s="1"/>
      </tp>
      <tp t="s">
        <v>UNITED STATES</v>
        <stp/>
        <stp>##V3_BDPV12</stp>
        <stp>912834RQ Govt</stp>
        <stp>COUNTRY_FULL_NAME</stp>
        <stp>[STRIPS.xlsx]Sheet1!R204C8</stp>
        <tr r="H204" s="1"/>
      </tp>
      <tp t="s">
        <v>UNITED STATES</v>
        <stp/>
        <stp>##V3_BDPV12</stp>
        <stp>912833CR Govt</stp>
        <stp>COUNTRY_FULL_NAME</stp>
        <stp>[STRIPS.xlsx]Sheet1!R617C8</stp>
        <tr r="H617" s="1"/>
      </tp>
      <tp t="s">
        <v>UNITED STATES</v>
        <stp/>
        <stp>##V3_BDPV12</stp>
        <stp>912833FT Govt</stp>
        <stp>COUNTRY_FULL_NAME</stp>
        <stp>[STRIPS.xlsx]Sheet1!R621C8</stp>
        <tr r="H621" s="1"/>
      </tp>
      <tp t="s">
        <v>UNITED STATES</v>
        <stp/>
        <stp>##V3_BDPV12</stp>
        <stp>912834TS Govt</stp>
        <stp>COUNTRY_FULL_NAME</stp>
        <stp>[STRIPS.xlsx]Sheet1!R196C8</stp>
        <tr r="H196" s="1"/>
      </tp>
      <tp t="s">
        <v>12/31/2017</v>
        <stp/>
        <stp>##V3_BDPV12</stp>
        <stp>912834JL Govt</stp>
        <stp>MATURITY</stp>
        <stp>[STRIPS.xlsx]Sheet1!R538C5</stp>
        <tr r="E538" s="1"/>
      </tp>
      <tp t="s">
        <v>7/15/2014</v>
        <stp/>
        <stp>##V3_BDPV12</stp>
        <stp>912834KM Govt</stp>
        <stp>MATURITY</stp>
        <stp>[STRIPS.xlsx]Sheet1!R399C5</stp>
        <tr r="E399" s="1"/>
      </tp>
      <tp t="s">
        <v>7/31/2018</v>
        <stp/>
        <stp>##V3_BDPV12</stp>
        <stp>912834KN Govt</stp>
        <stp>MATURITY</stp>
        <stp>[STRIPS.xlsx]Sheet1!R469C5</stp>
        <tr r="E469" s="1"/>
      </tp>
      <tp t="s">
        <v>2/28/2017</v>
        <stp/>
        <stp>##V3_BDPV12</stp>
        <stp>912834FC Govt</stp>
        <stp>MATURITY</stp>
        <stp>[STRIPS.xlsx]Sheet1!R534C5</stp>
        <tr r="E534" s="1"/>
      </tp>
      <tp t="s">
        <v>11/15/2008</v>
        <stp/>
        <stp>##V3_BDPV12</stp>
        <stp>912833GD Govt</stp>
        <stp>MATURITY</stp>
        <stp>[STRIPS.xlsx]Sheet1!R365C5</stp>
        <tr r="E365" s="1"/>
      </tp>
      <tp t="s">
        <v>9/30/2014</v>
        <stp/>
        <stp>##V3_BDPV12</stp>
        <stp>912834BE Govt</stp>
        <stp>MATURITY</stp>
        <stp>[STRIPS.xlsx]Sheet1!R530C5</stp>
        <tr r="E530" s="1"/>
      </tp>
      <tp t="s">
        <v>3/31/2015</v>
        <stp/>
        <stp>##V3_BDPV12</stp>
        <stp>912834BF Govt</stp>
        <stp>MATURITY</stp>
        <stp>[STRIPS.xlsx]Sheet1!R350C5</stp>
        <tr r="E350" s="1"/>
      </tp>
      <tp t="s">
        <v>4/15/2014</v>
        <stp/>
        <stp>##V3_BDPV12</stp>
        <stp>912834KF Govt</stp>
        <stp>MATURITY</stp>
        <stp>[STRIPS.xlsx]Sheet1!R229C5</stp>
        <tr r="E229" s="1"/>
      </tp>
      <tp t="s">
        <v>8/15/2014</v>
        <stp/>
        <stp>##V3_BDPV12</stp>
        <stp>912833DG Govt</stp>
        <stp>MATURITY</stp>
        <stp>[STRIPS.xlsx]Sheet1!R736C5</stp>
        <tr r="E736" s="1"/>
      </tp>
      <tp t="s">
        <v>10/31/2017</v>
        <stp/>
        <stp>##V3_BDPV12</stp>
        <stp>912834JG Govt</stp>
        <stp>MATURITY</stp>
        <stp>[STRIPS.xlsx]Sheet1!R228C5</stp>
        <tr r="E228" s="1"/>
      </tp>
      <tp t="s">
        <v>8/15/2025</v>
        <stp/>
        <stp>##V3_BDPV12</stp>
        <stp>912833LW Govt</stp>
        <stp>MATURITY</stp>
        <stp>[STRIPS.xlsx]Sheet1!R2C5</stp>
        <tr r="E2" s="1"/>
      </tp>
      <tp t="s">
        <v>ACT/ACT</v>
        <stp/>
        <stp>##V3_BDPV12</stp>
        <stp>9128336W Govt</stp>
        <stp>DAY_CNT_DES</stp>
        <stp>[STRIPS.xlsx]Sheet1!R607C17</stp>
        <tr r="Q607" s="1"/>
      </tp>
      <tp t="s">
        <v>ACT/ACT</v>
        <stp/>
        <stp>##V3_BDPV12</stp>
        <stp>9128336V Govt</stp>
        <stp>DAY_CNT_DES</stp>
        <stp>[STRIPS.xlsx]Sheet1!R715C17</stp>
        <tr r="Q715" s="1"/>
      </tp>
      <tp t="s">
        <v>ACT/ACT</v>
        <stp/>
        <stp>##V3_BDPV12</stp>
        <stp>9128336U Govt</stp>
        <stp>DAY_CNT_DES</stp>
        <stp>[STRIPS.xlsx]Sheet1!R606C17</stp>
        <tr r="Q606" s="1"/>
      </tp>
      <tp t="s">
        <v>ACT/ACT</v>
        <stp/>
        <stp>##V3_BDPV12</stp>
        <stp>9128336T Govt</stp>
        <stp>DAY_CNT_DES</stp>
        <stp>[STRIPS.xlsx]Sheet1!R714C17</stp>
        <tr r="Q714" s="1"/>
      </tp>
      <tp t="s">
        <v>ACT/ACT</v>
        <stp/>
        <stp>##V3_BDPV12</stp>
        <stp>9128336S Govt</stp>
        <stp>DAY_CNT_DES</stp>
        <stp>[STRIPS.xlsx]Sheet1!R751C17</stp>
        <tr r="Q751" s="1"/>
      </tp>
      <tp t="s">
        <v>ACT/ACT</v>
        <stp/>
        <stp>##V3_BDPV12</stp>
        <stp>9128336Q Govt</stp>
        <stp>DAY_CNT_DES</stp>
        <stp>[STRIPS.xlsx]Sheet1!R750C17</stp>
        <tr r="Q750" s="1"/>
      </tp>
      <tp t="s">
        <v>ACT/ACT</v>
        <stp/>
        <stp>##V3_BDPV12</stp>
        <stp>9128336R Govt</stp>
        <stp>DAY_CNT_DES</stp>
        <stp>[STRIPS.xlsx]Sheet1!R498C17</stp>
        <tr r="Q498" s="1"/>
      </tp>
      <tp t="s">
        <v>ACT/ACT</v>
        <stp/>
        <stp>##V3_BDPV12</stp>
        <stp>9128336P Govt</stp>
        <stp>DAY_CNT_DES</stp>
        <stp>[STRIPS.xlsx]Sheet1!R729C17</stp>
        <tr r="Q729" s="1"/>
      </tp>
      <tp t="s">
        <v>ACT/ACT</v>
        <stp/>
        <stp>##V3_BDPV12</stp>
        <stp>9128336X Govt</stp>
        <stp>DAY_CNT_DES</stp>
        <stp>[STRIPS.xlsx]Sheet1!R290C17</stp>
        <tr r="Q290" s="1"/>
      </tp>
      <tp t="s">
        <v>ACT/ACT</v>
        <stp/>
        <stp>##V3_BDPV12</stp>
        <stp>9128336Y Govt</stp>
        <stp>DAY_CNT_DES</stp>
        <stp>[STRIPS.xlsx]Sheet1!R429C17</stp>
        <tr r="Q429" s="1"/>
      </tp>
      <tp t="s">
        <v>ACT/ACT</v>
        <stp/>
        <stp>##V3_BDPV12</stp>
        <stp>9128336Z Govt</stp>
        <stp>DAY_CNT_DES</stp>
        <stp>[STRIPS.xlsx]Sheet1!R430C17</stp>
        <tr r="Q430" s="1"/>
      </tp>
      <tp t="s">
        <v>ACT/ACT</v>
        <stp/>
        <stp>##V3_BDPV12</stp>
        <stp>9128336E Govt</stp>
        <stp>DAY_CNT_DES</stp>
        <stp>[STRIPS.xlsx]Sheet1!R728C17</stp>
        <tr r="Q728" s="1"/>
      </tp>
      <tp t="s">
        <v>ACT/ACT</v>
        <stp/>
        <stp>##V3_BDPV12</stp>
        <stp>9128336D Govt</stp>
        <stp>DAY_CNT_DES</stp>
        <stp>[STRIPS.xlsx]Sheet1!R749C17</stp>
        <tr r="Q749" s="1"/>
      </tp>
      <tp t="s">
        <v>ACT/ACT</v>
        <stp/>
        <stp>##V3_BDPV12</stp>
        <stp>9128336G Govt</stp>
        <stp>DAY_CNT_DES</stp>
        <stp>[STRIPS.xlsx]Sheet1!R494C17</stp>
        <tr r="Q494" s="1"/>
      </tp>
      <tp t="s">
        <v>ACT/ACT</v>
        <stp/>
        <stp>##V3_BDPV12</stp>
        <stp>9128336C Govt</stp>
        <stp>DAY_CNT_DES</stp>
        <stp>[STRIPS.xlsx]Sheet1!R713C17</stp>
        <tr r="Q713" s="1"/>
      </tp>
      <tp t="s">
        <v>ACT/ACT</v>
        <stp/>
        <stp>##V3_BDPV12</stp>
        <stp>9128336F Govt</stp>
        <stp>DAY_CNT_DES</stp>
        <stp>[STRIPS.xlsx]Sheet1!R288C17</stp>
        <tr r="Q288" s="1"/>
      </tp>
      <tp t="s">
        <v>ACT/ACT</v>
        <stp/>
        <stp>##V3_BDPV12</stp>
        <stp>9128336B Govt</stp>
        <stp>DAY_CNT_DES</stp>
        <stp>[STRIPS.xlsx]Sheet1!R727C17</stp>
        <tr r="Q727" s="1"/>
      </tp>
      <tp t="s">
        <v>ACT/ACT</v>
        <stp/>
        <stp>##V3_BDPV12</stp>
        <stp>9128336A Govt</stp>
        <stp>DAY_CNT_DES</stp>
        <stp>[STRIPS.xlsx]Sheet1!R748C17</stp>
        <tr r="Q748" s="1"/>
      </tp>
      <tp t="s">
        <v>ACT/ACT</v>
        <stp/>
        <stp>##V3_BDPV12</stp>
        <stp>9128336M Govt</stp>
        <stp>DAY_CNT_DES</stp>
        <stp>[STRIPS.xlsx]Sheet1!R558C17</stp>
        <tr r="Q558" s="1"/>
      </tp>
      <tp t="s">
        <v>ACT/ACT</v>
        <stp/>
        <stp>##V3_BDPV12</stp>
        <stp>9128336J Govt</stp>
        <stp>DAY_CNT_DES</stp>
        <stp>[STRIPS.xlsx]Sheet1!R289C17</stp>
        <tr r="Q289" s="1"/>
      </tp>
      <tp t="s">
        <v>ACT/ACT</v>
        <stp/>
        <stp>##V3_BDPV12</stp>
        <stp>9128336L Govt</stp>
        <stp>DAY_CNT_DES</stp>
        <stp>[STRIPS.xlsx]Sheet1!R557C17</stp>
        <tr r="Q557" s="1"/>
      </tp>
      <tp t="s">
        <v>ACT/ACT</v>
        <stp/>
        <stp>##V3_BDPV12</stp>
        <stp>9128336N Govt</stp>
        <stp>DAY_CNT_DES</stp>
        <stp>[STRIPS.xlsx]Sheet1!R497C17</stp>
        <tr r="Q497" s="1"/>
      </tp>
      <tp t="s">
        <v>ACT/ACT</v>
        <stp/>
        <stp>##V3_BDPV12</stp>
        <stp>9128336H Govt</stp>
        <stp>DAY_CNT_DES</stp>
        <stp>[STRIPS.xlsx]Sheet1!R495C17</stp>
        <tr r="Q495" s="1"/>
      </tp>
      <tp t="s">
        <v>ACT/ACT</v>
        <stp/>
        <stp>##V3_BDPV12</stp>
        <stp>9128336K Govt</stp>
        <stp>DAY_CNT_DES</stp>
        <stp>[STRIPS.xlsx]Sheet1!R496C17</stp>
        <tr r="Q496" s="1"/>
      </tp>
      <tp t="s">
        <v>6/15/2005</v>
        <stp/>
        <stp>##V3_BDPV12</stp>
        <stp>912833B2 Govt</stp>
        <stp>MATURITY</stp>
        <stp>[STRIPS.xlsx]Sheet1!R561C5</stp>
        <tr r="E561" s="1"/>
      </tp>
      <tp t="s">
        <v>9/15/2024</v>
        <stp/>
        <stp>##V3_BDPV12</stp>
        <stp>912834A2 Govt</stp>
        <stp>MATURITY</stp>
        <stp>[STRIPS.xlsx]Sheet1!R122C5</stp>
        <tr r="E122" s="1"/>
      </tp>
      <tp t="s">
        <v>10/15/2008</v>
        <stp/>
        <stp>##V3_BDPV12</stp>
        <stp>912833A5 Govt</stp>
        <stp>MATURITY</stp>
        <stp>[STRIPS.xlsx]Sheet1!R432C5</stp>
        <tr r="E432" s="1"/>
      </tp>
      <tp t="s">
        <v>12/15/2006</v>
        <stp/>
        <stp>##V3_BDPV12</stp>
        <stp>912833B5 Govt</stp>
        <stp>MATURITY</stp>
        <stp>[STRIPS.xlsx]Sheet1!R331C5</stp>
        <tr r="E331" s="1"/>
      </tp>
      <tp t="s">
        <v>10/31/2005</v>
        <stp/>
        <stp>##V3_BDPV12</stp>
        <stp>912833A6 Govt</stp>
        <stp>MATURITY</stp>
        <stp>[STRIPS.xlsx]Sheet1!R652C5</stp>
        <tr r="E652" s="1"/>
      </tp>
      <tp t="s">
        <v>11/15/2011</v>
        <stp/>
        <stp>##V3_BDPV12</stp>
        <stp>912833JX Govt</stp>
        <stp>MATURITY</stp>
        <stp>[STRIPS.xlsx]Sheet1!R669C5</stp>
        <tr r="E669" s="1"/>
      </tp>
      <tp t="s">
        <v>2/15/1998</v>
        <stp/>
        <stp>##V3_BDPV12</stp>
        <stp>912833BX Govt</stp>
        <stp>MATURITY</stp>
        <stp>[STRIPS.xlsx]Sheet1!R361C5</stp>
        <tr r="E361" s="1"/>
      </tp>
      <tp t="s">
        <v>8/15/1998</v>
        <stp/>
        <stp>##V3_BDPV12</stp>
        <stp>912833BY Govt</stp>
        <stp>MATURITY</stp>
        <stp>[STRIPS.xlsx]Sheet1!R501C5</stp>
        <tr r="E501" s="1"/>
      </tp>
      <tp t="s">
        <v>8/31/2015</v>
        <stp/>
        <stp>##V3_BDPV12</stp>
        <stp>912834AY Govt</stp>
        <stp>MATURITY</stp>
        <stp>[STRIPS.xlsx]Sheet1!R642C5</stp>
        <tr r="E642" s="1"/>
      </tp>
      <tp t="s">
        <v>5/15/2006</v>
        <stp/>
        <stp>##V3_BDPV12</stp>
        <stp>912833FY Govt</stp>
        <stp>MATURITY</stp>
        <stp>[STRIPS.xlsx]Sheet1!R665C5</stp>
        <tr r="E665" s="1"/>
      </tp>
      <tp t="s">
        <v>USD</v>
        <stp/>
        <stp>##V3_BDPV12</stp>
        <stp>9128334Z Govt</stp>
        <stp>CRNCY</stp>
        <stp>[STRIPS.xlsx]Sheet1!R45C7</stp>
        <tr r="G45" s="1"/>
      </tp>
      <tp t="s">
        <v>2/15/2011</v>
        <stp/>
        <stp>##V3_BDPV12</stp>
        <stp>912833CZ Govt</stp>
        <stp>MATURITY</stp>
        <stp>[STRIPS.xlsx]Sheet1!R220C5</stp>
        <tr r="E220" s="1"/>
      </tp>
      <tp t="s">
        <v>8/31/2018</v>
        <stp/>
        <stp>##V3_BDPV12</stp>
        <stp>912834KQ Govt</stp>
        <stp>MATURITY</stp>
        <stp>[STRIPS.xlsx]Sheet1!R318C5</stp>
        <tr r="E318" s="1"/>
      </tp>
      <tp t="s">
        <v>S</v>
        <stp/>
        <stp>##V3_BDPV12</stp>
        <stp>912833X8 Govt</stp>
        <stp>TICKER</stp>
        <stp>[STRIPS.xlsx]Sheet1!R66C2</stp>
        <tr r="B66" s="1"/>
      </tp>
      <tp t="s">
        <v>4/30/2016</v>
        <stp/>
        <stp>##V3_BDPV12</stp>
        <stp>912834BR Govt</stp>
        <stp>MATURITY</stp>
        <stp>[STRIPS.xlsx]Sheet1!R531C5</stp>
        <tr r="E531" s="1"/>
      </tp>
      <tp t="s">
        <v>9/15/2012</v>
        <stp/>
        <stp>##V3_BDPV12</stp>
        <stp>912834ER Govt</stp>
        <stp>MATURITY</stp>
        <stp>[STRIPS.xlsx]Sheet1!R596C5</stp>
        <tr r="E596" s="1"/>
      </tp>
      <tp t="s">
        <v>9/30/2018</v>
        <stp/>
        <stp>##V3_BDPV12</stp>
        <stp>912834KS Govt</stp>
        <stp>MATURITY</stp>
        <stp>[STRIPS.xlsx]Sheet1!R268C5</stp>
        <tr r="E268" s="1"/>
      </tp>
      <tp t="s">
        <v>5/15/2039</v>
        <stp/>
        <stp>##V3_BDPV12</stp>
        <stp>912834DV Govt</stp>
        <stp>MATURITY</stp>
        <stp>[STRIPS.xlsx]Sheet1!R127C5</stp>
        <tr r="E127" s="1"/>
      </tp>
      <tp t="s">
        <v>USD</v>
        <stp/>
        <stp>##V3_BDPV12</stp>
        <stp>9128337U Govt</stp>
        <stp>CRNCY</stp>
        <stp>[STRIPS.xlsx]Sheet1!R46C7</stp>
        <tr r="G46" s="1"/>
      </tp>
      <tp t="s">
        <v>3/31/2016</v>
        <stp/>
        <stp>##V3_BDPV12</stp>
        <stp>912834BH Govt</stp>
        <stp>MATURITY</stp>
        <stp>[STRIPS.xlsx]Sheet1!R351C5</stp>
        <tr r="E351" s="1"/>
      </tp>
      <tp t="s">
        <v>UNITED STATES</v>
        <stp/>
        <stp>##V3_BDPV12</stp>
        <stp>912834UP Govt</stp>
        <stp>COUNTRY_FULL_NAME</stp>
        <stp>[STRIPS.xlsx]Sheet1!R754C8</stp>
        <tr r="H754" s="1"/>
      </tp>
      <tp t="s">
        <v>UNITED STATES</v>
        <stp/>
        <stp>##V3_BDPV12</stp>
        <stp>912834RW Govt</stp>
        <stp>COUNTRY_FULL_NAME</stp>
        <stp>[STRIPS.xlsx]Sheet1!R753C8</stp>
        <tr r="H753" s="1"/>
      </tp>
      <tp t="s">
        <v>UNITED STATES</v>
        <stp/>
        <stp>##V3_BDPV12</stp>
        <stp>912834NS Govt</stp>
        <stp>COUNTRY_FULL_NAME</stp>
        <stp>[STRIPS.xlsx]Sheet1!R547C8</stp>
        <tr r="H547" s="1"/>
      </tp>
      <tp t="s">
        <v>UNITED STATES</v>
        <stp/>
        <stp>##V3_BDPV12</stp>
        <stp>912834ER Govt</stp>
        <stp>COUNTRY_FULL_NAME</stp>
        <stp>[STRIPS.xlsx]Sheet1!R596C8</stp>
        <tr r="H596" s="1"/>
      </tp>
      <tp t="s">
        <v>UNITED STATES</v>
        <stp/>
        <stp>##V3_BDPV12</stp>
        <stp>912833QV Govt</stp>
        <stp>COUNTRY_FULL_NAME</stp>
        <stp>[STRIPS.xlsx]Sheet1!R242C8</stp>
        <tr r="H242" s="1"/>
      </tp>
      <tp t="s">
        <v>UNITED STATES</v>
        <stp/>
        <stp>##V3_BDPV12</stp>
        <stp>912834KU Govt</stp>
        <stp>COUNTRY_FULL_NAME</stp>
        <stp>[STRIPS.xlsx]Sheet1!R401C8</stp>
        <tr r="H401" s="1"/>
      </tp>
      <tp t="s">
        <v>UNITED STATES</v>
        <stp/>
        <stp>##V3_BDPV12</stp>
        <stp>912834LP Govt</stp>
        <stp>COUNTRY_FULL_NAME</stp>
        <stp>[STRIPS.xlsx]Sheet1!R474C8</stp>
        <tr r="H474" s="1"/>
      </tp>
      <tp t="s">
        <v>UNITED STATES</v>
        <stp/>
        <stp>##V3_BDPV12</stp>
        <stp>912834RV Govt</stp>
        <stp>COUNTRY_FULL_NAME</stp>
        <stp>[STRIPS.xlsx]Sheet1!R482C8</stp>
        <tr r="H482" s="1"/>
      </tp>
      <tp t="s">
        <v>UNITED STATES</v>
        <stp/>
        <stp>##V3_BDPV12</stp>
        <stp>912834TR Govt</stp>
        <stp>COUNTRY_FULL_NAME</stp>
        <stp>[STRIPS.xlsx]Sheet1!R426C8</stp>
        <tr r="H426" s="1"/>
      </tp>
      <tp t="s">
        <v>UNITED STATES</v>
        <stp/>
        <stp>##V3_BDPV12</stp>
        <stp>912834LV Govt</stp>
        <stp>COUNTRY_FULL_NAME</stp>
        <stp>[STRIPS.xlsx]Sheet1!R232C8</stp>
        <tr r="H232" s="1"/>
      </tp>
      <tp t="s">
        <v>UNITED STATES</v>
        <stp/>
        <stp>##V3_BDPV12</stp>
        <stp>912833CP Govt</stp>
        <stp>COUNTRY_FULL_NAME</stp>
        <stp>[STRIPS.xlsx]Sheet1!R564C8</stp>
        <tr r="H564" s="1"/>
      </tp>
      <tp t="s">
        <v>UNITED STATES</v>
        <stp/>
        <stp>##V3_BDPV12</stp>
        <stp>912833RT Govt</stp>
        <stp>COUNTRY_FULL_NAME</stp>
        <stp>[STRIPS.xlsx]Sheet1!R580C8</stp>
        <tr r="H580" s="1"/>
      </tp>
      <tp t="s">
        <v>UNITED STATES</v>
        <stp/>
        <stp>##V3_BDPV12</stp>
        <stp>912834RT Govt</stp>
        <stp>COUNTRY_FULL_NAME</stp>
        <stp>[STRIPS.xlsx]Sheet1!R280C8</stp>
        <tr r="H280" s="1"/>
      </tp>
      <tp t="s">
        <v>UNITED STATES</v>
        <stp/>
        <stp>##V3_BDPV12</stp>
        <stp>912834QQ Govt</stp>
        <stp>COUNTRY_FULL_NAME</stp>
        <stp>[STRIPS.xlsx]Sheet1!R205C8</stp>
        <tr r="H205" s="1"/>
      </tp>
      <tp t="s">
        <v>UNITED STATES</v>
        <stp/>
        <stp>##V3_BDPV12</stp>
        <stp>912834QU Govt</stp>
        <stp>COUNTRY_FULL_NAME</stp>
        <stp>[STRIPS.xlsx]Sheet1!R201C8</stp>
        <tr r="H201" s="1"/>
      </tp>
      <tp t="s">
        <v>UNITED STATES</v>
        <stp/>
        <stp>##V3_BDPV12</stp>
        <stp>912833RP Govt</stp>
        <stp>COUNTRY_FULL_NAME</stp>
        <stp>[STRIPS.xlsx]Sheet1!R524C8</stp>
        <tr r="H524" s="1"/>
      </tp>
      <tp t="s">
        <v>UNITED STATES</v>
        <stp/>
        <stp>##V3_BDPV12</stp>
        <stp>912833FP Govt</stp>
        <stp>COUNTRY_FULL_NAME</stp>
        <stp>[STRIPS.xlsx]Sheet1!R664C8</stp>
        <tr r="H664" s="1"/>
      </tp>
      <tp t="s">
        <v>UNITED STATES</v>
        <stp/>
        <stp>##V3_BDPV12</stp>
        <stp>9128333P Govt</stp>
        <stp>COUNTRY_FULL_NAME</stp>
        <stp>[STRIPS.xlsx]Sheet1!R704C8</stp>
        <tr r="H704" s="1"/>
      </tp>
      <tp t="s">
        <v>UNITED STATES</v>
        <stp/>
        <stp>##V3_BDPV12</stp>
        <stp>912833KV Govt</stp>
        <stp>COUNTRY_FULL_NAME</stp>
        <stp>[STRIPS.xlsx]Sheet1!R742C8</stp>
        <tr r="H742" s="1"/>
      </tp>
      <tp t="s">
        <v>6/30/2018</v>
        <stp/>
        <stp>##V3_BDPV12</stp>
        <stp>912834KL Govt</stp>
        <stp>MATURITY</stp>
        <stp>[STRIPS.xlsx]Sheet1!R468C5</stp>
        <tr r="E468" s="1"/>
      </tp>
      <tp t="s">
        <v>8/15/2011</v>
        <stp/>
        <stp>##V3_BDPV12</stp>
        <stp>912833DA Govt</stp>
        <stp>MATURITY</stp>
        <stp>[STRIPS.xlsx]Sheet1!R167C5</stp>
        <tr r="E167" s="1"/>
      </tp>
      <tp t="s">
        <v>1/31/2017</v>
        <stp/>
        <stp>##V3_BDPV12</stp>
        <stp>912834FA Govt</stp>
        <stp>MATURITY</stp>
        <stp>[STRIPS.xlsx]Sheet1!R395C5</stp>
        <tr r="E395" s="1"/>
      </tp>
      <tp t="s">
        <v>6/15/2018</v>
        <stp/>
        <stp>##V3_BDPV12</stp>
        <stp>912834KD Govt</stp>
        <stp>MATURITY</stp>
        <stp>[STRIPS.xlsx]Sheet1!R398C5</stp>
        <tr r="E398" s="1"/>
      </tp>
      <tp t="s">
        <v>11/15/2015</v>
        <stp/>
        <stp>##V3_BDPV12</stp>
        <stp>912833KF Govt</stp>
        <stp>MATURITY</stp>
        <stp>[STRIPS.xlsx]Sheet1!R368C5</stp>
        <tr r="E368" s="1"/>
      </tp>
      <tp t="s">
        <v>912834KP2</v>
        <stp/>
        <stp>##V3_BDPV12</stp>
        <stp>912834KP Govt</stp>
        <stp>ID_CUSIP</stp>
        <stp>[STRIPS.xlsx]Sheet1!R8C19</stp>
        <tr r="S8" s="1"/>
      </tp>
      <tp t="s">
        <v>11/15/2026</v>
        <stp/>
        <stp>##V3_BDPV12</stp>
        <stp>912833PB Govt</stp>
        <stp>MATURITY</stp>
        <stp>[STRIPS.xlsx]Sheet1!R3C5</stp>
        <tr r="E3" s="1"/>
      </tp>
      <tp t="s">
        <v>912834WZ7</v>
        <stp/>
        <stp>##V3_BDPV12</stp>
        <stp>912834WZ Govt</stp>
        <stp>ID_CUSIP</stp>
        <stp>[STRIPS.xlsx]Sheet1!R6C19</stp>
        <tr r="S6" s="1"/>
      </tp>
      <tp t="s">
        <v>9128334S6</v>
        <stp/>
        <stp>##V3_BDPV12</stp>
        <stp>9128334S Govt</stp>
        <stp>ID_CUSIP</stp>
        <stp>[STRIPS.xlsx]Sheet1!R5C19</stp>
        <tr r="S5" s="1"/>
      </tp>
      <tp t="s">
        <v>9128334T4</v>
        <stp/>
        <stp>##V3_BDPV12</stp>
        <stp>9128334T Govt</stp>
        <stp>ID_CUSIP</stp>
        <stp>[STRIPS.xlsx]Sheet1!R48C19</stp>
        <tr r="S48" s="1"/>
      </tp>
      <tp t="s">
        <v>9128334W7</v>
        <stp/>
        <stp>##V3_BDPV12</stp>
        <stp>9128334W Govt</stp>
        <stp>ID_CUSIP</stp>
        <stp>[STRIPS.xlsx]Sheet1!R61C19</stp>
        <tr r="S61" s="1"/>
      </tp>
      <tp t="s">
        <v>9128334V9</v>
        <stp/>
        <stp>##V3_BDPV12</stp>
        <stp>9128334V Govt</stp>
        <stp>ID_CUSIP</stp>
        <stp>[STRIPS.xlsx]Sheet1!R69C19</stp>
        <tr r="S69" s="1"/>
      </tp>
      <tp t="s">
        <v>9128334Y3</v>
        <stp/>
        <stp>##V3_BDPV12</stp>
        <stp>9128334Y Govt</stp>
        <stp>ID_CUSIP</stp>
        <stp>[STRIPS.xlsx]Sheet1!R67C19</stp>
        <tr r="S67" s="1"/>
      </tp>
      <tp t="s">
        <v>9128334Z0</v>
        <stp/>
        <stp>##V3_BDPV12</stp>
        <stp>9128334Z Govt</stp>
        <stp>ID_CUSIP</stp>
        <stp>[STRIPS.xlsx]Sheet1!R45C19</stp>
        <tr r="S45" s="1"/>
      </tp>
      <tp t="s">
        <v>11/15/2005</v>
        <stp/>
        <stp>##V3_BDPV12</stp>
        <stp>912833FX Govt</stp>
        <stp>MATURITY</stp>
        <stp>[STRIPS.xlsx]Sheet1!R622C5</stp>
        <tr r="E622" s="1"/>
      </tp>
      <tp t="s">
        <v>7/15/2002</v>
        <stp/>
        <stp>##V3_BDPV12</stp>
        <stp>912833MY Govt</stp>
        <stp>MATURITY</stp>
        <stp>[STRIPS.xlsx]Sheet1!R569C5</stp>
        <tr r="E569" s="1"/>
      </tp>
      <tp t="s">
        <v>11/30/2015</v>
        <stp/>
        <stp>##V3_BDPV12</stp>
        <stp>912834DZ Govt</stp>
        <stp>MATURITY</stp>
        <stp>[STRIPS.xlsx]Sheet1!R460C5</stp>
        <tr r="E460" s="1"/>
      </tp>
      <tp t="s">
        <v>8/31/2016</v>
        <stp/>
        <stp>##V3_BDPV12</stp>
        <stp>912834EQ Govt</stp>
        <stp>MATURITY</stp>
        <stp>[STRIPS.xlsx]Sheet1!R311C5</stp>
        <tr r="E311" s="1"/>
      </tp>
      <tp t="s">
        <v>2/15/2007</v>
        <stp/>
        <stp>##V3_BDPV12</stp>
        <stp>912833CR Govt</stp>
        <stp>MATURITY</stp>
        <stp>[STRIPS.xlsx]Sheet1!R617C5</stp>
        <tr r="E617" s="1"/>
      </tp>
      <tp t="s">
        <v>2/15/2008</v>
        <stp/>
        <stp>##V3_BDPV12</stp>
        <stp>912833CT Govt</stp>
        <stp>MATURITY</stp>
        <stp>[STRIPS.xlsx]Sheet1!R657C5</stp>
        <tr r="E657" s="1"/>
      </tp>
      <tp t="s">
        <v>9/15/2015</v>
        <stp/>
        <stp>##V3_BDPV12</stp>
        <stp>912834LT Govt</stp>
        <stp>MATURITY</stp>
        <stp>[STRIPS.xlsx]Sheet1!R358C5</stp>
        <tr r="E358" s="1"/>
      </tp>
      <tp t="s">
        <v>8/31/2020</v>
        <stp/>
        <stp>##V3_BDPV12</stp>
        <stp>912834MU Govt</stp>
        <stp>MATURITY</stp>
        <stp>[STRIPS.xlsx]Sheet1!R419C5</stp>
        <tr r="E419" s="1"/>
      </tp>
      <tp t="s">
        <v>2/15/2039</v>
        <stp/>
        <stp>##V3_BDPV12</stp>
        <stp>912834AU Govt</stp>
        <stp>MATURITY</stp>
        <stp>[STRIPS.xlsx]Sheet1!R125C5</stp>
        <tr r="E125" s="1"/>
      </tp>
      <tp t="s">
        <v>11/15/2039</v>
        <stp/>
        <stp>##V3_BDPV12</stp>
        <stp>912834EV Govt</stp>
        <stp>MATURITY</stp>
        <stp>[STRIPS.xlsx]Sheet1!R101C5</stp>
        <tr r="E101" s="1"/>
      </tp>
      <tp t="s">
        <v>5/31/2014</v>
        <stp/>
        <stp>##V3_BDPV12</stp>
        <stp>912834DW Govt</stp>
        <stp>MATURITY</stp>
        <stp>[STRIPS.xlsx]Sheet1!R390C5</stp>
        <tr r="E390" s="1"/>
      </tp>
      <tp t="s">
        <v>10/31/2013</v>
        <stp/>
        <stp>##V3_BDPV12</stp>
        <stp>912834AH Govt</stp>
        <stp>MATURITY</stp>
        <stp>[STRIPS.xlsx]Sheet1!R385C5</stp>
        <tr r="E385" s="1"/>
      </tp>
      <tp t="s">
        <v>UNITED STATES</v>
        <stp/>
        <stp>##V3_BDPV12</stp>
        <stp>912834BR Govt</stp>
        <stp>COUNTRY_FULL_NAME</stp>
        <stp>[STRIPS.xlsx]Sheet1!R531C8</stp>
        <tr r="H531" s="1"/>
      </tp>
      <tp t="s">
        <v>UNITED STATES</v>
        <stp/>
        <stp>##V3_BDPV12</stp>
        <stp>912833NP Govt</stp>
        <stp>COUNTRY_FULL_NAME</stp>
        <stp>[STRIPS.xlsx]Sheet1!R373C8</stp>
        <tr r="H373" s="1"/>
      </tp>
      <tp t="s">
        <v>UNITED STATES</v>
        <stp/>
        <stp>##V3_BDPV12</stp>
        <stp>912833JU Govt</stp>
        <stp>COUNTRY_FULL_NAME</stp>
        <stp>[STRIPS.xlsx]Sheet1!R366C8</stp>
        <tr r="H366" s="1"/>
      </tp>
      <tp t="s">
        <v>UNITED STATES</v>
        <stp/>
        <stp>##V3_BDPV12</stp>
        <stp>912834JT Govt</stp>
        <stp>COUNTRY_FULL_NAME</stp>
        <stp>[STRIPS.xlsx]Sheet1!R467C8</stp>
        <tr r="H467" s="1"/>
      </tp>
      <tp t="s">
        <v>UNITED STATES</v>
        <stp/>
        <stp>##V3_BDPV12</stp>
        <stp>912833ZT Govt</stp>
        <stp>COUNTRY_FULL_NAME</stp>
        <stp>[STRIPS.xlsx]Sheet1!R347C8</stp>
        <tr r="H347" s="1"/>
      </tp>
      <tp t="s">
        <v>UNITED STATES</v>
        <stp/>
        <stp>##V3_BDPV12</stp>
        <stp>912833QT Govt</stp>
        <stp>COUNTRY_FULL_NAME</stp>
        <stp>[STRIPS.xlsx]Sheet1!R307C8</stp>
        <tr r="H307" s="1"/>
      </tp>
      <tp t="s">
        <v>UNITED STATES</v>
        <stp/>
        <stp>##V3_BDPV12</stp>
        <stp>912833QZ Govt</stp>
        <stp>COUNTRY_FULL_NAME</stp>
        <stp>[STRIPS.xlsx]Sheet1!R379C8</stp>
        <tr r="H379" s="1"/>
      </tp>
      <tp t="s">
        <v>UNITED STATES</v>
        <stp/>
        <stp>##V3_BDPV12</stp>
        <stp>912834LS Govt</stp>
        <stp>COUNTRY_FULL_NAME</stp>
        <stp>[STRIPS.xlsx]Sheet1!R270C8</stp>
        <tr r="H270" s="1"/>
      </tp>
      <tp t="s">
        <v>UNITED STATES</v>
        <stp/>
        <stp>##V3_BDPV12</stp>
        <stp>912834MW Govt</stp>
        <stp>COUNTRY_FULL_NAME</stp>
        <stp>[STRIPS.xlsx]Sheet1!R234C8</stp>
        <tr r="H234" s="1"/>
      </tp>
      <tp t="s">
        <v>UNITED STATES</v>
        <stp/>
        <stp>##V3_BDPV12</stp>
        <stp>912834KZ Govt</stp>
        <stp>COUNTRY_FULL_NAME</stp>
        <stp>[STRIPS.xlsx]Sheet1!R269C8</stp>
        <tr r="H269" s="1"/>
      </tp>
      <tp t="s">
        <v>UNITED STATES</v>
        <stp/>
        <stp>##V3_BDPV12</stp>
        <stp>912833QR Govt</stp>
        <stp>COUNTRY_FULL_NAME</stp>
        <stp>[STRIPS.xlsx]Sheet1!R521C8</stp>
        <tr r="H521" s="1"/>
      </tp>
      <tp t="s">
        <v>UNITED STATES</v>
        <stp/>
        <stp>##V3_BDPV12</stp>
        <stp>912833YU Govt</stp>
        <stp>COUNTRY_FULL_NAME</stp>
        <stp>[STRIPS.xlsx]Sheet1!R586C8</stp>
        <tr r="H586" s="1"/>
      </tp>
      <tp t="s">
        <v>UNITED STATES</v>
        <stp/>
        <stp>##V3_BDPV12</stp>
        <stp>912834QZ Govt</stp>
        <stp>COUNTRY_FULL_NAME</stp>
        <stp>[STRIPS.xlsx]Sheet1!R279C8</stp>
        <tr r="H279" s="1"/>
      </tp>
      <tp t="s">
        <v>UNITED STATES</v>
        <stp/>
        <stp>##V3_BDPV12</stp>
        <stp>912834VQ Govt</stp>
        <stp>COUNTRY_FULL_NAME</stp>
        <stp>[STRIPS.xlsx]Sheet1!R222C8</stp>
        <tr r="H222" s="1"/>
      </tp>
      <tp t="s">
        <v>UNITED STATES</v>
        <stp/>
        <stp>##V3_BDPV12</stp>
        <stp>9128336U Govt</stp>
        <stp>COUNTRY_FULL_NAME</stp>
        <stp>[STRIPS.xlsx]Sheet1!R606C8</stp>
        <tr r="H606" s="1"/>
      </tp>
      <tp t="s">
        <v>UNITED STATES</v>
        <stp/>
        <stp>##V3_BDPV12</stp>
        <stp>912833KP Govt</stp>
        <stp>COUNTRY_FULL_NAME</stp>
        <stp>[STRIPS.xlsx]Sheet1!R623C8</stp>
        <tr r="H623" s="1"/>
      </tp>
      <tp t="s">
        <v>UNITED STATES</v>
        <stp/>
        <stp>##V3_BDPV12</stp>
        <stp>912834NV Govt</stp>
        <stp>COUNTRY_FULL_NAME</stp>
        <stp>[STRIPS.xlsx]Sheet1!R115C8</stp>
        <tr r="H115" s="1"/>
      </tp>
      <tp t="s">
        <v>UNITED STATES</v>
        <stp/>
        <stp>##V3_BDPV12</stp>
        <stp>912833CT Govt</stp>
        <stp>COUNTRY_FULL_NAME</stp>
        <stp>[STRIPS.xlsx]Sheet1!R657C8</stp>
        <tr r="H657" s="1"/>
      </tp>
      <tp t="s">
        <v>UNITED STATES</v>
        <stp/>
        <stp>##V3_BDPV12</stp>
        <stp>912833RQ Govt</stp>
        <stp>COUNTRY_FULL_NAME</stp>
        <stp>[STRIPS.xlsx]Sheet1!R692C8</stp>
        <tr r="H692" s="1"/>
      </tp>
      <tp t="s">
        <v>UNITED STATES</v>
        <stp/>
        <stp>##V3_BDPV12</stp>
        <stp>912833PQ Govt</stp>
        <stp>COUNTRY_FULL_NAME</stp>
        <stp>[STRIPS.xlsx]Sheet1!R682C8</stp>
        <tr r="H682" s="1"/>
      </tp>
      <tp t="s">
        <v>UNITED STATES</v>
        <stp/>
        <stp>##V3_BDPV12</stp>
        <stp>912834VS Govt</stp>
        <stp>COUNTRY_FULL_NAME</stp>
        <stp>[STRIPS.xlsx]Sheet1!R170C8</stp>
        <tr r="H170" s="1"/>
      </tp>
      <tp t="s">
        <v>UNITED STATES</v>
        <stp/>
        <stp>##V3_BDPV12</stp>
        <stp>912834WU Govt</stp>
        <stp>COUNTRY_FULL_NAME</stp>
        <stp>[STRIPS.xlsx]Sheet1!R166C8</stp>
        <tr r="H166" s="1"/>
      </tp>
      <tp t="s">
        <v>UNITED STATES</v>
        <stp/>
        <stp>##V3_BDPV12</stp>
        <stp>912834TZ Govt</stp>
        <stp>COUNTRY_FULL_NAME</stp>
        <stp>[STRIPS.xlsx]Sheet1!R139C8</stp>
        <tr r="H139" s="1"/>
      </tp>
      <tp t="s">
        <v>UNITED STATES</v>
        <stp/>
        <stp>##V3_BDPV12</stp>
        <stp>912834PW Govt</stp>
        <stp>COUNTRY_FULL_NAME</stp>
        <stp>[STRIPS.xlsx]Sheet1!R154C8</stp>
        <tr r="H154" s="1"/>
      </tp>
      <tp t="s">
        <v>8/15/2003</v>
        <stp/>
        <stp>##V3_BDPV12</stp>
        <stp>912833CJ Govt</stp>
        <stp>MATURITY</stp>
        <stp>[STRIPS.xlsx]Sheet1!R297C5</stp>
        <tr r="E297" s="1"/>
      </tp>
      <tp t="s">
        <v>UNITED STATES</v>
        <stp/>
        <stp>##V3_BDPV12</stp>
        <stp>9128333U Govt</stp>
        <stp>COUNTRY_FULL_NAME</stp>
        <stp>[STRIPS.xlsx]Sheet1!R706C8</stp>
        <tr r="H706" s="1"/>
      </tp>
      <tp t="s">
        <v>UNITED STATES</v>
        <stp/>
        <stp>##V3_BDPV12</stp>
        <stp>9128335P Govt</stp>
        <stp>COUNTRY_FULL_NAME</stp>
        <stp>[STRIPS.xlsx]Sheet1!R723C8</stp>
        <tr r="H723" s="1"/>
      </tp>
      <tp t="s">
        <v>UNITED STATES</v>
        <stp/>
        <stp>##V3_BDPV12</stp>
        <stp>9128336V Govt</stp>
        <stp>COUNTRY_FULL_NAME</stp>
        <stp>[STRIPS.xlsx]Sheet1!R715C8</stp>
        <tr r="H715" s="1"/>
      </tp>
      <tp t="s">
        <v>11/15/1999</v>
        <stp/>
        <stp>##V3_BDPV12</stp>
        <stp>912833FK Govt</stp>
        <stp>MATURITY</stp>
        <stp>[STRIPS.xlsx]Sheet1!R662C5</stp>
        <tr r="E662" s="1"/>
      </tp>
      <tp t="s">
        <v>USD</v>
        <stp/>
        <stp>##V3_BDPV12</stp>
        <stp>9128335B Govt</stp>
        <stp>CRNCY</stp>
        <stp>[STRIPS.xlsx]Sheet1!R43C7</stp>
        <tr r="G43" s="1"/>
      </tp>
      <tp t="s">
        <v>6/30/2014</v>
        <stp/>
        <stp>##V3_BDPV12</stp>
        <stp>912834EC Govt</stp>
        <stp>MATURITY</stp>
        <stp>[STRIPS.xlsx]Sheet1!R461C5</stp>
        <tr r="E461" s="1"/>
      </tp>
      <tp t="s">
        <v>8/15/2001</v>
        <stp/>
        <stp>##V3_BDPV12</stp>
        <stp>912833CE Govt</stp>
        <stp>MATURITY</stp>
        <stp>[STRIPS.xlsx]Sheet1!R437C5</stp>
        <tr r="E437" s="1"/>
      </tp>
      <tp t="s">
        <v>2/15/2014</v>
        <stp/>
        <stp>##V3_BDPV12</stp>
        <stp>912833DF Govt</stp>
        <stp>MATURITY</stp>
        <stp>[STRIPS.xlsx]Sheet1!R660C5</stp>
        <tr r="E660" s="1"/>
      </tp>
      <tp t="s">
        <v>912833LZ1</v>
        <stp/>
        <stp>##V3_BDPV12</stp>
        <stp>912833LZ Govt</stp>
        <stp>ID_CUSIP</stp>
        <stp>[STRIPS.xlsx]Sheet1!R9C19</stp>
        <tr r="S9" s="1"/>
      </tp>
      <tp t="s">
        <v>912833LW8</v>
        <stp/>
        <stp>##V3_BDPV12</stp>
        <stp>912833LW Govt</stp>
        <stp>ID_CUSIP</stp>
        <stp>[STRIPS.xlsx]Sheet1!R2C19</stp>
        <tr r="S2" s="1"/>
      </tp>
      <tp t="s">
        <v>912833LF5</v>
        <stp/>
        <stp>##V3_BDPV12</stp>
        <stp>912833LF Govt</stp>
        <stp>ID_CUSIP</stp>
        <stp>[STRIPS.xlsx]Sheet1!R7C19</stp>
        <tr r="S7" s="1"/>
      </tp>
      <tp t="s">
        <v>8/15/2026</v>
        <stp/>
        <stp>##V3_BDPV12</stp>
        <stp>912833PA Govt</stp>
        <stp>MATURITY</stp>
        <stp>[STRIPS.xlsx]Sheet1!R4C5</stp>
        <tr r="E4" s="1"/>
      </tp>
      <tp t="s">
        <v>912833PA2</v>
        <stp/>
        <stp>##V3_BDPV12</stp>
        <stp>912833PA Govt</stp>
        <stp>ID_CUSIP</stp>
        <stp>[STRIPS.xlsx]Sheet1!R4C19</stp>
        <tr r="S4" s="1"/>
      </tp>
      <tp t="s">
        <v>912833PB0</v>
        <stp/>
        <stp>##V3_BDPV12</stp>
        <stp>912833PB Govt</stp>
        <stp>ID_CUSIP</stp>
        <stp>[STRIPS.xlsx]Sheet1!R3C19</stp>
        <tr r="S3" s="1"/>
      </tp>
      <tp t="s">
        <v>9128335A4</v>
        <stp/>
        <stp>##V3_BDPV12</stp>
        <stp>9128335A Govt</stp>
        <stp>ID_CUSIP</stp>
        <stp>[STRIPS.xlsx]Sheet1!R42C19</stp>
        <tr r="S42" s="1"/>
      </tp>
      <tp t="s">
        <v>9128335B2</v>
        <stp/>
        <stp>##V3_BDPV12</stp>
        <stp>9128335B Govt</stp>
        <stp>ID_CUSIP</stp>
        <stp>[STRIPS.xlsx]Sheet1!R43C19</stp>
        <tr r="S43" s="1"/>
      </tp>
      <tp t="s">
        <v>11/30/2014</v>
        <stp/>
        <stp>##V3_BDPV12</stp>
        <stp>912834DX Govt</stp>
        <stp>MATURITY</stp>
        <stp>[STRIPS.xlsx]Sheet1!R391C5</stp>
        <tr r="E391" s="1"/>
      </tp>
      <tp t="s">
        <v>11/30/2019</v>
        <stp/>
        <stp>##V3_BDPV12</stp>
        <stp>912834LY Govt</stp>
        <stp>MATURITY</stp>
        <stp>[STRIPS.xlsx]Sheet1!R539C5</stp>
        <tr r="E539" s="1"/>
      </tp>
      <tp t="s">
        <v>10/31/2020</v>
        <stp/>
        <stp>##V3_BDPV12</stp>
        <stp>912834MY Govt</stp>
        <stp>MATURITY</stp>
        <stp>[STRIPS.xlsx]Sheet1!R328C5</stp>
        <tr r="E328" s="1"/>
      </tp>
      <tp t="s">
        <v>10/15/2002</v>
        <stp/>
        <stp>##V3_BDPV12</stp>
        <stp>912833MZ Govt</stp>
        <stp>MATURITY</stp>
        <stp>[STRIPS.xlsx]Sheet1!R628C5</stp>
        <tr r="E628" s="1"/>
      </tp>
      <tp t="s">
        <v>6/30/2020</v>
        <stp/>
        <stp>##V3_BDPV12</stp>
        <stp>912834MQ Govt</stp>
        <stp>MATURITY</stp>
        <stp>[STRIPS.xlsx]Sheet1!R418C5</stp>
        <tr r="E418" s="1"/>
      </tp>
      <tp t="s">
        <v>9/30/2019</v>
        <stp/>
        <stp>##V3_BDPV12</stp>
        <stp>912834LU Govt</stp>
        <stp>MATURITY</stp>
        <stp>[STRIPS.xlsx]Sheet1!R359C5</stp>
        <tr r="E359" s="1"/>
      </tp>
      <tp t="s">
        <v>UNITED STATES</v>
        <stp/>
        <stp>##V3_BDPV12</stp>
        <stp>912833JT Govt</stp>
        <stp>COUNTRY_FULL_NAME</stp>
        <stp>[STRIPS.xlsx]Sheet1!R156C8</stp>
        <tr r="H156" s="1"/>
      </tp>
      <tp t="s">
        <v>UNITED STATES</v>
        <stp/>
        <stp>##V3_BDPV12</stp>
        <stp>912833ZP Govt</stp>
        <stp>COUNTRY_FULL_NAME</stp>
        <stp>[STRIPS.xlsx]Sheet1!R192C8</stp>
        <tr r="H192" s="1"/>
      </tp>
      <tp t="s">
        <v>UNITED STATES</v>
        <stp/>
        <stp>##V3_BDPV12</stp>
        <stp>912834MP Govt</stp>
        <stp>COUNTRY_FULL_NAME</stp>
        <stp>[STRIPS.xlsx]Sheet1!R542C8</stp>
        <tr r="H542" s="1"/>
      </tp>
      <tp t="s">
        <v>UNITED STATES</v>
        <stp/>
        <stp>##V3_BDPV12</stp>
        <stp>912833ZV Govt</stp>
        <stp>COUNTRY_FULL_NAME</stp>
        <stp>[STRIPS.xlsx]Sheet1!R254C8</stp>
        <tr r="H254" s="1"/>
      </tp>
      <tp t="s">
        <v>UNITED STATES</v>
        <stp/>
        <stp>##V3_BDPV12</stp>
        <stp>912834KR Govt</stp>
        <stp>COUNTRY_FULL_NAME</stp>
        <stp>[STRIPS.xlsx]Sheet1!R400C8</stp>
        <tr r="H400" s="1"/>
      </tp>
      <tp t="s">
        <v>UNITED STATES</v>
        <stp/>
        <stp>##V3_BDPV12</stp>
        <stp>912834QR Govt</stp>
        <stp>COUNTRY_FULL_NAME</stp>
        <stp>[STRIPS.xlsx]Sheet1!R480C8</stp>
        <tr r="H480" s="1"/>
      </tp>
      <tp t="s">
        <v>UNITED STATES</v>
        <stp/>
        <stp>##V3_BDPV12</stp>
        <stp>9128333V Govt</stp>
        <stp>COUNTRY_FULL_NAME</stp>
        <stp>[STRIPS.xlsx]Sheet1!R484C8</stp>
        <tr r="H484" s="1"/>
      </tp>
      <tp t="s">
        <v>UNITED STATES</v>
        <stp/>
        <stp>##V3_BDPV12</stp>
        <stp>9128333W Govt</stp>
        <stp>COUNTRY_FULL_NAME</stp>
        <stp>[STRIPS.xlsx]Sheet1!R485C8</stp>
        <tr r="H485" s="1"/>
      </tp>
      <tp t="s">
        <v>UNITED STATES</v>
        <stp/>
        <stp>##V3_BDPV12</stp>
        <stp>9128335T Govt</stp>
        <stp>COUNTRY_FULL_NAME</stp>
        <stp>[STRIPS.xlsx]Sheet1!R556C8</stp>
        <tr r="H556" s="1"/>
      </tp>
      <tp t="s">
        <v>UNITED STATES</v>
        <stp/>
        <stp>##V3_BDPV12</stp>
        <stp>912834NQ Govt</stp>
        <stp>COUNTRY_FULL_NAME</stp>
        <stp>[STRIPS.xlsx]Sheet1!R273C8</stp>
        <tr r="H273" s="1"/>
      </tp>
      <tp t="s">
        <v>UNITED STATES</v>
        <stp/>
        <stp>##V3_BDPV12</stp>
        <stp>912833ZZ Govt</stp>
        <stp>COUNTRY_FULL_NAME</stp>
        <stp>[STRIPS.xlsx]Sheet1!R528C8</stp>
        <tr r="H528" s="1"/>
      </tp>
      <tp t="s">
        <v>UNITED STATES</v>
        <stp/>
        <stp>##V3_BDPV12</stp>
        <stp>912833MW Govt</stp>
        <stp>COUNTRY_FULL_NAME</stp>
        <stp>[STRIPS.xlsx]Sheet1!R675C8</stp>
        <tr r="H675" s="1"/>
      </tp>
      <tp t="s">
        <v>UNITED STATES</v>
        <stp/>
        <stp>##V3_BDPV12</stp>
        <stp>912833MZ Govt</stp>
        <stp>COUNTRY_FULL_NAME</stp>
        <stp>[STRIPS.xlsx]Sheet1!R628C8</stp>
        <tr r="H628" s="1"/>
      </tp>
      <tp t="s">
        <v>UNITED STATES</v>
        <stp/>
        <stp>##V3_BDPV12</stp>
        <stp>912834WW Govt</stp>
        <stp>COUNTRY_FULL_NAME</stp>
        <stp>[STRIPS.xlsx]Sheet1!R185C8</stp>
        <tr r="H185" s="1"/>
      </tp>
      <tp t="s">
        <v>UNITED STATES</v>
        <stp/>
        <stp>##V3_BDPV12</stp>
        <stp>912834QV Govt</stp>
        <stp>COUNTRY_FULL_NAME</stp>
        <stp>[STRIPS.xlsx]Sheet1!R104C8</stp>
        <tr r="H104" s="1"/>
      </tp>
      <tp t="s">
        <v>UNITED STATES</v>
        <stp/>
        <stp>##V3_BDPV12</stp>
        <stp>912834PT Govt</stp>
        <stp>COUNTRY_FULL_NAME</stp>
        <stp>[STRIPS.xlsx]Sheet1!R106C8</stp>
        <tr r="H106" s="1"/>
      </tp>
      <tp t="s">
        <v>UNITED STATES</v>
        <stp/>
        <stp>##V3_BDPV12</stp>
        <stp>9128336S Govt</stp>
        <stp>COUNTRY_FULL_NAME</stp>
        <stp>[STRIPS.xlsx]Sheet1!R751C8</stp>
        <tr r="H751" s="1"/>
      </tp>
      <tp t="s">
        <v>UNITED STATES</v>
        <stp/>
        <stp>##V3_BDPV12</stp>
        <stp>9128335V Govt</stp>
        <stp>COUNTRY_FULL_NAME</stp>
        <stp>[STRIPS.xlsx]Sheet1!R724C8</stp>
        <tr r="H724" s="1"/>
      </tp>
      <tp t="s">
        <v>UNITED STATES</v>
        <stp/>
        <stp>##V3_BDPV12</stp>
        <stp>9128335W Govt</stp>
        <stp>COUNTRY_FULL_NAME</stp>
        <stp>[STRIPS.xlsx]Sheet1!R725C8</stp>
        <tr r="H725" s="1"/>
      </tp>
      <tp t="s">
        <v>UNITED STATES</v>
        <stp/>
        <stp>##V3_BDPV12</stp>
        <stp>912833CW Govt</stp>
        <stp>COUNTRY_FULL_NAME</stp>
        <stp>[STRIPS.xlsx]Sheet1!R735C8</stp>
        <tr r="H735" s="1"/>
      </tp>
      <tp t="s">
        <v>7/15/1999</v>
        <stp/>
        <stp>##V3_BDPV12</stp>
        <stp>912833ML Govt</stp>
        <stp>MATURITY</stp>
        <stp>[STRIPS.xlsx]Sheet1!R568C5</stp>
        <tr r="E568" s="1"/>
      </tp>
      <tp t="s">
        <v>8/15/2004</v>
        <stp/>
        <stp>##V3_BDPV12</stp>
        <stp>912833CL Govt</stp>
        <stp>MATURITY</stp>
        <stp>[STRIPS.xlsx]Sheet1!R616C5</stp>
        <tr r="E616" s="1"/>
      </tp>
      <tp t="s">
        <v>5/15/2000</v>
        <stp/>
        <stp>##V3_BDPV12</stp>
        <stp>912833FL Govt</stp>
        <stp>MATURITY</stp>
        <stp>[STRIPS.xlsx]Sheet1!R663C5</stp>
        <tr r="E663" s="1"/>
      </tp>
      <tp t="s">
        <v>2/15/2005</v>
        <stp/>
        <stp>##V3_BDPV12</stp>
        <stp>912833CM Govt</stp>
        <stp>MATURITY</stp>
        <stp>[STRIPS.xlsx]Sheet1!R656C5</stp>
        <tr r="E656" s="1"/>
      </tp>
      <tp t="s">
        <v>7/31/2016</v>
        <stp/>
        <stp>##V3_BDPV12</stp>
        <stp>912834EN Govt</stp>
        <stp>MATURITY</stp>
        <stp>[STRIPS.xlsx]Sheet1!R310C5</stp>
        <tr r="E310" s="1"/>
      </tp>
      <tp t="s">
        <v>8/15/2020</v>
        <stp/>
        <stp>##V3_BDPV12</stp>
        <stp>912833LA Govt</stp>
        <stp>MATURITY</stp>
        <stp>[STRIPS.xlsx]Sheet1!R369C5</stp>
        <tr r="E369" s="1"/>
      </tp>
      <tp t="s">
        <v>USD</v>
        <stp/>
        <stp>##V3_BDPV12</stp>
        <stp>9128335A Govt</stp>
        <stp>CRNCY</stp>
        <stp>[STRIPS.xlsx]Sheet1!R42C7</stp>
        <tr r="G42" s="1"/>
      </tp>
      <tp t="s">
        <v>8/15/2000</v>
        <stp/>
        <stp>##V3_BDPV12</stp>
        <stp>912833CC Govt</stp>
        <stp>MATURITY</stp>
        <stp>[STRIPS.xlsx]Sheet1!R436C5</stp>
        <tr r="E436" s="1"/>
      </tp>
      <tp t="s">
        <v>7/31/2013</v>
        <stp/>
        <stp>##V3_BDPV12</stp>
        <stp>912834AC Govt</stp>
        <stp>MATURITY</stp>
        <stp>[STRIPS.xlsx]Sheet1!R384C5</stp>
        <tr r="E384" s="1"/>
      </tp>
      <tp t="s">
        <v>8/15/2002</v>
        <stp/>
        <stp>##V3_BDPV12</stp>
        <stp>912833CG Govt</stp>
        <stp>MATURITY</stp>
        <stp>[STRIPS.xlsx]Sheet1!R296C5</stp>
        <tr r="E296" s="1"/>
      </tp>
      <tp t="s">
        <v>8/15/2031</v>
        <stp/>
        <stp>##V3_BDPV12</stp>
        <stp>9128334S Govt</stp>
        <stp>MATURITY</stp>
        <stp>[STRIPS.xlsx]Sheet1!R5C5</stp>
        <tr r="E5" s="1"/>
      </tp>
      <tp t="s">
        <v>ACT/ACT</v>
        <stp/>
        <stp>##V3_BDPV12</stp>
        <stp>9128333T Govt</stp>
        <stp>DAY_CNT_DES</stp>
        <stp>[STRIPS.xlsx]Sheet1!R483C17</stp>
        <tr r="Q483" s="1"/>
      </tp>
      <tp t="s">
        <v>ACT/ACT</v>
        <stp/>
        <stp>##V3_BDPV12</stp>
        <stp>9128333U Govt</stp>
        <stp>DAY_CNT_DES</stp>
        <stp>[STRIPS.xlsx]Sheet1!R706C17</stp>
        <tr r="Q706" s="1"/>
      </tp>
      <tp t="s">
        <v>ACT/ACT</v>
        <stp/>
        <stp>##V3_BDPV12</stp>
        <stp>9128333V Govt</stp>
        <stp>DAY_CNT_DES</stp>
        <stp>[STRIPS.xlsx]Sheet1!R484C17</stp>
        <tr r="Q484" s="1"/>
      </tp>
      <tp t="s">
        <v>ACT/ACT</v>
        <stp/>
        <stp>##V3_BDPV12</stp>
        <stp>9128333W Govt</stp>
        <stp>DAY_CNT_DES</stp>
        <stp>[STRIPS.xlsx]Sheet1!R485C17</stp>
        <tr r="Q485" s="1"/>
      </tp>
      <tp t="s">
        <v>ACT/ACT</v>
        <stp/>
        <stp>##V3_BDPV12</stp>
        <stp>9128333R Govt</stp>
        <stp>DAY_CNT_DES</stp>
        <stp>[STRIPS.xlsx]Sheet1!R705C17</stp>
        <tr r="Q705" s="1"/>
      </tp>
      <tp t="s">
        <v>ACT/ACT</v>
        <stp/>
        <stp>##V3_BDPV12</stp>
        <stp>9128333S Govt</stp>
        <stp>DAY_CNT_DES</stp>
        <stp>[STRIPS.xlsx]Sheet1!R553C17</stp>
        <tr r="Q553" s="1"/>
      </tp>
      <tp t="s">
        <v>ACT/ACT</v>
        <stp/>
        <stp>##V3_BDPV12</stp>
        <stp>9128333Q Govt</stp>
        <stp>DAY_CNT_DES</stp>
        <stp>[STRIPS.xlsx]Sheet1!R719C17</stp>
        <tr r="Q719" s="1"/>
      </tp>
      <tp t="s">
        <v>ACT/ACT</v>
        <stp/>
        <stp>##V3_BDPV12</stp>
        <stp>9128333P Govt</stp>
        <stp>DAY_CNT_DES</stp>
        <stp>[STRIPS.xlsx]Sheet1!R704C17</stp>
        <tr r="Q704" s="1"/>
      </tp>
      <tp t="s">
        <v>ACT/ACT</v>
        <stp/>
        <stp>##V3_BDPV12</stp>
        <stp>9128333Z Govt</stp>
        <stp>DAY_CNT_DES</stp>
        <stp>[STRIPS.xlsx]Sheet1!R602C17</stp>
        <tr r="Q602" s="1"/>
      </tp>
      <tp t="s">
        <v>ACT/ACT</v>
        <stp/>
        <stp>##V3_BDPV12</stp>
        <stp>9128333Y Govt</stp>
        <stp>DAY_CNT_DES</stp>
        <stp>[STRIPS.xlsx]Sheet1!R486C17</stp>
        <tr r="Q486" s="1"/>
      </tp>
      <tp t="s">
        <v>ACT/ACT</v>
        <stp/>
        <stp>##V3_BDPV12</stp>
        <stp>9128333X Govt</stp>
        <stp>DAY_CNT_DES</stp>
        <stp>[STRIPS.xlsx]Sheet1!R601C17</stp>
        <tr r="Q601" s="1"/>
      </tp>
      <tp t="s">
        <v>ACT/ACT</v>
        <stp/>
        <stp>##V3_BDPV12</stp>
        <stp>9128333M Govt</stp>
        <stp>DAY_CNT_DES</stp>
        <stp>[STRIPS.xlsx]Sheet1!R599C17</stp>
        <tr r="Q599" s="1"/>
      </tp>
      <tp t="s">
        <v>ACT/ACT</v>
        <stp/>
        <stp>##V3_BDPV12</stp>
        <stp>9128333L Govt</stp>
        <stp>DAY_CNT_DES</stp>
        <stp>[STRIPS.xlsx]Sheet1!R552C17</stp>
        <tr r="Q552" s="1"/>
      </tp>
      <tp t="s">
        <v>ACT/ACT</v>
        <stp/>
        <stp>##V3_BDPV12</stp>
        <stp>9128333N Govt</stp>
        <stp>DAY_CNT_DES</stp>
        <stp>[STRIPS.xlsx]Sheet1!R428C17</stp>
        <tr r="Q428" s="1"/>
      </tp>
      <tp t="s">
        <v>ACT/ACT</v>
        <stp/>
        <stp>##V3_BDPV12</stp>
        <stp>9128333K Govt</stp>
        <stp>DAY_CNT_DES</stp>
        <stp>[STRIPS.xlsx]Sheet1!R743C17</stp>
        <tr r="Q743" s="1"/>
      </tp>
      <tp t="s">
        <v>ACT/ACT</v>
        <stp/>
        <stp>##V3_BDPV12</stp>
        <stp>9128333H Govt</stp>
        <stp>DAY_CNT_DES</stp>
        <stp>[STRIPS.xlsx]Sheet1!R600C17</stp>
        <tr r="Q600" s="1"/>
      </tp>
      <tp t="s">
        <v>ACT/ACT</v>
        <stp/>
        <stp>##V3_BDPV12</stp>
        <stp>9128333J Govt</stp>
        <stp>DAY_CNT_DES</stp>
        <stp>[STRIPS.xlsx]Sheet1!R427C17</stp>
        <tr r="Q427" s="1"/>
      </tp>
      <tp t="s">
        <v>12/15/2008</v>
        <stp/>
        <stp>##V3_BDPV12</stp>
        <stp>912833B9 Govt</stp>
        <stp>MATURITY</stp>
        <stp>[STRIPS.xlsx]Sheet1!R434C5</stp>
        <tr r="E434" s="1"/>
      </tp>
      <tp t="s">
        <v>6/15/2006</v>
        <stp/>
        <stp>##V3_BDPV12</stp>
        <stp>912833B4 Govt</stp>
        <stp>MATURITY</stp>
        <stp>[STRIPS.xlsx]Sheet1!R654C5</stp>
        <tr r="E654" s="1"/>
      </tp>
      <tp t="s">
        <v>1/15/2008</v>
        <stp/>
        <stp>##V3_BDPV12</stp>
        <stp>912833C5 Govt</stp>
        <stp>MATURITY</stp>
        <stp>[STRIPS.xlsx]Sheet1!R435C5</stp>
        <tr r="E435" s="1"/>
      </tp>
      <tp t="s">
        <v>12/31/2016</v>
        <stp/>
        <stp>##V3_BDPV12</stp>
        <stp>912834EY Govt</stp>
        <stp>MATURITY</stp>
        <stp>[STRIPS.xlsx]Sheet1!R313C5</stp>
        <tr r="E313" s="1"/>
      </tp>
      <tp t="s">
        <v>5/15/2002</v>
        <stp/>
        <stp>##V3_BDPV12</stp>
        <stp>912833FQ Govt</stp>
        <stp>MATURITY</stp>
        <stp>[STRIPS.xlsx]Sheet1!R620C5</stp>
        <tr r="E620" s="1"/>
      </tp>
      <tp t="s">
        <v>10/15/2012</v>
        <stp/>
        <stp>##V3_BDPV12</stp>
        <stp>912834ET Govt</stp>
        <stp>MATURITY</stp>
        <stp>[STRIPS.xlsx]Sheet1!R393C5</stp>
        <tr r="E393" s="1"/>
      </tp>
      <tp t="s">
        <v>11/15/2004</v>
        <stp/>
        <stp>##V3_BDPV12</stp>
        <stp>912833FV Govt</stp>
        <stp>MATURITY</stp>
        <stp>[STRIPS.xlsx]Sheet1!R510C5</stp>
        <tr r="E510" s="1"/>
      </tp>
      <tp t="s">
        <v>2/28/2014</v>
        <stp/>
        <stp>##V3_BDPV12</stp>
        <stp>912834AV Govt</stp>
        <stp>MATURITY</stp>
        <stp>[STRIPS.xlsx]Sheet1!R387C5</stp>
        <tr r="E387" s="1"/>
      </tp>
      <tp t="s">
        <v>8/31/2021</v>
        <stp/>
        <stp>##V3_BDPV12</stp>
        <stp>912834NW Govt</stp>
        <stp>MATURITY</stp>
        <stp>[STRIPS.xlsx]Sheet1!R548C5</stp>
        <tr r="E548" s="1"/>
      </tp>
      <tp t="s">
        <v>8/15/2009</v>
        <stp/>
        <stp>##V3_BDPV12</stp>
        <stp>912833CW Govt</stp>
        <stp>MATURITY</stp>
        <stp>[STRIPS.xlsx]Sheet1!R735C5</stp>
        <tr r="E735" s="1"/>
      </tp>
      <tp t="s">
        <v>2/15/2003</v>
        <stp/>
        <stp>##V3_BDPV12</stp>
        <stp>912833CH Govt</stp>
        <stp>MATURITY</stp>
        <stp>[STRIPS.xlsx]Sheet1!R615C5</stp>
        <tr r="E615" s="1"/>
      </tp>
      <tp t="s">
        <v>UNITED STATES</v>
        <stp/>
        <stp>##V3_BDPV12</stp>
        <stp>912834US Govt</stp>
        <stp>COUNTRY_FULL_NAME</stp>
        <stp>[STRIPS.xlsx]Sheet1!R762C8</stp>
        <tr r="H762" s="1"/>
      </tp>
      <tp t="s">
        <v>UNITED STATES</v>
        <stp/>
        <stp>##V3_BDPV12</stp>
        <stp>912834HW Govt</stp>
        <stp>COUNTRY_FULL_NAME</stp>
        <stp>[STRIPS.xlsx]Sheet1!R536C8</stp>
        <tr r="H536" s="1"/>
      </tp>
      <tp t="s">
        <v>UNITED STATES</v>
        <stp/>
        <stp>##V3_BDPV12</stp>
        <stp>912833RW Govt</stp>
        <stp>COUNTRY_FULL_NAME</stp>
        <stp>[STRIPS.xlsx]Sheet1!R246C8</stp>
        <tr r="H246" s="1"/>
      </tp>
      <tp t="s">
        <v>UNITED STATES</v>
        <stp/>
        <stp>##V3_BDPV12</stp>
        <stp>912833MR Govt</stp>
        <stp>COUNTRY_FULL_NAME</stp>
        <stp>[STRIPS.xlsx]Sheet1!R333C8</stp>
        <tr r="H333" s="1"/>
      </tp>
      <tp t="s">
        <v>UNITED STATES</v>
        <stp/>
        <stp>##V3_BDPV12</stp>
        <stp>912833PX Govt</stp>
        <stp>COUNTRY_FULL_NAME</stp>
        <stp>[STRIPS.xlsx]Sheet1!R339C8</stp>
        <tr r="H339" s="1"/>
      </tp>
      <tp t="s">
        <v>UNITED STATES</v>
        <stp/>
        <stp>##V3_BDPV12</stp>
        <stp>912833ZR Govt</stp>
        <stp>COUNTRY_FULL_NAME</stp>
        <stp>[STRIPS.xlsx]Sheet1!R383C8</stp>
        <tr r="H383" s="1"/>
      </tp>
      <tp t="s">
        <v>UNITED STATES</v>
        <stp/>
        <stp>##V3_BDPV12</stp>
        <stp>912834AV Govt</stp>
        <stp>COUNTRY_FULL_NAME</stp>
        <stp>[STRIPS.xlsx]Sheet1!R387C8</stp>
        <tr r="H387" s="1"/>
      </tp>
      <tp t="s">
        <v>UNITED STATES</v>
        <stp/>
        <stp>##V3_BDPV12</stp>
        <stp>912833KR Govt</stp>
        <stp>COUNTRY_FULL_NAME</stp>
        <stp>[STRIPS.xlsx]Sheet1!R443C8</stp>
        <tr r="H443" s="1"/>
      </tp>
      <tp t="s">
        <v>UNITED STATES</v>
        <stp/>
        <stp>##V3_BDPV12</stp>
        <stp>912833KU Govt</stp>
        <stp>COUNTRY_FULL_NAME</stp>
        <stp>[STRIPS.xlsx]Sheet1!R444C8</stp>
        <tr r="H444" s="1"/>
      </tp>
      <tp t="s">
        <v>UNITED STATES</v>
        <stp/>
        <stp>##V3_BDPV12</stp>
        <stp>912834MY Govt</stp>
        <stp>COUNTRY_FULL_NAME</stp>
        <stp>[STRIPS.xlsx]Sheet1!R328C8</stp>
        <tr r="H328" s="1"/>
      </tp>
      <tp t="s">
        <v>UNITED STATES</v>
        <stp/>
        <stp>##V3_BDPV12</stp>
        <stp>912834HT Govt</stp>
        <stp>COUNTRY_FULL_NAME</stp>
        <stp>[STRIPS.xlsx]Sheet1!R355C8</stp>
        <tr r="H355" s="1"/>
      </tp>
      <tp t="s">
        <v>UNITED STATES</v>
        <stp/>
        <stp>##V3_BDPV12</stp>
        <stp>912833RX Govt</stp>
        <stp>COUNTRY_FULL_NAME</stp>
        <stp>[STRIPS.xlsx]Sheet1!R449C8</stp>
        <tr r="H449" s="1"/>
      </tp>
      <tp t="s">
        <v>UNITED STATES</v>
        <stp/>
        <stp>##V3_BDPV12</stp>
        <stp>912834NU Govt</stp>
        <stp>COUNTRY_FULL_NAME</stp>
        <stp>[STRIPS.xlsx]Sheet1!R274C8</stp>
        <tr r="H274" s="1"/>
      </tp>
      <tp t="s">
        <v>UNITED STATES</v>
        <stp/>
        <stp>##V3_BDPV12</stp>
        <stp>912834AQ Govt</stp>
        <stp>COUNTRY_FULL_NAME</stp>
        <stp>[STRIPS.xlsx]Sheet1!R260C8</stp>
        <tr r="H260" s="1"/>
      </tp>
      <tp t="s">
        <v>UNITED STATES</v>
        <stp/>
        <stp>##V3_BDPV12</stp>
        <stp>912833PT Govt</stp>
        <stp>COUNTRY_FULL_NAME</stp>
        <stp>[STRIPS.xlsx]Sheet1!R575C8</stp>
        <tr r="H575" s="1"/>
      </tp>
      <tp t="s">
        <v>UNITED STATES</v>
        <stp/>
        <stp>##V3_BDPV12</stp>
        <stp>912834VY Govt</stp>
        <stp>COUNTRY_FULL_NAME</stp>
        <stp>[STRIPS.xlsx]Sheet1!R218C8</stp>
        <tr r="H218" s="1"/>
      </tp>
      <tp t="s">
        <v>UNITED STATES</v>
        <stp/>
        <stp>##V3_BDPV12</stp>
        <stp>912833JX Govt</stp>
        <stp>COUNTRY_FULL_NAME</stp>
        <stp>[STRIPS.xlsx]Sheet1!R669C8</stp>
        <tr r="H669" s="1"/>
      </tp>
      <tp t="s">
        <v>UNITED STATES</v>
        <stp/>
        <stp>##V3_BDPV12</stp>
        <stp>912834DV Govt</stp>
        <stp>COUNTRY_FULL_NAME</stp>
        <stp>[STRIPS.xlsx]Sheet1!R127C8</stp>
        <tr r="H127" s="1"/>
      </tp>
      <tp t="s">
        <v>UNITED STATES</v>
        <stp/>
        <stp>##V3_BDPV12</stp>
        <stp>912833FQ Govt</stp>
        <stp>COUNTRY_FULL_NAME</stp>
        <stp>[STRIPS.xlsx]Sheet1!R620C8</stp>
        <tr r="H620" s="1"/>
      </tp>
      <tp t="s">
        <v>UNITED STATES</v>
        <stp/>
        <stp>##V3_BDPV12</stp>
        <stp>912833RR Govt</stp>
        <stp>COUNTRY_FULL_NAME</stp>
        <stp>[STRIPS.xlsx]Sheet1!R693C8</stp>
        <tr r="H693" s="1"/>
      </tp>
      <tp t="s">
        <v>UNITED STATES</v>
        <stp/>
        <stp>##V3_BDPV12</stp>
        <stp>912833QS Govt</stp>
        <stp>COUNTRY_FULL_NAME</stp>
        <stp>[STRIPS.xlsx]Sheet1!R632C8</stp>
        <tr r="H632" s="1"/>
      </tp>
      <tp t="s">
        <v>UNITED STATES</v>
        <stp/>
        <stp>##V3_BDPV12</stp>
        <stp>912834PQ Govt</stp>
        <stp>COUNTRY_FULL_NAME</stp>
        <stp>[STRIPS.xlsx]Sheet1!R140C8</stp>
        <tr r="H140" s="1"/>
      </tp>
      <tp t="s">
        <v>UNITED STATES</v>
        <stp/>
        <stp>##V3_BDPV12</stp>
        <stp>9128336Q Govt</stp>
        <stp>COUNTRY_FULL_NAME</stp>
        <stp>[STRIPS.xlsx]Sheet1!R750C8</stp>
        <tr r="H750" s="1"/>
      </tp>
      <tp t="s">
        <v>6/15/2011</v>
        <stp/>
        <stp>##V3_BDPV12</stp>
        <stp>912834AK Govt</stp>
        <stp>MATURITY</stp>
        <stp>[STRIPS.xlsx]Sheet1!R257C5</stp>
        <tr r="E257" s="1"/>
      </tp>
      <tp t="s">
        <v>3/31/2021</v>
        <stp/>
        <stp>##V3_BDPV12</stp>
        <stp>912834NL Govt</stp>
        <stp>MATURITY</stp>
        <stp>[STRIPS.xlsx]Sheet1!R408C5</stp>
        <tr r="E408" s="1"/>
      </tp>
      <tp t="s">
        <v>1/31/2016</v>
        <stp/>
        <stp>##V3_BDPV12</stp>
        <stp>912834EM Govt</stp>
        <stp>MATURITY</stp>
        <stp>[STRIPS.xlsx]Sheet1!R463C5</stp>
        <tr r="E463" s="1"/>
      </tp>
      <tp t="s">
        <v>12/31/2013</v>
        <stp/>
        <stp>##V3_BDPV12</stp>
        <stp>912834AM Govt</stp>
        <stp>MATURITY</stp>
        <stp>[STRIPS.xlsx]Sheet1!R457C5</stp>
        <tr r="E457" s="1"/>
      </tp>
      <tp t="s">
        <v>1/15/2006</v>
        <stp/>
        <stp>##V3_BDPV12</stp>
        <stp>912833NN Govt</stp>
        <stp>MATURITY</stp>
        <stp>[STRIPS.xlsx]Sheet1!R518C5</stp>
        <tr r="E518" s="1"/>
      </tp>
      <tp t="s">
        <v>5/31/2016</v>
        <stp/>
        <stp>##V3_BDPV12</stp>
        <stp>912834EA Govt</stp>
        <stp>MATURITY</stp>
        <stp>[STRIPS.xlsx]Sheet1!R593C5</stp>
        <tr r="E593" s="1"/>
      </tp>
      <tp t="s">
        <v>2/15/2040</v>
        <stp/>
        <stp>##V3_BDPV12</stp>
        <stp>912834FB Govt</stp>
        <stp>MATURITY</stp>
        <stp>[STRIPS.xlsx]Sheet1!R120C5</stp>
        <tr r="E120" s="1"/>
      </tp>
      <tp t="s">
        <v>2/15/2012</v>
        <stp/>
        <stp>##V3_BDPV12</stp>
        <stp>912833DB Govt</stp>
        <stp>MATURITY</stp>
        <stp>[STRIPS.xlsx]Sheet1!R162C5</stp>
        <tr r="E162" s="1"/>
      </tp>
      <tp t="s">
        <v>2/15/2001</v>
        <stp/>
        <stp>##V3_BDPV12</stp>
        <stp>912833CD Govt</stp>
        <stp>MATURITY</stp>
        <stp>[STRIPS.xlsx]Sheet1!R295C5</stp>
        <tr r="E295" s="1"/>
      </tp>
      <tp t="s">
        <v>5/15/2009</v>
        <stp/>
        <stp>##V3_BDPV12</stp>
        <stp>912833GE Govt</stp>
        <stp>MATURITY</stp>
        <stp>[STRIPS.xlsx]Sheet1!R441C5</stp>
        <tr r="E441" s="1"/>
      </tp>
      <tp t="s">
        <v>2/15/2002</v>
        <stp/>
        <stp>##V3_BDPV12</stp>
        <stp>912833CF Govt</stp>
        <stp>MATURITY</stp>
        <stp>[STRIPS.xlsx]Sheet1!R655C5</stp>
        <tr r="E655" s="1"/>
      </tp>
      <tp t="s">
        <v>USD</v>
        <stp/>
        <stp>##V3_BDPV12</stp>
        <stp>9128337E Govt</stp>
        <stp>CRNCY</stp>
        <stp>[STRIPS.xlsx]Sheet1!R23C7</stp>
        <tr r="G23" s="1"/>
      </tp>
      <tp t="s">
        <v>6/30/2016</v>
        <stp/>
        <stp>##V3_BDPV12</stp>
        <stp>912834EG Govt</stp>
        <stp>MATURITY</stp>
        <stp>[STRIPS.xlsx]Sheet1!R533C5</stp>
        <tr r="E533" s="1"/>
      </tp>
      <tp t="s">
        <v>5/15/2051</v>
        <stp/>
        <stp>##V3_BDPV12</stp>
        <stp>912834WZ Govt</stp>
        <stp>MATURITY</stp>
        <stp>[STRIPS.xlsx]Sheet1!R6C5</stp>
        <tr r="E6" s="1"/>
      </tp>
      <tp t="s">
        <v>ACT/ACT</v>
        <stp/>
        <stp>##V3_BDPV12</stp>
        <stp>9128332G Govt</stp>
        <stp>DAY_CNT_DES</stp>
        <stp>[STRIPS.xlsx]Sheet1!R703C17</stp>
        <tr r="Q703" s="1"/>
      </tp>
      <tp t="s">
        <v>ACT/ACT</v>
        <stp/>
        <stp>##V3_BDPV12</stp>
        <stp>9128332E Govt</stp>
        <stp>DAY_CNT_DES</stp>
        <stp>[STRIPS.xlsx]Sheet1!R597C17</stp>
        <tr r="Q597" s="1"/>
      </tp>
      <tp t="s">
        <v>ACT/ACT</v>
        <stp/>
        <stp>##V3_BDPV12</stp>
        <stp>9128332F Govt</stp>
        <stp>DAY_CNT_DES</stp>
        <stp>[STRIPS.xlsx]Sheet1!R702C17</stp>
        <tr r="Q702" s="1"/>
      </tp>
      <tp t="s">
        <v>ACT/ACT</v>
        <stp/>
        <stp>##V3_BDPV12</stp>
        <stp>9128332D Govt</stp>
        <stp>DAY_CNT_DES</stp>
        <stp>[STRIPS.xlsx]Sheet1!R648C17</stp>
        <tr r="Q648" s="1"/>
      </tp>
      <tp t="s">
        <v>ACT/ACT</v>
        <stp/>
        <stp>##V3_BDPV12</stp>
        <stp>9128332C Govt</stp>
        <stp>DAY_CNT_DES</stp>
        <stp>[STRIPS.xlsx]Sheet1!R701C17</stp>
        <tr r="Q701" s="1"/>
      </tp>
      <tp t="s">
        <v>ACT/ACT</v>
        <stp/>
        <stp>##V3_BDPV12</stp>
        <stp>9128332B Govt</stp>
        <stp>DAY_CNT_DES</stp>
        <stp>[STRIPS.xlsx]Sheet1!R717C17</stp>
        <tr r="Q717" s="1"/>
      </tp>
      <tp t="s">
        <v>ACT/ACT</v>
        <stp/>
        <stp>##V3_BDPV12</stp>
        <stp>9128332A Govt</stp>
        <stp>DAY_CNT_DES</stp>
        <stp>[STRIPS.xlsx]Sheet1!R700C17</stp>
        <tr r="Q700" s="1"/>
      </tp>
      <tp t="s">
        <v>ACT/ACT</v>
        <stp/>
        <stp>##V3_BDPV12</stp>
        <stp>9128332H Govt</stp>
        <stp>DAY_CNT_DES</stp>
        <stp>[STRIPS.xlsx]Sheet1!R718C17</stp>
        <tr r="Q718" s="1"/>
      </tp>
      <tp t="s">
        <v>ACT/ACT</v>
        <stp/>
        <stp>##V3_BDPV12</stp>
        <stp>9128332J Govt</stp>
        <stp>DAY_CNT_DES</stp>
        <stp>[STRIPS.xlsx]Sheet1!R598C17</stp>
        <tr r="Q598" s="1"/>
      </tp>
      <tp t="s">
        <v>9128337U8</v>
        <stp/>
        <stp>##V3_BDPV12</stp>
        <stp>9128337U Govt</stp>
        <stp>ID_CUSIP</stp>
        <stp>[STRIPS.xlsx]Sheet1!R46C19</stp>
        <tr r="S46" s="1"/>
      </tp>
      <tp t="s">
        <v>9128337W4</v>
        <stp/>
        <stp>##V3_BDPV12</stp>
        <stp>9128337W Govt</stp>
        <stp>ID_CUSIP</stp>
        <stp>[STRIPS.xlsx]Sheet1!R79C19</stp>
        <tr r="S79" s="1"/>
      </tp>
      <tp t="s">
        <v>9128337Q7</v>
        <stp/>
        <stp>##V3_BDPV12</stp>
        <stp>9128337Q Govt</stp>
        <stp>ID_CUSIP</stp>
        <stp>[STRIPS.xlsx]Sheet1!R29C19</stp>
        <tr r="S29" s="1"/>
      </tp>
      <tp t="s">
        <v>9128337P9</v>
        <stp/>
        <stp>##V3_BDPV12</stp>
        <stp>9128337P Govt</stp>
        <stp>ID_CUSIP</stp>
        <stp>[STRIPS.xlsx]Sheet1!R25C19</stp>
        <tr r="S25" s="1"/>
      </tp>
      <tp t="s">
        <v>9128337S3</v>
        <stp/>
        <stp>##V3_BDPV12</stp>
        <stp>9128337S Govt</stp>
        <stp>ID_CUSIP</stp>
        <stp>[STRIPS.xlsx]Sheet1!R35C19</stp>
        <tr r="S35" s="1"/>
      </tp>
      <tp t="s">
        <v>1/15/2009</v>
        <stp/>
        <stp>##V3_BDPV12</stp>
        <stp>912833C7 Govt</stp>
        <stp>MATURITY</stp>
        <stp>[STRIPS.xlsx]Sheet1!R294C5</stp>
        <tr r="E294" s="1"/>
      </tp>
      <tp t="s">
        <v>9128337E4</v>
        <stp/>
        <stp>##V3_BDPV12</stp>
        <stp>9128337E Govt</stp>
        <stp>ID_CUSIP</stp>
        <stp>[STRIPS.xlsx]Sheet1!R23C19</stp>
        <tr r="S23" s="1"/>
      </tp>
      <tp t="s">
        <v>9128337F1</v>
        <stp/>
        <stp>##V3_BDPV12</stp>
        <stp>9128337F Govt</stp>
        <stp>ID_CUSIP</stp>
        <stp>[STRIPS.xlsx]Sheet1!R99C19</stp>
        <tr r="S99" s="1"/>
      </tp>
      <tp t="s">
        <v>UNITED STATES</v>
        <stp/>
        <stp>##V3_BDPV12</stp>
        <stp>912834KP Govt</stp>
        <stp>COUNTRY_FULL_NAME</stp>
        <stp>[STRIPS.xlsx]Sheet1!R8C8</stp>
        <tr r="H8" s="1"/>
      </tp>
      <tp t="s">
        <v>US912834WZ76</v>
        <stp/>
        <stp>##V3_BDPV12</stp>
        <stp>912834WZ Govt</stp>
        <stp>ID_ISIN</stp>
        <stp>[STRIPS.xlsx]Sheet1!R6C12</stp>
        <tr r="L6" s="1"/>
      </tp>
      <tp t="s">
        <v>US912834KP23</v>
        <stp/>
        <stp>##V3_BDPV12</stp>
        <stp>912834KP Govt</stp>
        <stp>ID_ISIN</stp>
        <stp>[STRIPS.xlsx]Sheet1!R8C12</stp>
        <tr r="L8" s="1"/>
      </tp>
      <tp t="s">
        <v>9128337N4</v>
        <stp/>
        <stp>##V3_BDPV12</stp>
        <stp>9128337N Govt</stp>
        <stp>ID_CUSIP</stp>
        <stp>[STRIPS.xlsx]Sheet1!R49C19</stp>
        <tr r="S49" s="1"/>
      </tp>
      <tp t="s">
        <v>US912833PA26</v>
        <stp/>
        <stp>##V3_BDPV12</stp>
        <stp>912833PA Govt</stp>
        <stp>ID_ISIN</stp>
        <stp>[STRIPS.xlsx]Sheet1!R4C12</stp>
        <tr r="L4" s="1"/>
      </tp>
      <tp t="s">
        <v>US912833PB09</v>
        <stp/>
        <stp>##V3_BDPV12</stp>
        <stp>912833PB Govt</stp>
        <stp>ID_ISIN</stp>
        <stp>[STRIPS.xlsx]Sheet1!R3C12</stp>
        <tr r="L3" s="1"/>
      </tp>
      <tp t="s">
        <v>US912833LF58</v>
        <stp/>
        <stp>##V3_BDPV12</stp>
        <stp>912833LF Govt</stp>
        <stp>ID_ISIN</stp>
        <stp>[STRIPS.xlsx]Sheet1!R7C12</stp>
        <tr r="L7" s="1"/>
      </tp>
      <tp t="s">
        <v>US912833LW81</v>
        <stp/>
        <stp>##V3_BDPV12</stp>
        <stp>912833LW Govt</stp>
        <stp>ID_ISIN</stp>
        <stp>[STRIPS.xlsx]Sheet1!R2C12</stp>
        <tr r="L2" s="1"/>
      </tp>
      <tp t="s">
        <v>US912833LZ13</v>
        <stp/>
        <stp>##V3_BDPV12</stp>
        <stp>912833LZ Govt</stp>
        <stp>ID_ISIN</stp>
        <stp>[STRIPS.xlsx]Sheet1!R9C12</stp>
        <tr r="L9" s="1"/>
      </tp>
      <tp t="s">
        <v>US9128334S60</v>
        <stp/>
        <stp>##V3_BDPV12</stp>
        <stp>9128334S Govt</stp>
        <stp>ID_ISIN</stp>
        <stp>[STRIPS.xlsx]Sheet1!R5C12</stp>
        <tr r="L5" s="1"/>
      </tp>
      <tp t="s">
        <v>11/15/2006</v>
        <stp/>
        <stp>##V3_BDPV12</stp>
        <stp>912833FZ Govt</stp>
        <stp>MATURITY</stp>
        <stp>[STRIPS.xlsx]Sheet1!R511C5</stp>
        <tr r="E511" s="1"/>
      </tp>
      <tp t="s">
        <v>2/15/2006</v>
        <stp/>
        <stp>##V3_BDPV12</stp>
        <stp>912833CP Govt</stp>
        <stp>MATURITY</stp>
        <stp>[STRIPS.xlsx]Sheet1!R564C5</stp>
        <tr r="E564" s="1"/>
      </tp>
      <tp t="s">
        <v>1/15/2012</v>
        <stp/>
        <stp>##V3_BDPV12</stp>
        <stp>912834AP Govt</stp>
        <stp>MATURITY</stp>
        <stp>[STRIPS.xlsx]Sheet1!R386C5</stp>
        <tr r="E386" s="1"/>
      </tp>
      <tp t="s">
        <v>11/15/2003</v>
        <stp/>
        <stp>##V3_BDPV12</stp>
        <stp>912833FT Govt</stp>
        <stp>MATURITY</stp>
        <stp>[STRIPS.xlsx]Sheet1!R621C5</stp>
        <tr r="E621" s="1"/>
      </tp>
      <tp t="s">
        <v>USD</v>
        <stp/>
        <stp>##V3_BDPV12</stp>
        <stp>9128334W Govt</stp>
        <stp>CRNCY</stp>
        <stp>[STRIPS.xlsx]Sheet1!R61C7</stp>
        <tr r="G61" s="1"/>
      </tp>
      <tp t="s">
        <v>11/30/2016</v>
        <stp/>
        <stp>##V3_BDPV12</stp>
        <stp>912834EW Govt</stp>
        <stp>MATURITY</stp>
        <stp>[STRIPS.xlsx]Sheet1!R312C5</stp>
        <tr r="E312" s="1"/>
      </tp>
      <tp t="s">
        <v>UNITED STATES</v>
        <stp/>
        <stp>##V3_BDPV12</stp>
        <stp>912834UU Govt</stp>
        <stp>COUNTRY_FULL_NAME</stp>
        <stp>[STRIPS.xlsx]Sheet1!R755C8</stp>
        <tr r="H755" s="1"/>
      </tp>
      <tp t="s">
        <v>UNITED STATES</v>
        <stp/>
        <stp>##V3_BDPV12</stp>
        <stp>912833KW Govt</stp>
        <stp>COUNTRY_FULL_NAME</stp>
        <stp>[STRIPS.xlsx]Sheet1!R177C8</stp>
        <tr r="H177" s="1"/>
      </tp>
      <tp t="s">
        <v>UNITED STATES</v>
        <stp/>
        <stp>##V3_BDPV12</stp>
        <stp>912834LY Govt</stp>
        <stp>COUNTRY_FULL_NAME</stp>
        <stp>[STRIPS.xlsx]Sheet1!R539C8</stp>
        <tr r="H539" s="1"/>
      </tp>
      <tp t="s">
        <v>UNITED STATES</v>
        <stp/>
        <stp>##V3_BDPV12</stp>
        <stp>912834NR Govt</stp>
        <stp>COUNTRY_FULL_NAME</stp>
        <stp>[STRIPS.xlsx]Sheet1!R422C8</stp>
        <tr r="H422" s="1"/>
      </tp>
      <tp t="s">
        <v>UNITED STATES</v>
        <stp/>
        <stp>##V3_BDPV12</stp>
        <stp>912834QT Govt</stp>
        <stp>COUNTRY_FULL_NAME</stp>
        <stp>[STRIPS.xlsx]Sheet1!R414C8</stp>
        <tr r="H414" s="1"/>
      </tp>
      <tp t="s">
        <v>UNITED STATES</v>
        <stp/>
        <stp>##V3_BDPV12</stp>
        <stp>9128336Y Govt</stp>
        <stp>COUNTRY_FULL_NAME</stp>
        <stp>[STRIPS.xlsx]Sheet1!R429C8</stp>
        <tr r="H429" s="1"/>
      </tp>
      <tp t="s">
        <v>UNITED STATES</v>
        <stp/>
        <stp>##V3_BDPV12</stp>
        <stp>912834AX Govt</stp>
        <stp>COUNTRY_FULL_NAME</stp>
        <stp>[STRIPS.xlsx]Sheet1!R388C8</stp>
        <tr r="H388" s="1"/>
      </tp>
      <tp t="s">
        <v>UNITED STATES</v>
        <stp/>
        <stp>##V3_BDPV12</stp>
        <stp>912834EQ Govt</stp>
        <stp>COUNTRY_FULL_NAME</stp>
        <stp>[STRIPS.xlsx]Sheet1!R311C8</stp>
        <tr r="H311" s="1"/>
      </tp>
      <tp t="s">
        <v>UNITED STATES</v>
        <stp/>
        <stp>##V3_BDPV12</stp>
        <stp>9128333S Govt</stp>
        <stp>COUNTRY_FULL_NAME</stp>
        <stp>[STRIPS.xlsx]Sheet1!R553C8</stp>
        <tr r="H553" s="1"/>
      </tp>
      <tp t="s">
        <v>UNITED STATES</v>
        <stp/>
        <stp>##V3_BDPV12</stp>
        <stp>912833MY Govt</stp>
        <stp>COUNTRY_FULL_NAME</stp>
        <stp>[STRIPS.xlsx]Sheet1!R569C8</stp>
        <tr r="H569" s="1"/>
      </tp>
      <tp t="s">
        <v>UNITED STATES</v>
        <stp/>
        <stp>##V3_BDPV12</stp>
        <stp>912834HU Govt</stp>
        <stp>COUNTRY_FULL_NAME</stp>
        <stp>[STRIPS.xlsx]Sheet1!R225C8</stp>
        <tr r="H225" s="1"/>
      </tp>
      <tp t="s">
        <v>UNITED STATES</v>
        <stp/>
        <stp>##V3_BDPV12</stp>
        <stp>912834MR Govt</stp>
        <stp>COUNTRY_FULL_NAME</stp>
        <stp>[STRIPS.xlsx]Sheet1!R272C8</stp>
        <tr r="H272" s="1"/>
      </tp>
      <tp t="s">
        <v>UNITED STATES</v>
        <stp/>
        <stp>##V3_BDPV12</stp>
        <stp>912833NR Govt</stp>
        <stp>COUNTRY_FULL_NAME</stp>
        <stp>[STRIPS.xlsx]Sheet1!R572C8</stp>
        <tr r="H572" s="1"/>
      </tp>
      <tp t="s">
        <v>UNITED STATES</v>
        <stp/>
        <stp>##V3_BDPV12</stp>
        <stp>912833MU Govt</stp>
        <stp>COUNTRY_FULL_NAME</stp>
        <stp>[STRIPS.xlsx]Sheet1!R515C8</stp>
        <tr r="H515" s="1"/>
      </tp>
      <tp t="s">
        <v>UNITED STATES</v>
        <stp/>
        <stp>##V3_BDPV12</stp>
        <stp>912833ZX Govt</stp>
        <stp>COUNTRY_FULL_NAME</stp>
        <stp>[STRIPS.xlsx]Sheet1!R588C8</stp>
        <tr r="H588" s="1"/>
      </tp>
      <tp t="s">
        <v>UNITED STATES</v>
        <stp/>
        <stp>##V3_BDPV12</stp>
        <stp>9128336W Govt</stp>
        <stp>COUNTRY_FULL_NAME</stp>
        <stp>[STRIPS.xlsx]Sheet1!R607C8</stp>
        <tr r="H607" s="1"/>
      </tp>
      <tp t="s">
        <v>UNITED STATES</v>
        <stp/>
        <stp>##V3_BDPV12</stp>
        <stp>912833MT Govt</stp>
        <stp>COUNTRY_FULL_NAME</stp>
        <stp>[STRIPS.xlsx]Sheet1!R674C8</stp>
        <tr r="H674" s="1"/>
      </tp>
      <tp t="s">
        <v>UNITED STATES</v>
        <stp/>
        <stp>##V3_BDPV12</stp>
        <stp>912834NT Govt</stp>
        <stp>COUNTRY_FULL_NAME</stp>
        <stp>[STRIPS.xlsx]Sheet1!R174C8</stp>
        <tr r="H174" s="1"/>
      </tp>
      <tp t="s">
        <v>UNITED STATES</v>
        <stp/>
        <stp>##V3_BDPV12</stp>
        <stp>912833MV Govt</stp>
        <stp>COUNTRY_FULL_NAME</stp>
        <stp>[STRIPS.xlsx]Sheet1!R626C8</stp>
        <tr r="H626" s="1"/>
      </tp>
      <tp t="s">
        <v>UNITED STATES</v>
        <stp/>
        <stp>##V3_BDPV12</stp>
        <stp>912834NP Govt</stp>
        <stp>COUNTRY_FULL_NAME</stp>
        <stp>[STRIPS.xlsx]Sheet1!R130C8</stp>
        <tr r="H130" s="1"/>
      </tp>
      <tp t="s">
        <v>UNITED STATES</v>
        <stp/>
        <stp>##V3_BDPV12</stp>
        <stp>912834AU Govt</stp>
        <stp>COUNTRY_FULL_NAME</stp>
        <stp>[STRIPS.xlsx]Sheet1!R125C8</stp>
        <tr r="H125" s="1"/>
      </tp>
      <tp t="s">
        <v>UNITED STATES</v>
        <stp/>
        <stp>##V3_BDPV12</stp>
        <stp>912834EU Govt</stp>
        <stp>COUNTRY_FULL_NAME</stp>
        <stp>[STRIPS.xlsx]Sheet1!R175C8</stp>
        <tr r="H175" s="1"/>
      </tp>
      <tp t="s">
        <v>UNITED STATES</v>
        <stp/>
        <stp>##V3_BDPV12</stp>
        <stp>912834WY Govt</stp>
        <stp>COUNTRY_FULL_NAME</stp>
        <stp>[STRIPS.xlsx]Sheet1!R189C8</stp>
        <tr r="H189" s="1"/>
      </tp>
      <tp t="s">
        <v>UNITED STATES</v>
        <stp/>
        <stp>##V3_BDPV12</stp>
        <stp>912834TY Govt</stp>
        <stp>COUNTRY_FULL_NAME</stp>
        <stp>[STRIPS.xlsx]Sheet1!R199C8</stp>
        <tr r="H199" s="1"/>
      </tp>
      <tp t="s">
        <v>UNITED STATES</v>
        <stp/>
        <stp>##V3_BDPV12</stp>
        <stp>912834UT Govt</stp>
        <stp>COUNTRY_FULL_NAME</stp>
        <stp>[STRIPS.xlsx]Sheet1!R184C8</stp>
        <tr r="H184" s="1"/>
      </tp>
      <tp t="s">
        <v>UNITED STATES</v>
        <stp/>
        <stp>##V3_BDPV12</stp>
        <stp>912833RU Govt</stp>
        <stp>COUNTRY_FULL_NAME</stp>
        <stp>[STRIPS.xlsx]Sheet1!R635C8</stp>
        <tr r="H635" s="1"/>
      </tp>
      <tp t="s">
        <v>UNITED STATES</v>
        <stp/>
        <stp>##V3_BDPV12</stp>
        <stp>9128336T Govt</stp>
        <stp>COUNTRY_FULL_NAME</stp>
        <stp>[STRIPS.xlsx]Sheet1!R714C8</stp>
        <tr r="H714" s="1"/>
      </tp>
      <tp t="s">
        <v>UNITED STATES</v>
        <stp/>
        <stp>##V3_BDPV12</stp>
        <stp>9128335Q Govt</stp>
        <stp>COUNTRY_FULL_NAME</stp>
        <stp>[STRIPS.xlsx]Sheet1!R711C8</stp>
        <tr r="H711" s="1"/>
      </tp>
      <tp t="s">
        <v>1/31/2015</v>
        <stp/>
        <stp>##V3_BDPV12</stp>
        <stp>912834EK Govt</stp>
        <stp>MATURITY</stp>
        <stp>[STRIPS.xlsx]Sheet1!R392C5</stp>
        <tr r="E392" s="1"/>
      </tp>
      <tp t="s">
        <v>7/31/2015</v>
        <stp/>
        <stp>##V3_BDPV12</stp>
        <stp>912834EL Govt</stp>
        <stp>MATURITY</stp>
        <stp>[STRIPS.xlsx]Sheet1!R462C5</stp>
        <tr r="E462" s="1"/>
      </tp>
      <tp t="s">
        <v>4/15/2017</v>
        <stp/>
        <stp>##V3_BDPV12</stp>
        <stp>912834NM Govt</stp>
        <stp>MATURITY</stp>
        <stp>[STRIPS.xlsx]Sheet1!R409C5</stp>
        <tr r="E409" s="1"/>
      </tp>
      <tp t="s">
        <v>8/15/2005</v>
        <stp/>
        <stp>##V3_BDPV12</stp>
        <stp>912833CN Govt</stp>
        <stp>MATURITY</stp>
        <stp>[STRIPS.xlsx]Sheet1!R734C5</stp>
        <tr r="E734" s="1"/>
      </tp>
      <tp t="s">
        <v>2/15/2000</v>
        <stp/>
        <stp>##V3_BDPV12</stp>
        <stp>912833CB Govt</stp>
        <stp>MATURITY</stp>
        <stp>[STRIPS.xlsx]Sheet1!R614C5</stp>
        <tr r="E614" s="1"/>
      </tp>
      <tp t="s">
        <v>4/15/2003</v>
        <stp/>
        <stp>##V3_BDPV12</stp>
        <stp>912833NB Govt</stp>
        <stp>MATURITY</stp>
        <stp>[STRIPS.xlsx]Sheet1!R629C5</stp>
        <tr r="E629" s="1"/>
      </tp>
      <tp t="s">
        <v>6/30/2013</v>
        <stp/>
        <stp>##V3_BDPV12</stp>
        <stp>912834AB Govt</stp>
        <stp>MATURITY</stp>
        <stp>[STRIPS.xlsx]Sheet1!R256C5</stp>
        <tr r="E256" s="1"/>
      </tp>
      <tp t="s">
        <v>5/15/2008</v>
        <stp/>
        <stp>##V3_BDPV12</stp>
        <stp>912833GC Govt</stp>
        <stp>MATURITY</stp>
        <stp>[STRIPS.xlsx]Sheet1!R440C5</stp>
        <tr r="E440" s="1"/>
      </tp>
      <tp t="s">
        <v>6/30/2015</v>
        <stp/>
        <stp>##V3_BDPV12</stp>
        <stp>912834EE Govt</stp>
        <stp>MATURITY</stp>
        <stp>[STRIPS.xlsx]Sheet1!R532C5</stp>
        <tr r="E532" s="1"/>
      </tp>
      <tp t="s">
        <v>8/31/2013</v>
        <stp/>
        <stp>##V3_BDPV12</stp>
        <stp>912834AF Govt</stp>
        <stp>MATURITY</stp>
        <stp>[STRIPS.xlsx]Sheet1!R456C5</stp>
        <tr r="E456" s="1"/>
      </tp>
      <tp t="s">
        <v>5/15/1998</v>
        <stp/>
        <stp>##V3_BDPV12</stp>
        <stp>912833FG Govt</stp>
        <stp>MATURITY</stp>
        <stp>[STRIPS.xlsx]Sheet1!R661C5</stp>
        <tr r="E661" s="1"/>
      </tp>
      <tp t="s">
        <v>11/15/2021</v>
        <stp/>
        <stp>##V3_BDPV12</stp>
        <stp>912833LF Govt</stp>
        <stp>MATURITY</stp>
        <stp>[STRIPS.xlsx]Sheet1!R7C5</stp>
        <tr r="E7" s="1"/>
      </tp>
      <tp t="s">
        <v>#N/A Field Not Applicable</v>
        <stp/>
        <stp>##V3_BDPV12</stp>
        <stp>912833B5 Govt</stp>
        <stp>COUPON_FREQUENCY_DESCRIPTION</stp>
        <stp>[STRIPS.xlsx]Sheet1!R331C10</stp>
        <tr r="J331" s="1"/>
      </tp>
      <tp>
        <v>0</v>
        <stp/>
        <stp>##V3_BDPV12</stp>
        <stp>912833YV Govt</stp>
        <stp>CPN</stp>
        <stp>[STRIPS.xlsx]Sheet1!R250C3</stp>
        <tr r="C250" s="1"/>
      </tp>
      <tp>
        <v>0</v>
        <stp/>
        <stp>##V3_BDPV12</stp>
        <stp>912833Y9 Govt</stp>
        <stp>CPN</stp>
        <stp>[STRIPS.xlsx]Sheet1!R450C3</stp>
        <tr r="C450" s="1"/>
      </tp>
      <tp>
        <v>0</v>
        <stp/>
        <stp>##V3_BDPV12</stp>
        <stp>912834XF Govt</stp>
        <stp>CPN</stp>
        <stp>[STRIPS.xlsx]Sheet1!R187C3</stp>
        <tr r="C187" s="1"/>
      </tp>
      <tp t="s">
        <v>#N/A N/A</v>
        <stp/>
        <stp>##V3_BDPV12</stp>
        <stp>912833Y8 Govt</stp>
        <stp>YLD_YTM_BID</stp>
        <stp>[STRIPS.xlsx]Sheet1!R248C4</stp>
        <tr r="D248" s="1"/>
      </tp>
      <tp t="s">
        <v>#N/A N/A</v>
        <stp/>
        <stp>##V3_BDPV12</stp>
        <stp>912833ZH Govt</stp>
        <stp>YLD_YTM_BID</stp>
        <stp>[STRIPS.xlsx]Sheet1!R698C4</stp>
        <tr r="D698" s="1"/>
      </tp>
      <tp t="s">
        <v>#N/A N/A</v>
        <stp/>
        <stp>##V3_BDPV12</stp>
        <stp>912833ZN Govt</stp>
        <stp>YLD_YTM_BID</stp>
        <stp>[STRIPS.xlsx]Sheet1!R638C4</stp>
        <tr r="D638" s="1"/>
      </tp>
      <tp t="s">
        <v>#N/A N/A</v>
        <stp/>
        <stp>##V3_BDPV12</stp>
        <stp>912833ZZ Govt</stp>
        <stp>YLD_YTM_BID</stp>
        <stp>[STRIPS.xlsx]Sheet1!R528C4</stp>
        <tr r="D528" s="1"/>
      </tp>
      <tp t="s">
        <v>#N/A N/A</v>
        <stp/>
        <stp>##V3_BDPV12</stp>
        <stp>912833ZX Govt</stp>
        <stp>YLD_YTM_BID</stp>
        <stp>[STRIPS.xlsx]Sheet1!R588C4</stp>
        <tr r="D588" s="1"/>
      </tp>
      <tp t="s">
        <v>#N/A N/A</v>
        <stp/>
        <stp>##V3_BDPV12</stp>
        <stp>912833ZU Govt</stp>
        <stp>YLD_YTM_BID</stp>
        <stp>[STRIPS.xlsx]Sheet1!R348C4</stp>
        <tr r="D348" s="1"/>
      </tp>
      <tp t="s">
        <v>#N/A Field Not Applicable</v>
        <stp/>
        <stp>##V3_BDPV12</stp>
        <stp>912833C5 Govt</stp>
        <stp>COUPON_FREQUENCY_DESCRIPTION</stp>
        <stp>[STRIPS.xlsx]Sheet1!R435C10</stp>
        <tr r="J435" s="1"/>
      </tp>
      <tp t="s">
        <v>#N/A Field Not Applicable</v>
        <stp/>
        <stp>##V3_BDPV12</stp>
        <stp>912833A5 Govt</stp>
        <stp>COUPON_FREQUENCY_DESCRIPTION</stp>
        <stp>[STRIPS.xlsx]Sheet1!R432C10</stp>
        <tr r="J432" s="1"/>
      </tp>
      <tp>
        <v>0</v>
        <stp/>
        <stp>##V3_BDPV12</stp>
        <stp>912833ZW Govt</stp>
        <stp>CPN</stp>
        <stp>[STRIPS.xlsx]Sheet1!R640C3</stp>
        <tr r="C640" s="1"/>
      </tp>
      <tp t="s">
        <v>#N/A Field Not Applicable</v>
        <stp/>
        <stp>##V3_BDPV12</stp>
        <stp>912833Y5 Govt</stp>
        <stp>COUPON_FREQUENCY_DESCRIPTION</stp>
        <stp>[STRIPS.xlsx]Sheet1!R582C10</stp>
        <tr r="J582" s="1"/>
      </tp>
      <tp>
        <v>0</v>
        <stp/>
        <stp>##V3_BDPV12</stp>
        <stp>912834UD Govt</stp>
        <stp>CPN</stp>
        <stp>[STRIPS.xlsx]Sheet1!R197C3</stp>
        <tr r="C197" s="1"/>
      </tp>
      <tp>
        <v>0</v>
        <stp/>
        <stp>##V3_BDPV12</stp>
        <stp>912834UG Govt</stp>
        <stp>CPN</stp>
        <stp>[STRIPS.xlsx]Sheet1!R137C3</stp>
        <tr r="C137" s="1"/>
      </tp>
      <tp>
        <v>0</v>
        <stp/>
        <stp>##V3_BDPV12</stp>
        <stp>912834UE Govt</stp>
        <stp>CPN</stp>
        <stp>[STRIPS.xlsx]Sheet1!R207C3</stp>
        <tr r="C207" s="1"/>
      </tp>
      <tp>
        <v>0</v>
        <stp/>
        <stp>##V3_BDPV12</stp>
        <stp>912834UF Govt</stp>
        <stp>CPN</stp>
        <stp>[STRIPS.xlsx]Sheet1!R147C3</stp>
        <tr r="C147" s="1"/>
      </tp>
      <tp>
        <v>0</v>
        <stp/>
        <stp>##V3_BDPV12</stp>
        <stp>912834TJ Govt</stp>
        <stp>CPN</stp>
        <stp>[STRIPS.xlsx]Sheet1!R757C3</stp>
        <tr r="C757" s="1"/>
      </tp>
      <tp>
        <v>0</v>
        <stp/>
        <stp>##V3_BDPV12</stp>
        <stp>912834TP Govt</stp>
        <stp>CPN</stp>
        <stp>[STRIPS.xlsx]Sheet1!R117C3</stp>
        <tr r="C117" s="1"/>
      </tp>
      <tp>
        <v>0</v>
        <stp/>
        <stp>##V3_BDPV12</stp>
        <stp>912834VX Govt</stp>
        <stp>CPN</stp>
        <stp>[STRIPS.xlsx]Sheet1!R767C3</stp>
        <tr r="C767" s="1"/>
      </tp>
      <tp>
        <v>0</v>
        <stp/>
        <stp>##V3_BDPV12</stp>
        <stp>912833QM Govt</stp>
        <stp>CPN</stp>
        <stp>[STRIPS.xlsx]Sheet1!R520C3</stp>
        <tr r="C520" s="1"/>
      </tp>
      <tp t="s">
        <v>#N/A N/A</v>
        <stp/>
        <stp>##V3_BDPV12</stp>
        <stp>912833PM Govt</stp>
        <stp>YLD_YTM_BID</stp>
        <stp>[STRIPS.xlsx]Sheet1!R238C4</stp>
        <tr r="D238" s="1"/>
      </tp>
      <tp>
        <v>0</v>
        <stp/>
        <stp>##V3_BDPV12</stp>
        <stp>912833QH Govt</stp>
        <stp>CPN</stp>
        <stp>[STRIPS.xlsx]Sheet1!R630C3</stp>
        <tr r="C630" s="1"/>
      </tp>
      <tp>
        <v>0</v>
        <stp/>
        <stp>##V3_BDPV12</stp>
        <stp>912834QF Govt</stp>
        <stp>CPN</stp>
        <stp>[STRIPS.xlsx]Sheet1!R277C3</stp>
        <tr r="C277" s="1"/>
      </tp>
      <tp t="s">
        <v>#N/A N/A</v>
        <stp/>
        <stp>##V3_BDPV12</stp>
        <stp>912833PF Govt</stp>
        <stp>YLD_YTM_BID</stp>
        <stp>[STRIPS.xlsx]Sheet1!R678C4</stp>
        <tr r="D678" s="1"/>
      </tp>
      <tp t="s">
        <v>#N/A N/A</v>
        <stp/>
        <stp>##V3_BDPV12</stp>
        <stp>912833PV Govt</stp>
        <stp>YLD_YTM_BID</stp>
        <stp>[STRIPS.xlsx]Sheet1!R338C4</stp>
        <tr r="D338" s="1"/>
      </tp>
      <tp>
        <v>0</v>
        <stp/>
        <stp>##V3_BDPV12</stp>
        <stp>912833PJ Govt</stp>
        <stp>CPN</stp>
        <stp>[STRIPS.xlsx]Sheet1!R680C3</stp>
        <tr r="C680" s="1"/>
      </tp>
      <tp>
        <v>0</v>
        <stp/>
        <stp>##V3_BDPV12</stp>
        <stp>912833PZ Govt</stp>
        <stp>CPN</stp>
        <stp>[STRIPS.xlsx]Sheet1!R240C3</stp>
        <tr r="C240" s="1"/>
      </tp>
      <tp>
        <v>0</v>
        <stp/>
        <stp>##V3_BDPV12</stp>
        <stp>912833PY Govt</stp>
        <stp>CPN</stp>
        <stp>[STRIPS.xlsx]Sheet1!R340C3</stp>
        <tr r="C340" s="1"/>
      </tp>
      <tp t="s">
        <v>#N/A N/A</v>
        <stp/>
        <stp>##V3_BDPV12</stp>
        <stp>912833QW Govt</stp>
        <stp>YLD_YTM_BID</stp>
        <stp>[STRIPS.xlsx]Sheet1!R378C4</stp>
        <tr r="D378" s="1"/>
      </tp>
      <tp t="s">
        <v>#N/A N/A</v>
        <stp/>
        <stp>##V3_BDPV12</stp>
        <stp>912833QU Govt</stp>
        <stp>YLD_YTM_BID</stp>
        <stp>[STRIPS.xlsx]Sheet1!R688C4</stp>
        <tr r="D688" s="1"/>
      </tp>
      <tp t="s">
        <v>#N/A N/A</v>
        <stp/>
        <stp>##V3_BDPV12</stp>
        <stp>912833RK Govt</stp>
        <stp>YLD_YTM_BID</stp>
        <stp>[STRIPS.xlsx]Sheet1!R578C4</stp>
        <tr r="D578" s="1"/>
      </tp>
      <tp t="s">
        <v>#N/A N/A</v>
        <stp/>
        <stp>##V3_BDPV12</stp>
        <stp>912833RM Govt</stp>
        <stp>YLD_YTM_BID</stp>
        <stp>[STRIPS.xlsx]Sheet1!R448C4</stp>
        <tr r="D448" s="1"/>
      </tp>
      <tp>
        <v>0</v>
        <stp/>
        <stp>##V3_BDPV12</stp>
        <stp>912834RG Govt</stp>
        <stp>CPN</stp>
        <stp>[STRIPS.xlsx]Sheet1!R217C3</stp>
        <tr r="C217" s="1"/>
      </tp>
      <tp>
        <v>0</v>
        <stp/>
        <stp>##V3_BDPV12</stp>
        <stp>912833RC Govt</stp>
        <stp>CPN</stp>
        <stp>[STRIPS.xlsx]Sheet1!R690C3</stp>
        <tr r="C690" s="1"/>
      </tp>
      <tp>
        <v>0</v>
        <stp/>
        <stp>##V3_BDPV12</stp>
        <stp>912833RD Govt</stp>
        <stp>CPN</stp>
        <stp>[STRIPS.xlsx]Sheet1!R380C3</stp>
        <tr r="C380" s="1"/>
      </tp>
      <tp>
        <v>0</v>
        <stp/>
        <stp>##V3_BDPV12</stp>
        <stp>912833RT Govt</stp>
        <stp>CPN</stp>
        <stp>[STRIPS.xlsx]Sheet1!R580C3</stp>
        <tr r="C580" s="1"/>
      </tp>
      <tp>
        <v>0</v>
        <stp/>
        <stp>##V3_BDPV12</stp>
        <stp>912833MJ Govt</stp>
        <stp>CPN</stp>
        <stp>[STRIPS.xlsx]Sheet1!R370C3</stp>
        <tr r="C370" s="1"/>
      </tp>
      <tp>
        <v>0</v>
        <stp/>
        <stp>##V3_BDPV12</stp>
        <stp>912834MN Govt</stp>
        <stp>CPN</stp>
        <stp>[STRIPS.xlsx]Sheet1!R417C3</stp>
        <tr r="C417" s="1"/>
      </tp>
      <tp>
        <v>0</v>
        <stp/>
        <stp>##V3_BDPV12</stp>
        <stp>912834MX Govt</stp>
        <stp>CPN</stp>
        <stp>[STRIPS.xlsx]Sheet1!R327C3</stp>
        <tr r="C327" s="1"/>
      </tp>
      <tp t="s">
        <v>#N/A N/A</v>
        <stp/>
        <stp>##V3_BDPV12</stp>
        <stp>912833ML Govt</stp>
        <stp>YLD_YTM_BID</stp>
        <stp>[STRIPS.xlsx]Sheet1!R568C4</stp>
        <tr r="D568" s="1"/>
      </tp>
      <tp t="s">
        <v>#N/A N/A</v>
        <stp/>
        <stp>##V3_BDPV12</stp>
        <stp>912833MZ Govt</stp>
        <stp>YLD_YTM_BID</stp>
        <stp>[STRIPS.xlsx]Sheet1!R628C4</stp>
        <tr r="D628" s="1"/>
      </tp>
      <tp t="s">
        <v>#N/A N/A</v>
        <stp/>
        <stp>##V3_BDPV12</stp>
        <stp>912833NN Govt</stp>
        <stp>YLD_YTM_BID</stp>
        <stp>[STRIPS.xlsx]Sheet1!R518C4</stp>
        <tr r="D518" s="1"/>
      </tp>
      <tp>
        <v>0</v>
        <stp/>
        <stp>##V3_BDPV12</stp>
        <stp>912834NK Govt</stp>
        <stp>CPN</stp>
        <stp>[STRIPS.xlsx]Sheet1!R477C3</stp>
        <tr r="C477" s="1"/>
      </tp>
      <tp>
        <v>0</v>
        <stp/>
        <stp>##V3_BDPV12</stp>
        <stp>912833NC Govt</stp>
        <stp>CPN</stp>
        <stp>[STRIPS.xlsx]Sheet1!R570C3</stp>
        <tr r="C570" s="1"/>
      </tp>
      <tp>
        <v>0</v>
        <stp/>
        <stp>##V3_BDPV12</stp>
        <stp>912834NC Govt</stp>
        <stp>CPN</stp>
        <stp>[STRIPS.xlsx]Sheet1!R407C3</stp>
        <tr r="C407" s="1"/>
      </tp>
      <tp>
        <v>0</v>
        <stp/>
        <stp>##V3_BDPV12</stp>
        <stp>912834NS Govt</stp>
        <stp>CPN</stp>
        <stp>[STRIPS.xlsx]Sheet1!R547C3</stp>
        <tr r="C547" s="1"/>
      </tp>
      <tp>
        <v>0</v>
        <stp/>
        <stp>##V3_BDPV12</stp>
        <stp>912834KK Govt</stp>
        <stp>CPN</stp>
        <stp>[STRIPS.xlsx]Sheet1!R317C3</stp>
        <tr r="C317" s="1"/>
      </tp>
      <tp>
        <v>0</v>
        <stp/>
        <stp>##V3_BDPV12</stp>
        <stp>912834KJ Govt</stp>
        <stp>CPN</stp>
        <stp>[STRIPS.xlsx]Sheet1!R267C3</stp>
        <tr r="C267" s="1"/>
      </tp>
      <tp>
        <v>0</v>
        <stp/>
        <stp>##V3_BDPV12</stp>
        <stp>912833KE Govt</stp>
        <stp>CPN</stp>
        <stp>[STRIPS.xlsx]Sheet1!R670C3</stp>
        <tr r="C670" s="1"/>
      </tp>
      <tp>
        <v>0</v>
        <stp/>
        <stp>##V3_BDPV12</stp>
        <stp>912833KD Govt</stp>
        <stp>CPN</stp>
        <stp>[STRIPS.xlsx]Sheet1!R300C3</stp>
        <tr r="C300" s="1"/>
      </tp>
      <tp t="s">
        <v>#N/A N/A</v>
        <stp/>
        <stp>##V3_BDPV12</stp>
        <stp>912833JV Govt</stp>
        <stp>YLD_YTM_BID</stp>
        <stp>[STRIPS.xlsx]Sheet1!R668C4</stp>
        <tr r="D668" s="1"/>
      </tp>
      <tp>
        <v>0</v>
        <stp/>
        <stp>##V3_BDPV12</stp>
        <stp>912834JN Govt</stp>
        <stp>CPN</stp>
        <stp>[STRIPS.xlsx]Sheet1!R357C3</stp>
        <tr r="C357" s="1"/>
      </tp>
      <tp>
        <v>0</v>
        <stp/>
        <stp>##V3_BDPV12</stp>
        <stp>912834JM Govt</stp>
        <stp>CPN</stp>
        <stp>[STRIPS.xlsx]Sheet1!R397C3</stp>
        <tr r="C397" s="1"/>
      </tp>
      <tp>
        <v>0</v>
        <stp/>
        <stp>##V3_BDPV12</stp>
        <stp>912834JF Govt</stp>
        <stp>CPN</stp>
        <stp>[STRIPS.xlsx]Sheet1!R647C3</stp>
        <tr r="C647" s="1"/>
      </tp>
      <tp>
        <v>0</v>
        <stp/>
        <stp>##V3_BDPV12</stp>
        <stp>912834JC Govt</stp>
        <stp>CPN</stp>
        <stp>[STRIPS.xlsx]Sheet1!R227C3</stp>
        <tr r="C227" s="1"/>
      </tp>
      <tp t="s">
        <v>#N/A N/A</v>
        <stp/>
        <stp>##V3_BDPV12</stp>
        <stp>912833KF Govt</stp>
        <stp>YLD_YTM_BID</stp>
        <stp>[STRIPS.xlsx]Sheet1!R368C4</stp>
        <tr r="D368" s="1"/>
      </tp>
      <tp>
        <v>0</v>
        <stp/>
        <stp>##V3_BDPV12</stp>
        <stp>912834JA Govt</stp>
        <stp>CPN</stp>
        <stp>[STRIPS.xlsx]Sheet1!R537C3</stp>
        <tr r="C537" s="1"/>
      </tp>
      <tp>
        <v>0</v>
        <stp/>
        <stp>##V3_BDPV12</stp>
        <stp>912834JT Govt</stp>
        <stp>CPN</stp>
        <stp>[STRIPS.xlsx]Sheet1!R467C3</stp>
        <tr r="C467" s="1"/>
      </tp>
      <tp>
        <v>0</v>
        <stp/>
        <stp>##V3_BDPV12</stp>
        <stp>912833JW Govt</stp>
        <stp>CPN</stp>
        <stp>[STRIPS.xlsx]Sheet1!R740C3</stp>
        <tr r="C740" s="1"/>
      </tp>
      <tp>
        <v>0</v>
        <stp/>
        <stp>##V3_BDPV12</stp>
        <stp>912833DF Govt</stp>
        <stp>CPN</stp>
        <stp>[STRIPS.xlsx]Sheet1!R660C3</stp>
        <tr r="C660" s="1"/>
      </tp>
      <tp>
        <v>0</v>
        <stp/>
        <stp>##V3_BDPV12</stp>
        <stp>912834DV Govt</stp>
        <stp>CPN</stp>
        <stp>[STRIPS.xlsx]Sheet1!R127C3</stp>
        <tr r="C127" s="1"/>
      </tp>
      <tp t="s">
        <v>#N/A N/A</v>
        <stp/>
        <stp>##V3_BDPV12</stp>
        <stp>912833FN Govt</stp>
        <stp>YLD_YTM_BID</stp>
        <stp>[STRIPS.xlsx]Sheet1!R738C4</stp>
        <tr r="D738" s="1"/>
      </tp>
      <tp t="s">
        <v>#N/A N/A</v>
        <stp/>
        <stp>##V3_BDPV12</stp>
        <stp>912833FF Govt</stp>
        <stp>YLD_YTM_BID</stp>
        <stp>[STRIPS.xlsx]Sheet1!R618C4</stp>
        <tr r="D618" s="1"/>
      </tp>
      <tp>
        <v>0</v>
        <stp/>
        <stp>##V3_BDPV12</stp>
        <stp>912833GC Govt</stp>
        <stp>CPN</stp>
        <stp>[STRIPS.xlsx]Sheet1!R440C3</stp>
        <tr r="C440" s="1"/>
      </tp>
      <tp t="s">
        <v>#N/A N/A</v>
        <stp/>
        <stp>##V3_BDPV12</stp>
        <stp>912833FS Govt</stp>
        <stp>YLD_YTM_BID</stp>
        <stp>[STRIPS.xlsx]Sheet1!R508C4</stp>
        <tr r="D508" s="1"/>
      </tp>
      <tp>
        <v>0</v>
        <stp/>
        <stp>##V3_BDPV12</stp>
        <stp>912833FV Govt</stp>
        <stp>CPN</stp>
        <stp>[STRIPS.xlsx]Sheet1!R510C3</stp>
        <tr r="C510" s="1"/>
      </tp>
      <tp>
        <v>0</v>
        <stp/>
        <stp>##V3_BDPV12</stp>
        <stp>912833FQ Govt</stp>
        <stp>CPN</stp>
        <stp>[STRIPS.xlsx]Sheet1!R620C3</stp>
        <tr r="C620" s="1"/>
      </tp>
      <tp>
        <v>0</v>
        <stp/>
        <stp>##V3_BDPV12</stp>
        <stp>912834AK Govt</stp>
        <stp>CPN</stp>
        <stp>[STRIPS.xlsx]Sheet1!R257C3</stp>
        <tr r="C257" s="1"/>
      </tp>
      <tp>
        <v>0</v>
        <stp/>
        <stp>##V3_BDPV12</stp>
        <stp>912834AM Govt</stp>
        <stp>CPN</stp>
        <stp>[STRIPS.xlsx]Sheet1!R457C3</stp>
        <tr r="C457" s="1"/>
      </tp>
      <tp>
        <v>0</v>
        <stp/>
        <stp>##V3_BDPV12</stp>
        <stp>912834AV Govt</stp>
        <stp>CPN</stp>
        <stp>[STRIPS.xlsx]Sheet1!R387C3</stp>
        <tr r="C387" s="1"/>
      </tp>
      <tp>
        <v>0</v>
        <stp/>
        <stp>##V3_BDPV12</stp>
        <stp>912833A8 Govt</stp>
        <stp>CPN</stp>
        <stp>[STRIPS.xlsx]Sheet1!R560C3</stp>
        <tr r="C560" s="1"/>
      </tp>
      <tp>
        <v>0</v>
        <stp/>
        <stp>##V3_BDPV12</stp>
        <stp>912833A4 Govt</stp>
        <stp>CPN</stp>
        <stp>[STRIPS.xlsx]Sheet1!R330C3</stp>
        <tr r="C330" s="1"/>
      </tp>
      <tp t="s">
        <v>#N/A N/A</v>
        <stp/>
        <stp>##V3_BDPV12</stp>
        <stp>912833A2 Govt</stp>
        <stp>YLD_YTM_BID</stp>
        <stp>[STRIPS.xlsx]Sheet1!R608C4</stp>
        <tr r="D608" s="1"/>
      </tp>
      <tp>
        <v>0</v>
        <stp/>
        <stp>##V3_BDPV12</stp>
        <stp>912833CZ Govt</stp>
        <stp>CPN</stp>
        <stp>[STRIPS.xlsx]Sheet1!R220C3</stp>
        <tr r="C220" s="1"/>
      </tp>
      <tp>
        <v>0</v>
        <stp/>
        <stp>##V3_BDPV12</stp>
        <stp>912833BW Govt</stp>
        <stp>CPN</stp>
        <stp>[STRIPS.xlsx]Sheet1!R610C3</stp>
        <tr r="C610" s="1"/>
      </tp>
      <tp t="s">
        <v>#N/A N/A</v>
        <stp/>
        <stp>##V3_BDPV12</stp>
        <stp>912833CQ Govt</stp>
        <stp>YLD_YTM_BID</stp>
        <stp>[STRIPS.xlsx]Sheet1!R438C4</stp>
        <tr r="D438" s="1"/>
      </tp>
      <tp t="s">
        <v>#N/A N/A</v>
        <stp/>
        <stp>##V3_BDPV12</stp>
        <stp>912833CV Govt</stp>
        <stp>YLD_YTM_BID</stp>
        <stp>[STRIPS.xlsx]Sheet1!R658C4</stp>
        <tr r="D658" s="1"/>
      </tp>
      <tp t="s">
        <v>#N/A N/A</v>
        <stp/>
        <stp>##V3_BDPV12</stp>
        <stp>912833CS Govt</stp>
        <stp>YLD_YTM_BID</stp>
        <stp>[STRIPS.xlsx]Sheet1!R298C4</stp>
        <tr r="D298" s="1"/>
      </tp>
      <tp>
        <v>0</v>
        <stp/>
        <stp>##V3_BDPV12</stp>
        <stp>912833B6 Govt</stp>
        <stp>CPN</stp>
        <stp>[STRIPS.xlsx]Sheet1!R500C3</stp>
        <tr r="C500" s="1"/>
      </tp>
      <tp t="s">
        <v>1/31/2013</v>
        <stp/>
        <stp>##V3_BDPV12</stp>
        <stp>912833Z4 Govt</stp>
        <stp>MATURITY</stp>
        <stp>[STRIPS.xlsx]Sheet1!R382C5</stp>
        <tr r="E382" s="1"/>
      </tp>
      <tp t="s">
        <v>7/31/2004</v>
        <stp/>
        <stp>##V3_BDPV12</stp>
        <stp>912833YX Govt</stp>
        <stp>MATURITY</stp>
        <stp>[STRIPS.xlsx]Sheet1!R381C5</stp>
        <tr r="E381" s="1"/>
      </tp>
      <tp t="s">
        <v>1/31/1999</v>
        <stp/>
        <stp>##V3_BDPV12</stp>
        <stp>912833QZ Govt</stp>
        <stp>MATURITY</stp>
        <stp>[STRIPS.xlsx]Sheet1!R379C5</stp>
        <tr r="E379" s="1"/>
      </tp>
      <tp t="s">
        <v>1/15/2020</v>
        <stp/>
        <stp>##V3_BDPV12</stp>
        <stp>912834QZ Govt</stp>
        <stp>MATURITY</stp>
        <stp>[STRIPS.xlsx]Sheet1!R279C5</stp>
        <tr r="E279" s="1"/>
      </tp>
      <tp t="s">
        <v>3/15/2004</v>
        <stp/>
        <stp>##V3_BDPV12</stp>
        <stp>912833ZP Govt</stp>
        <stp>MATURITY</stp>
        <stp>[STRIPS.xlsx]Sheet1!R192C5</stp>
        <tr r="E192" s="1"/>
      </tp>
      <tp t="s">
        <v>4/30/2000</v>
        <stp/>
        <stp>##V3_BDPV12</stp>
        <stp>912833PV Govt</stp>
        <stp>MATURITY</stp>
        <stp>[STRIPS.xlsx]Sheet1!R338C5</stp>
        <tr r="E338" s="1"/>
      </tp>
      <tp t="s">
        <v>8/31/2028</v>
        <stp/>
        <stp>##V3_BDPV12</stp>
        <stp>912834XH Govt</stp>
        <stp>MATURITY</stp>
        <stp>[STRIPS.xlsx]Sheet1!R150C5</stp>
        <tr r="E150" s="1"/>
      </tp>
      <tp t="s">
        <v>UNITED STATES</v>
        <stp/>
        <stp>##V3_BDPV12</stp>
        <stp>912833NH Govt</stp>
        <stp>COUNTRY_FULL_NAME</stp>
        <stp>[STRIPS.xlsx]Sheet1!R237C8</stp>
        <tr r="H237" s="1"/>
      </tp>
      <tp t="s">
        <v>UNITED STATES</v>
        <stp/>
        <stp>##V3_BDPV12</stp>
        <stp>912834EJ Govt</stp>
        <stp>COUNTRY_FULL_NAME</stp>
        <stp>[STRIPS.xlsx]Sheet1!R595C8</stp>
        <tr r="H595" s="1"/>
      </tp>
      <tp t="s">
        <v>UNITED STATES</v>
        <stp/>
        <stp>##V3_BDPV12</stp>
        <stp>912833RJ Govt</stp>
        <stp>COUNTRY_FULL_NAME</stp>
        <stp>[STRIPS.xlsx]Sheet1!R245C8</stp>
        <tr r="H245" s="1"/>
      </tp>
      <tp t="s">
        <v>UNITED STATES</v>
        <stp/>
        <stp>##V3_BDPV12</stp>
        <stp>912834JJ Govt</stp>
        <stp>COUNTRY_FULL_NAME</stp>
        <stp>[STRIPS.xlsx]Sheet1!R465C8</stp>
        <tr r="H465" s="1"/>
      </tp>
      <tp t="s">
        <v>UNITED STATES</v>
        <stp/>
        <stp>##V3_BDPV12</stp>
        <stp>912834NN Govt</stp>
        <stp>COUNTRY_FULL_NAME</stp>
        <stp>[STRIPS.xlsx]Sheet1!R421C8</stp>
        <tr r="H421" s="1"/>
      </tp>
      <tp t="s">
        <v>UNITED STATES</v>
        <stp/>
        <stp>##V3_BDPV12</stp>
        <stp>912833YL Govt</stp>
        <stp>COUNTRY_FULL_NAME</stp>
        <stp>[STRIPS.xlsx]Sheet1!R343C8</stp>
        <tr r="H343" s="1"/>
      </tp>
      <tp t="s">
        <v>UNITED STATES</v>
        <stp/>
        <stp>##V3_BDPV12</stp>
        <stp>912834LL Govt</stp>
        <stp>COUNTRY_FULL_NAME</stp>
        <stp>[STRIPS.xlsx]Sheet1!R323C8</stp>
        <tr r="H323" s="1"/>
      </tp>
      <tp t="s">
        <v>UNITED STATES</v>
        <stp/>
        <stp>##V3_BDPV12</stp>
        <stp>912833YM Govt</stp>
        <stp>COUNTRY_FULL_NAME</stp>
        <stp>[STRIPS.xlsx]Sheet1!R452C8</stp>
        <tr r="H452" s="1"/>
      </tp>
      <tp t="s">
        <v>UNITED STATES</v>
        <stp/>
        <stp>##V3_BDPV12</stp>
        <stp>912834KF Govt</stp>
        <stp>COUNTRY_FULL_NAME</stp>
        <stp>[STRIPS.xlsx]Sheet1!R229C8</stp>
        <tr r="H229" s="1"/>
      </tp>
      <tp t="s">
        <v>UNITED STATES</v>
        <stp/>
        <stp>##V3_BDPV12</stp>
        <stp>912834JG Govt</stp>
        <stp>COUNTRY_FULL_NAME</stp>
        <stp>[STRIPS.xlsx]Sheet1!R228C8</stp>
        <tr r="H228" s="1"/>
      </tp>
      <tp t="s">
        <v>UNITED STATES</v>
        <stp/>
        <stp>##V3_BDPV12</stp>
        <stp>912834LN Govt</stp>
        <stp>COUNTRY_FULL_NAME</stp>
        <stp>[STRIPS.xlsx]Sheet1!R231C8</stp>
        <tr r="H231" s="1"/>
      </tp>
      <tp t="s">
        <v>UNITED STATES</v>
        <stp/>
        <stp>##V3_BDPV12</stp>
        <stp>912833FH Govt</stp>
        <stp>COUNTRY_FULL_NAME</stp>
        <stp>[STRIPS.xlsx]Sheet1!R507C8</stp>
        <tr r="H507" s="1"/>
      </tp>
      <tp t="s">
        <v>UNITED STATES</v>
        <stp/>
        <stp>##V3_BDPV12</stp>
        <stp>912834TM Govt</stp>
        <stp>COUNTRY_FULL_NAME</stp>
        <stp>[STRIPS.xlsx]Sheet1!R282C8</stp>
        <tr r="H282" s="1"/>
      </tp>
      <tp t="s">
        <v>UNITED STATES</v>
        <stp/>
        <stp>##V3_BDPV12</stp>
        <stp>912833YK Govt</stp>
        <stp>COUNTRY_FULL_NAME</stp>
        <stp>[STRIPS.xlsx]Sheet1!R584C8</stp>
        <tr r="H584" s="1"/>
      </tp>
      <tp t="s">
        <v>UNITED STATES</v>
        <stp/>
        <stp>##V3_BDPV12</stp>
        <stp>912833RL Govt</stp>
        <stp>COUNTRY_FULL_NAME</stp>
        <stp>[STRIPS.xlsx]Sheet1!R523C8</stp>
        <tr r="H523" s="1"/>
      </tp>
      <tp t="s">
        <v>UNITED STATES</v>
        <stp/>
        <stp>##V3_BDPV12</stp>
        <stp>912834VF Govt</stp>
        <stp>COUNTRY_FULL_NAME</stp>
        <stp>[STRIPS.xlsx]Sheet1!R219C8</stp>
        <tr r="H219" s="1"/>
      </tp>
      <tp t="s">
        <v>UNITED STATES</v>
        <stp/>
        <stp>##V3_BDPV12</stp>
        <stp>9128334J Govt</stp>
        <stp>COUNTRY_FULL_NAME</stp>
        <stp>[STRIPS.xlsx]Sheet1!R605C8</stp>
        <tr r="H605" s="1"/>
      </tp>
      <tp t="s">
        <v>UNITED STATES</v>
        <stp/>
        <stp>##V3_BDPV12</stp>
        <stp>912833FL Govt</stp>
        <stp>COUNTRY_FULL_NAME</stp>
        <stp>[STRIPS.xlsx]Sheet1!R663C8</stp>
        <tr r="H663" s="1"/>
      </tp>
      <tp t="s">
        <v>UNITED STATES</v>
        <stp/>
        <stp>##V3_BDPV12</stp>
        <stp>912833PN Govt</stp>
        <stp>COUNTRY_FULL_NAME</stp>
        <stp>[STRIPS.xlsx]Sheet1!R681C8</stp>
        <tr r="H681" s="1"/>
      </tp>
      <tp t="s">
        <v>UNITED STATES</v>
        <stp/>
        <stp>##V3_BDPV12</stp>
        <stp>912834WN Govt</stp>
        <stp>COUNTRY_FULL_NAME</stp>
        <stp>[STRIPS.xlsx]Sheet1!R191C8</stp>
        <tr r="H191" s="1"/>
      </tp>
      <tp t="s">
        <v>UNITED STATES</v>
        <stp/>
        <stp>##V3_BDPV12</stp>
        <stp>912834RK Govt</stp>
        <stp>COUNTRY_FULL_NAME</stp>
        <stp>[STRIPS.xlsx]Sheet1!R124C8</stp>
        <tr r="H124" s="1"/>
      </tp>
      <tp t="s">
        <v>11/30/2001</v>
        <stp/>
        <stp>##V3_BDPV12</stp>
        <stp>912833QK Govt</stp>
        <stp>MATURITY</stp>
        <stp>[STRIPS.xlsx]Sheet1!R519C5</stp>
        <tr r="E519" s="1"/>
      </tp>
      <tp t="s">
        <v>7/31/2022</v>
        <stp/>
        <stp>##V3_BDPV12</stp>
        <stp>912834PL Govt</stp>
        <stp>MATURITY</stp>
        <stp>[STRIPS.xlsx]Sheet1!R128C5</stp>
        <tr r="E128" s="1"/>
      </tp>
      <tp t="s">
        <v>3/31/2001</v>
        <stp/>
        <stp>##V3_BDPV12</stp>
        <stp>912833PM Govt</stp>
        <stp>MATURITY</stp>
        <stp>[STRIPS.xlsx]Sheet1!R238C5</stp>
        <tr r="E238" s="1"/>
      </tp>
      <tp t="s">
        <v>7/31/2023</v>
        <stp/>
        <stp>##V3_BDPV12</stp>
        <stp>912834QN Govt</stp>
        <stp>MATURITY</stp>
        <stp>[STRIPS.xlsx]Sheet1!R179C5</stp>
        <tr r="E179" s="1"/>
      </tp>
      <tp t="s">
        <v>5/31/2028</v>
        <stp/>
        <stp>##V3_BDPV12</stp>
        <stp>912834XA Govt</stp>
        <stp>MATURITY</stp>
        <stp>[STRIPS.xlsx]Sheet1!R190C5</stp>
        <tr r="E190" s="1"/>
      </tp>
      <tp t="s">
        <v>8/31/2003</v>
        <stp/>
        <stp>##V3_BDPV12</stp>
        <stp>912833YB Govt</stp>
        <stp>MATURITY</stp>
        <stp>[STRIPS.xlsx]Sheet1!R451C5</stp>
        <tr r="E451" s="1"/>
      </tp>
      <tp t="s">
        <v>11/30/2021</v>
        <stp/>
        <stp>##V3_BDPV12</stp>
        <stp>912834PC Govt</stp>
        <stp>MATURITY</stp>
        <stp>[STRIPS.xlsx]Sheet1!R148C5</stp>
        <tr r="E148" s="1"/>
      </tp>
      <tp t="s">
        <v>12/15/2017</v>
        <stp/>
        <stp>##V3_BDPV12</stp>
        <stp>912834PD Govt</stp>
        <stp>MATURITY</stp>
        <stp>[STRIPS.xlsx]Sheet1!R478C5</stp>
        <tr r="E478" s="1"/>
      </tp>
      <tp t="s">
        <v>3/31/2023</v>
        <stp/>
        <stp>##V3_BDPV12</stp>
        <stp>912834QE Govt</stp>
        <stp>MATURITY</stp>
        <stp>[STRIPS.xlsx]Sheet1!R149C5</stp>
        <tr r="E149" s="1"/>
      </tp>
      <tp t="s">
        <v>2/28/2005</v>
        <stp/>
        <stp>##V3_BDPV12</stp>
        <stp>912833ZE Govt</stp>
        <stp>MATURITY</stp>
        <stp>[STRIPS.xlsx]Sheet1!R252C5</stp>
        <tr r="E252" s="1"/>
      </tp>
      <tp t="s">
        <v>3/31/1998</v>
        <stp/>
        <stp>##V3_BDPV12</stp>
        <stp>912833PF Govt</stp>
        <stp>MATURITY</stp>
        <stp>[STRIPS.xlsx]Sheet1!R678C5</stp>
        <tr r="E678" s="1"/>
      </tp>
      <tp>
        <v>0</v>
        <stp/>
        <stp>##V3_BDPV12</stp>
        <stp>9128335M Govt</stp>
        <stp>CPN</stp>
        <stp>[STRIPS.xlsx]Sheet1!R710C3</stp>
        <tr r="C710" s="1"/>
      </tp>
      <tp t="s">
        <v>#N/A N/A</v>
        <stp/>
        <stp>##V3_BDPV12</stp>
        <stp>9128334E Govt</stp>
        <stp>YLD_YTM_BID</stp>
        <stp>[STRIPS.xlsx]Sheet1!R708C4</stp>
        <tr r="D708" s="1"/>
      </tp>
      <tp>
        <v>0</v>
        <stp/>
        <stp>##V3_BDPV12</stp>
        <stp>9128335C Govt</stp>
        <stp>CPN</stp>
        <stp>[STRIPS.xlsx]Sheet1!R720C3</stp>
        <tr r="C720" s="1"/>
      </tp>
      <tp t="s">
        <v>#N/A N/A</v>
        <stp/>
        <stp>##V3_BDPV12</stp>
        <stp>9128334D Govt</stp>
        <stp>YLD_YTM_BID</stp>
        <stp>[STRIPS.xlsx]Sheet1!R488C4</stp>
        <tr r="D488" s="1"/>
      </tp>
      <tp>
        <v>0</v>
        <stp/>
        <stp>##V3_BDPV12</stp>
        <stp>9128335Z Govt</stp>
        <stp>CPN</stp>
        <stp>[STRIPS.xlsx]Sheet1!R650C3</stp>
        <tr r="C650" s="1"/>
      </tp>
      <tp>
        <v>0</v>
        <stp/>
        <stp>##V3_BDPV12</stp>
        <stp>9128334K Govt</stp>
        <stp>CPN</stp>
        <stp>[STRIPS.xlsx]Sheet1!R490C3</stp>
        <tr r="C490" s="1"/>
      </tp>
      <tp>
        <v>0</v>
        <stp/>
        <stp>##V3_BDPV12</stp>
        <stp>9128337J Govt</stp>
        <stp>CPN</stp>
        <stp>[STRIPS.xlsx]Sheet1!R730C3</stp>
        <tr r="C730" s="1"/>
      </tp>
      <tp t="s">
        <v>#N/A N/A</v>
        <stp/>
        <stp>##V3_BDPV12</stp>
        <stp>9128336M Govt</stp>
        <stp>YLD_YTM_BID</stp>
        <stp>[STRIPS.xlsx]Sheet1!R558C4</stp>
        <tr r="D558" s="1"/>
      </tp>
      <tp t="s">
        <v>#N/A N/A</v>
        <stp/>
        <stp>##V3_BDPV12</stp>
        <stp>9128336A Govt</stp>
        <stp>YLD_YTM_BID</stp>
        <stp>[STRIPS.xlsx]Sheet1!R748C4</stp>
        <tr r="D748" s="1"/>
      </tp>
      <tp t="s">
        <v>#N/A N/A</v>
        <stp/>
        <stp>##V3_BDPV12</stp>
        <stp>9128336F Govt</stp>
        <stp>YLD_YTM_BID</stp>
        <stp>[STRIPS.xlsx]Sheet1!R288C4</stp>
        <tr r="D288" s="1"/>
      </tp>
      <tp t="s">
        <v>#N/A N/A</v>
        <stp/>
        <stp>##V3_BDPV12</stp>
        <stp>9128336E Govt</stp>
        <stp>YLD_YTM_BID</stp>
        <stp>[STRIPS.xlsx]Sheet1!R728C4</stp>
        <tr r="D728" s="1"/>
      </tp>
      <tp t="s">
        <v>#N/A N/A</v>
        <stp/>
        <stp>##V3_BDPV12</stp>
        <stp>9128336R Govt</stp>
        <stp>YLD_YTM_BID</stp>
        <stp>[STRIPS.xlsx]Sheet1!R498C4</stp>
        <tr r="D498" s="1"/>
      </tp>
      <tp>
        <v>0</v>
        <stp/>
        <stp>##V3_BDPV12</stp>
        <stp>9128337V Govt</stp>
        <stp>CPN</stp>
        <stp>[STRIPS.xlsx]Sheet1!R100C3</stp>
        <tr r="C100" s="1"/>
      </tp>
      <tp>
        <v>0</v>
        <stp/>
        <stp>##V3_BDPV12</stp>
        <stp>9128336X Govt</stp>
        <stp>CPN</stp>
        <stp>[STRIPS.xlsx]Sheet1!R290C3</stp>
        <tr r="C290" s="1"/>
      </tp>
      <tp>
        <v>0</v>
        <stp/>
        <stp>##V3_BDPV12</stp>
        <stp>9128336Z Govt</stp>
        <stp>CPN</stp>
        <stp>[STRIPS.xlsx]Sheet1!R430C3</stp>
        <tr r="C430" s="1"/>
      </tp>
      <tp>
        <v>0</v>
        <stp/>
        <stp>##V3_BDPV12</stp>
        <stp>9128336Q Govt</stp>
        <stp>CPN</stp>
        <stp>[STRIPS.xlsx]Sheet1!R750C3</stp>
        <tr r="C750" s="1"/>
      </tp>
      <tp t="s">
        <v>#N/A N/A</v>
        <stp/>
        <stp>##V3_BDPV12</stp>
        <stp>9128332H Govt</stp>
        <stp>YLD_YTM_BID</stp>
        <stp>[STRIPS.xlsx]Sheet1!R718C4</stp>
        <tr r="D718" s="1"/>
      </tp>
      <tp t="s">
        <v>#N/A N/A</v>
        <stp/>
        <stp>##V3_BDPV12</stp>
        <stp>9128332J Govt</stp>
        <stp>YLD_YTM_BID</stp>
        <stp>[STRIPS.xlsx]Sheet1!R598C4</stp>
        <tr r="D598" s="1"/>
      </tp>
      <tp>
        <v>0</v>
        <stp/>
        <stp>##V3_BDPV12</stp>
        <stp>9128333H Govt</stp>
        <stp>CPN</stp>
        <stp>[STRIPS.xlsx]Sheet1!R600C3</stp>
        <tr r="C600" s="1"/>
      </tp>
      <tp t="s">
        <v>#N/A N/A</v>
        <stp/>
        <stp>##V3_BDPV12</stp>
        <stp>9128332D Govt</stp>
        <stp>YLD_YTM_BID</stp>
        <stp>[STRIPS.xlsx]Sheet1!R648C4</stp>
        <tr r="D648" s="1"/>
      </tp>
      <tp t="s">
        <v>#N/A N/A</v>
        <stp/>
        <stp>##V3_BDPV12</stp>
        <stp>9128333N Govt</stp>
        <stp>YLD_YTM_BID</stp>
        <stp>[STRIPS.xlsx]Sheet1!R428C4</stp>
        <tr r="D428" s="1"/>
      </tp>
      <tp>
        <v>0</v>
        <stp/>
        <stp>##V3_BDPV12</stp>
        <stp>9128332A Govt</stp>
        <stp>CPN</stp>
        <stp>[STRIPS.xlsx]Sheet1!R700C3</stp>
        <tr r="C700" s="1"/>
      </tp>
      <tp t="s">
        <v>NORMAL</v>
        <stp/>
        <stp>##V3_BDPV12</stp>
        <stp>9128334S Govt</stp>
        <stp>MTY_TYP</stp>
        <stp>[STRIPS.xlsx]Sheet1!R5C6</stp>
        <tr r="F5" s="1"/>
      </tp>
      <tp t="s">
        <v>#N/A Field Not Applicable</v>
        <stp/>
        <stp>##V3_BDPV12</stp>
        <stp>912833Z4 Govt</stp>
        <stp>COUPON_FREQUENCY_DESCRIPTION</stp>
        <stp>[STRIPS.xlsx]Sheet1!R382C10</stp>
        <tr r="J382" s="1"/>
      </tp>
      <tp t="s">
        <v>#N/A Field Not Applicable</v>
        <stp/>
        <stp>##V3_BDPV12</stp>
        <stp>912833A4 Govt</stp>
        <stp>COUPON_FREQUENCY_DESCRIPTION</stp>
        <stp>[STRIPS.xlsx]Sheet1!R330C10</stp>
        <tr r="J330" s="1"/>
      </tp>
      <tp>
        <v>0</v>
        <stp/>
        <stp>##V3_BDPV12</stp>
        <stp>912833YB Govt</stp>
        <stp>CPN</stp>
        <stp>[STRIPS.xlsx]Sheet1!R451C3</stp>
        <tr r="C451" s="1"/>
      </tp>
      <tp>
        <v>0</v>
        <stp/>
        <stp>##V3_BDPV12</stp>
        <stp>912833YX Govt</stp>
        <stp>CPN</stp>
        <stp>[STRIPS.xlsx]Sheet1!R381C3</stp>
        <tr r="C381" s="1"/>
      </tp>
      <tp t="s">
        <v>#N/A Field Not Applicable</v>
        <stp/>
        <stp>##V3_BDPV12</stp>
        <stp>912833B4 Govt</stp>
        <stp>COUPON_FREQUENCY_DESCRIPTION</stp>
        <stp>[STRIPS.xlsx]Sheet1!R654C10</stp>
        <tr r="J654" s="1"/>
      </tp>
      <tp t="s">
        <v>#N/A Field Not Applicable</v>
        <stp/>
        <stp>##V3_BDPV12</stp>
        <stp>912833C4 Govt</stp>
        <stp>COUPON_FREQUENCY_DESCRIPTION</stp>
        <stp>[STRIPS.xlsx]Sheet1!R612C10</stp>
        <tr r="J612" s="1"/>
      </tp>
      <tp t="s">
        <v>#N/A N/A</v>
        <stp/>
        <stp>##V3_BDPV12</stp>
        <stp>912833YT Govt</stp>
        <stp>YLD_YTM_BID</stp>
        <stp>[STRIPS.xlsx]Sheet1!R249C4</stp>
        <tr r="D249" s="1"/>
      </tp>
      <tp t="s">
        <v>#N/A N/A</v>
        <stp/>
        <stp>##V3_BDPV12</stp>
        <stp>912833ZM Govt</stp>
        <stp>YLD_YTM_BID</stp>
        <stp>[STRIPS.xlsx]Sheet1!R699C4</stp>
        <tr r="D699" s="1"/>
      </tp>
      <tp t="s">
        <v>#N/A N/A</v>
        <stp/>
        <stp>##V3_BDPV12</stp>
        <stp>912833ZQ Govt</stp>
        <stp>YLD_YTM_BID</stp>
        <stp>[STRIPS.xlsx]Sheet1!R639C4</stp>
        <tr r="D639" s="1"/>
      </tp>
      <tp>
        <v>0</v>
        <stp/>
        <stp>##V3_BDPV12</stp>
        <stp>912833ZA Govt</stp>
        <stp>CPN</stp>
        <stp>[STRIPS.xlsx]Sheet1!R251C3</stp>
        <tr r="C251" s="1"/>
      </tp>
      <tp>
        <v>0</v>
        <stp/>
        <stp>##V3_BDPV12</stp>
        <stp>912833Z6 Govt</stp>
        <stp>CPN</stp>
        <stp>[STRIPS.xlsx]Sheet1!R111C3</stp>
        <tr r="C111" s="1"/>
      </tp>
      <tp>
        <v>0</v>
        <stp/>
        <stp>##V3_BDPV12</stp>
        <stp>912834UN Govt</stp>
        <stp>CPN</stp>
        <stp>[STRIPS.xlsx]Sheet1!R206C3</stp>
        <tr r="C206" s="1"/>
      </tp>
      <tp>
        <v>0</v>
        <stp/>
        <stp>##V3_BDPV12</stp>
        <stp>912834TA Govt</stp>
        <stp>CPN</stp>
        <stp>[STRIPS.xlsx]Sheet1!R756C3</stp>
        <tr r="C756" s="1"/>
      </tp>
      <tp>
        <v>0</v>
        <stp/>
        <stp>##V3_BDPV12</stp>
        <stp>912834TS Govt</stp>
        <stp>CPN</stp>
        <stp>[STRIPS.xlsx]Sheet1!R196C3</stp>
        <tr r="C196" s="1"/>
      </tp>
      <tp>
        <v>0</v>
        <stp/>
        <stp>##V3_BDPV12</stp>
        <stp>912834TR Govt</stp>
        <stp>CPN</stp>
        <stp>[STRIPS.xlsx]Sheet1!R426C3</stp>
        <tr r="C426" s="1"/>
      </tp>
      <tp>
        <v>0</v>
        <stp/>
        <stp>##V3_BDPV12</stp>
        <stp>912834WD Govt</stp>
        <stp>CPN</stp>
        <stp>[STRIPS.xlsx]Sheet1!R186C3</stp>
        <tr r="C186" s="1"/>
      </tp>
      <tp>
        <v>0</v>
        <stp/>
        <stp>##V3_BDPV12</stp>
        <stp>912834WX Govt</stp>
        <stp>CPN</stp>
        <stp>[STRIPS.xlsx]Sheet1!R776C3</stp>
        <tr r="C776" s="1"/>
      </tp>
      <tp>
        <v>0</v>
        <stp/>
        <stp>##V3_BDPV12</stp>
        <stp>912834WQ Govt</stp>
        <stp>CPN</stp>
        <stp>[STRIPS.xlsx]Sheet1!R136C3</stp>
        <tr r="C136" s="1"/>
      </tp>
      <tp>
        <v>0</v>
        <stp/>
        <stp>##V3_BDPV12</stp>
        <stp>912834WU Govt</stp>
        <stp>CPN</stp>
        <stp>[STRIPS.xlsx]Sheet1!R166C3</stp>
        <tr r="C166" s="1"/>
      </tp>
      <tp>
        <v>0</v>
        <stp/>
        <stp>##V3_BDPV12</stp>
        <stp>912834VH Govt</stp>
        <stp>CPN</stp>
        <stp>[STRIPS.xlsx]Sheet1!R146C3</stp>
        <tr r="C146" s="1"/>
      </tp>
      <tp>
        <v>0</v>
        <stp/>
        <stp>##V3_BDPV12</stp>
        <stp>912834VE Govt</stp>
        <stp>CPN</stp>
        <stp>[STRIPS.xlsx]Sheet1!R116C3</stp>
        <tr r="C116" s="1"/>
      </tp>
      <tp>
        <v>0</v>
        <stp/>
        <stp>##V3_BDPV12</stp>
        <stp>912834VZ Govt</stp>
        <stp>CPN</stp>
        <stp>[STRIPS.xlsx]Sheet1!R766C3</stp>
        <tr r="C766" s="1"/>
      </tp>
      <tp>
        <v>0</v>
        <stp/>
        <stp>##V3_BDPV12</stp>
        <stp>912833QL Govt</stp>
        <stp>CPN</stp>
        <stp>[STRIPS.xlsx]Sheet1!R631C3</stp>
        <tr r="C631" s="1"/>
      </tp>
      <tp>
        <v>0</v>
        <stp/>
        <stp>##V3_BDPV12</stp>
        <stp>912833QC Govt</stp>
        <stp>CPN</stp>
        <stp>[STRIPS.xlsx]Sheet1!R341C3</stp>
        <tr r="C341" s="1"/>
      </tp>
      <tp t="s">
        <v>#N/A N/A</v>
        <stp/>
        <stp>##V3_BDPV12</stp>
        <stp>912833PG Govt</stp>
        <stp>YLD_YTM_BID</stp>
        <stp>[STRIPS.xlsx]Sheet1!R679C4</stp>
        <tr r="D679" s="1"/>
      </tp>
      <tp>
        <v>0</v>
        <stp/>
        <stp>##V3_BDPV12</stp>
        <stp>912833QE Govt</stp>
        <stp>CPN</stp>
        <stp>[STRIPS.xlsx]Sheet1!R241C3</stp>
        <tr r="C241" s="1"/>
      </tp>
      <tp t="s">
        <v>#N/A N/A</v>
        <stp/>
        <stp>##V3_BDPV12</stp>
        <stp>912833PX Govt</stp>
        <stp>YLD_YTM_BID</stp>
        <stp>[STRIPS.xlsx]Sheet1!R339C4</stp>
        <tr r="D339" s="1"/>
      </tp>
      <tp t="s">
        <v>#N/A N/A</v>
        <stp/>
        <stp>##V3_BDPV12</stp>
        <stp>912833PW Govt</stp>
        <stp>YLD_YTM_BID</stp>
        <stp>[STRIPS.xlsx]Sheet1!R239C4</stp>
        <tr r="D239" s="1"/>
      </tp>
      <tp>
        <v>0</v>
        <stp/>
        <stp>##V3_BDPV12</stp>
        <stp>912833QR Govt</stp>
        <stp>CPN</stp>
        <stp>[STRIPS.xlsx]Sheet1!R521C3</stp>
        <tr r="C521" s="1"/>
      </tp>
      <tp t="s">
        <v>#N/A N/A</v>
        <stp/>
        <stp>##V3_BDPV12</stp>
        <stp>912833QK Govt</stp>
        <stp>YLD_YTM_BID</stp>
        <stp>[STRIPS.xlsx]Sheet1!R519C4</stp>
        <tr r="D519" s="1"/>
      </tp>
      <tp>
        <v>0</v>
        <stp/>
        <stp>##V3_BDPV12</stp>
        <stp>912833PN Govt</stp>
        <stp>CPN</stp>
        <stp>[STRIPS.xlsx]Sheet1!R681C3</stp>
        <tr r="C681" s="1"/>
      </tp>
      <tp>
        <v>0</v>
        <stp/>
        <stp>##V3_BDPV12</stp>
        <stp>912834PZ Govt</stp>
        <stp>CPN</stp>
        <stp>[STRIPS.xlsx]Sheet1!R126C3</stp>
        <tr r="C126" s="1"/>
      </tp>
      <tp t="s">
        <v>#N/A N/A</v>
        <stp/>
        <stp>##V3_BDPV12</stp>
        <stp>912833QZ Govt</stp>
        <stp>YLD_YTM_BID</stp>
        <stp>[STRIPS.xlsx]Sheet1!R379C4</stp>
        <tr r="D379" s="1"/>
      </tp>
      <tp>
        <v>0</v>
        <stp/>
        <stp>##V3_BDPV12</stp>
        <stp>912834PP Govt</stp>
        <stp>CPN</stp>
        <stp>[STRIPS.xlsx]Sheet1!R276C3</stp>
        <tr r="C276" s="1"/>
      </tp>
      <tp>
        <v>0</v>
        <stp/>
        <stp>##V3_BDPV12</stp>
        <stp>912834PT Govt</stp>
        <stp>CPN</stp>
        <stp>[STRIPS.xlsx]Sheet1!R106C3</stp>
        <tr r="C106" s="1"/>
      </tp>
      <tp t="s">
        <v>#N/A N/A</v>
        <stp/>
        <stp>##V3_BDPV12</stp>
        <stp>912833RN Govt</stp>
        <stp>YLD_YTM_BID</stp>
        <stp>[STRIPS.xlsx]Sheet1!R579C4</stp>
        <tr r="D579" s="1"/>
      </tp>
      <tp t="s">
        <v>#N/A N/A</v>
        <stp/>
        <stp>##V3_BDPV12</stp>
        <stp>912833RB Govt</stp>
        <stp>YLD_YTM_BID</stp>
        <stp>[STRIPS.xlsx]Sheet1!R689C4</stp>
        <tr r="D689" s="1"/>
      </tp>
      <tp t="s">
        <v>#N/A N/A</v>
        <stp/>
        <stp>##V3_BDPV12</stp>
        <stp>912833RX Govt</stp>
        <stp>YLD_YTM_BID</stp>
        <stp>[STRIPS.xlsx]Sheet1!R449C4</stp>
        <tr r="D449" s="1"/>
      </tp>
      <tp>
        <v>0</v>
        <stp/>
        <stp>##V3_BDPV12</stp>
        <stp>912834RA Govt</stp>
        <stp>CPN</stp>
        <stp>[STRIPS.xlsx]Sheet1!R216C3</stp>
        <tr r="C216" s="1"/>
      </tp>
      <tp>
        <v>0</v>
        <stp/>
        <stp>##V3_BDPV12</stp>
        <stp>912833RE Govt</stp>
        <stp>CPN</stp>
        <stp>[STRIPS.xlsx]Sheet1!R691C3</stp>
        <tr r="C691" s="1"/>
      </tp>
      <tp>
        <v>0</v>
        <stp/>
        <stp>##V3_BDPV12</stp>
        <stp>912833RV Govt</stp>
        <stp>CPN</stp>
        <stp>[STRIPS.xlsx]Sheet1!R581C3</stp>
        <tr r="C581" s="1"/>
      </tp>
      <tp>
        <v>0</v>
        <stp/>
        <stp>##V3_BDPV12</stp>
        <stp>912834RP Govt</stp>
        <stp>CPN</stp>
        <stp>[STRIPS.xlsx]Sheet1!R416C3</stp>
        <tr r="C416" s="1"/>
      </tp>
      <tp>
        <v>0</v>
        <stp/>
        <stp>##V3_BDPV12</stp>
        <stp>912834MH Govt</stp>
        <stp>CPN</stp>
        <stp>[STRIPS.xlsx]Sheet1!R326C3</stp>
        <tr r="C326" s="1"/>
      </tp>
      <tp>
        <v>0</v>
        <stp/>
        <stp>##V3_BDPV12</stp>
        <stp>912833MM Govt</stp>
        <stp>CPN</stp>
        <stp>[STRIPS.xlsx]Sheet1!R371C3</stp>
        <tr r="C371" s="1"/>
      </tp>
      <tp t="s">
        <v>#N/A N/A</v>
        <stp/>
        <stp>##V3_BDPV12</stp>
        <stp>912833LA Govt</stp>
        <stp>YLD_YTM_BID</stp>
        <stp>[STRIPS.xlsx]Sheet1!R369C4</stp>
        <tr r="D369" s="1"/>
      </tp>
      <tp>
        <v>0</v>
        <stp/>
        <stp>##V3_BDPV12</stp>
        <stp>912834MS Govt</stp>
        <stp>CPN</stp>
        <stp>[STRIPS.xlsx]Sheet1!R406C3</stp>
        <tr r="C406" s="1"/>
      </tp>
      <tp>
        <v>0</v>
        <stp/>
        <stp>##V3_BDPV12</stp>
        <stp>912833LD Govt</stp>
        <stp>CPN</stp>
        <stp>[STRIPS.xlsx]Sheet1!R151C3</stp>
        <tr r="C151" s="1"/>
      </tp>
      <tp t="s">
        <v>#N/A N/A</v>
        <stp/>
        <stp>##V3_BDPV12</stp>
        <stp>912833MY Govt</stp>
        <stp>YLD_YTM_BID</stp>
        <stp>[STRIPS.xlsx]Sheet1!R569C4</stp>
        <tr r="D569" s="1"/>
      </tp>
      <tp t="s">
        <v>#N/A N/A</v>
        <stp/>
        <stp>##V3_BDPV12</stp>
        <stp>912833NB Govt</stp>
        <stp>YLD_YTM_BID</stp>
        <stp>[STRIPS.xlsx]Sheet1!R629C4</stp>
        <tr r="D629" s="1"/>
      </tp>
      <tp>
        <v>0</v>
        <stp/>
        <stp>##V3_BDPV12</stp>
        <stp>912833NE Govt</stp>
        <stp>CPN</stp>
        <stp>[STRIPS.xlsx]Sheet1!R571C3</stp>
        <tr r="C571" s="1"/>
      </tp>
      <tp>
        <v>0</v>
        <stp/>
        <stp>##V3_BDPV12</stp>
        <stp>912834NE Govt</stp>
        <stp>CPN</stp>
        <stp>[STRIPS.xlsx]Sheet1!R546C3</stp>
        <tr r="C546" s="1"/>
      </tp>
      <tp>
        <v>0</v>
        <stp/>
        <stp>##V3_BDPV12</stp>
        <stp>912834NA Govt</stp>
        <stp>CPN</stp>
        <stp>[STRIPS.xlsx]Sheet1!R476C3</stp>
        <tr r="C476" s="1"/>
      </tp>
      <tp>
        <v>0</v>
        <stp/>
        <stp>##V3_BDPV12</stp>
        <stp>912834HY Govt</stp>
        <stp>CPN</stp>
        <stp>[STRIPS.xlsx]Sheet1!R226C3</stp>
        <tr r="C226" s="1"/>
      </tp>
      <tp>
        <v>0</v>
        <stp/>
        <stp>##V3_BDPV12</stp>
        <stp>912834HX Govt</stp>
        <stp>CPN</stp>
        <stp>[STRIPS.xlsx]Sheet1!R356C3</stp>
        <tr r="C356" s="1"/>
      </tp>
      <tp>
        <v>0</v>
        <stp/>
        <stp>##V3_BDPV12</stp>
        <stp>912834HS Govt</stp>
        <stp>CPN</stp>
        <stp>[STRIPS.xlsx]Sheet1!R396C3</stp>
        <tr r="C396" s="1"/>
      </tp>
      <tp>
        <v>0</v>
        <stp/>
        <stp>##V3_BDPV12</stp>
        <stp>912834HW Govt</stp>
        <stp>CPN</stp>
        <stp>[STRIPS.xlsx]Sheet1!R536C3</stp>
        <tr r="C536" s="1"/>
      </tp>
      <tp>
        <v>0</v>
        <stp/>
        <stp>##V3_BDPV12</stp>
        <stp>912833KK Govt</stp>
        <stp>CPN</stp>
        <stp>[STRIPS.xlsx]Sheet1!R301C3</stp>
        <tr r="C301" s="1"/>
      </tp>
      <tp>
        <v>0</v>
        <stp/>
        <stp>##V3_BDPV12</stp>
        <stp>912833KG Govt</stp>
        <stp>CPN</stp>
        <stp>[STRIPS.xlsx]Sheet1!R671C3</stp>
        <tr r="C671" s="1"/>
      </tp>
      <tp>
        <v>0</v>
        <stp/>
        <stp>##V3_BDPV12</stp>
        <stp>912834KE Govt</stp>
        <stp>CPN</stp>
        <stp>[STRIPS.xlsx]Sheet1!R316C3</stp>
        <tr r="C316" s="1"/>
      </tp>
      <tp t="s">
        <v>#N/A N/A</v>
        <stp/>
        <stp>##V3_BDPV12</stp>
        <stp>912833JX Govt</stp>
        <stp>YLD_YTM_BID</stp>
        <stp>[STRIPS.xlsx]Sheet1!R669C4</stp>
        <tr r="D669" s="1"/>
      </tp>
      <tp>
        <v>0</v>
        <stp/>
        <stp>##V3_BDPV12</stp>
        <stp>912833KT Govt</stp>
        <stp>CPN</stp>
        <stp>[STRIPS.xlsx]Sheet1!R161C3</stp>
        <tr r="C161" s="1"/>
      </tp>
      <tp>
        <v>0</v>
        <stp/>
        <stp>##V3_BDPV12</stp>
        <stp>912834JK Govt</stp>
        <stp>CPN</stp>
        <stp>[STRIPS.xlsx]Sheet1!R466C3</stp>
        <tr r="C466" s="1"/>
      </tp>
      <tp>
        <v>0</v>
        <stp/>
        <stp>##V3_BDPV12</stp>
        <stp>912834JE Govt</stp>
        <stp>CPN</stp>
        <stp>[STRIPS.xlsx]Sheet1!R646C3</stp>
        <tr r="C646" s="1"/>
      </tp>
      <tp>
        <v>0</v>
        <stp/>
        <stp>##V3_BDPV12</stp>
        <stp>912834JZ Govt</stp>
        <stp>CPN</stp>
        <stp>[STRIPS.xlsx]Sheet1!R266C3</stp>
        <tr r="C266" s="1"/>
      </tp>
      <tp>
        <v>0</v>
        <stp/>
        <stp>##V3_BDPV12</stp>
        <stp>912833JZ Govt</stp>
        <stp>CPN</stp>
        <stp>[STRIPS.xlsx]Sheet1!R741C3</stp>
        <tr r="C741" s="1"/>
      </tp>
      <tp t="s">
        <v>#N/A N/A</v>
        <stp/>
        <stp>##V3_BDPV12</stp>
        <stp>912833DD Govt</stp>
        <stp>YLD_YTM_BID</stp>
        <stp>[STRIPS.xlsx]Sheet1!R659C4</stp>
        <tr r="D659" s="1"/>
      </tp>
      <tp>
        <v>0</v>
        <stp/>
        <stp>##V3_BDPV12</stp>
        <stp>912834ER Govt</stp>
        <stp>CPN</stp>
        <stp>[STRIPS.xlsx]Sheet1!R596C3</stp>
        <tr r="C596" s="1"/>
      </tp>
      <tp t="s">
        <v>#N/A N/A</v>
        <stp/>
        <stp>##V3_BDPV12</stp>
        <stp>912833FM Govt</stp>
        <stp>YLD_YTM_BID</stp>
        <stp>[STRIPS.xlsx]Sheet1!R619C4</stp>
        <tr r="D619" s="1"/>
      </tp>
      <tp>
        <v>0</v>
        <stp/>
        <stp>##V3_BDPV12</stp>
        <stp>912833GE Govt</stp>
        <stp>CPN</stp>
        <stp>[STRIPS.xlsx]Sheet1!R441C3</stp>
        <tr r="C441" s="1"/>
      </tp>
      <tp t="s">
        <v>#N/A N/A</v>
        <stp/>
        <stp>##V3_BDPV12</stp>
        <stp>912833FU Govt</stp>
        <stp>YLD_YTM_BID</stp>
        <stp>[STRIPS.xlsx]Sheet1!R509C4</stp>
        <tr r="D509" s="1"/>
      </tp>
      <tp t="s">
        <v>#N/A N/A</v>
        <stp/>
        <stp>##V3_BDPV12</stp>
        <stp>912833FW Govt</stp>
        <stp>YLD_YTM_BID</stp>
        <stp>[STRIPS.xlsx]Sheet1!R739C4</stp>
        <tr r="D739" s="1"/>
      </tp>
      <tp>
        <v>0</v>
        <stp/>
        <stp>##V3_BDPV12</stp>
        <stp>912833FG Govt</stp>
        <stp>CPN</stp>
        <stp>[STRIPS.xlsx]Sheet1!R661C3</stp>
        <tr r="C661" s="1"/>
      </tp>
      <tp t="s">
        <v>#N/A N/A</v>
        <stp/>
        <stp>##V3_BDPV12</stp>
        <stp>912833GA Govt</stp>
        <stp>YLD_YTM_BID</stp>
        <stp>[STRIPS.xlsx]Sheet1!R439C4</stp>
        <tr r="D439" s="1"/>
      </tp>
      <tp>
        <v>0</v>
        <stp/>
        <stp>##V3_BDPV12</stp>
        <stp>912833FZ Govt</stp>
        <stp>CPN</stp>
        <stp>[STRIPS.xlsx]Sheet1!R511C3</stp>
        <tr r="C511" s="1"/>
      </tp>
      <tp>
        <v>0</v>
        <stp/>
        <stp>##V3_BDPV12</stp>
        <stp>912833FT Govt</stp>
        <stp>CPN</stp>
        <stp>[STRIPS.xlsx]Sheet1!R621C3</stp>
        <tr r="C621" s="1"/>
      </tp>
      <tp>
        <v>0</v>
        <stp/>
        <stp>##V3_BDPV12</stp>
        <stp>912834AB Govt</stp>
        <stp>CPN</stp>
        <stp>[STRIPS.xlsx]Sheet1!R256C3</stp>
        <tr r="C256" s="1"/>
      </tp>
      <tp>
        <v>0</v>
        <stp/>
        <stp>##V3_BDPV12</stp>
        <stp>912834AF Govt</stp>
        <stp>CPN</stp>
        <stp>[STRIPS.xlsx]Sheet1!R456C3</stp>
        <tr r="C456" s="1"/>
      </tp>
      <tp>
        <v>0</v>
        <stp/>
        <stp>##V3_BDPV12</stp>
        <stp>912834AP Govt</stp>
        <stp>CPN</stp>
        <stp>[STRIPS.xlsx]Sheet1!R386C3</stp>
        <tr r="C386" s="1"/>
      </tp>
      <tp>
        <v>0</v>
        <stp/>
        <stp>##V3_BDPV12</stp>
        <stp>912833A3 Govt</stp>
        <stp>CPN</stp>
        <stp>[STRIPS.xlsx]Sheet1!R731C3</stp>
        <tr r="C731" s="1"/>
      </tp>
      <tp t="s">
        <v>#N/A N/A</v>
        <stp/>
        <stp>##V3_BDPV12</stp>
        <stp>912833A9 Govt</stp>
        <stp>YLD_YTM_BID</stp>
        <stp>[STRIPS.xlsx]Sheet1!R609C4</stp>
        <tr r="D609" s="1"/>
      </tp>
      <tp>
        <v>0</v>
        <stp/>
        <stp>##V3_BDPV12</stp>
        <stp>912833C2 Govt</stp>
        <stp>CPN</stp>
        <stp>[STRIPS.xlsx]Sheet1!R611C3</stp>
        <tr r="C611" s="1"/>
      </tp>
      <tp>
        <v>0</v>
        <stp/>
        <stp>##V3_BDPV12</stp>
        <stp>912833BX Govt</stp>
        <stp>CPN</stp>
        <stp>[STRIPS.xlsx]Sheet1!R361C3</stp>
        <tr r="C361" s="1"/>
      </tp>
      <tp>
        <v>0</v>
        <stp/>
        <stp>##V3_BDPV12</stp>
        <stp>912833BY Govt</stp>
        <stp>CPN</stp>
        <stp>[STRIPS.xlsx]Sheet1!R501C3</stp>
        <tr r="C501" s="1"/>
      </tp>
      <tp t="s">
        <v>#N/A N/A</v>
        <stp/>
        <stp>##V3_BDPV12</stp>
        <stp>912833CU Govt</stp>
        <stp>YLD_YTM_BID</stp>
        <stp>[STRIPS.xlsx]Sheet1!R299C4</stp>
        <tr r="D299" s="1"/>
      </tp>
      <tp>
        <v>0</v>
        <stp/>
        <stp>##V3_BDPV12</stp>
        <stp>912833B5 Govt</stp>
        <stp>CPN</stp>
        <stp>[STRIPS.xlsx]Sheet1!R331C3</stp>
        <tr r="C331" s="1"/>
      </tp>
      <tp>
        <v>0</v>
        <stp/>
        <stp>##V3_BDPV12</stp>
        <stp>912833B2 Govt</stp>
        <stp>CPN</stp>
        <stp>[STRIPS.xlsx]Sheet1!R561C3</stp>
        <tr r="C561" s="1"/>
      </tp>
      <tp t="s">
        <v>12/31/2012</v>
        <stp/>
        <stp>##V3_BDPV12</stp>
        <stp>912833Y9 Govt</stp>
        <stp>MATURITY</stp>
        <stp>[STRIPS.xlsx]Sheet1!R450C5</stp>
        <tr r="E450" s="1"/>
      </tp>
      <tp t="s">
        <v>4/30/2001</v>
        <stp/>
        <stp>##V3_BDPV12</stp>
        <stp>912833PX Govt</stp>
        <stp>MATURITY</stp>
        <stp>[STRIPS.xlsx]Sheet1!R339C5</stp>
        <tr r="E339" s="1"/>
      </tp>
      <tp t="s">
        <v>8/15/2046</v>
        <stp/>
        <stp>##V3_BDPV12</stp>
        <stp>912834QP Govt</stp>
        <stp>MATURITY</stp>
        <stp>[STRIPS.xlsx]Sheet1!R108C5</stp>
        <tr r="E108" s="1"/>
      </tp>
      <tp t="s">
        <v>10/15/2018</v>
        <stp/>
        <stp>##V3_BDPV12</stp>
        <stp>912834PR Govt</stp>
        <stp>MATURITY</stp>
        <stp>[STRIPS.xlsx]Sheet1!R549C5</stp>
        <tr r="E549" s="1"/>
      </tp>
      <tp t="s">
        <v>3/15/2005</v>
        <stp/>
        <stp>##V3_BDPV12</stp>
        <stp>912833ZR Govt</stp>
        <stp>MATURITY</stp>
        <stp>[STRIPS.xlsx]Sheet1!R383C5</stp>
        <tr r="E383" s="1"/>
      </tp>
      <tp t="s">
        <v>10/31/2022</v>
        <stp/>
        <stp>##V3_BDPV12</stp>
        <stp>912834PS Govt</stp>
        <stp>MATURITY</stp>
        <stp>[STRIPS.xlsx]Sheet1!R209C5</stp>
        <tr r="E209" s="1"/>
      </tp>
      <tp t="s">
        <v>6/30/2001</v>
        <stp/>
        <stp>##V3_BDPV12</stp>
        <stp>912833QU Govt</stp>
        <stp>MATURITY</stp>
        <stp>[STRIPS.xlsx]Sheet1!R688C5</stp>
        <tr r="E688" s="1"/>
      </tp>
      <tp t="s">
        <v>12/15/2018</v>
        <stp/>
        <stp>##V3_BDPV12</stp>
        <stp>912834PV Govt</stp>
        <stp>MATURITY</stp>
        <stp>[STRIPS.xlsx]Sheet1!R479C5</stp>
        <tr r="E479" s="1"/>
      </tp>
      <tp t="s">
        <v>6/30/2004</v>
        <stp/>
        <stp>##V3_BDPV12</stp>
        <stp>912833YV Govt</stp>
        <stp>MATURITY</stp>
        <stp>[STRIPS.xlsx]Sheet1!R250C5</stp>
        <tr r="E250" s="1"/>
      </tp>
      <tp t="s">
        <v>6/30/2002</v>
        <stp/>
        <stp>##V3_BDPV12</stp>
        <stp>912833QW Govt</stp>
        <stp>MATURITY</stp>
        <stp>[STRIPS.xlsx]Sheet1!R378C5</stp>
        <tr r="E378" s="1"/>
      </tp>
      <tp t="s">
        <v>10/31/2000</v>
        <stp/>
        <stp>##V3_BDPV12</stp>
        <stp>912833PW Govt</stp>
        <stp>MATURITY</stp>
        <stp>[STRIPS.xlsx]Sheet1!R239C5</stp>
        <tr r="E239" s="1"/>
      </tp>
      <tp t="s">
        <v>UNITED STATES</v>
        <stp/>
        <stp>##V3_BDPV12</stp>
        <stp>912834VJ Govt</stp>
        <stp>COUNTRY_FULL_NAME</stp>
        <stp>[STRIPS.xlsx]Sheet1!R774C8</stp>
        <tr r="H774" s="1"/>
      </tp>
      <tp t="s">
        <v>UNITED STATES</v>
        <stp/>
        <stp>##V3_BDPV12</stp>
        <stp>912834WK Govt</stp>
        <stp>COUNTRY_FULL_NAME</stp>
        <stp>[STRIPS.xlsx]Sheet1!R775C8</stp>
        <tr r="H775" s="1"/>
      </tp>
      <tp t="s">
        <v>UNITED STATES</v>
        <stp/>
        <stp>##V3_BDPV12</stp>
        <stp>9128336F Govt</stp>
        <stp>COUNTRY_FULL_NAME</stp>
        <stp>[STRIPS.xlsx]Sheet1!R288C8</stp>
        <tr r="H288" s="1"/>
      </tp>
      <tp t="s">
        <v>UNITED STATES</v>
        <stp/>
        <stp>##V3_BDPV12</stp>
        <stp>912833KL Govt</stp>
        <stp>COUNTRY_FULL_NAME</stp>
        <stp>[STRIPS.xlsx]Sheet1!R302C8</stp>
        <tr r="H302" s="1"/>
      </tp>
      <tp t="s">
        <v>UNITED STATES</v>
        <stp/>
        <stp>##V3_BDPV12</stp>
        <stp>912833KM Govt</stp>
        <stp>COUNTRY_FULL_NAME</stp>
        <stp>[STRIPS.xlsx]Sheet1!R303C8</stp>
        <tr r="H303" s="1"/>
      </tp>
      <tp t="s">
        <v>UNITED STATES</v>
        <stp/>
        <stp>##V3_BDPV12</stp>
        <stp>912833KF Govt</stp>
        <stp>COUNTRY_FULL_NAME</stp>
        <stp>[STRIPS.xlsx]Sheet1!R368C8</stp>
        <tr r="H368" s="1"/>
      </tp>
      <tp t="s">
        <v>UNITED STATES</v>
        <stp/>
        <stp>##V3_BDPV12</stp>
        <stp>912833MH Govt</stp>
        <stp>COUNTRY_FULL_NAME</stp>
        <stp>[STRIPS.xlsx]Sheet1!R306C8</stp>
        <tr r="H306" s="1"/>
      </tp>
      <tp t="s">
        <v>UNITED STATES</v>
        <stp/>
        <stp>##V3_BDPV12</stp>
        <stp>912833NJ Govt</stp>
        <stp>COUNTRY_FULL_NAME</stp>
        <stp>[STRIPS.xlsx]Sheet1!R334C8</stp>
        <tr r="H334" s="1"/>
      </tp>
      <tp t="s">
        <v>UNITED STATES</v>
        <stp/>
        <stp>##V3_BDPV12</stp>
        <stp>912834MK Govt</stp>
        <stp>COUNTRY_FULL_NAME</stp>
        <stp>[STRIPS.xlsx]Sheet1!R405C8</stp>
        <tr r="H405" s="1"/>
      </tp>
      <tp t="s">
        <v>UNITED STATES</v>
        <stp/>
        <stp>##V3_BDPV12</stp>
        <stp>912834EL Govt</stp>
        <stp>COUNTRY_FULL_NAME</stp>
        <stp>[STRIPS.xlsx]Sheet1!R462C8</stp>
        <tr r="H462" s="1"/>
      </tp>
      <tp t="s">
        <v>UNITED STATES</v>
        <stp/>
        <stp>##V3_BDPV12</stp>
        <stp>912834EM Govt</stp>
        <stp>COUNTRY_FULL_NAME</stp>
        <stp>[STRIPS.xlsx]Sheet1!R463C8</stp>
        <tr r="H463" s="1"/>
      </tp>
      <tp t="s">
        <v>UNITED STATES</v>
        <stp/>
        <stp>##V3_BDPV12</stp>
        <stp>912833PH Govt</stp>
        <stp>COUNTRY_FULL_NAME</stp>
        <stp>[STRIPS.xlsx]Sheet1!R336C8</stp>
        <tr r="H336" s="1"/>
      </tp>
      <tp t="s">
        <v>UNITED STATES</v>
        <stp/>
        <stp>##V3_BDPV12</stp>
        <stp>912834QM Govt</stp>
        <stp>COUNTRY_FULL_NAME</stp>
        <stp>[STRIPS.xlsx]Sheet1!R413C8</stp>
        <tr r="H413" s="1"/>
      </tp>
      <tp t="s">
        <v>UNITED STATES</v>
        <stp/>
        <stp>##V3_BDPV12</stp>
        <stp>912834TK Govt</stp>
        <stp>COUNTRY_FULL_NAME</stp>
        <stp>[STRIPS.xlsx]Sheet1!R425C8</stp>
        <tr r="H425" s="1"/>
      </tp>
      <tp t="s">
        <v>UNITED STATES</v>
        <stp/>
        <stp>##V3_BDPV12</stp>
        <stp>912833MK Govt</stp>
        <stp>COUNTRY_FULL_NAME</stp>
        <stp>[STRIPS.xlsx]Sheet1!R445C8</stp>
        <tr r="H445" s="1"/>
      </tp>
      <tp t="s">
        <v>UNITED STATES</v>
        <stp/>
        <stp>##V3_BDPV12</stp>
        <stp>912834MH Govt</stp>
        <stp>COUNTRY_FULL_NAME</stp>
        <stp>[STRIPS.xlsx]Sheet1!R326C8</stp>
        <tr r="H326" s="1"/>
      </tp>
      <tp t="s">
        <v>UNITED STATES</v>
        <stp/>
        <stp>##V3_BDPV12</stp>
        <stp>912834BM Govt</stp>
        <stp>COUNTRY_FULL_NAME</stp>
        <stp>[STRIPS.xlsx]Sheet1!R353C8</stp>
        <tr r="H353" s="1"/>
      </tp>
      <tp t="s">
        <v>UNITED STATES</v>
        <stp/>
        <stp>##V3_BDPV12</stp>
        <stp>912834EN Govt</stp>
        <stp>COUNTRY_FULL_NAME</stp>
        <stp>[STRIPS.xlsx]Sheet1!R310C8</stp>
        <tr r="H310" s="1"/>
      </tp>
      <tp t="s">
        <v>UNITED STATES</v>
        <stp/>
        <stp>##V3_BDPV12</stp>
        <stp>9128333L Govt</stp>
        <stp>COUNTRY_FULL_NAME</stp>
        <stp>[STRIPS.xlsx]Sheet1!R552C8</stp>
        <tr r="H552" s="1"/>
      </tp>
      <tp t="s">
        <v>UNITED STATES</v>
        <stp/>
        <stp>##V3_BDPV12</stp>
        <stp>912833DH Govt</stp>
        <stp>COUNTRY_FULL_NAME</stp>
        <stp>[STRIPS.xlsx]Sheet1!R506C8</stp>
        <tr r="H506" s="1"/>
      </tp>
      <tp t="s">
        <v>UNITED STATES</v>
        <stp/>
        <stp>##V3_BDPV12</stp>
        <stp>912834BL Govt</stp>
        <stp>COUNTRY_FULL_NAME</stp>
        <stp>[STRIPS.xlsx]Sheet1!R262C8</stp>
        <tr r="H262" s="1"/>
      </tp>
      <tp t="s">
        <v>UNITED STATES</v>
        <stp/>
        <stp>##V3_BDPV12</stp>
        <stp>912833FF Govt</stp>
        <stp>COUNTRY_FULL_NAME</stp>
        <stp>[STRIPS.xlsx]Sheet1!R618C8</stp>
        <tr r="H618" s="1"/>
      </tp>
      <tp t="s">
        <v>UNITED STATES</v>
        <stp/>
        <stp>##V3_BDPV12</stp>
        <stp>912834VH Govt</stp>
        <stp>COUNTRY_FULL_NAME</stp>
        <stp>[STRIPS.xlsx]Sheet1!R146C8</stp>
        <tr r="H146" s="1"/>
      </tp>
      <tp t="s">
        <v>UNITED STATES</v>
        <stp/>
        <stp>##V3_BDPV12</stp>
        <stp>912833PF Govt</stp>
        <stp>COUNTRY_FULL_NAME</stp>
        <stp>[STRIPS.xlsx]Sheet1!R678C8</stp>
        <tr r="H678" s="1"/>
      </tp>
      <tp t="s">
        <v>UNITED STATES</v>
        <stp/>
        <stp>##V3_BDPV12</stp>
        <stp>912833PG Govt</stp>
        <stp>COUNTRY_FULL_NAME</stp>
        <stp>[STRIPS.xlsx]Sheet1!R679C8</stp>
        <tr r="H679" s="1"/>
      </tp>
      <tp t="s">
        <v>UNITED STATES</v>
        <stp/>
        <stp>##V3_BDPV12</stp>
        <stp>912834QL Govt</stp>
        <stp>COUNTRY_FULL_NAME</stp>
        <stp>[STRIPS.xlsx]Sheet1!R142C8</stp>
        <tr r="H142" s="1"/>
      </tp>
      <tp t="s">
        <v>UNITED STATES</v>
        <stp/>
        <stp>##V3_BDPV12</stp>
        <stp>912834PJ Govt</stp>
        <stp>COUNTRY_FULL_NAME</stp>
        <stp>[STRIPS.xlsx]Sheet1!R144C8</stp>
        <tr r="H144" s="1"/>
      </tp>
      <tp t="s">
        <v>UNITED STATES</v>
        <stp/>
        <stp>##V3_BDPV12</stp>
        <stp>9128334G Govt</stp>
        <stp>COUNTRY_FULL_NAME</stp>
        <stp>[STRIPS.xlsx]Sheet1!R709C8</stp>
        <tr r="H709" s="1"/>
      </tp>
      <tp t="s">
        <v>7/15/2018</v>
        <stp/>
        <stp>##V3_BDPV12</stp>
        <stp>912834PK Govt</stp>
        <stp>MATURITY</stp>
        <stp>[STRIPS.xlsx]Sheet1!R329C5</stp>
        <tr r="E329" s="1"/>
      </tp>
      <tp t="s">
        <v>6/15/2019</v>
        <stp/>
        <stp>##V3_BDPV12</stp>
        <stp>912834QK Govt</stp>
        <stp>MATURITY</stp>
        <stp>[STRIPS.xlsx]Sheet1!R278C5</stp>
        <tr r="E278" s="1"/>
      </tp>
      <tp t="s">
        <v>11/15/2044</v>
        <stp/>
        <stp>##V3_BDPV12</stp>
        <stp>912834PB Govt</stp>
        <stp>MATURITY</stp>
        <stp>[STRIPS.xlsx]Sheet1!R109C5</stp>
        <tr r="E109" s="1"/>
      </tp>
      <tp t="s">
        <v>9/30/1998</v>
        <stp/>
        <stp>##V3_BDPV12</stp>
        <stp>912833PG Govt</stp>
        <stp>MATURITY</stp>
        <stp>[STRIPS.xlsx]Sheet1!R679C5</stp>
        <tr r="E679" s="1"/>
      </tp>
      <tp t="s">
        <v>4/30/2005</v>
        <stp/>
        <stp>##V3_BDPV12</stp>
        <stp>912833ZG Govt</stp>
        <stp>MATURITY</stp>
        <stp>[STRIPS.xlsx]Sheet1!R253C5</stp>
        <tr r="E253" s="1"/>
      </tp>
      <tp t="s">
        <v>#N/A N/A</v>
        <stp/>
        <stp>##V3_BDPV12</stp>
        <stp>9128334H Govt</stp>
        <stp>YLD_YTM_BID</stp>
        <stp>[STRIPS.xlsx]Sheet1!R489C4</stp>
        <tr r="D489" s="1"/>
      </tp>
      <tp>
        <v>0</v>
        <stp/>
        <stp>##V3_BDPV12</stp>
        <stp>9128335F Govt</stp>
        <stp>CPN</stp>
        <stp>[STRIPS.xlsx]Sheet1!R721C3</stp>
        <tr r="C721" s="1"/>
      </tp>
      <tp t="s">
        <v>#N/A N/A</v>
        <stp/>
        <stp>##V3_BDPV12</stp>
        <stp>9128334G Govt</stp>
        <stp>YLD_YTM_BID</stp>
        <stp>[STRIPS.xlsx]Sheet1!R709C4</stp>
        <tr r="D709" s="1"/>
      </tp>
      <tp>
        <v>0</v>
        <stp/>
        <stp>##V3_BDPV12</stp>
        <stp>9128335Q Govt</stp>
        <stp>CPN</stp>
        <stp>[STRIPS.xlsx]Sheet1!R711C3</stp>
        <tr r="C711" s="1"/>
      </tp>
      <tp>
        <v>0</v>
        <stp/>
        <stp>##V3_BDPV12</stp>
        <stp>9128334M Govt</stp>
        <stp>CPN</stp>
        <stp>[STRIPS.xlsx]Sheet1!R491C3</stp>
        <tr r="C491" s="1"/>
      </tp>
      <tp t="s">
        <v>#N/A N/A</v>
        <stp/>
        <stp>##V3_BDPV12</stp>
        <stp>9128335S Govt</stp>
        <stp>YLD_YTM_BID</stp>
        <stp>[STRIPS.xlsx]Sheet1!R649C4</stp>
        <tr r="D649" s="1"/>
      </tp>
      <tp>
        <v>0</v>
        <stp/>
        <stp>##V3_BDPV12</stp>
        <stp>9128337L Govt</stp>
        <stp>CPN</stp>
        <stp>[STRIPS.xlsx]Sheet1!R651C3</stp>
        <tr r="C651" s="1"/>
      </tp>
      <tp>
        <v>0</v>
        <stp/>
        <stp>##V3_BDPV12</stp>
        <stp>9128337H Govt</stp>
        <stp>CPN</stp>
        <stp>[STRIPS.xlsx]Sheet1!R431C3</stp>
        <tr r="C431" s="1"/>
      </tp>
      <tp t="s">
        <v>#N/A N/A</v>
        <stp/>
        <stp>##V3_BDPV12</stp>
        <stp>9128336J Govt</stp>
        <stp>YLD_YTM_BID</stp>
        <stp>[STRIPS.xlsx]Sheet1!R289C4</stp>
        <tr r="D289" s="1"/>
      </tp>
      <tp t="s">
        <v>#N/A N/A</v>
        <stp/>
        <stp>##V3_BDPV12</stp>
        <stp>9128336D Govt</stp>
        <stp>YLD_YTM_BID</stp>
        <stp>[STRIPS.xlsx]Sheet1!R749C4</stp>
        <tr r="D749" s="1"/>
      </tp>
      <tp>
        <v>0</v>
        <stp/>
        <stp>##V3_BDPV12</stp>
        <stp>9128337D Govt</stp>
        <stp>CPN</stp>
        <stp>[STRIPS.xlsx]Sheet1!R291C3</stp>
        <tr r="C291" s="1"/>
      </tp>
      <tp t="s">
        <v>#N/A N/A</v>
        <stp/>
        <stp>##V3_BDPV12</stp>
        <stp>9128336Y Govt</stp>
        <stp>YLD_YTM_BID</stp>
        <stp>[STRIPS.xlsx]Sheet1!R429C4</stp>
        <tr r="D429" s="1"/>
      </tp>
      <tp t="s">
        <v>#N/A N/A</v>
        <stp/>
        <stp>##V3_BDPV12</stp>
        <stp>9128336P Govt</stp>
        <stp>YLD_YTM_BID</stp>
        <stp>[STRIPS.xlsx]Sheet1!R729C4</stp>
        <tr r="D729" s="1"/>
      </tp>
      <tp>
        <v>0</v>
        <stp/>
        <stp>##V3_BDPV12</stp>
        <stp>9128337T Govt</stp>
        <stp>CPN</stp>
        <stp>[STRIPS.xlsx]Sheet1!R121C3</stp>
        <tr r="C121" s="1"/>
      </tp>
      <tp t="s">
        <v>#N/A N/A</v>
        <stp/>
        <stp>##V3_BDPV12</stp>
        <stp>9128337M Govt</stp>
        <stp>YLD_YTM_BID</stp>
        <stp>[STRIPS.xlsx]Sheet1!R559C4</stp>
        <tr r="D559" s="1"/>
      </tp>
      <tp t="s">
        <v>#N/A N/A</v>
        <stp/>
        <stp>##V3_BDPV12</stp>
        <stp>9128337A Govt</stp>
        <stp>YLD_YTM_BID</stp>
        <stp>[STRIPS.xlsx]Sheet1!R499C4</stp>
        <tr r="D499" s="1"/>
      </tp>
      <tp>
        <v>0</v>
        <stp/>
        <stp>##V3_BDPV12</stp>
        <stp>9128336S Govt</stp>
        <stp>CPN</stp>
        <stp>[STRIPS.xlsx]Sheet1!R751C3</stp>
        <tr r="C751" s="1"/>
      </tp>
      <tp>
        <v>0</v>
        <stp/>
        <stp>##V3_BDPV12</stp>
        <stp>9128333X Govt</stp>
        <stp>CPN</stp>
        <stp>[STRIPS.xlsx]Sheet1!R601C3</stp>
        <tr r="C601" s="1"/>
      </tp>
      <tp t="s">
        <v>#N/A N/A</v>
        <stp/>
        <stp>##V3_BDPV12</stp>
        <stp>9128333M Govt</stp>
        <stp>YLD_YTM_BID</stp>
        <stp>[STRIPS.xlsx]Sheet1!R599C4</stp>
        <tr r="D599" s="1"/>
      </tp>
      <tp>
        <v>0</v>
        <stp/>
        <stp>##V3_BDPV12</stp>
        <stp>9128332C Govt</stp>
        <stp>CPN</stp>
        <stp>[STRIPS.xlsx]Sheet1!R701C3</stp>
        <tr r="C701" s="1"/>
      </tp>
      <tp t="s">
        <v>#N/A N/A</v>
        <stp/>
        <stp>##V3_BDPV12</stp>
        <stp>9128333Q Govt</stp>
        <stp>YLD_YTM_BID</stp>
        <stp>[STRIPS.xlsx]Sheet1!R719C4</stp>
        <tr r="D719" s="1"/>
      </tp>
      <tp t="s">
        <v>S</v>
        <stp/>
        <stp>##V3_BDPV12</stp>
        <stp>912833LZ Govt</stp>
        <stp>TICKER</stp>
        <stp>[STRIPS.xlsx]Sheet1!R9C2</stp>
        <tr r="B9" s="1"/>
      </tp>
      <tp t="s">
        <v>#N/A Field Not Applicable</v>
        <stp/>
        <stp>##V3_BDPV12</stp>
        <stp>912833C7 Govt</stp>
        <stp>COUPON_FREQUENCY_DESCRIPTION</stp>
        <stp>[STRIPS.xlsx]Sheet1!R294C10</stp>
        <tr r="J294" s="1"/>
      </tp>
      <tp>
        <v>0</v>
        <stp/>
        <stp>##V3_BDPV12</stp>
        <stp>912833YM Govt</stp>
        <stp>CPN</stp>
        <stp>[STRIPS.xlsx]Sheet1!R452C3</stp>
        <tr r="C452" s="1"/>
      </tp>
      <tp t="s">
        <v>#N/A Field Not Applicable</v>
        <stp/>
        <stp>##V3_BDPV12</stp>
        <stp>912833Z7 Govt</stp>
        <stp>COUPON_FREQUENCY_DESCRIPTION</stp>
        <stp>[STRIPS.xlsx]Sheet1!R696C10</stp>
        <tr r="J696" s="1"/>
      </tp>
      <tp>
        <v>0</v>
        <stp/>
        <stp>##V3_BDPV12</stp>
        <stp>912833Y5 Govt</stp>
        <stp>CPN</stp>
        <stp>[STRIPS.xlsx]Sheet1!R582C3</stp>
        <tr r="C582" s="1"/>
      </tp>
      <tp t="s">
        <v>#N/A Field Not Applicable</v>
        <stp/>
        <stp>##V3_BDPV12</stp>
        <stp>912833A7 Govt</stp>
        <stp>COUPON_FREQUENCY_DESCRIPTION</stp>
        <stp>[STRIPS.xlsx]Sheet1!R653C10</stp>
        <tr r="J653" s="1"/>
      </tp>
      <tp t="s">
        <v>#N/A Field Not Applicable</v>
        <stp/>
        <stp>##V3_BDPV12</stp>
        <stp>912833B7 Govt</stp>
        <stp>COUPON_FREQUENCY_DESCRIPTION</stp>
        <stp>[STRIPS.xlsx]Sheet1!R433C10</stp>
        <tr r="J433" s="1"/>
      </tp>
      <tp>
        <v>0</v>
        <stp/>
        <stp>##V3_BDPV12</stp>
        <stp>912833ZE Govt</stp>
        <stp>CPN</stp>
        <stp>[STRIPS.xlsx]Sheet1!R252C3</stp>
        <tr r="C252" s="1"/>
      </tp>
      <tp>
        <v>0</v>
        <stp/>
        <stp>##V3_BDPV12</stp>
        <stp>912833ZP Govt</stp>
        <stp>CPN</stp>
        <stp>[STRIPS.xlsx]Sheet1!R192C3</stp>
        <tr r="C192" s="1"/>
      </tp>
      <tp t="s">
        <v>#N/A Field Not Applicable</v>
        <stp/>
        <stp>##V3_BDPV12</stp>
        <stp>912833Y7 Govt</stp>
        <stp>COUPON_FREQUENCY_DESCRIPTION</stp>
        <stp>[STRIPS.xlsx]Sheet1!R583C10</stp>
        <tr r="J583" s="1"/>
      </tp>
      <tp>
        <v>0</v>
        <stp/>
        <stp>##V3_BDPV12</stp>
        <stp>912833Z4 Govt</stp>
        <stp>CPN</stp>
        <stp>[STRIPS.xlsx]Sheet1!R382C3</stp>
        <tr r="C382" s="1"/>
      </tp>
      <tp>
        <v>0</v>
        <stp/>
        <stp>##V3_BDPV12</stp>
        <stp>912834UH Govt</stp>
        <stp>CPN</stp>
        <stp>[STRIPS.xlsx]Sheet1!R105C3</stp>
        <tr r="C105" s="1"/>
      </tp>
      <tp>
        <v>0</v>
        <stp/>
        <stp>##V3_BDPV12</stp>
        <stp>912834UU Govt</stp>
        <stp>CPN</stp>
        <stp>[STRIPS.xlsx]Sheet1!R755C3</stp>
        <tr r="C755" s="1"/>
      </tp>
      <tp>
        <v>0</v>
        <stp/>
        <stp>##V3_BDPV12</stp>
        <stp>912834TL Govt</stp>
        <stp>CPN</stp>
        <stp>[STRIPS.xlsx]Sheet1!R195C3</stp>
        <tr r="C195" s="1"/>
      </tp>
      <tp>
        <v>0</v>
        <stp/>
        <stp>##V3_BDPV12</stp>
        <stp>912834TK Govt</stp>
        <stp>CPN</stp>
        <stp>[STRIPS.xlsx]Sheet1!R425C3</stp>
        <tr r="C425" s="1"/>
      </tp>
      <tp>
        <v>0</v>
        <stp/>
        <stp>##V3_BDPV12</stp>
        <stp>912834TE Govt</stp>
        <stp>CPN</stp>
        <stp>[STRIPS.xlsx]Sheet1!R155C3</stp>
        <tr r="C155" s="1"/>
      </tp>
      <tp>
        <v>0</v>
        <stp/>
        <stp>##V3_BDPV12</stp>
        <stp>912834TX Govt</stp>
        <stp>CPN</stp>
        <stp>[STRIPS.xlsx]Sheet1!R145C3</stp>
        <tr r="C145" s="1"/>
      </tp>
      <tp>
        <v>0</v>
        <stp/>
        <stp>##V3_BDPV12</stp>
        <stp>912834WH Govt</stp>
        <stp>CPN</stp>
        <stp>[STRIPS.xlsx]Sheet1!R215C3</stp>
        <tr r="C215" s="1"/>
      </tp>
      <tp>
        <v>0</v>
        <stp/>
        <stp>##V3_BDPV12</stp>
        <stp>912834WK Govt</stp>
        <stp>CPN</stp>
        <stp>[STRIPS.xlsx]Sheet1!R775C3</stp>
        <tr r="C775" s="1"/>
      </tp>
      <tp>
        <v>0</v>
        <stp/>
        <stp>##V3_BDPV12</stp>
        <stp>912834WW Govt</stp>
        <stp>CPN</stp>
        <stp>[STRIPS.xlsx]Sheet1!R185C3</stp>
        <tr r="C185" s="1"/>
      </tp>
      <tp>
        <v>0</v>
        <stp/>
        <stp>##V3_BDPV12</stp>
        <stp>912834VD Govt</stp>
        <stp>CPN</stp>
        <stp>[STRIPS.xlsx]Sheet1!R765C3</stp>
        <tr r="C765" s="1"/>
      </tp>
      <tp>
        <v>0</v>
        <stp/>
        <stp>##V3_BDPV12</stp>
        <stp>912834QS Govt</stp>
        <stp>CPN</stp>
        <stp>[STRIPS.xlsx]Sheet1!R135C3</stp>
        <tr r="C135" s="1"/>
      </tp>
      <tp>
        <v>0</v>
        <stp/>
        <stp>##V3_BDPV12</stp>
        <stp>912834QQ Govt</stp>
        <stp>CPN</stp>
        <stp>[STRIPS.xlsx]Sheet1!R205C3</stp>
        <tr r="C205" s="1"/>
      </tp>
      <tp>
        <v>0</v>
        <stp/>
        <stp>##V3_BDPV12</stp>
        <stp>912833QV Govt</stp>
        <stp>CPN</stp>
        <stp>[STRIPS.xlsx]Sheet1!R242C3</stp>
        <tr r="C242" s="1"/>
      </tp>
      <tp>
        <v>0</v>
        <stp/>
        <stp>##V3_BDPV12</stp>
        <stp>912833QS Govt</stp>
        <stp>CPN</stp>
        <stp>[STRIPS.xlsx]Sheet1!R632C3</stp>
        <tr r="C632" s="1"/>
      </tp>
      <tp>
        <v>0</v>
        <stp/>
        <stp>##V3_BDPV12</stp>
        <stp>912833PQ Govt</stp>
        <stp>CPN</stp>
        <stp>[STRIPS.xlsx]Sheet1!R682C3</stp>
        <tr r="C682" s="1"/>
      </tp>
      <tp>
        <v>0</v>
        <stp/>
        <stp>##V3_BDPV12</stp>
        <stp>912834RM Govt</stp>
        <stp>CPN</stp>
        <stp>[STRIPS.xlsx]Sheet1!R415C3</stp>
        <tr r="C415" s="1"/>
      </tp>
      <tp>
        <v>0</v>
        <stp/>
        <stp>##V3_BDPV12</stp>
        <stp>912833RA Govt</stp>
        <stp>CPN</stp>
        <stp>[STRIPS.xlsx]Sheet1!R342C3</stp>
        <tr r="C342" s="1"/>
      </tp>
      <tp>
        <v>0</v>
        <stp/>
        <stp>##V3_BDPV12</stp>
        <stp>912833RF Govt</stp>
        <stp>CPN</stp>
        <stp>[STRIPS.xlsx]Sheet1!R522C3</stp>
        <tr r="C522" s="1"/>
      </tp>
      <tp>
        <v>0</v>
        <stp/>
        <stp>##V3_BDPV12</stp>
        <stp>912833RQ Govt</stp>
        <stp>CPN</stp>
        <stp>[STRIPS.xlsx]Sheet1!R692C3</stp>
        <tr r="C692" s="1"/>
      </tp>
      <tp>
        <v>0</v>
        <stp/>
        <stp>##V3_BDPV12</stp>
        <stp>912834ML Govt</stp>
        <stp>CPN</stp>
        <stp>[STRIPS.xlsx]Sheet1!R475C3</stp>
        <tr r="C475" s="1"/>
      </tp>
      <tp>
        <v>0</v>
        <stp/>
        <stp>##V3_BDPV12</stp>
        <stp>912834MK Govt</stp>
        <stp>CPN</stp>
        <stp>[STRIPS.xlsx]Sheet1!R405C3</stp>
        <tr r="C405" s="1"/>
      </tp>
      <tp>
        <v>0</v>
        <stp/>
        <stp>##V3_BDPV12</stp>
        <stp>912833LB Govt</stp>
        <stp>CPN</stp>
        <stp>[STRIPS.xlsx]Sheet1!R332C3</stp>
        <tr r="C332" s="1"/>
      </tp>
      <tp>
        <v>0</v>
        <stp/>
        <stp>##V3_BDPV12</stp>
        <stp>912834LZ Govt</stp>
        <stp>CPN</stp>
        <stp>[STRIPS.xlsx]Sheet1!R325C3</stp>
        <tr r="C325" s="1"/>
      </tp>
      <tp>
        <v>0</v>
        <stp/>
        <stp>##V3_BDPV12</stp>
        <stp>912833NK Govt</stp>
        <stp>CPN</stp>
        <stp>[STRIPS.xlsx]Sheet1!R372C3</stp>
        <tr r="C372" s="1"/>
      </tp>
      <tp>
        <v>0</v>
        <stp/>
        <stp>##V3_BDPV12</stp>
        <stp>912834ND Govt</stp>
        <stp>CPN</stp>
        <stp>[STRIPS.xlsx]Sheet1!R545C3</stp>
        <tr r="C545" s="1"/>
      </tp>
      <tp>
        <v>0</v>
        <stp/>
        <stp>##V3_BDPV12</stp>
        <stp>912834NZ Govt</stp>
        <stp>CPN</stp>
        <stp>[STRIPS.xlsx]Sheet1!R275C3</stp>
        <tr r="C275" s="1"/>
      </tp>
      <tp>
        <v>0</v>
        <stp/>
        <stp>##V3_BDPV12</stp>
        <stp>912834NV Govt</stp>
        <stp>CPN</stp>
        <stp>[STRIPS.xlsx]Sheet1!R115C3</stp>
        <tr r="C115" s="1"/>
      </tp>
      <tp>
        <v>0</v>
        <stp/>
        <stp>##V3_BDPV12</stp>
        <stp>912833NR Govt</stp>
        <stp>CPN</stp>
        <stp>[STRIPS.xlsx]Sheet1!R572C3</stp>
        <tr r="C572" s="1"/>
      </tp>
      <tp>
        <v>0</v>
        <stp/>
        <stp>##V3_BDPV12</stp>
        <stp>912834HZ Govt</stp>
        <stp>CPN</stp>
        <stp>[STRIPS.xlsx]Sheet1!R265C3</stp>
        <tr r="C265" s="1"/>
      </tp>
      <tp>
        <v>0</v>
        <stp/>
        <stp>##V3_BDPV12</stp>
        <stp>912834HR Govt</stp>
        <stp>CPN</stp>
        <stp>[STRIPS.xlsx]Sheet1!R535C3</stp>
        <tr r="C535" s="1"/>
      </tp>
      <tp>
        <v>0</v>
        <stp/>
        <stp>##V3_BDPV12</stp>
        <stp>912834HU Govt</stp>
        <stp>CPN</stp>
        <stp>[STRIPS.xlsx]Sheet1!R225C3</stp>
        <tr r="C225" s="1"/>
      </tp>
      <tp>
        <v>0</v>
        <stp/>
        <stp>##V3_BDPV12</stp>
        <stp>912834HT Govt</stp>
        <stp>CPN</stp>
        <stp>[STRIPS.xlsx]Sheet1!R355C3</stp>
        <tr r="C355" s="1"/>
      </tp>
      <tp>
        <v>0</v>
        <stp/>
        <stp>##V3_BDPV12</stp>
        <stp>912833KN Govt</stp>
        <stp>CPN</stp>
        <stp>[STRIPS.xlsx]Sheet1!R672C3</stp>
        <tr r="C672" s="1"/>
      </tp>
      <tp>
        <v>0</v>
        <stp/>
        <stp>##V3_BDPV12</stp>
        <stp>912833KJ Govt</stp>
        <stp>CPN</stp>
        <stp>[STRIPS.xlsx]Sheet1!R512C3</stp>
        <tr r="C512" s="1"/>
      </tp>
      <tp>
        <v>0</v>
        <stp/>
        <stp>##V3_BDPV12</stp>
        <stp>912833KL Govt</stp>
        <stp>CPN</stp>
        <stp>[STRIPS.xlsx]Sheet1!R302C3</stp>
        <tr r="C302" s="1"/>
      </tp>
      <tp>
        <v>0</v>
        <stp/>
        <stp>##V3_BDPV12</stp>
        <stp>912834KA Govt</stp>
        <stp>CPN</stp>
        <stp>[STRIPS.xlsx]Sheet1!R165C3</stp>
        <tr r="C165" s="1"/>
      </tp>
      <tp>
        <v>0</v>
        <stp/>
        <stp>##V3_BDPV12</stp>
        <stp>912833KC Govt</stp>
        <stp>CPN</stp>
        <stp>[STRIPS.xlsx]Sheet1!R442C3</stp>
        <tr r="C442" s="1"/>
      </tp>
      <tp>
        <v>0</v>
        <stp/>
        <stp>##V3_BDPV12</stp>
        <stp>912833KZ Govt</stp>
        <stp>CPN</stp>
        <stp>[STRIPS.xlsx]Sheet1!R152C3</stp>
        <tr r="C152" s="1"/>
      </tp>
      <tp>
        <v>0</v>
        <stp/>
        <stp>##V3_BDPV12</stp>
        <stp>912833KV Govt</stp>
        <stp>CPN</stp>
        <stp>[STRIPS.xlsx]Sheet1!R742C3</stp>
        <tr r="C742" s="1"/>
      </tp>
      <tp>
        <v>0</v>
        <stp/>
        <stp>##V3_BDPV12</stp>
        <stp>912834JJ Govt</stp>
        <stp>CPN</stp>
        <stp>[STRIPS.xlsx]Sheet1!R465C3</stp>
        <tr r="C465" s="1"/>
      </tp>
      <tp>
        <v>0</v>
        <stp/>
        <stp>##V3_BDPV12</stp>
        <stp>912834JS Govt</stp>
        <stp>CPN</stp>
        <stp>[STRIPS.xlsx]Sheet1!R315C3</stp>
        <tr r="C315" s="1"/>
      </tp>
      <tp>
        <v>0</v>
        <stp/>
        <stp>##V3_BDPV12</stp>
        <stp>912834EJ Govt</stp>
        <stp>CPN</stp>
        <stp>[STRIPS.xlsx]Sheet1!R595C3</stp>
        <tr r="C595" s="1"/>
      </tp>
      <tp>
        <v>0</v>
        <stp/>
        <stp>##V3_BDPV12</stp>
        <stp>912834ED Govt</stp>
        <stp>CPN</stp>
        <stp>[STRIPS.xlsx]Sheet1!R645C3</stp>
        <tr r="C645" s="1"/>
      </tp>
      <tp>
        <v>0</v>
        <stp/>
        <stp>##V3_BDPV12</stp>
        <stp>912834EU Govt</stp>
        <stp>CPN</stp>
        <stp>[STRIPS.xlsx]Sheet1!R175C3</stp>
        <tr r="C175" s="1"/>
      </tp>
      <tp>
        <v>0</v>
        <stp/>
        <stp>##V3_BDPV12</stp>
        <stp>912833DB Govt</stp>
        <stp>CPN</stp>
        <stp>[STRIPS.xlsx]Sheet1!R162C3</stp>
        <tr r="C162" s="1"/>
      </tp>
      <tp>
        <v>0</v>
        <stp/>
        <stp>##V3_BDPV12</stp>
        <stp>912833FK Govt</stp>
        <stp>CPN</stp>
        <stp>[STRIPS.xlsx]Sheet1!R662C3</stp>
        <tr r="C662" s="1"/>
      </tp>
      <tp>
        <v>0</v>
        <stp/>
        <stp>##V3_BDPV12</stp>
        <stp>912834FA Govt</stp>
        <stp>CPN</stp>
        <stp>[STRIPS.xlsx]Sheet1!R395C3</stp>
        <tr r="C395" s="1"/>
      </tp>
      <tp>
        <v>0</v>
        <stp/>
        <stp>##V3_BDPV12</stp>
        <stp>912833FX Govt</stp>
        <stp>CPN</stp>
        <stp>[STRIPS.xlsx]Sheet1!R622C3</stp>
        <tr r="C622" s="1"/>
      </tp>
      <tp>
        <v>0</v>
        <stp/>
        <stp>##V3_BDPV12</stp>
        <stp>912834AH Govt</stp>
        <stp>CPN</stp>
        <stp>[STRIPS.xlsx]Sheet1!R385C3</stp>
        <tr r="C385" s="1"/>
      </tp>
      <tp>
        <v>0</v>
        <stp/>
        <stp>##V3_BDPV12</stp>
        <stp>912834AU Govt</stp>
        <stp>CPN</stp>
        <stp>[STRIPS.xlsx]Sheet1!R125C3</stp>
        <tr r="C125" s="1"/>
      </tp>
      <tp>
        <v>0</v>
        <stp/>
        <stp>##V3_BDPV12</stp>
        <stp>912833A6 Govt</stp>
        <stp>CPN</stp>
        <stp>[STRIPS.xlsx]Sheet1!R652C3</stp>
        <tr r="C652" s="1"/>
      </tp>
      <tp>
        <v>0</v>
        <stp/>
        <stp>##V3_BDPV12</stp>
        <stp>912833A5 Govt</stp>
        <stp>CPN</stp>
        <stp>[STRIPS.xlsx]Sheet1!R432C3</stp>
        <tr r="C432" s="1"/>
      </tp>
      <tp>
        <v>0</v>
        <stp/>
        <stp>##V3_BDPV12</stp>
        <stp>912833CA Govt</stp>
        <stp>CPN</stp>
        <stp>[STRIPS.xlsx]Sheet1!R502C3</stp>
        <tr r="C502" s="1"/>
      </tp>
      <tp>
        <v>0</v>
        <stp/>
        <stp>##V3_BDPV12</stp>
        <stp>912833C3 Govt</stp>
        <stp>CPN</stp>
        <stp>[STRIPS.xlsx]Sheet1!R362C3</stp>
        <tr r="C362" s="1"/>
      </tp>
      <tp>
        <v>0</v>
        <stp/>
        <stp>##V3_BDPV12</stp>
        <stp>912833C4 Govt</stp>
        <stp>CPN</stp>
        <stp>[STRIPS.xlsx]Sheet1!R612C3</stp>
        <tr r="C612" s="1"/>
      </tp>
      <tp>
        <v>0</v>
        <stp/>
        <stp>##V3_BDPV12</stp>
        <stp>912833BZ Govt</stp>
        <stp>CPN</stp>
        <stp>[STRIPS.xlsx]Sheet1!R562C3</stp>
        <tr r="C562" s="1"/>
      </tp>
      <tp>
        <v>0</v>
        <stp/>
        <stp>##V3_BDPV12</stp>
        <stp>912833B3 Govt</stp>
        <stp>CPN</stp>
        <stp>[STRIPS.xlsx]Sheet1!R732C3</stp>
        <tr r="C732" s="1"/>
      </tp>
      <tp t="s">
        <v>11/15/2036</v>
        <stp/>
        <stp>##V3_BDPV12</stp>
        <stp>912833Y3 Govt</stp>
        <stp>MATURITY</stp>
        <stp>[STRIPS.xlsx]Sheet1!R103C5</stp>
        <tr r="E103" s="1"/>
      </tp>
      <tp t="s">
        <v>10/31/2012</v>
        <stp/>
        <stp>##V3_BDPV12</stp>
        <stp>912833Y7 Govt</stp>
        <stp>MATURITY</stp>
        <stp>[STRIPS.xlsx]Sheet1!R583C5</stp>
        <tr r="E583" s="1"/>
      </tp>
      <tp t="s">
        <v>8/31/2004</v>
        <stp/>
        <stp>##V3_BDPV12</stp>
        <stp>912833YY Govt</stp>
        <stp>MATURITY</stp>
        <stp>[STRIPS.xlsx]Sheet1!R453C5</stp>
        <tr r="E453" s="1"/>
      </tp>
      <tp t="s">
        <v>9/15/2007</v>
        <stp/>
        <stp>##V3_BDPV12</stp>
        <stp>912833ZW Govt</stp>
        <stp>MATURITY</stp>
        <stp>[STRIPS.xlsx]Sheet1!R640C5</stp>
        <tr r="E640" s="1"/>
      </tp>
      <tp t="s">
        <v>UNITED STATES</v>
        <stp/>
        <stp>##V3_BDPV12</stp>
        <stp>912834TJ Govt</stp>
        <stp>COUNTRY_FULL_NAME</stp>
        <stp>[STRIPS.xlsx]Sheet1!R757C8</stp>
        <tr r="H757" s="1"/>
      </tp>
      <tp t="s">
        <v>UNITED STATES</v>
        <stp/>
        <stp>##V3_BDPV12</stp>
        <stp>912833CJ Govt</stp>
        <stp>COUNTRY_FULL_NAME</stp>
        <stp>[STRIPS.xlsx]Sheet1!R297C8</stp>
        <tr r="H297" s="1"/>
      </tp>
      <tp t="s">
        <v>UNITED STATES</v>
        <stp/>
        <stp>##V3_BDPV12</stp>
        <stp>912834JK Govt</stp>
        <stp>COUNTRY_FULL_NAME</stp>
        <stp>[STRIPS.xlsx]Sheet1!R466C8</stp>
        <tr r="H466" s="1"/>
      </tp>
      <tp t="s">
        <v>UNITED STATES</v>
        <stp/>
        <stp>##V3_BDPV12</stp>
        <stp>9128336H Govt</stp>
        <stp>COUNTRY_FULL_NAME</stp>
        <stp>[STRIPS.xlsx]Sheet1!R495C8</stp>
        <tr r="H495" s="1"/>
      </tp>
      <tp t="s">
        <v>UNITED STATES</v>
        <stp/>
        <stp>##V3_BDPV12</stp>
        <stp>9128336K Govt</stp>
        <stp>COUNTRY_FULL_NAME</stp>
        <stp>[STRIPS.xlsx]Sheet1!R496C8</stp>
        <tr r="H496" s="1"/>
      </tp>
      <tp t="s">
        <v>UNITED STATES</v>
        <stp/>
        <stp>##V3_BDPV12</stp>
        <stp>9128333J Govt</stp>
        <stp>COUNTRY_FULL_NAME</stp>
        <stp>[STRIPS.xlsx]Sheet1!R427C8</stp>
        <tr r="H427" s="1"/>
      </tp>
      <tp t="s">
        <v>UNITED STATES</v>
        <stp/>
        <stp>##V3_BDPV12</stp>
        <stp>912834AH Govt</stp>
        <stp>COUNTRY_FULL_NAME</stp>
        <stp>[STRIPS.xlsx]Sheet1!R385C8</stp>
        <tr r="H385" s="1"/>
      </tp>
      <tp t="s">
        <v>UNITED STATES</v>
        <stp/>
        <stp>##V3_BDPV12</stp>
        <stp>912833KH Govt</stp>
        <stp>COUNTRY_FULL_NAME</stp>
        <stp>[STRIPS.xlsx]Sheet1!R565C8</stp>
        <tr r="H565" s="1"/>
      </tp>
      <tp t="s">
        <v>UNITED STATES</v>
        <stp/>
        <stp>##V3_BDPV12</stp>
        <stp>912834KJ Govt</stp>
        <stp>COUNTRY_FULL_NAME</stp>
        <stp>[STRIPS.xlsx]Sheet1!R267C8</stp>
        <tr r="H267" s="1"/>
      </tp>
      <tp t="s">
        <v>UNITED STATES</v>
        <stp/>
        <stp>##V3_BDPV12</stp>
        <stp>912834BN Govt</stp>
        <stp>COUNTRY_FULL_NAME</stp>
        <stp>[STRIPS.xlsx]Sheet1!R263C8</stp>
        <tr r="H263" s="1"/>
      </tp>
      <tp t="s">
        <v>UNITED STATES</v>
        <stp/>
        <stp>##V3_BDPV12</stp>
        <stp>912833ZJ Govt</stp>
        <stp>COUNTRY_FULL_NAME</stp>
        <stp>[STRIPS.xlsx]Sheet1!R527C8</stp>
        <tr r="H527" s="1"/>
      </tp>
      <tp t="s">
        <v>UNITED STATES</v>
        <stp/>
        <stp>##V3_BDPV12</stp>
        <stp>912833QM Govt</stp>
        <stp>COUNTRY_FULL_NAME</stp>
        <stp>[STRIPS.xlsx]Sheet1!R520C8</stp>
        <tr r="H520" s="1"/>
      </tp>
      <tp t="s">
        <v>UNITED STATES</v>
        <stp/>
        <stp>##V3_BDPV12</stp>
        <stp>912834WH Govt</stp>
        <stp>COUNTRY_FULL_NAME</stp>
        <stp>[STRIPS.xlsx]Sheet1!R215C8</stp>
        <tr r="H215" s="1"/>
      </tp>
      <tp t="s">
        <v>UNITED STATES</v>
        <stp/>
        <stp>##V3_BDPV12</stp>
        <stp>9128337L Govt</stp>
        <stp>COUNTRY_FULL_NAME</stp>
        <stp>[STRIPS.xlsx]Sheet1!R651C8</stp>
        <tr r="H651" s="1"/>
      </tp>
      <tp t="s">
        <v>UNITED STATES</v>
        <stp/>
        <stp>##V3_BDPV12</stp>
        <stp>912833CH Govt</stp>
        <stp>COUNTRY_FULL_NAME</stp>
        <stp>[STRIPS.xlsx]Sheet1!R615C8</stp>
        <tr r="H615" s="1"/>
      </tp>
      <tp t="s">
        <v>UNITED STATES</v>
        <stp/>
        <stp>##V3_BDPV12</stp>
        <stp>912833DD Govt</stp>
        <stp>COUNTRY_FULL_NAME</stp>
        <stp>[STRIPS.xlsx]Sheet1!R659C8</stp>
        <tr r="H659" s="1"/>
      </tp>
      <tp t="s">
        <v>UNITED STATES</v>
        <stp/>
        <stp>##V3_BDPV12</stp>
        <stp>912834AE Govt</stp>
        <stp>COUNTRY_FULL_NAME</stp>
        <stp>[STRIPS.xlsx]Sheet1!R118C8</stp>
        <tr r="H118" s="1"/>
      </tp>
      <tp t="s">
        <v>UNITED STATES</v>
        <stp/>
        <stp>##V3_BDPV12</stp>
        <stp>912834UM Govt</stp>
        <stp>COUNTRY_FULL_NAME</stp>
        <stp>[STRIPS.xlsx]Sheet1!R180C8</stp>
        <tr r="H180" s="1"/>
      </tp>
      <tp t="s">
        <v>UNITED STATES</v>
        <stp/>
        <stp>##V3_BDPV12</stp>
        <stp>912833QL Govt</stp>
        <stp>COUNTRY_FULL_NAME</stp>
        <stp>[STRIPS.xlsx]Sheet1!R631C8</stp>
        <tr r="H631" s="1"/>
      </tp>
      <tp t="s">
        <v>UNITED STATES</v>
        <stp/>
        <stp>##V3_BDPV12</stp>
        <stp>912834UH Govt</stp>
        <stp>COUNTRY_FULL_NAME</stp>
        <stp>[STRIPS.xlsx]Sheet1!R105C8</stp>
        <tr r="H105" s="1"/>
      </tp>
      <tp t="s">
        <v>UNITED STATES</v>
        <stp/>
        <stp>##V3_BDPV12</stp>
        <stp>912834RE Govt</stp>
        <stp>COUNTRY_FULL_NAME</stp>
        <stp>[STRIPS.xlsx]Sheet1!R168C8</stp>
        <tr r="H168" s="1"/>
      </tp>
      <tp t="s">
        <v>UNITED STATES</v>
        <stp/>
        <stp>##V3_BDPV12</stp>
        <stp>9128336D Govt</stp>
        <stp>COUNTRY_FULL_NAME</stp>
        <stp>[STRIPS.xlsx]Sheet1!R749C8</stp>
        <tr r="H749" s="1"/>
      </tp>
      <tp t="s">
        <v>UNITED STATES</v>
        <stp/>
        <stp>##V3_BDPV12</stp>
        <stp>9128334E Govt</stp>
        <stp>COUNTRY_FULL_NAME</stp>
        <stp>[STRIPS.xlsx]Sheet1!R708C8</stp>
        <tr r="H708" s="1"/>
      </tp>
      <tp t="s">
        <v>UNITED STATES</v>
        <stp/>
        <stp>##V3_BDPV12</stp>
        <stp>9128335M Govt</stp>
        <stp>COUNTRY_FULL_NAME</stp>
        <stp>[STRIPS.xlsx]Sheet1!R710C8</stp>
        <tr r="H710" s="1"/>
      </tp>
      <tp t="s">
        <v>UNITED STATES</v>
        <stp/>
        <stp>##V3_BDPV12</stp>
        <stp>9128336E Govt</stp>
        <stp>COUNTRY_FULL_NAME</stp>
        <stp>[STRIPS.xlsx]Sheet1!R728C8</stp>
        <tr r="H728" s="1"/>
      </tp>
      <tp t="s">
        <v>UNITED STATES</v>
        <stp/>
        <stp>##V3_BDPV12</stp>
        <stp>912833FJ Govt</stp>
        <stp>COUNTRY_FULL_NAME</stp>
        <stp>[STRIPS.xlsx]Sheet1!R737C8</stp>
        <tr r="H737" s="1"/>
      </tp>
      <tp t="s">
        <v>2/28/1999</v>
        <stp/>
        <stp>##V3_BDPV12</stp>
        <stp>912833RK Govt</stp>
        <stp>MATURITY</stp>
        <stp>[STRIPS.xlsx]Sheet1!R578C5</stp>
        <tr r="E578" s="1"/>
      </tp>
      <tp t="s">
        <v>5/31/2024</v>
        <stp/>
        <stp>##V3_BDPV12</stp>
        <stp>912834RL Govt</stp>
        <stp>MATURITY</stp>
        <stp>[STRIPS.xlsx]Sheet1!R198C5</stp>
        <tr r="E198" s="1"/>
      </tp>
      <tp t="s">
        <v>11/30/2003</v>
        <stp/>
        <stp>##V3_BDPV12</stp>
        <stp>912833YL Govt</stp>
        <stp>MATURITY</stp>
        <stp>[STRIPS.xlsx]Sheet1!R343C5</stp>
        <tr r="E343" s="1"/>
      </tp>
      <tp t="s">
        <v>2/29/2000</v>
        <stp/>
        <stp>##V3_BDPV12</stp>
        <stp>912833RM Govt</stp>
        <stp>MATURITY</stp>
        <stp>[STRIPS.xlsx]Sheet1!R448C5</stp>
        <tr r="E448" s="1"/>
      </tp>
      <tp t="s">
        <v>2/29/2024</v>
        <stp/>
        <stp>##V3_BDPV12</stp>
        <stp>912834RE Govt</stp>
        <stp>MATURITY</stp>
        <stp>[STRIPS.xlsx]Sheet1!R168C5</stp>
        <tr r="E168" s="1"/>
      </tp>
      <tp>
        <v>0</v>
        <stp/>
        <stp>##V3_BDPV12</stp>
        <stp>9128335J Govt</stp>
        <stp>CPN</stp>
        <stp>[STRIPS.xlsx]Sheet1!R492C3</stp>
        <tr r="C492" s="1"/>
      </tp>
      <tp>
        <v>0</v>
        <stp/>
        <stp>##V3_BDPV12</stp>
        <stp>9128335H Govt</stp>
        <stp>CPN</stp>
        <stp>[STRIPS.xlsx]Sheet1!R722C3</stp>
        <tr r="C722" s="1"/>
      </tp>
      <tp>
        <v>0</v>
        <stp/>
        <stp>##V3_BDPV12</stp>
        <stp>9128335U Govt</stp>
        <stp>CPN</stp>
        <stp>[STRIPS.xlsx]Sheet1!R712C3</stp>
        <tr r="C712" s="1"/>
      </tp>
      <tp>
        <v>0</v>
        <stp/>
        <stp>##V3_BDPV12</stp>
        <stp>9128334U Govt</stp>
        <stp>CPN</stp>
        <stp>[STRIPS.xlsx]Sheet1!R102C3</stp>
        <tr r="C102" s="1"/>
      </tp>
      <tp>
        <v>0</v>
        <stp/>
        <stp>##V3_BDPV12</stp>
        <stp>9128337K Govt</stp>
        <stp>CPN</stp>
        <stp>[STRIPS.xlsx]Sheet1!R292C3</stp>
        <tr r="C292" s="1"/>
      </tp>
      <tp>
        <v>0</v>
        <stp/>
        <stp>##V3_BDPV12</stp>
        <stp>9128333L Govt</stp>
        <stp>CPN</stp>
        <stp>[STRIPS.xlsx]Sheet1!R552C3</stp>
        <tr r="C552" s="1"/>
      </tp>
      <tp>
        <v>0</v>
        <stp/>
        <stp>##V3_BDPV12</stp>
        <stp>9128333Z Govt</stp>
        <stp>CPN</stp>
        <stp>[STRIPS.xlsx]Sheet1!R602C3</stp>
        <tr r="C602" s="1"/>
      </tp>
      <tp>
        <v>0</v>
        <stp/>
        <stp>##V3_BDPV12</stp>
        <stp>9128332F Govt</stp>
        <stp>CPN</stp>
        <stp>[STRIPS.xlsx]Sheet1!R702C3</stp>
        <tr r="C702" s="1"/>
      </tp>
      <tp t="s">
        <v>#N/A Field Not Applicable</v>
        <stp/>
        <stp>##V3_BDPV12</stp>
        <stp>912833Y6 Govt</stp>
        <stp>COUPON_FREQUENCY_DESCRIPTION</stp>
        <stp>[STRIPS.xlsx]Sheet1!R247C10</stp>
        <tr r="J247" s="1"/>
      </tp>
      <tp t="s">
        <v>#N/A Field Not Applicable</v>
        <stp/>
        <stp>##V3_BDPV12</stp>
        <stp>912833Z6 Govt</stp>
        <stp>COUPON_FREQUENCY_DESCRIPTION</stp>
        <stp>[STRIPS.xlsx]Sheet1!R111C10</stp>
        <tr r="J111" s="1"/>
      </tp>
      <tp>
        <v>0</v>
        <stp/>
        <stp>##V3_BDPV12</stp>
        <stp>912833YL Govt</stp>
        <stp>CPN</stp>
        <stp>[STRIPS.xlsx]Sheet1!R343C3</stp>
        <tr r="C343" s="1"/>
      </tp>
      <tp>
        <v>0</v>
        <stp/>
        <stp>##V3_BDPV12</stp>
        <stp>912833YY Govt</stp>
        <stp>CPN</stp>
        <stp>[STRIPS.xlsx]Sheet1!R453C3</stp>
        <tr r="C453" s="1"/>
      </tp>
      <tp t="s">
        <v>#N/A Field Not Applicable</v>
        <stp/>
        <stp>##V3_BDPV12</stp>
        <stp>912833A6 Govt</stp>
        <stp>COUPON_FREQUENCY_DESCRIPTION</stp>
        <stp>[STRIPS.xlsx]Sheet1!R652C10</stp>
        <tr r="J652" s="1"/>
      </tp>
      <tp>
        <v>0</v>
        <stp/>
        <stp>##V3_BDPV12</stp>
        <stp>912833Y3 Govt</stp>
        <stp>CPN</stp>
        <stp>[STRIPS.xlsx]Sheet1!R103C3</stp>
        <tr r="C103" s="1"/>
      </tp>
      <tp>
        <v>0</v>
        <stp/>
        <stp>##V3_BDPV12</stp>
        <stp>912833Y7 Govt</stp>
        <stp>CPN</stp>
        <stp>[STRIPS.xlsx]Sheet1!R583C3</stp>
        <tr r="C583" s="1"/>
      </tp>
      <tp>
        <v>0</v>
        <stp/>
        <stp>##V3_BDPV12</stp>
        <stp>912834XC Govt</stp>
        <stp>CPN</stp>
        <stp>[STRIPS.xlsx]Sheet1!R214C3</stp>
        <tr r="C214" s="1"/>
      </tp>
      <tp>
        <v>0</v>
        <stp/>
        <stp>##V3_BDPV12</stp>
        <stp>912834XD Govt</stp>
        <stp>CPN</stp>
        <stp>[STRIPS.xlsx]Sheet1!R764C3</stp>
        <tr r="C764" s="1"/>
      </tp>
      <tp>
        <v>0</v>
        <stp/>
        <stp>##V3_BDPV12</stp>
        <stp>912833ZG Govt</stp>
        <stp>CPN</stp>
        <stp>[STRIPS.xlsx]Sheet1!R253C3</stp>
        <tr r="C253" s="1"/>
      </tp>
      <tp>
        <v>0</v>
        <stp/>
        <stp>##V3_BDPV12</stp>
        <stp>912833ZR Govt</stp>
        <stp>CPN</stp>
        <stp>[STRIPS.xlsx]Sheet1!R383C3</stp>
        <tr r="C383" s="1"/>
      </tp>
      <tp t="s">
        <v>#N/A Field Not Applicable</v>
        <stp/>
        <stp>##V3_BDPV12</stp>
        <stp>912833C6 Govt</stp>
        <stp>COUPON_FREQUENCY_DESCRIPTION</stp>
        <stp>[STRIPS.xlsx]Sheet1!R563C10</stp>
        <tr r="J563" s="1"/>
      </tp>
      <tp t="s">
        <v>#N/A Field Not Applicable</v>
        <stp/>
        <stp>##V3_BDPV12</stp>
        <stp>912833B6 Govt</stp>
        <stp>COUPON_FREQUENCY_DESCRIPTION</stp>
        <stp>[STRIPS.xlsx]Sheet1!R500C10</stp>
        <tr r="J500" s="1"/>
      </tp>
      <tp>
        <v>0</v>
        <stp/>
        <stp>##V3_BDPV12</stp>
        <stp>912834UT Govt</stp>
        <stp>CPN</stp>
        <stp>[STRIPS.xlsx]Sheet1!R184C3</stp>
        <tr r="C184" s="1"/>
      </tp>
      <tp>
        <v>0</v>
        <stp/>
        <stp>##V3_BDPV12</stp>
        <stp>912834UP Govt</stp>
        <stp>CPN</stp>
        <stp>[STRIPS.xlsx]Sheet1!R754C3</stp>
        <tr r="C754" s="1"/>
      </tp>
      <tp>
        <v>0</v>
        <stp/>
        <stp>##V3_BDPV12</stp>
        <stp>912834TB Govt</stp>
        <stp>CPN</stp>
        <stp>[STRIPS.xlsx]Sheet1!R424C3</stp>
        <tr r="C424" s="1"/>
      </tp>
      <tp>
        <v>0</v>
        <stp/>
        <stp>##V3_BDPV12</stp>
        <stp>912834VJ Govt</stp>
        <stp>CPN</stp>
        <stp>[STRIPS.xlsx]Sheet1!R774C3</stp>
        <tr r="C774" s="1"/>
      </tp>
      <tp>
        <v>0</v>
        <stp/>
        <stp>##V3_BDPV12</stp>
        <stp>912834VR Govt</stp>
        <stp>CPN</stp>
        <stp>[STRIPS.xlsx]Sheet1!R224C3</stp>
        <tr r="C224" s="1"/>
      </tp>
      <tp>
        <v>0</v>
        <stp/>
        <stp>##V3_BDPV12</stp>
        <stp>912834QY Govt</stp>
        <stp>CPN</stp>
        <stp>[STRIPS.xlsx]Sheet1!R134C3</stp>
        <tr r="C134" s="1"/>
      </tp>
      <tp>
        <v>0</v>
        <stp/>
        <stp>##V3_BDPV12</stp>
        <stp>912833QX Govt</stp>
        <stp>CPN</stp>
        <stp>[STRIPS.xlsx]Sheet1!R243C3</stp>
        <tr r="C243" s="1"/>
      </tp>
      <tp>
        <v>0</v>
        <stp/>
        <stp>##V3_BDPV12</stp>
        <stp>912833QY Govt</stp>
        <stp>CPN</stp>
        <stp>[STRIPS.xlsx]Sheet1!R633C3</stp>
        <tr r="C633" s="1"/>
      </tp>
      <tp>
        <v>0</v>
        <stp/>
        <stp>##V3_BDPV12</stp>
        <stp>912834QT Govt</stp>
        <stp>CPN</stp>
        <stp>[STRIPS.xlsx]Sheet1!R414C3</stp>
        <tr r="C414" s="1"/>
      </tp>
      <tp>
        <v>0</v>
        <stp/>
        <stp>##V3_BDPV12</stp>
        <stp>912834QV Govt</stp>
        <stp>CPN</stp>
        <stp>[STRIPS.xlsx]Sheet1!R104C3</stp>
        <tr r="C104" s="1"/>
      </tp>
      <tp>
        <v>0</v>
        <stp/>
        <stp>##V3_BDPV12</stp>
        <stp>912834PJ Govt</stp>
        <stp>CPN</stp>
        <stp>[STRIPS.xlsx]Sheet1!R144C3</stp>
        <tr r="C144" s="1"/>
      </tp>
      <tp>
        <v>0</v>
        <stp/>
        <stp>##V3_BDPV12</stp>
        <stp>912833PK Govt</stp>
        <stp>CPN</stp>
        <stp>[STRIPS.xlsx]Sheet1!R573C3</stp>
        <tr r="C573" s="1"/>
      </tp>
      <tp>
        <v>0</v>
        <stp/>
        <stp>##V3_BDPV12</stp>
        <stp>912834PN Govt</stp>
        <stp>CPN</stp>
        <stp>[STRIPS.xlsx]Sheet1!R164C3</stp>
        <tr r="C164" s="1"/>
      </tp>
      <tp>
        <v>0</v>
        <stp/>
        <stp>##V3_BDPV12</stp>
        <stp>912833PU Govt</stp>
        <stp>CPN</stp>
        <stp>[STRIPS.xlsx]Sheet1!R683C3</stp>
        <tr r="C683" s="1"/>
      </tp>
      <tp>
        <v>0</v>
        <stp/>
        <stp>##V3_BDPV12</stp>
        <stp>912834PW Govt</stp>
        <stp>CPN</stp>
        <stp>[STRIPS.xlsx]Sheet1!R154C3</stp>
        <tr r="C154" s="1"/>
      </tp>
      <tp>
        <v>0</v>
        <stp/>
        <stp>##V3_BDPV12</stp>
        <stp>912833RL Govt</stp>
        <stp>CPN</stp>
        <stp>[STRIPS.xlsx]Sheet1!R523C3</stp>
        <tr r="C523" s="1"/>
      </tp>
      <tp>
        <v>0</v>
        <stp/>
        <stp>##V3_BDPV12</stp>
        <stp>912834RK Govt</stp>
        <stp>CPN</stp>
        <stp>[STRIPS.xlsx]Sheet1!R124C3</stp>
        <tr r="C124" s="1"/>
      </tp>
      <tp>
        <v>0</v>
        <stp/>
        <stp>##V3_BDPV12</stp>
        <stp>912834RN Govt</stp>
        <stp>CPN</stp>
        <stp>[STRIPS.xlsx]Sheet1!R194C3</stp>
        <tr r="C194" s="1"/>
      </tp>
      <tp>
        <v>0</v>
        <stp/>
        <stp>##V3_BDPV12</stp>
        <stp>912834RQ Govt</stp>
        <stp>CPN</stp>
        <stp>[STRIPS.xlsx]Sheet1!R204C3</stp>
        <tr r="C204" s="1"/>
      </tp>
      <tp>
        <v>0</v>
        <stp/>
        <stp>##V3_BDPV12</stp>
        <stp>912833RR Govt</stp>
        <stp>CPN</stp>
        <stp>[STRIPS.xlsx]Sheet1!R693C3</stp>
        <tr r="C693" s="1"/>
      </tp>
      <tp>
        <v>0</v>
        <stp/>
        <stp>##V3_BDPV12</stp>
        <stp>912833MR Govt</stp>
        <stp>CPN</stp>
        <stp>[STRIPS.xlsx]Sheet1!R333C3</stp>
        <tr r="C333" s="1"/>
      </tp>
      <tp>
        <v>0</v>
        <stp/>
        <stp>##V3_BDPV12</stp>
        <stp>912834MW Govt</stp>
        <stp>CPN</stp>
        <stp>[STRIPS.xlsx]Sheet1!R234C3</stp>
        <tr r="C234" s="1"/>
      </tp>
      <tp>
        <v>0</v>
        <stp/>
        <stp>##V3_BDPV12</stp>
        <stp>912834LM Govt</stp>
        <stp>CPN</stp>
        <stp>[STRIPS.xlsx]Sheet1!R324C3</stp>
        <tr r="C324" s="1"/>
      </tp>
      <tp>
        <v>0</v>
        <stp/>
        <stp>##V3_BDPV12</stp>
        <stp>912833LE Govt</stp>
        <stp>CPN</stp>
        <stp>[STRIPS.xlsx]Sheet1!R153C3</stp>
        <tr r="C153" s="1"/>
      </tp>
      <tp>
        <v>0</v>
        <stp/>
        <stp>##V3_BDPV12</stp>
        <stp>912833LC Govt</stp>
        <stp>CPN</stp>
        <stp>[STRIPS.xlsx]Sheet1!R673C3</stp>
        <tr r="C673" s="1"/>
      </tp>
      <tp>
        <v>0</v>
        <stp/>
        <stp>##V3_BDPV12</stp>
        <stp>912834LP Govt</stp>
        <stp>CPN</stp>
        <stp>[STRIPS.xlsx]Sheet1!R474C3</stp>
        <tr r="C474" s="1"/>
      </tp>
      <tp>
        <v>0</v>
        <stp/>
        <stp>##V3_BDPV12</stp>
        <stp>912834LQ Govt</stp>
        <stp>CPN</stp>
        <stp>[STRIPS.xlsx]Sheet1!R404C3</stp>
        <tr r="C404" s="1"/>
      </tp>
      <tp>
        <v>0</v>
        <stp/>
        <stp>##V3_BDPV12</stp>
        <stp>912834NB Govt</stp>
        <stp>CPN</stp>
        <stp>[STRIPS.xlsx]Sheet1!R544C3</stp>
        <tr r="C544" s="1"/>
      </tp>
      <tp>
        <v>0</v>
        <stp/>
        <stp>##V3_BDPV12</stp>
        <stp>912833NP Govt</stp>
        <stp>CPN</stp>
        <stp>[STRIPS.xlsx]Sheet1!R373C3</stp>
        <tr r="C373" s="1"/>
      </tp>
      <tp>
        <v>0</v>
        <stp/>
        <stp>##V3_BDPV12</stp>
        <stp>912834NT Govt</stp>
        <stp>CPN</stp>
        <stp>[STRIPS.xlsx]Sheet1!R174C3</stp>
        <tr r="C174" s="1"/>
      </tp>
      <tp>
        <v>0</v>
        <stp/>
        <stp>##V3_BDPV12</stp>
        <stp>912834NU Govt</stp>
        <stp>CPN</stp>
        <stp>[STRIPS.xlsx]Sheet1!R274C3</stp>
        <tr r="C274" s="1"/>
      </tp>
      <tp>
        <v>0</v>
        <stp/>
        <stp>##V3_BDPV12</stp>
        <stp>912833KM Govt</stp>
        <stp>CPN</stp>
        <stp>[STRIPS.xlsx]Sheet1!R303C3</stp>
        <tr r="C303" s="1"/>
      </tp>
      <tp>
        <v>0</v>
        <stp/>
        <stp>##V3_BDPV12</stp>
        <stp>912833KA Govt</stp>
        <stp>CPN</stp>
        <stp>[STRIPS.xlsx]Sheet1!R193C3</stp>
        <tr r="C193" s="1"/>
      </tp>
      <tp>
        <v>0</v>
        <stp/>
        <stp>##V3_BDPV12</stp>
        <stp>912833KY Govt</stp>
        <stp>CPN</stp>
        <stp>[STRIPS.xlsx]Sheet1!R513C3</stp>
        <tr r="C513" s="1"/>
      </tp>
      <tp>
        <v>0</v>
        <stp/>
        <stp>##V3_BDPV12</stp>
        <stp>912833KP Govt</stp>
        <stp>CPN</stp>
        <stp>[STRIPS.xlsx]Sheet1!R623C3</stp>
        <tr r="C623" s="1"/>
      </tp>
      <tp>
        <v>0</v>
        <stp/>
        <stp>##V3_BDPV12</stp>
        <stp>912833KR Govt</stp>
        <stp>CPN</stp>
        <stp>[STRIPS.xlsx]Sheet1!R443C3</stp>
        <tr r="C443" s="1"/>
      </tp>
      <tp>
        <v>0</v>
        <stp/>
        <stp>##V3_BDPV12</stp>
        <stp>912834JD Govt</stp>
        <stp>CPN</stp>
        <stp>[STRIPS.xlsx]Sheet1!R314C3</stp>
        <tr r="C314" s="1"/>
      </tp>
      <tp>
        <v>0</v>
        <stp/>
        <stp>##V3_BDPV12</stp>
        <stp>912833JY Govt</stp>
        <stp>CPN</stp>
        <stp>[STRIPS.xlsx]Sheet1!R173C3</stp>
        <tr r="C173" s="1"/>
      </tp>
      <tp>
        <v>0</v>
        <stp/>
        <stp>##V3_BDPV12</stp>
        <stp>912834EF Govt</stp>
        <stp>CPN</stp>
        <stp>[STRIPS.xlsx]Sheet1!R594C3</stp>
        <tr r="C594" s="1"/>
      </tp>
      <tp>
        <v>0</v>
        <stp/>
        <stp>##V3_BDPV12</stp>
        <stp>912834EB Govt</stp>
        <stp>CPN</stp>
        <stp>[STRIPS.xlsx]Sheet1!R644C3</stp>
        <tr r="C644" s="1"/>
      </tp>
      <tp>
        <v>0</v>
        <stp/>
        <stp>##V3_BDPV12</stp>
        <stp>912834EZ Govt</stp>
        <stp>CPN</stp>
        <stp>[STRIPS.xlsx]Sheet1!R394C3</stp>
        <tr r="C394" s="1"/>
      </tp>
      <tp>
        <v>0</v>
        <stp/>
        <stp>##V3_BDPV12</stp>
        <stp>912834EX Govt</stp>
        <stp>CPN</stp>
        <stp>[STRIPS.xlsx]Sheet1!R354C3</stp>
        <tr r="C354" s="1"/>
      </tp>
      <tp>
        <v>0</v>
        <stp/>
        <stp>##V3_BDPV12</stp>
        <stp>912834ES Govt</stp>
        <stp>CPN</stp>
        <stp>[STRIPS.xlsx]Sheet1!R464C3</stp>
        <tr r="C464" s="1"/>
      </tp>
      <tp>
        <v>0</v>
        <stp/>
        <stp>##V3_BDPV12</stp>
        <stp>912834DY Govt</stp>
        <stp>CPN</stp>
        <stp>[STRIPS.xlsx]Sheet1!R264C3</stp>
        <tr r="C264" s="1"/>
      </tp>
      <tp>
        <v>0</v>
        <stp/>
        <stp>##V3_BDPV12</stp>
        <stp>912833FL Govt</stp>
        <stp>CPN</stp>
        <stp>[STRIPS.xlsx]Sheet1!R663C3</stp>
        <tr r="C663" s="1"/>
      </tp>
      <tp>
        <v>0</v>
        <stp/>
        <stp>##V3_BDPV12</stp>
        <stp>912834FC Govt</stp>
        <stp>CPN</stp>
        <stp>[STRIPS.xlsx]Sheet1!R534C3</stp>
        <tr r="C534" s="1"/>
      </tp>
      <tp>
        <v>0</v>
        <stp/>
        <stp>##V3_BDPV12</stp>
        <stp>912834AC Govt</stp>
        <stp>CPN</stp>
        <stp>[STRIPS.xlsx]Sheet1!R384C3</stp>
        <tr r="C384" s="1"/>
      </tp>
      <tp>
        <v>0</v>
        <stp/>
        <stp>##V3_BDPV12</stp>
        <stp>912833A7 Govt</stp>
        <stp>CPN</stp>
        <stp>[STRIPS.xlsx]Sheet1!R653C3</stp>
        <tr r="C653" s="1"/>
      </tp>
      <tp>
        <v>0</v>
        <stp/>
        <stp>##V3_BDPV12</stp>
        <stp>912833CK Govt</stp>
        <stp>CPN</stp>
        <stp>[STRIPS.xlsx]Sheet1!R733C3</stp>
        <tr r="C733" s="1"/>
      </tp>
      <tp>
        <v>0</v>
        <stp/>
        <stp>##V3_BDPV12</stp>
        <stp>912833CY Govt</stp>
        <stp>CPN</stp>
        <stp>[STRIPS.xlsx]Sheet1!R363C3</stp>
        <tr r="C363" s="1"/>
      </tp>
      <tp>
        <v>0</v>
        <stp/>
        <stp>##V3_BDPV12</stp>
        <stp>912833CX Govt</stp>
        <stp>CPN</stp>
        <stp>[STRIPS.xlsx]Sheet1!R503C3</stp>
        <tr r="C503" s="1"/>
      </tp>
      <tp>
        <v>0</v>
        <stp/>
        <stp>##V3_BDPV12</stp>
        <stp>912833C9 Govt</stp>
        <stp>CPN</stp>
        <stp>[STRIPS.xlsx]Sheet1!R613C3</stp>
        <tr r="C613" s="1"/>
      </tp>
      <tp>
        <v>0</v>
        <stp/>
        <stp>##V3_BDPV12</stp>
        <stp>912833C6 Govt</stp>
        <stp>CPN</stp>
        <stp>[STRIPS.xlsx]Sheet1!R563C3</stp>
        <tr r="C563" s="1"/>
      </tp>
      <tp>
        <v>0</v>
        <stp/>
        <stp>##V3_BDPV12</stp>
        <stp>912833B8 Govt</stp>
        <stp>CPN</stp>
        <stp>[STRIPS.xlsx]Sheet1!R293C3</stp>
        <tr r="C293" s="1"/>
      </tp>
      <tp>
        <v>0</v>
        <stp/>
        <stp>##V3_BDPV12</stp>
        <stp>912833B7 Govt</stp>
        <stp>CPN</stp>
        <stp>[STRIPS.xlsx]Sheet1!R433C3</stp>
        <tr r="C433" s="1"/>
      </tp>
      <tp t="s">
        <v>8/31/2012</v>
        <stp/>
        <stp>##V3_BDPV12</stp>
        <stp>912833Y5 Govt</stp>
        <stp>MATURITY</stp>
        <stp>[STRIPS.xlsx]Sheet1!R582C5</stp>
        <tr r="E582" s="1"/>
      </tp>
      <tp t="s">
        <v>2/15/2038</v>
        <stp/>
        <stp>##V3_BDPV12</stp>
        <stp>912833Z6 Govt</stp>
        <stp>MATURITY</stp>
        <stp>[STRIPS.xlsx]Sheet1!R111C5</stp>
        <tr r="E111" s="1"/>
      </tp>
      <tp t="s">
        <v>6/30/2003</v>
        <stp/>
        <stp>##V3_BDPV12</stp>
        <stp>912833RX Govt</stp>
        <stp>MATURITY</stp>
        <stp>[STRIPS.xlsx]Sheet1!R449C5</stp>
        <tr r="E449" s="1"/>
      </tp>
      <tp t="s">
        <v>8/31/2024</v>
        <stp/>
        <stp>##V3_BDPV12</stp>
        <stp>912834RS Govt</stp>
        <stp>MATURITY</stp>
        <stp>[STRIPS.xlsx]Sheet1!R169C5</stp>
        <tr r="E169" s="1"/>
      </tp>
      <tp t="s">
        <v>9/30/2024</v>
        <stp/>
        <stp>##V3_BDPV12</stp>
        <stp>912834RU Govt</stp>
        <stp>MATURITY</stp>
        <stp>[STRIPS.xlsx]Sheet1!R759C5</stp>
        <tr r="E759" s="1"/>
      </tp>
      <tp t="s">
        <v>UNITED STATES</v>
        <stp/>
        <stp>##V3_BDPV12</stp>
        <stp>912833MM Govt</stp>
        <stp>COUNTRY_FULL_NAME</stp>
        <stp>[STRIPS.xlsx]Sheet1!R371C8</stp>
        <tr r="H371" s="1"/>
      </tp>
      <tp t="s">
        <v>UNITED STATES</v>
        <stp/>
        <stp>##V3_BDPV12</stp>
        <stp>912834NK Govt</stp>
        <stp>COUNTRY_FULL_NAME</stp>
        <stp>[STRIPS.xlsx]Sheet1!R477C8</stp>
        <tr r="H477" s="1"/>
      </tp>
      <tp t="s">
        <v>UNITED STATES</v>
        <stp/>
        <stp>##V3_BDPV12</stp>
        <stp>912834PD Govt</stp>
        <stp>COUNTRY_FULL_NAME</stp>
        <stp>[STRIPS.xlsx]Sheet1!R478C8</stp>
        <tr r="H478" s="1"/>
      </tp>
      <tp t="s">
        <v>UNITED STATES</v>
        <stp/>
        <stp>##V3_BDPV12</stp>
        <stp>9128334M Govt</stp>
        <stp>COUNTRY_FULL_NAME</stp>
        <stp>[STRIPS.xlsx]Sheet1!R491C8</stp>
        <tr r="H491" s="1"/>
      </tp>
      <tp t="s">
        <v>UNITED STATES</v>
        <stp/>
        <stp>##V3_BDPV12</stp>
        <stp>9128334D Govt</stp>
        <stp>COUNTRY_FULL_NAME</stp>
        <stp>[STRIPS.xlsx]Sheet1!R488C8</stp>
        <tr r="H488" s="1"/>
      </tp>
      <tp t="s">
        <v>UNITED STATES</v>
        <stp/>
        <stp>##V3_BDPV12</stp>
        <stp>912834KK Govt</stp>
        <stp>COUNTRY_FULL_NAME</stp>
        <stp>[STRIPS.xlsx]Sheet1!R317C8</stp>
        <tr r="H317" s="1"/>
      </tp>
      <tp t="s">
        <v>UNITED STATES</v>
        <stp/>
        <stp>##V3_BDPV12</stp>
        <stp>912834KD Govt</stp>
        <stp>COUNTRY_FULL_NAME</stp>
        <stp>[STRIPS.xlsx]Sheet1!R398C8</stp>
        <tr r="H398" s="1"/>
      </tp>
      <tp t="s">
        <v>UNITED STATES</v>
        <stp/>
        <stp>##V3_BDPV12</stp>
        <stp>912834AK Govt</stp>
        <stp>COUNTRY_FULL_NAME</stp>
        <stp>[STRIPS.xlsx]Sheet1!R257C8</stp>
        <tr r="H257" s="1"/>
      </tp>
      <tp t="s">
        <v>UNITED STATES</v>
        <stp/>
        <stp>##V3_BDPV12</stp>
        <stp>9128332D Govt</stp>
        <stp>COUNTRY_FULL_NAME</stp>
        <stp>[STRIPS.xlsx]Sheet1!R648C8</stp>
        <tr r="H648" s="1"/>
      </tp>
      <tp t="s">
        <v>UNITED STATES</v>
        <stp/>
        <stp>##V3_BDPV12</stp>
        <stp>912833KN Govt</stp>
        <stp>COUNTRY_FULL_NAME</stp>
        <stp>[STRIPS.xlsx]Sheet1!R672C8</stp>
        <tr r="H672" s="1"/>
      </tp>
      <tp t="s">
        <v>UNITED STATES</v>
        <stp/>
        <stp>##V3_BDPV12</stp>
        <stp>912833QJ Govt</stp>
        <stp>COUNTRY_FULL_NAME</stp>
        <stp>[STRIPS.xlsx]Sheet1!R686C8</stp>
        <tr r="H686" s="1"/>
      </tp>
      <tp t="s">
        <v>UNITED STATES</v>
        <stp/>
        <stp>##V3_BDPV12</stp>
        <stp>912833RH Govt</stp>
        <stp>COUNTRY_FULL_NAME</stp>
        <stp>[STRIPS.xlsx]Sheet1!R634C8</stp>
        <tr r="H634" s="1"/>
      </tp>
      <tp t="s">
        <v>UNITED STATES</v>
        <stp/>
        <stp>##V3_BDPV12</stp>
        <stp>912834QE Govt</stp>
        <stp>COUNTRY_FULL_NAME</stp>
        <stp>[STRIPS.xlsx]Sheet1!R149C8</stp>
        <tr r="H149" s="1"/>
      </tp>
      <tp t="s">
        <v>12/31/2003</v>
        <stp/>
        <stp>##V3_BDPV12</stp>
        <stp>912833YM Govt</stp>
        <stp>MATURITY</stp>
        <stp>[STRIPS.xlsx]Sheet1!R452C5</stp>
        <tr r="E452" s="1"/>
      </tp>
      <tp t="s">
        <v>8/31/2000</v>
        <stp/>
        <stp>##V3_BDPV12</stp>
        <stp>912833RN Govt</stp>
        <stp>MATURITY</stp>
        <stp>[STRIPS.xlsx]Sheet1!R579C5</stp>
        <tr r="E579" s="1"/>
      </tp>
      <tp t="s">
        <v>10/31/2004</v>
        <stp/>
        <stp>##V3_BDPV12</stp>
        <stp>912833ZA Govt</stp>
        <stp>MATURITY</stp>
        <stp>[STRIPS.xlsx]Sheet1!R251C5</stp>
        <tr r="E251" s="1"/>
      </tp>
      <tp t="s">
        <v>1/31/2000</v>
        <stp/>
        <stp>##V3_BDPV12</stp>
        <stp>912833RB Govt</stp>
        <stp>MATURITY</stp>
        <stp>[STRIPS.xlsx]Sheet1!R689C5</stp>
        <tr r="E689" s="1"/>
      </tp>
      <tp t="s">
        <v>6/15/2024</v>
        <stp/>
        <stp>##V3_BDPV12</stp>
        <stp>912834XB Govt</stp>
        <stp>MATURITY</stp>
        <stp>[STRIPS.xlsx]Sheet1!R183C5</stp>
        <tr r="E183" s="1"/>
      </tp>
      <tp>
        <v>0</v>
        <stp/>
        <stp>##V3_BDPV12</stp>
        <stp>9128335K Govt</stp>
        <stp>CPN</stp>
        <stp>[STRIPS.xlsx]Sheet1!R493C3</stp>
        <tr r="C493" s="1"/>
      </tp>
      <tp>
        <v>0</v>
        <stp/>
        <stp>##V3_BDPV12</stp>
        <stp>9128335P Govt</stp>
        <stp>CPN</stp>
        <stp>[STRIPS.xlsx]Sheet1!R723C3</stp>
        <tr r="C723" s="1"/>
      </tp>
      <tp>
        <v>0</v>
        <stp/>
        <stp>##V3_BDPV12</stp>
        <stp>9128334B Govt</stp>
        <stp>CPN</stp>
        <stp>[STRIPS.xlsx]Sheet1!R603C3</stp>
        <tr r="C603" s="1"/>
      </tp>
      <tp>
        <v>0</v>
        <stp/>
        <stp>##V3_BDPV12</stp>
        <stp>9128336C Govt</stp>
        <stp>CPN</stp>
        <stp>[STRIPS.xlsx]Sheet1!R713C3</stp>
        <tr r="C713" s="1"/>
      </tp>
      <tp>
        <v>0</v>
        <stp/>
        <stp>##V3_BDPV12</stp>
        <stp>9128333K Govt</stp>
        <stp>CPN</stp>
        <stp>[STRIPS.xlsx]Sheet1!R743C3</stp>
        <tr r="C743" s="1"/>
      </tp>
      <tp>
        <v>0</v>
        <stp/>
        <stp>##V3_BDPV12</stp>
        <stp>9128333T Govt</stp>
        <stp>CPN</stp>
        <stp>[STRIPS.xlsx]Sheet1!R483C3</stp>
        <tr r="C483" s="1"/>
      </tp>
      <tp>
        <v>0</v>
        <stp/>
        <stp>##V3_BDPV12</stp>
        <stp>9128333S Govt</stp>
        <stp>CPN</stp>
        <stp>[STRIPS.xlsx]Sheet1!R553C3</stp>
        <tr r="C553" s="1"/>
      </tp>
      <tp>
        <v>0</v>
        <stp/>
        <stp>##V3_BDPV12</stp>
        <stp>9128332G Govt</stp>
        <stp>CPN</stp>
        <stp>[STRIPS.xlsx]Sheet1!R703C3</stp>
        <tr r="C703" s="1"/>
      </tp>
      <tp t="s">
        <v>NORMAL</v>
        <stp/>
        <stp>##V3_BDPV12</stp>
        <stp>912833LW Govt</stp>
        <stp>MTY_TYP</stp>
        <stp>[STRIPS.xlsx]Sheet1!R2C6</stp>
        <tr r="F2" s="1"/>
      </tp>
      <tp>
        <v>0</v>
        <stp/>
        <stp>##V3_BDPV12</stp>
        <stp>912833YK Govt</stp>
        <stp>CPN</stp>
        <stp>[STRIPS.xlsx]Sheet1!R584C3</stp>
        <tr r="C584" s="1"/>
      </tp>
      <tp>
        <v>0</v>
        <stp/>
        <stp>##V3_BDPV12</stp>
        <stp>912833YA Govt</stp>
        <stp>CPN</stp>
        <stp>[STRIPS.xlsx]Sheet1!R694C3</stp>
        <tr r="C694" s="1"/>
      </tp>
      <tp>
        <v>0</v>
        <stp/>
        <stp>##V3_BDPV12</stp>
        <stp>912833YQ Govt</stp>
        <stp>CPN</stp>
        <stp>[STRIPS.xlsx]Sheet1!R344C3</stp>
        <tr r="C344" s="1"/>
      </tp>
      <tp>
        <v>0</v>
        <stp/>
        <stp>##V3_BDPV12</stp>
        <stp>912834XB Govt</stp>
        <stp>CPN</stp>
        <stp>[STRIPS.xlsx]Sheet1!R183C3</stp>
        <tr r="C183" s="1"/>
      </tp>
      <tp>
        <v>0</v>
        <stp/>
        <stp>##V3_BDPV12</stp>
        <stp>912833ZB Govt</stp>
        <stp>CPN</stp>
        <stp>[STRIPS.xlsx]Sheet1!R454C3</stp>
        <tr r="C454" s="1"/>
      </tp>
      <tp>
        <v>0</v>
        <stp/>
        <stp>##V3_BDPV12</stp>
        <stp>912833ZV Govt</stp>
        <stp>CPN</stp>
        <stp>[STRIPS.xlsx]Sheet1!R254C3</stp>
        <tr r="C254" s="1"/>
      </tp>
      <tp>
        <v>0</v>
        <stp/>
        <stp>##V3_BDPV12</stp>
        <stp>912834UB Govt</stp>
        <stp>CPN</stp>
        <stp>[STRIPS.xlsx]Sheet1!R113C3</stp>
        <tr r="C113" s="1"/>
      </tp>
      <tp>
        <v>0</v>
        <stp/>
        <stp>##V3_BDPV12</stp>
        <stp>912834TC Govt</stp>
        <stp>CPN</stp>
        <stp>[STRIPS.xlsx]Sheet1!R163C3</stp>
        <tr r="C163" s="1"/>
      </tp>
      <tp>
        <v>0</v>
        <stp/>
        <stp>##V3_BDPV12</stp>
        <stp>912834TT Govt</stp>
        <stp>CPN</stp>
        <stp>[STRIPS.xlsx]Sheet1!R283C3</stp>
        <tr r="C283" s="1"/>
      </tp>
      <tp>
        <v>0</v>
        <stp/>
        <stp>##V3_BDPV12</stp>
        <stp>912834WE Govt</stp>
        <stp>CPN</stp>
        <stp>[STRIPS.xlsx]Sheet1!R223C3</stp>
        <tr r="C223" s="1"/>
      </tp>
      <tp>
        <v>0</v>
        <stp/>
        <stp>##V3_BDPV12</stp>
        <stp>912834VC Govt</stp>
        <stp>CPN</stp>
        <stp>[STRIPS.xlsx]Sheet1!R763C3</stp>
        <tr r="C763" s="1"/>
      </tp>
      <tp>
        <v>0</v>
        <stp/>
        <stp>##V3_BDPV12</stp>
        <stp>912834VT Govt</stp>
        <stp>CPN</stp>
        <stp>[STRIPS.xlsx]Sheet1!R773C3</stp>
        <tr r="C773" s="1"/>
      </tp>
      <tp>
        <v>0</v>
        <stp/>
        <stp>##V3_BDPV12</stp>
        <stp>912834QJ Govt</stp>
        <stp>CPN</stp>
        <stp>[STRIPS.xlsx]Sheet1!R213C3</stp>
        <tr r="C213" s="1"/>
      </tp>
      <tp>
        <v>0</v>
        <stp/>
        <stp>##V3_BDPV12</stp>
        <stp>912834QM Govt</stp>
        <stp>CPN</stp>
        <stp>[STRIPS.xlsx]Sheet1!R413C3</stp>
        <tr r="C413" s="1"/>
      </tp>
      <tp>
        <v>0</v>
        <stp/>
        <stp>##V3_BDPV12</stp>
        <stp>912833QF Govt</stp>
        <stp>CPN</stp>
        <stp>[STRIPS.xlsx]Sheet1!R684C3</stp>
        <tr r="C684" s="1"/>
      </tp>
      <tp>
        <v>0</v>
        <stp/>
        <stp>##V3_BDPV12</stp>
        <stp>912834QX Govt</stp>
        <stp>CPN</stp>
        <stp>[STRIPS.xlsx]Sheet1!R423C3</stp>
        <tr r="C423" s="1"/>
      </tp>
      <tp>
        <v>0</v>
        <stp/>
        <stp>##V3_BDPV12</stp>
        <stp>912833PL Govt</stp>
        <stp>CPN</stp>
        <stp>[STRIPS.xlsx]Sheet1!R374C3</stp>
        <tr r="C374" s="1"/>
      </tp>
      <tp>
        <v>0</v>
        <stp/>
        <stp>##V3_BDPV12</stp>
        <stp>912834PA Govt</stp>
        <stp>CPN</stp>
        <stp>[STRIPS.xlsx]Sheet1!R123C3</stp>
        <tr r="C123" s="1"/>
      </tp>
      <tp>
        <v>0</v>
        <stp/>
        <stp>##V3_BDPV12</stp>
        <stp>912833PS Govt</stp>
        <stp>CPN</stp>
        <stp>[STRIPS.xlsx]Sheet1!R574C3</stp>
        <tr r="C574" s="1"/>
      </tp>
      <tp>
        <v>0</v>
        <stp/>
        <stp>##V3_BDPV12</stp>
        <stp>912834RJ Govt</stp>
        <stp>CPN</stp>
        <stp>[STRIPS.xlsx]Sheet1!R203C3</stp>
        <tr r="C203" s="1"/>
      </tp>
      <tp>
        <v>0</v>
        <stp/>
        <stp>##V3_BDPV12</stp>
        <stp>912833RH Govt</stp>
        <stp>CPN</stp>
        <stp>[STRIPS.xlsx]Sheet1!R634C3</stp>
        <tr r="C634" s="1"/>
      </tp>
      <tp>
        <v>0</v>
        <stp/>
        <stp>##V3_BDPV12</stp>
        <stp>912833RG Govt</stp>
        <stp>CPN</stp>
        <stp>[STRIPS.xlsx]Sheet1!R244C3</stp>
        <tr r="C244" s="1"/>
      </tp>
      <tp>
        <v>0</v>
        <stp/>
        <stp>##V3_BDPV12</stp>
        <stp>912834RW Govt</stp>
        <stp>CPN</stp>
        <stp>[STRIPS.xlsx]Sheet1!R753C3</stp>
        <tr r="C753" s="1"/>
      </tp>
      <tp>
        <v>0</v>
        <stp/>
        <stp>##V3_BDPV12</stp>
        <stp>912833RP Govt</stp>
        <stp>CPN</stp>
        <stp>[STRIPS.xlsx]Sheet1!R524C3</stp>
        <tr r="C524" s="1"/>
      </tp>
      <tp>
        <v>0</v>
        <stp/>
        <stp>##V3_BDPV12</stp>
        <stp>912834MJ Govt</stp>
        <stp>CPN</stp>
        <stp>[STRIPS.xlsx]Sheet1!R233C3</stp>
        <tr r="C233" s="1"/>
      </tp>
      <tp>
        <v>0</v>
        <stp/>
        <stp>##V3_BDPV12</stp>
        <stp>912833MN Govt</stp>
        <stp>CPN</stp>
        <stp>[STRIPS.xlsx]Sheet1!R624C3</stp>
        <tr r="C624" s="1"/>
      </tp>
      <tp>
        <v>0</v>
        <stp/>
        <stp>##V3_BDPV12</stp>
        <stp>912833MG Govt</stp>
        <stp>CPN</stp>
        <stp>[STRIPS.xlsx]Sheet1!R514C3</stp>
        <tr r="C514" s="1"/>
      </tp>
      <tp>
        <v>0</v>
        <stp/>
        <stp>##V3_BDPV12</stp>
        <stp>912833MD Govt</stp>
        <stp>CPN</stp>
        <stp>[STRIPS.xlsx]Sheet1!R304C3</stp>
        <tr r="C304" s="1"/>
      </tp>
      <tp>
        <v>0</v>
        <stp/>
        <stp>##V3_BDPV12</stp>
        <stp>912833MT Govt</stp>
        <stp>CPN</stp>
        <stp>[STRIPS.xlsx]Sheet1!R674C3</stp>
        <tr r="C674" s="1"/>
      </tp>
      <tp>
        <v>0</v>
        <stp/>
        <stp>##V3_BDPV12</stp>
        <stp>912834MV Govt</stp>
        <stp>CPN</stp>
        <stp>[STRIPS.xlsx]Sheet1!R543C3</stp>
        <tr r="C543" s="1"/>
      </tp>
      <tp>
        <v>0</v>
        <stp/>
        <stp>##V3_BDPV12</stp>
        <stp>912834LJ Govt</stp>
        <stp>CPN</stp>
        <stp>[STRIPS.xlsx]Sheet1!R403C3</stp>
        <tr r="C403" s="1"/>
      </tp>
      <tp>
        <v>0</v>
        <stp/>
        <stp>##V3_BDPV12</stp>
        <stp>912834LL Govt</stp>
        <stp>CPN</stp>
        <stp>[STRIPS.xlsx]Sheet1!R323C3</stp>
        <tr r="C323" s="1"/>
      </tp>
      <tp>
        <v>0</v>
        <stp/>
        <stp>##V3_BDPV12</stp>
        <stp>912834LE Govt</stp>
        <stp>CPN</stp>
        <stp>[STRIPS.xlsx]Sheet1!R473C3</stp>
        <tr r="C473" s="1"/>
      </tp>
      <tp>
        <v>0</v>
        <stp/>
        <stp>##V3_BDPV12</stp>
        <stp>912833NJ Govt</stp>
        <stp>CPN</stp>
        <stp>[STRIPS.xlsx]Sheet1!R334C3</stp>
        <tr r="C334" s="1"/>
      </tp>
      <tp>
        <v>0</v>
        <stp/>
        <stp>##V3_BDPV12</stp>
        <stp>912834NY Govt</stp>
        <stp>CPN</stp>
        <stp>[STRIPS.xlsx]Sheet1!R143C3</stp>
        <tr r="C143" s="1"/>
      </tp>
      <tp>
        <v>0</v>
        <stp/>
        <stp>##V3_BDPV12</stp>
        <stp>912834NQ Govt</stp>
        <stp>CPN</stp>
        <stp>[STRIPS.xlsx]Sheet1!R273C3</stp>
        <tr r="C273" s="1"/>
      </tp>
      <tp>
        <v>0</v>
        <stp/>
        <stp>##V3_BDPV12</stp>
        <stp>912834KC Govt</stp>
        <stp>CPN</stp>
        <stp>[STRIPS.xlsx]Sheet1!R133C3</stp>
        <tr r="C133" s="1"/>
      </tp>
      <tp>
        <v>0</v>
        <stp/>
        <stp>##V3_BDPV12</stp>
        <stp>912833KU Govt</stp>
        <stp>CPN</stp>
        <stp>[STRIPS.xlsx]Sheet1!R444C3</stp>
        <tr r="C444" s="1"/>
      </tp>
      <tp>
        <v>0</v>
        <stp/>
        <stp>##V3_BDPV12</stp>
        <stp>912834EM Govt</stp>
        <stp>CPN</stp>
        <stp>[STRIPS.xlsx]Sheet1!R463C3</stp>
        <tr r="C463" s="1"/>
      </tp>
      <tp>
        <v>0</v>
        <stp/>
        <stp>##V3_BDPV12</stp>
        <stp>912834EG Govt</stp>
        <stp>CPN</stp>
        <stp>[STRIPS.xlsx]Sheet1!R533C3</stp>
        <tr r="C533" s="1"/>
      </tp>
      <tp>
        <v>0</v>
        <stp/>
        <stp>##V3_BDPV12</stp>
        <stp>912834EA Govt</stp>
        <stp>CPN</stp>
        <stp>[STRIPS.xlsx]Sheet1!R593C3</stp>
        <tr r="C593" s="1"/>
      </tp>
      <tp>
        <v>0</v>
        <stp/>
        <stp>##V3_BDPV12</stp>
        <stp>912834EY Govt</stp>
        <stp>CPN</stp>
        <stp>[STRIPS.xlsx]Sheet1!R313C3</stp>
        <tr r="C313" s="1"/>
      </tp>
      <tp>
        <v>0</v>
        <stp/>
        <stp>##V3_BDPV12</stp>
        <stp>912834ET Govt</stp>
        <stp>CPN</stp>
        <stp>[STRIPS.xlsx]Sheet1!R393C3</stp>
        <tr r="C393" s="1"/>
      </tp>
      <tp>
        <v>0</v>
        <stp/>
        <stp>##V3_BDPV12</stp>
        <stp>912833DC Govt</stp>
        <stp>CPN</stp>
        <stp>[STRIPS.xlsx]Sheet1!R504C3</stp>
        <tr r="C504" s="1"/>
      </tp>
      <tp>
        <v>0</v>
        <stp/>
        <stp>##V3_BDPV12</stp>
        <stp>912833FR Govt</stp>
        <stp>CPN</stp>
        <stp>[STRIPS.xlsx]Sheet1!R364C3</stp>
        <tr r="C364" s="1"/>
      </tp>
      <tp>
        <v>0</v>
        <stp/>
        <stp>##V3_BDPV12</stp>
        <stp>912833FP Govt</stp>
        <stp>CPN</stp>
        <stp>[STRIPS.xlsx]Sheet1!R664C3</stp>
        <tr r="C664" s="1"/>
      </tp>
      <tp>
        <v>0</v>
        <stp/>
        <stp>##V3_BDPV12</stp>
        <stp>912833CN Govt</stp>
        <stp>CPN</stp>
        <stp>[STRIPS.xlsx]Sheet1!R734C3</stp>
        <tr r="C734" s="1"/>
      </tp>
      <tp>
        <v>0</v>
        <stp/>
        <stp>##V3_BDPV12</stp>
        <stp>912833CB Govt</stp>
        <stp>CPN</stp>
        <stp>[STRIPS.xlsx]Sheet1!R614C3</stp>
        <tr r="C614" s="1"/>
      </tp>
      <tp>
        <v>0</v>
        <stp/>
        <stp>##V3_BDPV12</stp>
        <stp>912833CP Govt</stp>
        <stp>CPN</stp>
        <stp>[STRIPS.xlsx]Sheet1!R564C3</stp>
        <tr r="C564" s="1"/>
      </tp>
      <tp>
        <v>0</v>
        <stp/>
        <stp>##V3_BDPV12</stp>
        <stp>912833C7 Govt</stp>
        <stp>CPN</stp>
        <stp>[STRIPS.xlsx]Sheet1!R294C3</stp>
        <tr r="C294" s="1"/>
      </tp>
      <tp>
        <v>0</v>
        <stp/>
        <stp>##V3_BDPV12</stp>
        <stp>912834BN Govt</stp>
        <stp>CPN</stp>
        <stp>[STRIPS.xlsx]Sheet1!R263C3</stp>
        <tr r="C263" s="1"/>
      </tp>
      <tp>
        <v>0</v>
        <stp/>
        <stp>##V3_BDPV12</stp>
        <stp>912834BM Govt</stp>
        <stp>CPN</stp>
        <stp>[STRIPS.xlsx]Sheet1!R353C3</stp>
        <tr r="C353" s="1"/>
      </tp>
      <tp>
        <v>0</v>
        <stp/>
        <stp>##V3_BDPV12</stp>
        <stp>912834BD Govt</stp>
        <stp>CPN</stp>
        <stp>[STRIPS.xlsx]Sheet1!R643C3</stp>
        <tr r="C643" s="1"/>
      </tp>
      <tp>
        <v>0</v>
        <stp/>
        <stp>##V3_BDPV12</stp>
        <stp>912833B9 Govt</stp>
        <stp>CPN</stp>
        <stp>[STRIPS.xlsx]Sheet1!R434C3</stp>
        <tr r="C434" s="1"/>
      </tp>
      <tp>
        <v>0</v>
        <stp/>
        <stp>##V3_BDPV12</stp>
        <stp>912833B4 Govt</stp>
        <stp>CPN</stp>
        <stp>[STRIPS.xlsx]Sheet1!R654C3</stp>
        <tr r="C654" s="1"/>
      </tp>
      <tp t="s">
        <v>4/30/2013</v>
        <stp/>
        <stp>##V3_BDPV12</stp>
        <stp>912833Z9 Govt</stp>
        <stp>MATURITY</stp>
        <stp>[STRIPS.xlsx]Sheet1!R526C5</stp>
        <tr r="E526" s="1"/>
      </tp>
      <tp t="s">
        <v>2/28/2013</v>
        <stp/>
        <stp>##V3_BDPV12</stp>
        <stp>912833Z7 Govt</stp>
        <stp>MATURITY</stp>
        <stp>[STRIPS.xlsx]Sheet1!R696C5</stp>
        <tr r="E696" s="1"/>
      </tp>
      <tp t="s">
        <v>9/30/2004</v>
        <stp/>
        <stp>##V3_BDPV12</stp>
        <stp>912833YZ Govt</stp>
        <stp>MATURITY</stp>
        <stp>[STRIPS.xlsx]Sheet1!R695C5</stp>
        <tr r="E695" s="1"/>
      </tp>
      <tp t="s">
        <v>5/31/2025</v>
        <stp/>
        <stp>##V3_BDPV12</stp>
        <stp>912834TQ Govt</stp>
        <stp>MATURITY</stp>
        <stp>[STRIPS.xlsx]Sheet1!R758C5</stp>
        <tr r="E758" s="1"/>
      </tp>
      <tp t="s">
        <v>2/29/2004</v>
        <stp/>
        <stp>##V3_BDPV12</stp>
        <stp>912833YR Govt</stp>
        <stp>MATURITY</stp>
        <stp>[STRIPS.xlsx]Sheet1!R345C5</stp>
        <tr r="E345" s="1"/>
      </tp>
      <tp t="s">
        <v>3/31/2004</v>
        <stp/>
        <stp>##V3_BDPV12</stp>
        <stp>912833YS Govt</stp>
        <stp>MATURITY</stp>
        <stp>[STRIPS.xlsx]Sheet1!R585C5</stp>
        <tr r="E585" s="1"/>
      </tp>
      <tp t="s">
        <v>UNITED STATES</v>
        <stp/>
        <stp>##V3_BDPV12</stp>
        <stp>9128335L Govt</stp>
        <stp>COUNTRY_FULL_NAME</stp>
        <stp>[STRIPS.xlsx]Sheet1!R287C8</stp>
        <tr r="H287" s="1"/>
      </tp>
      <tp t="s">
        <v>UNITED STATES</v>
        <stp/>
        <stp>##V3_BDPV12</stp>
        <stp>912834AJ Govt</stp>
        <stp>COUNTRY_FULL_NAME</stp>
        <stp>[STRIPS.xlsx]Sheet1!R591C8</stp>
        <tr r="H591" s="1"/>
      </tp>
      <tp t="s">
        <v>UNITED STATES</v>
        <stp/>
        <stp>##V3_BDPV12</stp>
        <stp>912834BC Govt</stp>
        <stp>COUNTRY_FULL_NAME</stp>
        <stp>[STRIPS.xlsx]Sheet1!R458C8</stp>
        <tr r="H458" s="1"/>
      </tp>
      <tp t="s">
        <v>UNITED STATES</v>
        <stp/>
        <stp>##V3_BDPV12</stp>
        <stp>9128334K Govt</stp>
        <stp>COUNTRY_FULL_NAME</stp>
        <stp>[STRIPS.xlsx]Sheet1!R490C8</stp>
        <tr r="H490" s="1"/>
      </tp>
      <tp t="s">
        <v>UNITED STATES</v>
        <stp/>
        <stp>##V3_BDPV12</stp>
        <stp>912834BB Govt</stp>
        <stp>COUNTRY_FULL_NAME</stp>
        <stp>[STRIPS.xlsx]Sheet1!R349C8</stp>
        <tr r="H349" s="1"/>
      </tp>
      <tp t="s">
        <v>UNITED STATES</v>
        <stp/>
        <stp>##V3_BDPV12</stp>
        <stp>9128336L Govt</stp>
        <stp>COUNTRY_FULL_NAME</stp>
        <stp>[STRIPS.xlsx]Sheet1!R557C8</stp>
        <tr r="H557" s="1"/>
      </tp>
      <tp t="s">
        <v>UNITED STATES</v>
        <stp/>
        <stp>##V3_BDPV12</stp>
        <stp>912833NB Govt</stp>
        <stp>COUNTRY_FULL_NAME</stp>
        <stp>[STRIPS.xlsx]Sheet1!R629C8</stp>
        <tr r="H629" s="1"/>
      </tp>
      <tp t="s">
        <v>UNITED STATES</v>
        <stp/>
        <stp>##V3_BDPV12</stp>
        <stp>912833CM Govt</stp>
        <stp>COUNTRY_FULL_NAME</stp>
        <stp>[STRIPS.xlsx]Sheet1!R656C8</stp>
        <tr r="H656" s="1"/>
      </tp>
      <tp t="s">
        <v>UNITED STATES</v>
        <stp/>
        <stp>##V3_BDPV12</stp>
        <stp>912833RB Govt</stp>
        <stp>COUNTRY_FULL_NAME</stp>
        <stp>[STRIPS.xlsx]Sheet1!R689C8</stp>
        <tr r="H689" s="1"/>
      </tp>
      <tp t="s">
        <v>UNITED STATES</v>
        <stp/>
        <stp>##V3_BDPV12</stp>
        <stp>912834VB Govt</stp>
        <stp>COUNTRY_FULL_NAME</stp>
        <stp>[STRIPS.xlsx]Sheet1!R159C8</stp>
        <tr r="H159" s="1"/>
      </tp>
      <tp t="s">
        <v>UNITED STATES</v>
        <stp/>
        <stp>##V3_BDPV12</stp>
        <stp>912834PB Govt</stp>
        <stp>COUNTRY_FULL_NAME</stp>
        <stp>[STRIPS.xlsx]Sheet1!R109C8</stp>
        <tr r="H109" s="1"/>
      </tp>
      <tp t="s">
        <v>UNITED STATES</v>
        <stp/>
        <stp>##V3_BDPV12</stp>
        <stp>912834PC Govt</stp>
        <stp>COUNTRY_FULL_NAME</stp>
        <stp>[STRIPS.xlsx]Sheet1!R148C8</stp>
        <tr r="H148" s="1"/>
      </tp>
      <tp t="s">
        <v>4/30/2025</v>
        <stp/>
        <stp>##V3_BDPV12</stp>
        <stp>912834TN Govt</stp>
        <stp>MATURITY</stp>
        <stp>[STRIPS.xlsx]Sheet1!R158C5</stp>
        <tr r="E158" s="1"/>
      </tp>
      <tp t="s">
        <v>12/31/2004</v>
        <stp/>
        <stp>##V3_BDPV12</stp>
        <stp>912833ZC Govt</stp>
        <stp>MATURITY</stp>
        <stp>[STRIPS.xlsx]Sheet1!R346C5</stp>
        <tr r="E346" s="1"/>
      </tp>
      <tp t="s">
        <v>6/30/2028</v>
        <stp/>
        <stp>##V3_BDPV12</stp>
        <stp>912834XC Govt</stp>
        <stp>MATURITY</stp>
        <stp>[STRIPS.xlsx]Sheet1!R214C5</stp>
        <tr r="E214" s="1"/>
      </tp>
      <tp t="s">
        <v>7/15/2024</v>
        <stp/>
        <stp>##V3_BDPV12</stp>
        <stp>912834XD Govt</stp>
        <stp>MATURITY</stp>
        <stp>[STRIPS.xlsx]Sheet1!R764C5</stp>
        <tr r="E764" s="1"/>
      </tp>
      <tp>
        <v>0</v>
        <stp/>
        <stp>##V3_BDPV12</stp>
        <stp>9128335V Govt</stp>
        <stp>CPN</stp>
        <stp>[STRIPS.xlsx]Sheet1!R724C3</stp>
        <tr r="C724" s="1"/>
      </tp>
      <tp>
        <v>0</v>
        <stp/>
        <stp>##V3_BDPV12</stp>
        <stp>9128334N Govt</stp>
        <stp>CPN</stp>
        <stp>[STRIPS.xlsx]Sheet1!R744C3</stp>
        <tr r="C744" s="1"/>
      </tp>
      <tp>
        <v>0</v>
        <stp/>
        <stp>##V3_BDPV12</stp>
        <stp>9128334L Govt</stp>
        <stp>CPN</stp>
        <stp>[STRIPS.xlsx]Sheet1!R284C3</stp>
        <tr r="C284" s="1"/>
      </tp>
      <tp>
        <v>0</v>
        <stp/>
        <stp>##V3_BDPV12</stp>
        <stp>9128334F Govt</stp>
        <stp>CPN</stp>
        <stp>[STRIPS.xlsx]Sheet1!R604C3</stp>
        <tr r="C604" s="1"/>
      </tp>
      <tp>
        <v>0</v>
        <stp/>
        <stp>##V3_BDPV12</stp>
        <stp>9128334R Govt</stp>
        <stp>CPN</stp>
        <stp>[STRIPS.xlsx]Sheet1!R554C3</stp>
        <tr r="C554" s="1"/>
      </tp>
      <tp>
        <v>0</v>
        <stp/>
        <stp>##V3_BDPV12</stp>
        <stp>9128337R Govt</stp>
        <stp>CPN</stp>
        <stp>[STRIPS.xlsx]Sheet1!R114C3</stp>
        <tr r="C114" s="1"/>
      </tp>
      <tp>
        <v>0</v>
        <stp/>
        <stp>##V3_BDPV12</stp>
        <stp>9128336G Govt</stp>
        <stp>CPN</stp>
        <stp>[STRIPS.xlsx]Sheet1!R494C3</stp>
        <tr r="C494" s="1"/>
      </tp>
      <tp>
        <v>0</v>
        <stp/>
        <stp>##V3_BDPV12</stp>
        <stp>9128336T Govt</stp>
        <stp>CPN</stp>
        <stp>[STRIPS.xlsx]Sheet1!R714C3</stp>
        <tr r="C714" s="1"/>
      </tp>
      <tp>
        <v>0</v>
        <stp/>
        <stp>##V3_BDPV12</stp>
        <stp>9128333V Govt</stp>
        <stp>CPN</stp>
        <stp>[STRIPS.xlsx]Sheet1!R484C3</stp>
        <tr r="C484" s="1"/>
      </tp>
      <tp>
        <v>0</v>
        <stp/>
        <stp>##V3_BDPV12</stp>
        <stp>9128333P Govt</stp>
        <stp>CPN</stp>
        <stp>[STRIPS.xlsx]Sheet1!R704C3</stp>
        <tr r="C704" s="1"/>
      </tp>
      <tp>
        <v>0</v>
        <stp/>
        <stp>##V3_BDPV12</stp>
        <stp>912833YZ Govt</stp>
        <stp>CPN</stp>
        <stp>[STRIPS.xlsx]Sheet1!R695C3</stp>
        <tr r="C695" s="1"/>
      </tp>
      <tp>
        <v>0</v>
        <stp/>
        <stp>##V3_BDPV12</stp>
        <stp>912833YR Govt</stp>
        <stp>CPN</stp>
        <stp>[STRIPS.xlsx]Sheet1!R345C3</stp>
        <tr r="C345" s="1"/>
      </tp>
      <tp>
        <v>0</v>
        <stp/>
        <stp>##V3_BDPV12</stp>
        <stp>912833YS Govt</stp>
        <stp>CPN</stp>
        <stp>[STRIPS.xlsx]Sheet1!R585C3</stp>
        <tr r="C585" s="1"/>
      </tp>
      <tp>
        <v>0</v>
        <stp/>
        <stp>##V3_BDPV12</stp>
        <stp>912833ZY Govt</stp>
        <stp>CPN</stp>
        <stp>[STRIPS.xlsx]Sheet1!R255C3</stp>
        <tr r="C255" s="1"/>
      </tp>
      <tp>
        <v>0</v>
        <stp/>
        <stp>##V3_BDPV12</stp>
        <stp>912833ZS Govt</stp>
        <stp>CPN</stp>
        <stp>[STRIPS.xlsx]Sheet1!R455C3</stp>
        <tr r="C455" s="1"/>
      </tp>
      <tp>
        <v>0</v>
        <stp/>
        <stp>##V3_BDPV12</stp>
        <stp>912834UX Govt</stp>
        <stp>CPN</stp>
        <stp>[STRIPS.xlsx]Sheet1!R182C3</stp>
        <tr r="C182" s="1"/>
      </tp>
      <tp>
        <v>0</v>
        <stp/>
        <stp>##V3_BDPV12</stp>
        <stp>912834US Govt</stp>
        <stp>CPN</stp>
        <stp>[STRIPS.xlsx]Sheet1!R762C3</stp>
        <tr r="C762" s="1"/>
      </tp>
      <tp>
        <v>0</v>
        <stp/>
        <stp>##V3_BDPV12</stp>
        <stp>912834TM Govt</stp>
        <stp>CPN</stp>
        <stp>[STRIPS.xlsx]Sheet1!R282C3</stp>
        <tr r="C282" s="1"/>
      </tp>
      <tp>
        <v>0</v>
        <stp/>
        <stp>##V3_BDPV12</stp>
        <stp>912834TU Govt</stp>
        <stp>CPN</stp>
        <stp>[STRIPS.xlsx]Sheet1!R752C3</stp>
        <tr r="C752" s="1"/>
      </tp>
      <tp>
        <v>0</v>
        <stp/>
        <stp>##V3_BDPV12</stp>
        <stp>912834WG Govt</stp>
        <stp>CPN</stp>
        <stp>[STRIPS.xlsx]Sheet1!R772C3</stp>
        <tr r="C772" s="1"/>
      </tp>
      <tp>
        <v>0</v>
        <stp/>
        <stp>##V3_BDPV12</stp>
        <stp>912834VQ Govt</stp>
        <stp>CPN</stp>
        <stp>[STRIPS.xlsx]Sheet1!R222C3</stp>
        <tr r="C222" s="1"/>
      </tp>
      <tp>
        <v>0</v>
        <stp/>
        <stp>##V3_BDPV12</stp>
        <stp>912834QL Govt</stp>
        <stp>CPN</stp>
        <stp>[STRIPS.xlsx]Sheet1!R142C3</stp>
        <tr r="C142" s="1"/>
      </tp>
      <tp>
        <v>0</v>
        <stp/>
        <stp>##V3_BDPV12</stp>
        <stp>912833QG Govt</stp>
        <stp>CPN</stp>
        <stp>[STRIPS.xlsx]Sheet1!R685C3</stp>
        <tr r="C685" s="1"/>
      </tp>
      <tp>
        <v>0</v>
        <stp/>
        <stp>##V3_BDPV12</stp>
        <stp>912834PE Govt</stp>
        <stp>CPN</stp>
        <stp>[STRIPS.xlsx]Sheet1!R132C3</stp>
        <tr r="C132" s="1"/>
      </tp>
      <tp>
        <v>0</v>
        <stp/>
        <stp>##V3_BDPV12</stp>
        <stp>912834PY Govt</stp>
        <stp>CPN</stp>
        <stp>[STRIPS.xlsx]Sheet1!R202C3</stp>
        <tr r="C202" s="1"/>
      </tp>
      <tp>
        <v>0</v>
        <stp/>
        <stp>##V3_BDPV12</stp>
        <stp>912834PX Govt</stp>
        <stp>CPN</stp>
        <stp>[STRIPS.xlsx]Sheet1!R412C3</stp>
        <tr r="C412" s="1"/>
      </tp>
      <tp>
        <v>0</v>
        <stp/>
        <stp>##V3_BDPV12</stp>
        <stp>912833PR Govt</stp>
        <stp>CPN</stp>
        <stp>[STRIPS.xlsx]Sheet1!R375C3</stp>
        <tr r="C375" s="1"/>
      </tp>
      <tp>
        <v>0</v>
        <stp/>
        <stp>##V3_BDPV12</stp>
        <stp>912833PT Govt</stp>
        <stp>CPN</stp>
        <stp>[STRIPS.xlsx]Sheet1!R575C3</stp>
        <tr r="C575" s="1"/>
      </tp>
      <tp>
        <v>0</v>
        <stp/>
        <stp>##V3_BDPV12</stp>
        <stp>912834PU Govt</stp>
        <stp>CPN</stp>
        <stp>[STRIPS.xlsx]Sheet1!R212C3</stp>
        <tr r="C212" s="1"/>
      </tp>
      <tp>
        <v>0</v>
        <stp/>
        <stp>##V3_BDPV12</stp>
        <stp>912833RJ Govt</stp>
        <stp>CPN</stp>
        <stp>[STRIPS.xlsx]Sheet1!R245C3</stp>
        <tr r="C245" s="1"/>
      </tp>
      <tp>
        <v>0</v>
        <stp/>
        <stp>##V3_BDPV12</stp>
        <stp>912834RB Govt</stp>
        <stp>CPN</stp>
        <stp>[STRIPS.xlsx]Sheet1!R112C3</stp>
        <tr r="C112" s="1"/>
      </tp>
      <tp>
        <v>0</v>
        <stp/>
        <stp>##V3_BDPV12</stp>
        <stp>912834RV Govt</stp>
        <stp>CPN</stp>
        <stp>[STRIPS.xlsx]Sheet1!R482C3</stp>
        <tr r="C482" s="1"/>
      </tp>
      <tp>
        <v>0</v>
        <stp/>
        <stp>##V3_BDPV12</stp>
        <stp>912833RU Govt</stp>
        <stp>CPN</stp>
        <stp>[STRIPS.xlsx]Sheet1!R635C3</stp>
        <tr r="C635" s="1"/>
      </tp>
      <tp>
        <v>0</v>
        <stp/>
        <stp>##V3_BDPV12</stp>
        <stp>912833RS Govt</stp>
        <stp>CPN</stp>
        <stp>[STRIPS.xlsx]Sheet1!R525C3</stp>
        <tr r="C525" s="1"/>
      </tp>
      <tp>
        <v>0</v>
        <stp/>
        <stp>##V3_BDPV12</stp>
        <stp>912833MK Govt</stp>
        <stp>CPN</stp>
        <stp>[STRIPS.xlsx]Sheet1!R445C3</stp>
        <tr r="C445" s="1"/>
      </tp>
      <tp>
        <v>0</v>
        <stp/>
        <stp>##V3_BDPV12</stp>
        <stp>912834MA Govt</stp>
        <stp>CPN</stp>
        <stp>[STRIPS.xlsx]Sheet1!R172C3</stp>
        <tr r="C172" s="1"/>
      </tp>
      <tp>
        <v>0</v>
        <stp/>
        <stp>##V3_BDPV12</stp>
        <stp>912833MF Govt</stp>
        <stp>CPN</stp>
        <stp>[STRIPS.xlsx]Sheet1!R305C3</stp>
        <tr r="C305" s="1"/>
      </tp>
      <tp>
        <v>0</v>
        <stp/>
        <stp>##V3_BDPV12</stp>
        <stp>912833MU Govt</stp>
        <stp>CPN</stp>
        <stp>[STRIPS.xlsx]Sheet1!R515C3</stp>
        <tr r="C515" s="1"/>
      </tp>
      <tp>
        <v>0</v>
        <stp/>
        <stp>##V3_BDPV12</stp>
        <stp>912834MR Govt</stp>
        <stp>CPN</stp>
        <stp>[STRIPS.xlsx]Sheet1!R272C3</stp>
        <tr r="C272" s="1"/>
      </tp>
      <tp>
        <v>0</v>
        <stp/>
        <stp>##V3_BDPV12</stp>
        <stp>912833MW Govt</stp>
        <stp>CPN</stp>
        <stp>[STRIPS.xlsx]Sheet1!R675C3</stp>
        <tr r="C675" s="1"/>
      </tp>
      <tp>
        <v>0</v>
        <stp/>
        <stp>##V3_BDPV12</stp>
        <stp>912833MP Govt</stp>
        <stp>CPN</stp>
        <stp>[STRIPS.xlsx]Sheet1!R235C3</stp>
        <tr r="C235" s="1"/>
      </tp>
      <tp>
        <v>0</v>
        <stp/>
        <stp>##V3_BDPV12</stp>
        <stp>912833MS Govt</stp>
        <stp>CPN</stp>
        <stp>[STRIPS.xlsx]Sheet1!R625C3</stp>
        <tr r="C625" s="1"/>
      </tp>
      <tp>
        <v>0</v>
        <stp/>
        <stp>##V3_BDPV12</stp>
        <stp>912834MP Govt</stp>
        <stp>CPN</stp>
        <stp>[STRIPS.xlsx]Sheet1!R542C3</stp>
        <tr r="C542" s="1"/>
      </tp>
      <tp>
        <v>0</v>
        <stp/>
        <stp>##V3_BDPV12</stp>
        <stp>912834LH Govt</stp>
        <stp>CPN</stp>
        <stp>[STRIPS.xlsx]Sheet1!R322C3</stp>
        <tr r="C322" s="1"/>
      </tp>
      <tp>
        <v>0</v>
        <stp/>
        <stp>##V3_BDPV12</stp>
        <stp>912834LA Govt</stp>
        <stp>CPN</stp>
        <stp>[STRIPS.xlsx]Sheet1!R402C3</stp>
        <tr r="C402" s="1"/>
      </tp>
      <tp>
        <v>0</v>
        <stp/>
        <stp>##V3_BDPV12</stp>
        <stp>912834LV Govt</stp>
        <stp>CPN</stp>
        <stp>[STRIPS.xlsx]Sheet1!R232C3</stp>
        <tr r="C232" s="1"/>
      </tp>
      <tp>
        <v>0</v>
        <stp/>
        <stp>##V3_BDPV12</stp>
        <stp>912833NL Govt</stp>
        <stp>CPN</stp>
        <stp>[STRIPS.xlsx]Sheet1!R335C3</stp>
        <tr r="C335" s="1"/>
      </tp>
      <tp>
        <v>0</v>
        <stp/>
        <stp>##V3_BDPV12</stp>
        <stp>912834NR Govt</stp>
        <stp>CPN</stp>
        <stp>[STRIPS.xlsx]Sheet1!R422C3</stp>
        <tr r="C422" s="1"/>
      </tp>
      <tp>
        <v>0</v>
        <stp/>
        <stp>##V3_BDPV12</stp>
        <stp>912833KH Govt</stp>
        <stp>CPN</stp>
        <stp>[STRIPS.xlsx]Sheet1!R565C3</stp>
        <tr r="C565" s="1"/>
      </tp>
      <tp>
        <v>0</v>
        <stp/>
        <stp>##V3_BDPV12</stp>
        <stp>912834KY Govt</stp>
        <stp>CPN</stp>
        <stp>[STRIPS.xlsx]Sheet1!R472C3</stp>
        <tr r="C472" s="1"/>
      </tp>
      <tp>
        <v>0</v>
        <stp/>
        <stp>##V3_BDPV12</stp>
        <stp>912834EL Govt</stp>
        <stp>CPN</stp>
        <stp>[STRIPS.xlsx]Sheet1!R462C3</stp>
        <tr r="C462" s="1"/>
      </tp>
      <tp>
        <v>0</v>
        <stp/>
        <stp>##V3_BDPV12</stp>
        <stp>912834EK Govt</stp>
        <stp>CPN</stp>
        <stp>[STRIPS.xlsx]Sheet1!R392C3</stp>
        <tr r="C392" s="1"/>
      </tp>
      <tp>
        <v>0</v>
        <stp/>
        <stp>##V3_BDPV12</stp>
        <stp>912834EE Govt</stp>
        <stp>CPN</stp>
        <stp>[STRIPS.xlsx]Sheet1!R532C3</stp>
        <tr r="C532" s="1"/>
      </tp>
      <tp>
        <v>0</v>
        <stp/>
        <stp>##V3_BDPV12</stp>
        <stp>912834EW Govt</stp>
        <stp>CPN</stp>
        <stp>[STRIPS.xlsx]Sheet1!R312C3</stp>
        <tr r="C312" s="1"/>
      </tp>
      <tp>
        <v>0</v>
        <stp/>
        <stp>##V3_BDPV12</stp>
        <stp>912833DE Govt</stp>
        <stp>CPN</stp>
        <stp>[STRIPS.xlsx]Sheet1!R505C3</stp>
        <tr r="C505" s="1"/>
      </tp>
      <tp>
        <v>0</v>
        <stp/>
        <stp>##V3_BDPV12</stp>
        <stp>912833GD Govt</stp>
        <stp>CPN</stp>
        <stp>[STRIPS.xlsx]Sheet1!R365C3</stp>
        <tr r="C365" s="1"/>
      </tp>
      <tp>
        <v>0</v>
        <stp/>
        <stp>##V3_BDPV12</stp>
        <stp>912833FY Govt</stp>
        <stp>CPN</stp>
        <stp>[STRIPS.xlsx]Sheet1!R665C3</stp>
        <tr r="C665" s="1"/>
      </tp>
      <tp>
        <v>0</v>
        <stp/>
        <stp>##V3_BDPV12</stp>
        <stp>912834AY Govt</stp>
        <stp>CPN</stp>
        <stp>[STRIPS.xlsx]Sheet1!R642C3</stp>
        <tr r="C642" s="1"/>
      </tp>
      <tp>
        <v>0</v>
        <stp/>
        <stp>##V3_BDPV12</stp>
        <stp>912834A2 Govt</stp>
        <stp>CPN</stp>
        <stp>[STRIPS.xlsx]Sheet1!R122C3</stp>
        <tr r="C122" s="1"/>
      </tp>
      <tp>
        <v>0</v>
        <stp/>
        <stp>##V3_BDPV12</stp>
        <stp>912833CH Govt</stp>
        <stp>CPN</stp>
        <stp>[STRIPS.xlsx]Sheet1!R615C3</stp>
        <tr r="C615" s="1"/>
      </tp>
      <tp>
        <v>0</v>
        <stp/>
        <stp>##V3_BDPV12</stp>
        <stp>912833CF Govt</stp>
        <stp>CPN</stp>
        <stp>[STRIPS.xlsx]Sheet1!R655C3</stp>
        <tr r="C655" s="1"/>
      </tp>
      <tp>
        <v>0</v>
        <stp/>
        <stp>##V3_BDPV12</stp>
        <stp>912833CD Govt</stp>
        <stp>CPN</stp>
        <stp>[STRIPS.xlsx]Sheet1!R295C3</stp>
        <tr r="C295" s="1"/>
      </tp>
      <tp>
        <v>0</v>
        <stp/>
        <stp>##V3_BDPV12</stp>
        <stp>912833CW Govt</stp>
        <stp>CPN</stp>
        <stp>[STRIPS.xlsx]Sheet1!R735C3</stp>
        <tr r="C735" s="1"/>
      </tp>
      <tp>
        <v>0</v>
        <stp/>
        <stp>##V3_BDPV12</stp>
        <stp>912833C5 Govt</stp>
        <stp>CPN</stp>
        <stp>[STRIPS.xlsx]Sheet1!R435C3</stp>
        <tr r="C435" s="1"/>
      </tp>
      <tp>
        <v>0</v>
        <stp/>
        <stp>##V3_BDPV12</stp>
        <stp>912834BJ Govt</stp>
        <stp>CPN</stp>
        <stp>[STRIPS.xlsx]Sheet1!R352C3</stp>
        <tr r="C352" s="1"/>
      </tp>
      <tp>
        <v>0</v>
        <stp/>
        <stp>##V3_BDPV12</stp>
        <stp>912834BL Govt</stp>
        <stp>CPN</stp>
        <stp>[STRIPS.xlsx]Sheet1!R262C3</stp>
        <tr r="C262" s="1"/>
      </tp>
      <tp>
        <v>0</v>
        <stp/>
        <stp>##V3_BDPV12</stp>
        <stp>912834BG Govt</stp>
        <stp>CPN</stp>
        <stp>[STRIPS.xlsx]Sheet1!R592C3</stp>
        <tr r="C592" s="1"/>
      </tp>
      <tp t="s">
        <v>3/31/2013</v>
        <stp/>
        <stp>##V3_BDPV12</stp>
        <stp>912833Z8 Govt</stp>
        <stp>MATURITY</stp>
        <stp>[STRIPS.xlsx]Sheet1!R697C5</stp>
        <tr r="E697" s="1"/>
      </tp>
      <tp t="s">
        <v>9/30/2025</v>
        <stp/>
        <stp>##V3_BDPV12</stp>
        <stp>912834TY Govt</stp>
        <stp>MATURITY</stp>
        <stp>[STRIPS.xlsx]Sheet1!R199C5</stp>
        <tr r="E199" s="1"/>
      </tp>
      <tp t="s">
        <v>10/15/2021</v>
        <stp/>
        <stp>##V3_BDPV12</stp>
        <stp>912834TZ Govt</stp>
        <stp>MATURITY</stp>
        <stp>[STRIPS.xlsx]Sheet1!R139C5</stp>
        <tr r="E139" s="1"/>
      </tp>
      <tp t="s">
        <v>1/31/2004</v>
        <stp/>
        <stp>##V3_BDPV12</stp>
        <stp>912833YQ Govt</stp>
        <stp>MATURITY</stp>
        <stp>[STRIPS.xlsx]Sheet1!R344C5</stp>
        <tr r="E344" s="1"/>
      </tp>
      <tp t="s">
        <v>3/15/2006</v>
        <stp/>
        <stp>##V3_BDPV12</stp>
        <stp>912833ZT Govt</stp>
        <stp>MATURITY</stp>
        <stp>[STRIPS.xlsx]Sheet1!R347C5</stp>
        <tr r="E347" s="1"/>
      </tp>
      <tp t="s">
        <v>7/15/2022</v>
        <stp/>
        <stp>##V3_BDPV12</stp>
        <stp>912834UV Govt</stp>
        <stp>MATURITY</stp>
        <stp>[STRIPS.xlsx]Sheet1!R208C5</stp>
        <tr r="E208" s="1"/>
      </tp>
      <tp t="s">
        <v>6/30/2005</v>
        <stp/>
        <stp>##V3_BDPV12</stp>
        <stp>912833ZJ Govt</stp>
        <stp>MATURITY</stp>
        <stp>[STRIPS.xlsx]Sheet1!R527C5</stp>
        <tr r="E527" s="1"/>
      </tp>
      <tp t="s">
        <v>UNITED STATES</v>
        <stp/>
        <stp>##V3_BDPV12</stp>
        <stp>912833KK Govt</stp>
        <stp>COUNTRY_FULL_NAME</stp>
        <stp>[STRIPS.xlsx]Sheet1!R301C8</stp>
        <tr r="H301" s="1"/>
      </tp>
      <tp t="s">
        <v>UNITED STATES</v>
        <stp/>
        <stp>##V3_BDPV12</stp>
        <stp>912833MJ Govt</stp>
        <stp>COUNTRY_FULL_NAME</stp>
        <stp>[STRIPS.xlsx]Sheet1!R370C8</stp>
        <tr r="H370" s="1"/>
      </tp>
      <tp t="s">
        <v>UNITED STATES</v>
        <stp/>
        <stp>##V3_BDPV12</stp>
        <stp>912834NJ Govt</stp>
        <stp>COUNTRY_FULL_NAME</stp>
        <stp>[STRIPS.xlsx]Sheet1!R420C8</stp>
        <tr r="H420" s="1"/>
      </tp>
      <tp t="s">
        <v>UNITED STATES</v>
        <stp/>
        <stp>##V3_BDPV12</stp>
        <stp>912834AM Govt</stp>
        <stp>COUNTRY_FULL_NAME</stp>
        <stp>[STRIPS.xlsx]Sheet1!R457C8</stp>
        <tr r="H457" s="1"/>
      </tp>
      <tp t="s">
        <v>UNITED STATES</v>
        <stp/>
        <stp>##V3_BDPV12</stp>
        <stp>912834LH Govt</stp>
        <stp>COUNTRY_FULL_NAME</stp>
        <stp>[STRIPS.xlsx]Sheet1!R322C8</stp>
        <tr r="H322" s="1"/>
      </tp>
      <tp t="s">
        <v>UNITED STATES</v>
        <stp/>
        <stp>##V3_BDPV12</stp>
        <stp>912834JM Govt</stp>
        <stp>COUNTRY_FULL_NAME</stp>
        <stp>[STRIPS.xlsx]Sheet1!R397C8</stp>
        <tr r="H397" s="1"/>
      </tp>
      <tp t="s">
        <v>UNITED STATES</v>
        <stp/>
        <stp>##V3_BDPV12</stp>
        <stp>912833NM Govt</stp>
        <stp>COUNTRY_FULL_NAME</stp>
        <stp>[STRIPS.xlsx]Sheet1!R517C8</stp>
        <tr r="H517" s="1"/>
      </tp>
      <tp t="s">
        <v>UNITED STATES</v>
        <stp/>
        <stp>##V3_BDPV12</stp>
        <stp>912833MN Govt</stp>
        <stp>COUNTRY_FULL_NAME</stp>
        <stp>[STRIPS.xlsx]Sheet1!R624C8</stp>
        <tr r="H624" s="1"/>
      </tp>
      <tp t="s">
        <v>UNITED STATES</v>
        <stp/>
        <stp>##V3_BDPV12</stp>
        <stp>912833CL Govt</stp>
        <stp>COUNTRY_FULL_NAME</stp>
        <stp>[STRIPS.xlsx]Sheet1!R616C8</stp>
        <tr r="H616" s="1"/>
      </tp>
      <tp t="s">
        <v>UNITED STATES</v>
        <stp/>
        <stp>##V3_BDPV12</stp>
        <stp>912834RN Govt</stp>
        <stp>COUNTRY_FULL_NAME</stp>
        <stp>[STRIPS.xlsx]Sheet1!R194C8</stp>
        <tr r="H194" s="1"/>
      </tp>
      <tp t="s">
        <v>UNITED STATES</v>
        <stp/>
        <stp>##V3_BDPV12</stp>
        <stp>912833PJ Govt</stp>
        <stp>COUNTRY_FULL_NAME</stp>
        <stp>[STRIPS.xlsx]Sheet1!R680C8</stp>
        <tr r="H680" s="1"/>
      </tp>
      <tp t="s">
        <v>UNITED STATES</v>
        <stp/>
        <stp>##V3_BDPV12</stp>
        <stp>912834PN Govt</stp>
        <stp>COUNTRY_FULL_NAME</stp>
        <stp>[STRIPS.xlsx]Sheet1!R164C8</stp>
        <tr r="H164" s="1"/>
      </tp>
      <tp t="s">
        <v>UNITED STATES</v>
        <stp/>
        <stp>##V3_BDPV12</stp>
        <stp>9128334N Govt</stp>
        <stp>COUNTRY_FULL_NAME</stp>
        <stp>[STRIPS.xlsx]Sheet1!R744C8</stp>
        <tr r="H744" s="1"/>
      </tp>
      <tp t="s">
        <v>UNITED STATES</v>
        <stp/>
        <stp>##V3_BDPV12</stp>
        <stp>9128335H Govt</stp>
        <stp>COUNTRY_FULL_NAME</stp>
        <stp>[STRIPS.xlsx]Sheet1!R722C8</stp>
        <tr r="H722" s="1"/>
      </tp>
      <tp t="s">
        <v>UNITED STATES</v>
        <stp/>
        <stp>##V3_BDPV12</stp>
        <stp>9128337J Govt</stp>
        <stp>COUNTRY_FULL_NAME</stp>
        <stp>[STRIPS.xlsx]Sheet1!R730C8</stp>
        <tr r="H730" s="1"/>
      </tp>
      <tp t="s">
        <v>UNITED STATES</v>
        <stp/>
        <stp>##V3_BDPV12</stp>
        <stp>912833CN Govt</stp>
        <stp>COUNTRY_FULL_NAME</stp>
        <stp>[STRIPS.xlsx]Sheet1!R734C8</stp>
        <tr r="H734" s="1"/>
      </tp>
      <tp t="s">
        <v>10/31/2003</v>
        <stp/>
        <stp>##V3_BDPV12</stp>
        <stp>912833YK Govt</stp>
        <stp>MATURITY</stp>
        <stp>[STRIPS.xlsx]Sheet1!R584C5</stp>
        <tr r="E584" s="1"/>
      </tp>
      <tp t="s">
        <v>7/31/2003</v>
        <stp/>
        <stp>##V3_BDPV12</stp>
        <stp>912833YA Govt</stp>
        <stp>MATURITY</stp>
        <stp>[STRIPS.xlsx]Sheet1!R694C5</stp>
        <tr r="E694" s="1"/>
      </tp>
      <tp t="s">
        <v>1/31/2005</v>
        <stp/>
        <stp>##V3_BDPV12</stp>
        <stp>912833ZD Govt</stp>
        <stp>MATURITY</stp>
        <stp>[STRIPS.xlsx]Sheet1!R637C5</stp>
        <tr r="E637" s="1"/>
      </tp>
      <tp t="s">
        <v>3/31/2005</v>
        <stp/>
        <stp>##V3_BDPV12</stp>
        <stp>912833ZF Govt</stp>
        <stp>MATURITY</stp>
        <stp>[STRIPS.xlsx]Sheet1!R587C5</stp>
        <tr r="E587" s="1"/>
      </tp>
      <tp>
        <v>0</v>
        <stp/>
        <stp>##V3_BDPV12</stp>
        <stp>9128335E Govt</stp>
        <stp>CPN</stp>
        <stp>[STRIPS.xlsx]Sheet1!R745C3</stp>
        <tr r="C745" s="1"/>
      </tp>
      <tp>
        <v>0</v>
        <stp/>
        <stp>##V3_BDPV12</stp>
        <stp>9128335D Govt</stp>
        <stp>CPN</stp>
        <stp>[STRIPS.xlsx]Sheet1!R285C3</stp>
        <tr r="C285" s="1"/>
      </tp>
      <tp>
        <v>0</v>
        <stp/>
        <stp>##V3_BDPV12</stp>
        <stp>9128335W Govt</stp>
        <stp>CPN</stp>
        <stp>[STRIPS.xlsx]Sheet1!R725C3</stp>
        <tr r="C725" s="1"/>
      </tp>
      <tp>
        <v>0</v>
        <stp/>
        <stp>##V3_BDPV12</stp>
        <stp>9128335R Govt</stp>
        <stp>CPN</stp>
        <stp>[STRIPS.xlsx]Sheet1!R555C3</stp>
        <tr r="C555" s="1"/>
      </tp>
      <tp>
        <v>0</v>
        <stp/>
        <stp>##V3_BDPV12</stp>
        <stp>9128334J Govt</stp>
        <stp>CPN</stp>
        <stp>[STRIPS.xlsx]Sheet1!R605C3</stp>
        <tr r="C605" s="1"/>
      </tp>
      <tp>
        <v>0</v>
        <stp/>
        <stp>##V3_BDPV12</stp>
        <stp>9128336H Govt</stp>
        <stp>CPN</stp>
        <stp>[STRIPS.xlsx]Sheet1!R495C3</stp>
        <tr r="C495" s="1"/>
      </tp>
      <tp>
        <v>0</v>
        <stp/>
        <stp>##V3_BDPV12</stp>
        <stp>9128336V Govt</stp>
        <stp>CPN</stp>
        <stp>[STRIPS.xlsx]Sheet1!R715C3</stp>
        <tr r="C715" s="1"/>
      </tp>
      <tp>
        <v>0</v>
        <stp/>
        <stp>##V3_BDPV12</stp>
        <stp>9128333W Govt</stp>
        <stp>CPN</stp>
        <stp>[STRIPS.xlsx]Sheet1!R485C3</stp>
        <tr r="C485" s="1"/>
      </tp>
      <tp>
        <v>0</v>
        <stp/>
        <stp>##V3_BDPV12</stp>
        <stp>9128333R Govt</stp>
        <stp>CPN</stp>
        <stp>[STRIPS.xlsx]Sheet1!R705C3</stp>
        <tr r="C705" s="1"/>
      </tp>
      <tp t="s">
        <v>NORMAL</v>
        <stp/>
        <stp>##V3_BDPV12</stp>
        <stp>912833LZ Govt</stp>
        <stp>MTY_TYP</stp>
        <stp>[STRIPS.xlsx]Sheet1!R9C6</stp>
        <tr r="F9" s="1"/>
      </tp>
      <tp t="s">
        <v>#N/A Field Not Applicable</v>
        <stp/>
        <stp>##V3_BDPV12</stp>
        <stp>912833C3 Govt</stp>
        <stp>COUPON_FREQUENCY_DESCRIPTION</stp>
        <stp>[STRIPS.xlsx]Sheet1!R362C10</stp>
        <tr r="J362" s="1"/>
      </tp>
      <tp t="s">
        <v>#N/A Field Not Applicable</v>
        <stp/>
        <stp>##V3_BDPV12</stp>
        <stp>912834A3 Govt</stp>
        <stp>COUPON_FREQUENCY_DESCRIPTION</stp>
        <stp>[STRIPS.xlsx]Sheet1!R119C10</stp>
        <tr r="J119" s="1"/>
      </tp>
      <tp t="s">
        <v>#N/A Field Not Applicable</v>
        <stp/>
        <stp>##V3_BDPV12</stp>
        <stp>912833Y3 Govt</stp>
        <stp>COUPON_FREQUENCY_DESCRIPTION</stp>
        <stp>[STRIPS.xlsx]Sheet1!R103C10</stp>
        <tr r="J103" s="1"/>
      </tp>
      <tp>
        <v>0</v>
        <stp/>
        <stp>##V3_BDPV12</stp>
        <stp>912833YC Govt</stp>
        <stp>CPN</stp>
        <stp>[STRIPS.xlsx]Sheet1!R636C3</stp>
        <tr r="C636" s="1"/>
      </tp>
      <tp>
        <v>0</v>
        <stp/>
        <stp>##V3_BDPV12</stp>
        <stp>912833YU Govt</stp>
        <stp>CPN</stp>
        <stp>[STRIPS.xlsx]Sheet1!R586C3</stp>
        <tr r="C586" s="1"/>
      </tp>
      <tp t="s">
        <v>#N/A Field Not Applicable</v>
        <stp/>
        <stp>##V3_BDPV12</stp>
        <stp>912833A3 Govt</stp>
        <stp>COUPON_FREQUENCY_DESCRIPTION</stp>
        <stp>[STRIPS.xlsx]Sheet1!R731C10</stp>
        <tr r="J731" s="1"/>
      </tp>
      <tp t="s">
        <v>#N/A Field Not Applicable</v>
        <stp/>
        <stp>##V3_BDPV12</stp>
        <stp>912833B3 Govt</stp>
        <stp>COUPON_FREQUENCY_DESCRIPTION</stp>
        <stp>[STRIPS.xlsx]Sheet1!R732C10</stp>
        <tr r="J732" s="1"/>
      </tp>
      <tp>
        <v>0</v>
        <stp/>
        <stp>##V3_BDPV12</stp>
        <stp>912833ZC Govt</stp>
        <stp>CPN</stp>
        <stp>[STRIPS.xlsx]Sheet1!R346C3</stp>
        <tr r="C346" s="1"/>
      </tp>
      <tp>
        <v>0</v>
        <stp/>
        <stp>##V3_BDPV12</stp>
        <stp>912833Z9 Govt</stp>
        <stp>CPN</stp>
        <stp>[STRIPS.xlsx]Sheet1!R526C3</stp>
        <tr r="C526" s="1"/>
      </tp>
      <tp>
        <v>0</v>
        <stp/>
        <stp>##V3_BDPV12</stp>
        <stp>912833Z7 Govt</stp>
        <stp>CPN</stp>
        <stp>[STRIPS.xlsx]Sheet1!R696C3</stp>
        <tr r="C696" s="1"/>
      </tp>
      <tp>
        <v>0</v>
        <stp/>
        <stp>##V3_BDPV12</stp>
        <stp>912834UC Govt</stp>
        <stp>CPN</stp>
        <stp>[STRIPS.xlsx]Sheet1!R761C3</stp>
        <tr r="C761" s="1"/>
      </tp>
      <tp>
        <v>0</v>
        <stp/>
        <stp>##V3_BDPV12</stp>
        <stp>912834UZ Govt</stp>
        <stp>CPN</stp>
        <stp>[STRIPS.xlsx]Sheet1!R181C3</stp>
        <tr r="C181" s="1"/>
      </tp>
      <tp t="s">
        <v>#N/A N/A</v>
        <stp/>
        <stp>##V3_BDPV12</stp>
        <stp>912834TZ Govt</stp>
        <stp>YLD_YTM_BID</stp>
        <stp>[STRIPS.xlsx]Sheet1!R139C4</stp>
        <tr r="D139" s="1"/>
      </tp>
      <tp>
        <v>0.83500000000000796</v>
        <stp/>
        <stp>##V3_BDPV12</stp>
        <stp>912834TY Govt</stp>
        <stp>YLD_YTM_BID</stp>
        <stp>[STRIPS.xlsx]Sheet1!R199C4</stp>
        <tr r="D199" s="1"/>
      </tp>
      <tp>
        <v>0</v>
        <stp/>
        <stp>##V3_BDPV12</stp>
        <stp>912834TD Govt</stp>
        <stp>CPN</stp>
        <stp>[STRIPS.xlsx]Sheet1!R281C3</stp>
        <tr r="C281" s="1"/>
      </tp>
      <tp>
        <v>0</v>
        <stp/>
        <stp>##V3_BDPV12</stp>
        <stp>912834WN Govt</stp>
        <stp>CPN</stp>
        <stp>[STRIPS.xlsx]Sheet1!R191C3</stp>
        <tr r="C191" s="1"/>
      </tp>
      <tp>
        <v>1.1089999999999822</v>
        <stp/>
        <stp>##V3_BDPV12</stp>
        <stp>912834VF Govt</stp>
        <stp>YLD_YTM_BID</stp>
        <stp>[STRIPS.xlsx]Sheet1!R219C4</stp>
        <tr r="D219" s="1"/>
      </tp>
      <tp>
        <v>0</v>
        <stp/>
        <stp>##V3_BDPV12</stp>
        <stp>912834WB Govt</stp>
        <stp>CPN</stp>
        <stp>[STRIPS.xlsx]Sheet1!R771C3</stp>
        <tr r="C771" s="1"/>
      </tp>
      <tp>
        <v>1.0759999999999881</v>
        <stp/>
        <stp>##V3_BDPV12</stp>
        <stp>912834VB Govt</stp>
        <stp>YLD_YTM_BID</stp>
        <stp>[STRIPS.xlsx]Sheet1!R159C4</stp>
        <tr r="D159" s="1"/>
      </tp>
      <tp>
        <v>1.1880000000000113</v>
        <stp/>
        <stp>##V3_BDPV12</stp>
        <stp>912834VU Govt</stp>
        <stp>YLD_YTM_BID</stp>
        <stp>[STRIPS.xlsx]Sheet1!R769C4</stp>
        <tr r="D769" s="1"/>
      </tp>
      <tp>
        <v>1.3599999999999834</v>
        <stp/>
        <stp>##V3_BDPV12</stp>
        <stp>912834WY Govt</stp>
        <stp>YLD_YTM_BID</stp>
        <stp>[STRIPS.xlsx]Sheet1!R189C4</stp>
        <tr r="D189" s="1"/>
      </tp>
      <tp>
        <v>0.41799999999998505</v>
        <stp/>
        <stp>##V3_BDPV12</stp>
        <stp>912834WV Govt</stp>
        <stp>YLD_YTM_BID</stp>
        <stp>[STRIPS.xlsx]Sheet1!R129C4</stp>
        <tr r="D129" s="1"/>
      </tp>
      <tp>
        <v>0</v>
        <stp/>
        <stp>##V3_BDPV12</stp>
        <stp>912834VW Govt</stp>
        <stp>CPN</stp>
        <stp>[STRIPS.xlsx]Sheet1!R131C3</stp>
        <tr r="C131" s="1"/>
      </tp>
      <tp>
        <v>0</v>
        <stp/>
        <stp>##V3_BDPV12</stp>
        <stp>912833QJ Govt</stp>
        <stp>CPN</stp>
        <stp>[STRIPS.xlsx]Sheet1!R686C3</stp>
        <tr r="C686" s="1"/>
      </tp>
      <tp t="s">
        <v>#N/A N/A</v>
        <stp/>
        <stp>##V3_BDPV12</stp>
        <stp>912834PK Govt</stp>
        <stp>YLD_YTM_BID</stp>
        <stp>[STRIPS.xlsx]Sheet1!R329C4</stp>
        <tr r="D329" s="1"/>
      </tp>
      <tp>
        <v>0</v>
        <stp/>
        <stp>##V3_BDPV12</stp>
        <stp>912833QD Govt</stp>
        <stp>CPN</stp>
        <stp>[STRIPS.xlsx]Sheet1!R576C3</stp>
        <tr r="C576" s="1"/>
      </tp>
      <tp>
        <v>0</v>
        <stp/>
        <stp>##V3_BDPV12</stp>
        <stp>912833QA Govt</stp>
        <stp>CPN</stp>
        <stp>[STRIPS.xlsx]Sheet1!R376C3</stp>
        <tr r="C376" s="1"/>
      </tp>
      <tp>
        <v>0</v>
        <stp/>
        <stp>##V3_BDPV12</stp>
        <stp>912834QC Govt</stp>
        <stp>CPN</stp>
        <stp>[STRIPS.xlsx]Sheet1!R141C3</stp>
        <tr r="C141" s="1"/>
      </tp>
      <tp>
        <v>2.2470000000000212</v>
        <stp/>
        <stp>##V3_BDPV12</stp>
        <stp>912834PB Govt</stp>
        <stp>YLD_YTM_BID</stp>
        <stp>[STRIPS.xlsx]Sheet1!R109C4</stp>
        <tr r="D109" s="1"/>
      </tp>
      <tp>
        <v>0</v>
        <stp/>
        <stp>##V3_BDPV12</stp>
        <stp>912834QG Govt</stp>
        <stp>CPN</stp>
        <stp>[STRIPS.xlsx]Sheet1!R211C3</stp>
        <tr r="C211" s="1"/>
      </tp>
      <tp t="s">
        <v>#N/A N/A</v>
        <stp/>
        <stp>##V3_BDPV12</stp>
        <stp>912834PR Govt</stp>
        <stp>YLD_YTM_BID</stp>
        <stp>[STRIPS.xlsx]Sheet1!R549C4</stp>
        <tr r="D549" s="1"/>
      </tp>
      <tp t="s">
        <v>#N/A N/A</v>
        <stp/>
        <stp>##V3_BDPV12</stp>
        <stp>912834PV Govt</stp>
        <stp>YLD_YTM_BID</stp>
        <stp>[STRIPS.xlsx]Sheet1!R479C4</stp>
        <tr r="D479" s="1"/>
      </tp>
      <tp>
        <v>0</v>
        <stp/>
        <stp>##V3_BDPV12</stp>
        <stp>912834QW Govt</stp>
        <stp>CPN</stp>
        <stp>[STRIPS.xlsx]Sheet1!R171C3</stp>
        <tr r="C171" s="1"/>
      </tp>
      <tp>
        <v>0.11299999999998533</v>
        <stp/>
        <stp>##V3_BDPV12</stp>
        <stp>912834PS Govt</stp>
        <stp>YLD_YTM_BID</stp>
        <stp>[STRIPS.xlsx]Sheet1!R209C4</stp>
        <tr r="D209" s="1"/>
      </tp>
      <tp>
        <v>0</v>
        <stp/>
        <stp>##V3_BDPV12</stp>
        <stp>912834QU Govt</stp>
        <stp>CPN</stp>
        <stp>[STRIPS.xlsx]Sheet1!R201C3</stp>
        <tr r="C201" s="1"/>
      </tp>
      <tp>
        <v>0.24799999999998157</v>
        <stp/>
        <stp>##V3_BDPV12</stp>
        <stp>912834QN Govt</stp>
        <stp>YLD_YTM_BID</stp>
        <stp>[STRIPS.xlsx]Sheet1!R179C4</stp>
        <tr r="D179" s="1"/>
      </tp>
      <tp>
        <v>0</v>
        <stp/>
        <stp>##V3_BDPV12</stp>
        <stp>912833PH Govt</stp>
        <stp>CPN</stp>
        <stp>[STRIPS.xlsx]Sheet1!R336C3</stp>
        <tr r="C336" s="1"/>
      </tp>
      <tp>
        <v>0</v>
        <stp/>
        <stp>##V3_BDPV12</stp>
        <stp>912834PF Govt</stp>
        <stp>CPN</stp>
        <stp>[STRIPS.xlsx]Sheet1!R411C3</stp>
        <tr r="C411" s="1"/>
      </tp>
      <tp>
        <v>0.18699999999998163</v>
        <stp/>
        <stp>##V3_BDPV12</stp>
        <stp>912834QE Govt</stp>
        <stp>YLD_YTM_BID</stp>
        <stp>[STRIPS.xlsx]Sheet1!R149C4</stp>
        <tr r="D149" s="1"/>
      </tp>
      <tp t="s">
        <v>#N/A N/A</v>
        <stp/>
        <stp>##V3_BDPV12</stp>
        <stp>912834QZ Govt</stp>
        <stp>YLD_YTM_BID</stp>
        <stp>[STRIPS.xlsx]Sheet1!R279C4</stp>
        <tr r="D279" s="1"/>
      </tp>
      <tp>
        <v>0.58600000000001984</v>
        <stp/>
        <stp>##V3_BDPV12</stp>
        <stp>912834RU Govt</stp>
        <stp>YLD_YTM_BID</stp>
        <stp>[STRIPS.xlsx]Sheet1!R759C4</stp>
        <tr r="D759" s="1"/>
      </tp>
      <tp>
        <v>0.56199999999999584</v>
        <stp/>
        <stp>##V3_BDPV12</stp>
        <stp>912834RS Govt</stp>
        <stp>YLD_YTM_BID</stp>
        <stp>[STRIPS.xlsx]Sheet1!R169C4</stp>
        <tr r="D169" s="1"/>
      </tp>
      <tp>
        <v>0</v>
        <stp/>
        <stp>##V3_BDPV12</stp>
        <stp>912834RH Govt</stp>
        <stp>CPN</stp>
        <stp>[STRIPS.xlsx]Sheet1!R481C3</stp>
        <tr r="C481" s="1"/>
      </tp>
      <tp>
        <v>0</v>
        <stp/>
        <stp>##V3_BDPV12</stp>
        <stp>912834RF Govt</stp>
        <stp>CPN</stp>
        <stp>[STRIPS.xlsx]Sheet1!R551C3</stp>
        <tr r="C551" s="1"/>
      </tp>
      <tp>
        <v>0</v>
        <stp/>
        <stp>##V3_BDPV12</stp>
        <stp>912833RW Govt</stp>
        <stp>CPN</stp>
        <stp>[STRIPS.xlsx]Sheet1!R246C3</stp>
        <tr r="C246" s="1"/>
      </tp>
      <tp>
        <v>0</v>
        <stp/>
        <stp>##V3_BDPV12</stp>
        <stp>912833MH Govt</stp>
        <stp>CPN</stp>
        <stp>[STRIPS.xlsx]Sheet1!R306C3</stp>
        <tr r="C306" s="1"/>
      </tp>
      <tp>
        <v>0</v>
        <stp/>
        <stp>##V3_BDPV12</stp>
        <stp>912834MG Govt</stp>
        <stp>CPN</stp>
        <stp>[STRIPS.xlsx]Sheet1!R271C3</stp>
        <tr r="C271" s="1"/>
      </tp>
      <tp>
        <v>0</v>
        <stp/>
        <stp>##V3_BDPV12</stp>
        <stp>912834MC Govt</stp>
        <stp>CPN</stp>
        <stp>[STRIPS.xlsx]Sheet1!R541C3</stp>
        <tr r="C541" s="1"/>
      </tp>
      <tp t="s">
        <v>#N/A N/A</v>
        <stp/>
        <stp>##V3_BDPV12</stp>
        <stp>912834LY Govt</stp>
        <stp>YLD_YTM_BID</stp>
        <stp>[STRIPS.xlsx]Sheet1!R539C4</stp>
        <tr r="D539" s="1"/>
      </tp>
      <tp>
        <v>0</v>
        <stp/>
        <stp>##V3_BDPV12</stp>
        <stp>912833MV Govt</stp>
        <stp>CPN</stp>
        <stp>[STRIPS.xlsx]Sheet1!R626C3</stp>
        <tr r="C626" s="1"/>
      </tp>
      <tp t="s">
        <v>#N/A N/A</v>
        <stp/>
        <stp>##V3_BDPV12</stp>
        <stp>912834LU Govt</stp>
        <stp>YLD_YTM_BID</stp>
        <stp>[STRIPS.xlsx]Sheet1!R359C4</stp>
        <tr r="D359" s="1"/>
      </tp>
      <tp>
        <v>0</v>
        <stp/>
        <stp>##V3_BDPV12</stp>
        <stp>912833MQ Govt</stp>
        <stp>CPN</stp>
        <stp>[STRIPS.xlsx]Sheet1!R236C3</stp>
        <tr r="C236" s="1"/>
      </tp>
      <tp>
        <v>0</v>
        <stp/>
        <stp>##V3_BDPV12</stp>
        <stp>912834LN Govt</stp>
        <stp>CPN</stp>
        <stp>[STRIPS.xlsx]Sheet1!R231C3</stp>
        <tr r="C231" s="1"/>
      </tp>
      <tp>
        <v>0</v>
        <stp/>
        <stp>##V3_BDPV12</stp>
        <stp>912834LG Govt</stp>
        <stp>CPN</stp>
        <stp>[STRIPS.xlsx]Sheet1!R321C3</stp>
        <tr r="C321" s="1"/>
      </tp>
      <tp t="s">
        <v>#N/A N/A</v>
        <stp/>
        <stp>##V3_BDPV12</stp>
        <stp>912834MU Govt</stp>
        <stp>YLD_YTM_BID</stp>
        <stp>[STRIPS.xlsx]Sheet1!R419C4</stp>
        <tr r="D419" s="1"/>
      </tp>
      <tp t="s">
        <v>#N/A N/A</v>
        <stp/>
        <stp>##V3_BDPV12</stp>
        <stp>912834NM Govt</stp>
        <stp>YLD_YTM_BID</stp>
        <stp>[STRIPS.xlsx]Sheet1!R409C4</stp>
        <tr r="D409" s="1"/>
      </tp>
      <tp>
        <v>0</v>
        <stp/>
        <stp>##V3_BDPV12</stp>
        <stp>912834NN Govt</stp>
        <stp>CPN</stp>
        <stp>[STRIPS.xlsx]Sheet1!R421C3</stp>
        <tr r="C421" s="1"/>
      </tp>
      <tp>
        <v>0</v>
        <stp/>
        <stp>##V3_BDPV12</stp>
        <stp>912833NG Govt</stp>
        <stp>CPN</stp>
        <stp>[STRIPS.xlsx]Sheet1!R516C3</stp>
        <tr r="C516" s="1"/>
      </tp>
      <tp>
        <v>0</v>
        <stp/>
        <stp>##V3_BDPV12</stp>
        <stp>912833ND Govt</stp>
        <stp>CPN</stp>
        <stp>[STRIPS.xlsx]Sheet1!R676C3</stp>
        <tr r="C676" s="1"/>
      </tp>
      <tp>
        <v>0</v>
        <stp/>
        <stp>##V3_BDPV12</stp>
        <stp>912833NA Govt</stp>
        <stp>CPN</stp>
        <stp>[STRIPS.xlsx]Sheet1!R446C3</stp>
        <tr r="C446" s="1"/>
      </tp>
      <tp>
        <v>0</v>
        <stp/>
        <stp>##V3_BDPV12</stp>
        <stp>912834KX Govt</stp>
        <stp>CPN</stp>
        <stp>[STRIPS.xlsx]Sheet1!R471C3</stp>
        <tr r="C471" s="1"/>
      </tp>
      <tp>
        <v>0</v>
        <stp/>
        <stp>##V3_BDPV12</stp>
        <stp>912834KU Govt</stp>
        <stp>CPN</stp>
        <stp>[STRIPS.xlsx]Sheet1!R401C3</stp>
        <tr r="C401" s="1"/>
      </tp>
      <tp>
        <v>0</v>
        <stp/>
        <stp>##V3_BDPV12</stp>
        <stp>912833KS Govt</stp>
        <stp>CPN</stp>
        <stp>[STRIPS.xlsx]Sheet1!R176C3</stp>
        <tr r="C176" s="1"/>
      </tp>
      <tp>
        <v>0</v>
        <stp/>
        <stp>##V3_BDPV12</stp>
        <stp>912833KQ Govt</stp>
        <stp>CPN</stp>
        <stp>[STRIPS.xlsx]Sheet1!R566C3</stp>
        <tr r="C566" s="1"/>
      </tp>
      <tp t="s">
        <v>#N/A N/A</v>
        <stp/>
        <stp>##V3_BDPV12</stp>
        <stp>912834KM Govt</stp>
        <stp>YLD_YTM_BID</stp>
        <stp>[STRIPS.xlsx]Sheet1!R399C4</stp>
        <tr r="D399" s="1"/>
      </tp>
      <tp t="s">
        <v>#N/A N/A</v>
        <stp/>
        <stp>##V3_BDPV12</stp>
        <stp>912834KN Govt</stp>
        <stp>YLD_YTM_BID</stp>
        <stp>[STRIPS.xlsx]Sheet1!R469C4</stp>
        <tr r="D469" s="1"/>
      </tp>
      <tp t="s">
        <v>#N/A N/A</v>
        <stp/>
        <stp>##V3_BDPV12</stp>
        <stp>912834KF Govt</stp>
        <stp>YLD_YTM_BID</stp>
        <stp>[STRIPS.xlsx]Sheet1!R229C4</stp>
        <tr r="D229" s="1"/>
      </tp>
      <tp>
        <v>0</v>
        <stp/>
        <stp>##V3_BDPV12</stp>
        <stp>912834JX Govt</stp>
        <stp>CPN</stp>
        <stp>[STRIPS.xlsx]Sheet1!R221C3</stp>
        <tr r="C221" s="1"/>
      </tp>
      <tp t="s">
        <v>#N/A N/A</v>
        <stp/>
        <stp>##V3_BDPV12</stp>
        <stp>912834KZ Govt</stp>
        <stp>YLD_YTM_BID</stp>
        <stp>[STRIPS.xlsx]Sheet1!R269C4</stp>
        <tr r="D269" s="1"/>
      </tp>
      <tp t="s">
        <v>#N/A N/A</v>
        <stp/>
        <stp>##V3_BDPV12</stp>
        <stp>912834KT Govt</stp>
        <stp>YLD_YTM_BID</stp>
        <stp>[STRIPS.xlsx]Sheet1!R319C4</stp>
        <tr r="D319" s="1"/>
      </tp>
      <tp>
        <v>0</v>
        <stp/>
        <stp>##V3_BDPV12</stp>
        <stp>912833JT Govt</stp>
        <stp>CPN</stp>
        <stp>[STRIPS.xlsx]Sheet1!R156C3</stp>
        <tr r="C156" s="1"/>
      </tp>
      <tp>
        <v>0</v>
        <stp/>
        <stp>##V3_BDPV12</stp>
        <stp>912833JU Govt</stp>
        <stp>CPN</stp>
        <stp>[STRIPS.xlsx]Sheet1!R366C3</stp>
        <tr r="C366" s="1"/>
      </tp>
      <tp>
        <v>0</v>
        <stp/>
        <stp>##V3_BDPV12</stp>
        <stp>912834EC Govt</stp>
        <stp>CPN</stp>
        <stp>[STRIPS.xlsx]Sheet1!R461C3</stp>
        <tr r="C461" s="1"/>
      </tp>
      <tp>
        <v>0</v>
        <stp/>
        <stp>##V3_BDPV12</stp>
        <stp>912834EQ Govt</stp>
        <stp>CPN</stp>
        <stp>[STRIPS.xlsx]Sheet1!R311C3</stp>
        <tr r="C311" s="1"/>
      </tp>
      <tp>
        <v>0</v>
        <stp/>
        <stp>##V3_BDPV12</stp>
        <stp>912834EV Govt</stp>
        <stp>CPN</stp>
        <stp>[STRIPS.xlsx]Sheet1!R101C3</stp>
        <tr r="C101" s="1"/>
      </tp>
      <tp t="s">
        <v>#N/A N/A</v>
        <stp/>
        <stp>##V3_BDPV12</stp>
        <stp>912834EH Govt</stp>
        <stp>YLD_YTM_BID</stp>
        <stp>[STRIPS.xlsx]Sheet1!R309C4</stp>
        <tr r="D309" s="1"/>
      </tp>
      <tp>
        <v>0</v>
        <stp/>
        <stp>##V3_BDPV12</stp>
        <stp>912833DH Govt</stp>
        <stp>CPN</stp>
        <stp>[STRIPS.xlsx]Sheet1!R506C3</stp>
        <tr r="C506" s="1"/>
      </tp>
      <tp>
        <v>0</v>
        <stp/>
        <stp>##V3_BDPV12</stp>
        <stp>912833DG Govt</stp>
        <stp>CPN</stp>
        <stp>[STRIPS.xlsx]Sheet1!R736C3</stp>
        <tr r="C736" s="1"/>
      </tp>
      <tp>
        <v>0</v>
        <stp/>
        <stp>##V3_BDPV12</stp>
        <stp>912834DX Govt</stp>
        <stp>CPN</stp>
        <stp>[STRIPS.xlsx]Sheet1!R391C3</stp>
        <tr r="C391" s="1"/>
      </tp>
      <tp>
        <v>0</v>
        <stp/>
        <stp>##V3_BDPV12</stp>
        <stp>912833GB Govt</stp>
        <stp>CPN</stp>
        <stp>[STRIPS.xlsx]Sheet1!R666C3</stp>
        <tr r="C666" s="1"/>
      </tp>
      <tp>
        <v>0</v>
        <stp/>
        <stp>##V3_BDPV12</stp>
        <stp>912834AJ Govt</stp>
        <stp>CPN</stp>
        <stp>[STRIPS.xlsx]Sheet1!R591C3</stp>
        <tr r="C591" s="1"/>
      </tp>
      <tp>
        <v>0</v>
        <stp/>
        <stp>##V3_BDPV12</stp>
        <stp>912834AZ Govt</stp>
        <stp>CPN</stp>
        <stp>[STRIPS.xlsx]Sheet1!R261C3</stp>
        <tr r="C261" s="1"/>
      </tp>
      <tp>
        <v>0</v>
        <stp/>
        <stp>##V3_BDPV12</stp>
        <stp>912834AW Govt</stp>
        <stp>CPN</stp>
        <stp>[STRIPS.xlsx]Sheet1!R641C3</stp>
        <tr r="C641" s="1"/>
      </tp>
      <tp t="s">
        <v>#N/A N/A</v>
        <stp/>
        <stp>##V3_BDPV12</stp>
        <stp>912834AN Govt</stp>
        <stp>YLD_YTM_BID</stp>
        <stp>[STRIPS.xlsx]Sheet1!R259C4</stp>
        <tr r="D259" s="1"/>
      </tp>
      <tp t="s">
        <v>#N/A N/A</v>
        <stp/>
        <stp>##V3_BDPV12</stp>
        <stp>912834AA Govt</stp>
        <stp>YLD_YTM_BID</stp>
        <stp>[STRIPS.xlsx]Sheet1!R589C4</stp>
        <tr r="D589" s="1"/>
      </tp>
      <tp>
        <v>1.4250000000000096</v>
        <stp/>
        <stp>##V3_BDPV12</stp>
        <stp>912834A3 Govt</stp>
        <stp>YLD_YTM_BID</stp>
        <stp>[STRIPS.xlsx]Sheet1!R119C4</stp>
        <tr r="D119" s="1"/>
      </tp>
      <tp>
        <v>0</v>
        <stp/>
        <stp>##V3_BDPV12</stp>
        <stp>912833CL Govt</stp>
        <stp>CPN</stp>
        <stp>[STRIPS.xlsx]Sheet1!R616C3</stp>
        <tr r="C616" s="1"/>
      </tp>
      <tp>
        <v>0</v>
        <stp/>
        <stp>##V3_BDPV12</stp>
        <stp>912833CM Govt</stp>
        <stp>CPN</stp>
        <stp>[STRIPS.xlsx]Sheet1!R656C3</stp>
        <tr r="C656" s="1"/>
      </tp>
      <tp t="s">
        <v>#N/A N/A</v>
        <stp/>
        <stp>##V3_BDPV12</stp>
        <stp>912834BA Govt</stp>
        <stp>YLD_YTM_BID</stp>
        <stp>[STRIPS.xlsx]Sheet1!R529C4</stp>
        <tr r="D529" s="1"/>
      </tp>
      <tp>
        <v>0</v>
        <stp/>
        <stp>##V3_BDPV12</stp>
        <stp>912833CG Govt</stp>
        <stp>CPN</stp>
        <stp>[STRIPS.xlsx]Sheet1!R296C3</stp>
        <tr r="C296" s="1"/>
      </tp>
      <tp>
        <v>0</v>
        <stp/>
        <stp>##V3_BDPV12</stp>
        <stp>912833CC Govt</stp>
        <stp>CPN</stp>
        <stp>[STRIPS.xlsx]Sheet1!R436C3</stp>
        <tr r="C436" s="1"/>
      </tp>
      <tp t="s">
        <v>#N/A N/A</v>
        <stp/>
        <stp>##V3_BDPV12</stp>
        <stp>912834BB Govt</stp>
        <stp>YLD_YTM_BID</stp>
        <stp>[STRIPS.xlsx]Sheet1!R349C4</stp>
        <tr r="D349" s="1"/>
      </tp>
      <tp t="s">
        <v>#N/A N/A</v>
        <stp/>
        <stp>##V3_BDPV12</stp>
        <stp>912834BQ Govt</stp>
        <stp>YLD_YTM_BID</stp>
        <stp>[STRIPS.xlsx]Sheet1!R459C4</stp>
        <tr r="D459" s="1"/>
      </tp>
      <tp t="s">
        <v>#N/A N/A</v>
        <stp/>
        <stp>##V3_BDPV12</stp>
        <stp>912834BP Govt</stp>
        <stp>YLD_YTM_BID</stp>
        <stp>[STRIPS.xlsx]Sheet1!R389C4</stp>
        <tr r="D389" s="1"/>
      </tp>
      <tp>
        <v>0</v>
        <stp/>
        <stp>##V3_BDPV12</stp>
        <stp>912834BH Govt</stp>
        <stp>CPN</stp>
        <stp>[STRIPS.xlsx]Sheet1!R351C3</stp>
        <tr r="C351" s="1"/>
      </tp>
      <tp>
        <v>0</v>
        <stp/>
        <stp>##V3_BDPV12</stp>
        <stp>912834BR Govt</stp>
        <stp>CPN</stp>
        <stp>[STRIPS.xlsx]Sheet1!R531C3</stp>
        <tr r="C531" s="1"/>
      </tp>
      <tp t="s">
        <v>#N/A Field Not Applicable</v>
        <stp/>
        <stp>##V3_BDPV12</stp>
        <stp>912833X9 Govt</stp>
        <stp>IDX_RATIO</stp>
        <stp>[STRIPS.xlsx]Sheet1!R59C20</stp>
        <tr r="T59" s="1"/>
      </tp>
      <tp t="s">
        <v>9/30/2012</v>
        <stp/>
        <stp>##V3_BDPV12</stp>
        <stp>912833Y6 Govt</stp>
        <stp>MATURITY</stp>
        <stp>[STRIPS.xlsx]Sheet1!R247C5</stp>
        <tr r="E247" s="1"/>
      </tp>
      <tp t="s">
        <v>4/30/2028</v>
        <stp/>
        <stp>##V3_BDPV12</stp>
        <stp>912834WY Govt</stp>
        <stp>MATURITY</stp>
        <stp>[STRIPS.xlsx]Sheet1!R189C5</stp>
        <tr r="E189" s="1"/>
      </tp>
      <tp t="s">
        <v>6/30/2027</v>
        <stp/>
        <stp>##V3_BDPV12</stp>
        <stp>912834VY Govt</stp>
        <stp>MATURITY</stp>
        <stp>[STRIPS.xlsx]Sheet1!R218C5</stp>
        <tr r="E218" s="1"/>
      </tp>
      <tp t="s">
        <v>3/15/2024</v>
        <stp/>
        <stp>##V3_BDPV12</stp>
        <stp>912834WV Govt</stp>
        <stp>MATURITY</stp>
        <stp>[STRIPS.xlsx]Sheet1!R129C5</stp>
        <tr r="E129" s="1"/>
      </tp>
      <tp t="s">
        <v>3/15/2007</v>
        <stp/>
        <stp>##V3_BDPV12</stp>
        <stp>912833ZV Govt</stp>
        <stp>MATURITY</stp>
        <stp>[STRIPS.xlsx]Sheet1!R254C5</stp>
        <tr r="E254" s="1"/>
      </tp>
      <tp t="s">
        <v>UNITED STATES</v>
        <stp/>
        <stp>##V3_BDPV12</stp>
        <stp>9128337K Govt</stp>
        <stp>COUNTRY_FULL_NAME</stp>
        <stp>[STRIPS.xlsx]Sheet1!R292C8</stp>
        <tr r="H292" s="1"/>
      </tp>
      <tp t="s">
        <v>UNITED STATES</v>
        <stp/>
        <stp>##V3_BDPV12</stp>
        <stp>912834ML Govt</stp>
        <stp>COUNTRY_FULL_NAME</stp>
        <stp>[STRIPS.xlsx]Sheet1!R475C8</stp>
        <tr r="H475" s="1"/>
      </tp>
      <tp t="s">
        <v>UNITED STATES</v>
        <stp/>
        <stp>##V3_BDPV12</stp>
        <stp>912833NK Govt</stp>
        <stp>COUNTRY_FULL_NAME</stp>
        <stp>[STRIPS.xlsx]Sheet1!R372C8</stp>
        <tr r="H372" s="1"/>
      </tp>
      <tp t="s">
        <v>UNITED STATES</v>
        <stp/>
        <stp>##V3_BDPV12</stp>
        <stp>912833NL Govt</stp>
        <stp>COUNTRY_FULL_NAME</stp>
        <stp>[STRIPS.xlsx]Sheet1!R335C8</stp>
        <tr r="H335" s="1"/>
      </tp>
      <tp t="s">
        <v>UNITED STATES</v>
        <stp/>
        <stp>##V3_BDPV12</stp>
        <stp>912834LJ Govt</stp>
        <stp>COUNTRY_FULL_NAME</stp>
        <stp>[STRIPS.xlsx]Sheet1!R403C8</stp>
        <tr r="H403" s="1"/>
      </tp>
      <tp t="s">
        <v>UNITED STATES</v>
        <stp/>
        <stp>##V3_BDPV12</stp>
        <stp>912834MN Govt</stp>
        <stp>COUNTRY_FULL_NAME</stp>
        <stp>[STRIPS.xlsx]Sheet1!R417C8</stp>
        <tr r="H417" s="1"/>
      </tp>
      <tp t="s">
        <v>UNITED STATES</v>
        <stp/>
        <stp>##V3_BDPV12</stp>
        <stp>912834RH Govt</stp>
        <stp>COUNTRY_FULL_NAME</stp>
        <stp>[STRIPS.xlsx]Sheet1!R481C8</stp>
        <tr r="H481" s="1"/>
      </tp>
      <tp t="s">
        <v>UNITED STATES</v>
        <stp/>
        <stp>##V3_BDPV12</stp>
        <stp>9128336N Govt</stp>
        <stp>COUNTRY_FULL_NAME</stp>
        <stp>[STRIPS.xlsx]Sheet1!R497C8</stp>
        <tr r="H497" s="1"/>
      </tp>
      <tp t="s">
        <v>UNITED STATES</v>
        <stp/>
        <stp>##V3_BDPV12</stp>
        <stp>9128337H Govt</stp>
        <stp>COUNTRY_FULL_NAME</stp>
        <stp>[STRIPS.xlsx]Sheet1!R431C8</stp>
        <tr r="H431" s="1"/>
      </tp>
      <tp t="s">
        <v>UNITED STATES</v>
        <stp/>
        <stp>##V3_BDPV12</stp>
        <stp>912834JN Govt</stp>
        <stp>COUNTRY_FULL_NAME</stp>
        <stp>[STRIPS.xlsx]Sheet1!R357C8</stp>
        <tr r="H357" s="1"/>
      </tp>
      <tp t="s">
        <v>UNITED STATES</v>
        <stp/>
        <stp>##V3_BDPV12</stp>
        <stp>912834LM Govt</stp>
        <stp>COUNTRY_FULL_NAME</stp>
        <stp>[STRIPS.xlsx]Sheet1!R324C8</stp>
        <tr r="H324" s="1"/>
      </tp>
      <tp t="s">
        <v>UNITED STATES</v>
        <stp/>
        <stp>##V3_BDPV12</stp>
        <stp>912834EK Govt</stp>
        <stp>COUNTRY_FULL_NAME</stp>
        <stp>[STRIPS.xlsx]Sheet1!R392C8</stp>
        <tr r="H392" s="1"/>
      </tp>
      <tp t="s">
        <v>UNITED STATES</v>
        <stp/>
        <stp>##V3_BDPV12</stp>
        <stp>912834BH Govt</stp>
        <stp>COUNTRY_FULL_NAME</stp>
        <stp>[STRIPS.xlsx]Sheet1!R351C8</stp>
        <tr r="H351" s="1"/>
      </tp>
      <tp t="s">
        <v>UNITED STATES</v>
        <stp/>
        <stp>##V3_BDPV12</stp>
        <stp>912834MJ Govt</stp>
        <stp>COUNTRY_FULL_NAME</stp>
        <stp>[STRIPS.xlsx]Sheet1!R233C8</stp>
        <tr r="H233" s="1"/>
      </tp>
      <tp t="s">
        <v>UNITED STATES</v>
        <stp/>
        <stp>##V3_BDPV12</stp>
        <stp>912834RJ Govt</stp>
        <stp>COUNTRY_FULL_NAME</stp>
        <stp>[STRIPS.xlsx]Sheet1!R203C8</stp>
        <tr r="H203" s="1"/>
      </tp>
      <tp t="s">
        <v>UNITED STATES</v>
        <stp/>
        <stp>##V3_BDPV12</stp>
        <stp>912834QJ Govt</stp>
        <stp>COUNTRY_FULL_NAME</stp>
        <stp>[STRIPS.xlsx]Sheet1!R213C8</stp>
        <tr r="H213" s="1"/>
      </tp>
      <tp t="s">
        <v>UNITED STATES</v>
        <stp/>
        <stp>##V3_BDPV12</stp>
        <stp>912833QN Govt</stp>
        <stp>COUNTRY_FULL_NAME</stp>
        <stp>[STRIPS.xlsx]Sheet1!R577C8</stp>
        <tr r="H577" s="1"/>
      </tp>
      <tp t="s">
        <v>UNITED STATES</v>
        <stp/>
        <stp>##V3_BDPV12</stp>
        <stp>912833FK Govt</stp>
        <stp>COUNTRY_FULL_NAME</stp>
        <stp>[STRIPS.xlsx]Sheet1!R662C8</stp>
        <tr r="H662" s="1"/>
      </tp>
      <tp t="s">
        <v>UNITED STATES</v>
        <stp/>
        <stp>##V3_BDPV12</stp>
        <stp>912834TL Govt</stp>
        <stp>COUNTRY_FULL_NAME</stp>
        <stp>[STRIPS.xlsx]Sheet1!R195C8</stp>
        <tr r="H195" s="1"/>
      </tp>
      <tp t="s">
        <v>UNITED STATES</v>
        <stp/>
        <stp>##V3_BDPV12</stp>
        <stp>912834VA Govt</stp>
        <stp>COUNTRY_FULL_NAME</stp>
        <stp>[STRIPS.xlsx]Sheet1!R178C8</stp>
        <tr r="H178" s="1"/>
      </tp>
      <tp t="s">
        <v>UNITED STATES</v>
        <stp/>
        <stp>##V3_BDPV12</stp>
        <stp>9128336A Govt</stp>
        <stp>COUNTRY_FULL_NAME</stp>
        <stp>[STRIPS.xlsx]Sheet1!R748C8</stp>
        <tr r="H748" s="1"/>
      </tp>
      <tp t="s">
        <v>1/31/2027</v>
        <stp/>
        <stp>##V3_BDPV12</stp>
        <stp>912834VL Govt</stp>
        <stp>MATURITY</stp>
        <stp>[STRIPS.xlsx]Sheet1!R138C5</stp>
        <tr r="E138" s="1"/>
      </tp>
      <tp t="s">
        <v>9/15/2022</v>
        <stp/>
        <stp>##V3_BDPV12</stp>
        <stp>912834VA Govt</stp>
        <stp>MATURITY</stp>
        <stp>[STRIPS.xlsx]Sheet1!R178C5</stp>
        <tr r="E178" s="1"/>
      </tp>
      <tp t="s">
        <v>11/30/2004</v>
        <stp/>
        <stp>##V3_BDPV12</stp>
        <stp>912833ZB Govt</stp>
        <stp>MATURITY</stp>
        <stp>[STRIPS.xlsx]Sheet1!R454C5</stp>
        <tr r="E454" s="1"/>
      </tp>
      <tp>
        <v>0</v>
        <stp/>
        <stp>##V3_BDPV12</stp>
        <stp>9128335N Govt</stp>
        <stp>CPN</stp>
        <stp>[STRIPS.xlsx]Sheet1!R746C3</stp>
        <tr r="C746" s="1"/>
      </tp>
      <tp>
        <v>0</v>
        <stp/>
        <stp>##V3_BDPV12</stp>
        <stp>9128335G Govt</stp>
        <stp>CPN</stp>
        <stp>[STRIPS.xlsx]Sheet1!R286C3</stp>
        <tr r="C286" s="1"/>
      </tp>
      <tp>
        <v>0</v>
        <stp/>
        <stp>##V3_BDPV12</stp>
        <stp>9128335Y Govt</stp>
        <stp>CPN</stp>
        <stp>[STRIPS.xlsx]Sheet1!R726C3</stp>
        <tr r="C726" s="1"/>
      </tp>
      <tp>
        <v>0</v>
        <stp/>
        <stp>##V3_BDPV12</stp>
        <stp>9128335T Govt</stp>
        <stp>CPN</stp>
        <stp>[STRIPS.xlsx]Sheet1!R556C3</stp>
        <tr r="C556" s="1"/>
      </tp>
      <tp>
        <v>0</v>
        <stp/>
        <stp>##V3_BDPV12</stp>
        <stp>9128337G Govt</stp>
        <stp>CPN</stp>
        <stp>[STRIPS.xlsx]Sheet1!R716C3</stp>
        <tr r="C716" s="1"/>
      </tp>
      <tp>
        <v>0</v>
        <stp/>
        <stp>##V3_BDPV12</stp>
        <stp>9128336K Govt</stp>
        <stp>CPN</stp>
        <stp>[STRIPS.xlsx]Sheet1!R496C3</stp>
        <tr r="C496" s="1"/>
      </tp>
      <tp>
        <v>0</v>
        <stp/>
        <stp>##V3_BDPV12</stp>
        <stp>9128336U Govt</stp>
        <stp>CPN</stp>
        <stp>[STRIPS.xlsx]Sheet1!R606C3</stp>
        <tr r="C606" s="1"/>
      </tp>
      <tp>
        <v>0</v>
        <stp/>
        <stp>##V3_BDPV12</stp>
        <stp>9128333Y Govt</stp>
        <stp>CPN</stp>
        <stp>[STRIPS.xlsx]Sheet1!R486C3</stp>
        <tr r="C486" s="1"/>
      </tp>
      <tp>
        <v>0</v>
        <stp/>
        <stp>##V3_BDPV12</stp>
        <stp>9128333U Govt</stp>
        <stp>CPN</stp>
        <stp>[STRIPS.xlsx]Sheet1!R706C3</stp>
        <tr r="C706" s="1"/>
      </tp>
      <tp t="s">
        <v>#N/A Field Not Applicable</v>
        <stp/>
        <stp>##V3_BDPV12</stp>
        <stp>912834A2 Govt</stp>
        <stp>COUPON_FREQUENCY_DESCRIPTION</stp>
        <stp>[STRIPS.xlsx]Sheet1!R122C10</stp>
        <tr r="J122" s="1"/>
      </tp>
      <tp>
        <v>0</v>
        <stp/>
        <stp>##V3_BDPV12</stp>
        <stp>912833Y6 Govt</stp>
        <stp>CPN</stp>
        <stp>[STRIPS.xlsx]Sheet1!R247C3</stp>
        <tr r="C247" s="1"/>
      </tp>
      <tp t="s">
        <v>#N/A Field Not Applicable</v>
        <stp/>
        <stp>##V3_BDPV12</stp>
        <stp>912833C2 Govt</stp>
        <stp>COUPON_FREQUENCY_DESCRIPTION</stp>
        <stp>[STRIPS.xlsx]Sheet1!R611C10</stp>
        <tr r="J611" s="1"/>
      </tp>
      <tp t="s">
        <v>#N/A Field Not Applicable</v>
        <stp/>
        <stp>##V3_BDPV12</stp>
        <stp>912833A2 Govt</stp>
        <stp>COUPON_FREQUENCY_DESCRIPTION</stp>
        <stp>[STRIPS.xlsx]Sheet1!R608C10</stp>
        <tr r="J608" s="1"/>
      </tp>
      <tp>
        <v>0</v>
        <stp/>
        <stp>##V3_BDPV12</stp>
        <stp>912834XH Govt</stp>
        <stp>CPN</stp>
        <stp>[STRIPS.xlsx]Sheet1!R150C3</stp>
        <tr r="C150" s="1"/>
      </tp>
      <tp>
        <v>0</v>
        <stp/>
        <stp>##V3_BDPV12</stp>
        <stp>912834XA Govt</stp>
        <stp>CPN</stp>
        <stp>[STRIPS.xlsx]Sheet1!R190C3</stp>
        <tr r="C190" s="1"/>
      </tp>
      <tp>
        <v>0</v>
        <stp/>
        <stp>##V3_BDPV12</stp>
        <stp>912833ZJ Govt</stp>
        <stp>CPN</stp>
        <stp>[STRIPS.xlsx]Sheet1!R527C3</stp>
        <tr r="C527" s="1"/>
      </tp>
      <tp>
        <v>0</v>
        <stp/>
        <stp>##V3_BDPV12</stp>
        <stp>912833ZD Govt</stp>
        <stp>CPN</stp>
        <stp>[STRIPS.xlsx]Sheet1!R637C3</stp>
        <tr r="C637" s="1"/>
      </tp>
      <tp>
        <v>0</v>
        <stp/>
        <stp>##V3_BDPV12</stp>
        <stp>912833ZF Govt</stp>
        <stp>CPN</stp>
        <stp>[STRIPS.xlsx]Sheet1!R587C3</stp>
        <tr r="C587" s="1"/>
      </tp>
      <tp>
        <v>0</v>
        <stp/>
        <stp>##V3_BDPV12</stp>
        <stp>912833ZT Govt</stp>
        <stp>CPN</stp>
        <stp>[STRIPS.xlsx]Sheet1!R347C3</stp>
        <tr r="C347" s="1"/>
      </tp>
      <tp>
        <v>0</v>
        <stp/>
        <stp>##V3_BDPV12</stp>
        <stp>912833Z8 Govt</stp>
        <stp>CPN</stp>
        <stp>[STRIPS.xlsx]Sheet1!R697C3</stp>
        <tr r="C697" s="1"/>
      </tp>
      <tp t="s">
        <v>#N/A Field Not Applicable</v>
        <stp/>
        <stp>##V3_BDPV12</stp>
        <stp>912833B2 Govt</stp>
        <stp>COUPON_FREQUENCY_DESCRIPTION</stp>
        <stp>[STRIPS.xlsx]Sheet1!R561C10</stp>
        <tr r="J561" s="1"/>
      </tp>
      <tp>
        <v>0.73099999999999277</v>
        <stp/>
        <stp>##V3_BDPV12</stp>
        <stp>912834TN Govt</stp>
        <stp>YLD_YTM_BID</stp>
        <stp>[STRIPS.xlsx]Sheet1!R158C4</stp>
        <tr r="D158" s="1"/>
      </tp>
      <tp>
        <v>0</v>
        <stp/>
        <stp>##V3_BDPV12</stp>
        <stp>912834UM Govt</stp>
        <stp>CPN</stp>
        <stp>[STRIPS.xlsx]Sheet1!R180C3</stp>
        <tr r="C180" s="1"/>
      </tp>
      <tp>
        <v>0</v>
        <stp/>
        <stp>##V3_BDPV12</stp>
        <stp>912834UA Govt</stp>
        <stp>CPN</stp>
        <stp>[STRIPS.xlsx]Sheet1!R200C3</stp>
        <tr r="C200" s="1"/>
      </tp>
      <tp>
        <v>0.75199999999999712</v>
        <stp/>
        <stp>##V3_BDPV12</stp>
        <stp>912834TQ Govt</stp>
        <stp>YLD_YTM_BID</stp>
        <stp>[STRIPS.xlsx]Sheet1!R758C4</stp>
        <tr r="D758" s="1"/>
      </tp>
      <tp>
        <v>0</v>
        <stp/>
        <stp>##V3_BDPV12</stp>
        <stp>912834TW Govt</stp>
        <stp>CPN</stp>
        <stp>[STRIPS.xlsx]Sheet1!R760C3</stp>
        <tr r="C760" s="1"/>
      </tp>
      <tp>
        <v>5.0000000000016698E-2</v>
        <stp/>
        <stp>##V3_BDPV12</stp>
        <stp>912834UV Govt</stp>
        <stp>YLD_YTM_BID</stp>
        <stp>[STRIPS.xlsx]Sheet1!R208C4</stp>
        <tr r="D208" s="1"/>
      </tp>
      <tp>
        <v>1.1420000000000208</v>
        <stp/>
        <stp>##V3_BDPV12</stp>
        <stp>912834VL Govt</stp>
        <stp>YLD_YTM_BID</stp>
        <stp>[STRIPS.xlsx]Sheet1!R138C4</stp>
        <tr r="D138" s="1"/>
      </tp>
      <tp>
        <v>0</v>
        <stp/>
        <stp>##V3_BDPV12</stp>
        <stp>912834WF Govt</stp>
        <stp>CPN</stp>
        <stp>[STRIPS.xlsx]Sheet1!R770C3</stp>
        <tr r="C770" s="1"/>
      </tp>
      <tp>
        <v>8.6999999999992639E-2</v>
        <stp/>
        <stp>##V3_BDPV12</stp>
        <stp>912834VA Govt</stp>
        <stp>YLD_YTM_BID</stp>
        <stp>[STRIPS.xlsx]Sheet1!R178C4</stp>
        <tr r="D178" s="1"/>
      </tp>
      <tp>
        <v>1.2199999999999989</v>
        <stp/>
        <stp>##V3_BDPV12</stp>
        <stp>912834VY Govt</stp>
        <stp>YLD_YTM_BID</stp>
        <stp>[STRIPS.xlsx]Sheet1!R218C4</stp>
        <tr r="D218" s="1"/>
      </tp>
      <tp>
        <v>1.3079999999999981</v>
        <stp/>
        <stp>##V3_BDPV12</stp>
        <stp>912834WM Govt</stp>
        <stp>YLD_YTM_BID</stp>
        <stp>[STRIPS.xlsx]Sheet1!R188C4</stp>
        <tr r="D188" s="1"/>
      </tp>
      <tp>
        <v>0.34000000000000696</v>
        <stp/>
        <stp>##V3_BDPV12</stp>
        <stp>912834WL Govt</stp>
        <stp>YLD_YTM_BID</stp>
        <stp>[STRIPS.xlsx]Sheet1!R768C4</stp>
        <tr r="D768" s="1"/>
      </tp>
      <tp>
        <v>0</v>
        <stp/>
        <stp>##V3_BDPV12</stp>
        <stp>912834VG Govt</stp>
        <stp>CPN</stp>
        <stp>[STRIPS.xlsx]Sheet1!R160C3</stp>
        <tr r="C160" s="1"/>
      </tp>
      <tp>
        <v>0</v>
        <stp/>
        <stp>##V3_BDPV12</stp>
        <stp>912834VS Govt</stp>
        <stp>CPN</stp>
        <stp>[STRIPS.xlsx]Sheet1!R170C3</stp>
        <tr r="C170" s="1"/>
      </tp>
      <tp>
        <v>5.7000000000018147E-2</v>
        <stp/>
        <stp>##V3_BDPV12</stp>
        <stp>912834PL Govt</stp>
        <stp>YLD_YTM_BID</stp>
        <stp>[STRIPS.xlsx]Sheet1!R128C4</stp>
        <tr r="D128" s="1"/>
      </tp>
      <tp>
        <v>0</v>
        <stp/>
        <stp>##V3_BDPV12</stp>
        <stp>912833QN Govt</stp>
        <stp>CPN</stp>
        <stp>[STRIPS.xlsx]Sheet1!R577C3</stp>
        <tr r="C577" s="1"/>
      </tp>
      <tp>
        <v>0</v>
        <stp/>
        <stp>##V3_BDPV12</stp>
        <stp>912834QD Govt</stp>
        <stp>CPN</stp>
        <stp>[STRIPS.xlsx]Sheet1!R550C3</stp>
        <tr r="C550" s="1"/>
      </tp>
      <tp>
        <v>-2.6000000000024993E-2</v>
        <stp/>
        <stp>##V3_BDPV12</stp>
        <stp>912834PC Govt</stp>
        <stp>YLD_YTM_BID</stp>
        <stp>[STRIPS.xlsx]Sheet1!R148C4</stp>
        <tr r="D148" s="1"/>
      </tp>
      <tp t="s">
        <v>#N/A N/A</v>
        <stp/>
        <stp>##V3_BDPV12</stp>
        <stp>912834PD Govt</stp>
        <stp>YLD_YTM_BID</stp>
        <stp>[STRIPS.xlsx]Sheet1!R478C4</stp>
        <tr r="D478" s="1"/>
      </tp>
      <tp>
        <v>0</v>
        <stp/>
        <stp>##V3_BDPV12</stp>
        <stp>912833QQ Govt</stp>
        <stp>CPN</stp>
        <stp>[STRIPS.xlsx]Sheet1!R377C3</stp>
        <tr r="C377" s="1"/>
      </tp>
      <tp>
        <v>0</v>
        <stp/>
        <stp>##V3_BDPV12</stp>
        <stp>912833QP Govt</stp>
        <stp>CPN</stp>
        <stp>[STRIPS.xlsx]Sheet1!R687C3</stp>
        <tr r="C687" s="1"/>
      </tp>
      <tp>
        <v>0</v>
        <stp/>
        <stp>##V3_BDPV12</stp>
        <stp>912834QR Govt</stp>
        <stp>CPN</stp>
        <stp>[STRIPS.xlsx]Sheet1!R480C3</stp>
        <tr r="C480" s="1"/>
      </tp>
      <tp>
        <v>0</v>
        <stp/>
        <stp>##V3_BDPV12</stp>
        <stp>912833QT Govt</stp>
        <stp>CPN</stp>
        <stp>[STRIPS.xlsx]Sheet1!R307C3</stp>
        <tr r="C307" s="1"/>
      </tp>
      <tp t="s">
        <v>#N/A N/A</v>
        <stp/>
        <stp>##V3_BDPV12</stp>
        <stp>912834QK Govt</stp>
        <stp>YLD_YTM_BID</stp>
        <stp>[STRIPS.xlsx]Sheet1!R278C4</stp>
        <tr r="D278" s="1"/>
      </tp>
      <tp>
        <v>0</v>
        <stp/>
        <stp>##V3_BDPV12</stp>
        <stp>912834PQ Govt</stp>
        <stp>CPN</stp>
        <stp>[STRIPS.xlsx]Sheet1!R140C3</stp>
        <tr r="C140" s="1"/>
      </tp>
      <tp>
        <v>0</v>
        <stp/>
        <stp>##V3_BDPV12</stp>
        <stp>912833PP Govt</stp>
        <stp>CPN</stp>
        <stp>[STRIPS.xlsx]Sheet1!R337C3</stp>
        <tr r="C337" s="1"/>
      </tp>
      <tp>
        <v>2.2629999999999928</v>
        <stp/>
        <stp>##V3_BDPV12</stp>
        <stp>912834QP Govt</stp>
        <stp>YLD_YTM_BID</stp>
        <stp>[STRIPS.xlsx]Sheet1!R108C4</stp>
        <tr r="D108" s="1"/>
      </tp>
      <tp>
        <v>0.4830000000000112</v>
        <stp/>
        <stp>##V3_BDPV12</stp>
        <stp>912834RL Govt</stp>
        <stp>YLD_YTM_BID</stp>
        <stp>[STRIPS.xlsx]Sheet1!R198C4</stp>
        <tr r="D198" s="1"/>
      </tp>
      <tp>
        <v>0.40599999999999525</v>
        <stp/>
        <stp>##V3_BDPV12</stp>
        <stp>912834RE Govt</stp>
        <stp>YLD_YTM_BID</stp>
        <stp>[STRIPS.xlsx]Sheet1!R168C4</stp>
        <tr r="D168" s="1"/>
      </tp>
      <tp>
        <v>0</v>
        <stp/>
        <stp>##V3_BDPV12</stp>
        <stp>912834RT Govt</stp>
        <stp>CPN</stp>
        <stp>[STRIPS.xlsx]Sheet1!R280C3</stp>
        <tr r="C280" s="1"/>
      </tp>
      <tp>
        <v>0</v>
        <stp/>
        <stp>##V3_BDPV12</stp>
        <stp>912833ME Govt</stp>
        <stp>CPN</stp>
        <stp>[STRIPS.xlsx]Sheet1!R567C3</stp>
        <tr r="C567" s="1"/>
      </tp>
      <tp>
        <v>0</v>
        <stp/>
        <stp>##V3_BDPV12</stp>
        <stp>912834MB Govt</stp>
        <stp>CPN</stp>
        <stp>[STRIPS.xlsx]Sheet1!R540C3</stp>
        <tr r="C540" s="1"/>
      </tp>
      <tp>
        <v>0</v>
        <stp/>
        <stp>##V3_BDPV12</stp>
        <stp>912833MX Govt</stp>
        <stp>CPN</stp>
        <stp>[STRIPS.xlsx]Sheet1!R627C3</stp>
        <tr r="C627" s="1"/>
      </tp>
      <tp t="s">
        <v>#N/A N/A</v>
        <stp/>
        <stp>##V3_BDPV12</stp>
        <stp>912834LT Govt</stp>
        <stp>YLD_YTM_BID</stp>
        <stp>[STRIPS.xlsx]Sheet1!R358C4</stp>
        <tr r="D358" s="1"/>
      </tp>
      <tp>
        <v>0</v>
        <stp/>
        <stp>##V3_BDPV12</stp>
        <stp>912834LF Govt</stp>
        <stp>CPN</stp>
        <stp>[STRIPS.xlsx]Sheet1!R320C3</stp>
        <tr r="C320" s="1"/>
      </tp>
      <tp t="s">
        <v>#N/A N/A</v>
        <stp/>
        <stp>##V3_BDPV12</stp>
        <stp>912834MY Govt</stp>
        <stp>YLD_YTM_BID</stp>
        <stp>[STRIPS.xlsx]Sheet1!R328C4</stp>
        <tr r="D328" s="1"/>
      </tp>
      <tp>
        <v>0</v>
        <stp/>
        <stp>##V3_BDPV12</stp>
        <stp>912834LS Govt</stp>
        <stp>CPN</stp>
        <stp>[STRIPS.xlsx]Sheet1!R270C3</stp>
        <tr r="C270" s="1"/>
      </tp>
      <tp t="s">
        <v>#N/A N/A</v>
        <stp/>
        <stp>##V3_BDPV12</stp>
        <stp>912834MQ Govt</stp>
        <stp>YLD_YTM_BID</stp>
        <stp>[STRIPS.xlsx]Sheet1!R418C4</stp>
        <tr r="D418" s="1"/>
      </tp>
      <tp>
        <v>0</v>
        <stp/>
        <stp>##V3_BDPV12</stp>
        <stp>912834LW Govt</stp>
        <stp>CPN</stp>
        <stp>[STRIPS.xlsx]Sheet1!R360C3</stp>
        <tr r="C360" s="1"/>
      </tp>
      <tp t="s">
        <v>#N/A N/A</v>
        <stp/>
        <stp>##V3_BDPV12</stp>
        <stp>912834NL Govt</stp>
        <stp>YLD_YTM_BID</stp>
        <stp>[STRIPS.xlsx]Sheet1!R408C4</stp>
        <tr r="D408" s="1"/>
      </tp>
      <tp t="s">
        <v>#N/A N/A</v>
        <stp/>
        <stp>##V3_BDPV12</stp>
        <stp>912834NW Govt</stp>
        <stp>YLD_YTM_BID</stp>
        <stp>[STRIPS.xlsx]Sheet1!R548C4</stp>
        <tr r="D548" s="1"/>
      </tp>
      <tp>
        <v>0</v>
        <stp/>
        <stp>##V3_BDPV12</stp>
        <stp>912833NM Govt</stp>
        <stp>CPN</stp>
        <stp>[STRIPS.xlsx]Sheet1!R517C3</stp>
        <tr r="C517" s="1"/>
      </tp>
      <tp>
        <v>0</v>
        <stp/>
        <stp>##V3_BDPV12</stp>
        <stp>912833NH Govt</stp>
        <stp>CPN</stp>
        <stp>[STRIPS.xlsx]Sheet1!R237C3</stp>
        <tr r="C237" s="1"/>
      </tp>
      <tp>
        <v>0</v>
        <stp/>
        <stp>##V3_BDPV12</stp>
        <stp>912834NJ Govt</stp>
        <stp>CPN</stp>
        <stp>[STRIPS.xlsx]Sheet1!R420C3</stp>
        <tr r="C420" s="1"/>
      </tp>
      <tp>
        <v>0</v>
        <stp/>
        <stp>##V3_BDPV12</stp>
        <stp>912833NF Govt</stp>
        <stp>CPN</stp>
        <stp>[STRIPS.xlsx]Sheet1!R447C3</stp>
        <tr r="C447" s="1"/>
      </tp>
      <tp>
        <v>0</v>
        <stp/>
        <stp>##V3_BDPV12</stp>
        <stp>912834NX Govt</stp>
        <stp>CPN</stp>
        <stp>[STRIPS.xlsx]Sheet1!R410C3</stp>
        <tr r="C410" s="1"/>
      </tp>
      <tp>
        <v>0</v>
        <stp/>
        <stp>##V3_BDPV12</stp>
        <stp>912834NP Govt</stp>
        <stp>CPN</stp>
        <stp>[STRIPS.xlsx]Sheet1!R130C3</stp>
        <tr r="C130" s="1"/>
      </tp>
      <tp>
        <v>0</v>
        <stp/>
        <stp>##V3_BDPV12</stp>
        <stp>912833NQ Govt</stp>
        <stp>CPN</stp>
        <stp>[STRIPS.xlsx]Sheet1!R677C3</stp>
        <tr r="C677" s="1"/>
      </tp>
      <tp t="s">
        <v>#N/A N/A</v>
        <stp/>
        <stp>##V3_BDPV12</stp>
        <stp>912834JL Govt</stp>
        <stp>YLD_YTM_BID</stp>
        <stp>[STRIPS.xlsx]Sheet1!R538C4</stp>
        <tr r="D538" s="1"/>
      </tp>
      <tp>
        <v>0</v>
        <stp/>
        <stp>##V3_BDPV12</stp>
        <stp>912833KB Govt</stp>
        <stp>CPN</stp>
        <stp>[STRIPS.xlsx]Sheet1!R367C3</stp>
        <tr r="C367" s="1"/>
      </tp>
      <tp t="s">
        <v>#N/A N/A</v>
        <stp/>
        <stp>##V3_BDPV12</stp>
        <stp>912834JG Govt</stp>
        <stp>YLD_YTM_BID</stp>
        <stp>[STRIPS.xlsx]Sheet1!R228C4</stp>
        <tr r="D228" s="1"/>
      </tp>
      <tp>
        <v>0</v>
        <stp/>
        <stp>##V3_BDPV12</stp>
        <stp>912834KB Govt</stp>
        <stp>CPN</stp>
        <stp>[STRIPS.xlsx]Sheet1!R110C3</stp>
        <tr r="C110" s="1"/>
      </tp>
      <tp>
        <v>0</v>
        <stp/>
        <stp>##V3_BDPV12</stp>
        <stp>912834KG Govt</stp>
        <stp>CPN</stp>
        <stp>[STRIPS.xlsx]Sheet1!R230C3</stp>
        <tr r="C230" s="1"/>
      </tp>
      <tp>
        <v>0</v>
        <stp/>
        <stp>##V3_BDPV12</stp>
        <stp>912833KX Govt</stp>
        <stp>CPN</stp>
        <stp>[STRIPS.xlsx]Sheet1!R157C3</stp>
        <tr r="C157" s="1"/>
      </tp>
      <tp>
        <v>0</v>
        <stp/>
        <stp>##V3_BDPV12</stp>
        <stp>912834KW Govt</stp>
        <stp>CPN</stp>
        <stp>[STRIPS.xlsx]Sheet1!R470C3</stp>
        <tr r="C470" s="1"/>
      </tp>
      <tp>
        <v>0</v>
        <stp/>
        <stp>##V3_BDPV12</stp>
        <stp>912834KR Govt</stp>
        <stp>CPN</stp>
        <stp>[STRIPS.xlsx]Sheet1!R400C3</stp>
        <tr r="C400" s="1"/>
      </tp>
      <tp>
        <v>0</v>
        <stp/>
        <stp>##V3_BDPV12</stp>
        <stp>912833KW Govt</stp>
        <stp>CPN</stp>
        <stp>[STRIPS.xlsx]Sheet1!R177C3</stp>
        <tr r="C177" s="1"/>
      </tp>
      <tp t="s">
        <v>#N/A N/A</v>
        <stp/>
        <stp>##V3_BDPV12</stp>
        <stp>912834KL Govt</stp>
        <stp>YLD_YTM_BID</stp>
        <stp>[STRIPS.xlsx]Sheet1!R468C4</stp>
        <tr r="D468" s="1"/>
      </tp>
      <tp t="s">
        <v>#N/A N/A</v>
        <stp/>
        <stp>##V3_BDPV12</stp>
        <stp>912834KD Govt</stp>
        <stp>YLD_YTM_BID</stp>
        <stp>[STRIPS.xlsx]Sheet1!R398C4</stp>
        <tr r="D398" s="1"/>
      </tp>
      <tp t="s">
        <v>#N/A N/A</v>
        <stp/>
        <stp>##V3_BDPV12</stp>
        <stp>912834KQ Govt</stp>
        <stp>YLD_YTM_BID</stp>
        <stp>[STRIPS.xlsx]Sheet1!R318C4</stp>
        <tr r="D318" s="1"/>
      </tp>
      <tp>
        <v>0</v>
        <stp/>
        <stp>##V3_BDPV12</stp>
        <stp>912834JW Govt</stp>
        <stp>CPN</stp>
        <stp>[STRIPS.xlsx]Sheet1!R210C3</stp>
        <tr r="C210" s="1"/>
      </tp>
      <tp t="s">
        <v>#N/A N/A</v>
        <stp/>
        <stp>##V3_BDPV12</stp>
        <stp>912834KS Govt</stp>
        <stp>YLD_YTM_BID</stp>
        <stp>[STRIPS.xlsx]Sheet1!R268C4</stp>
        <tr r="D268" s="1"/>
      </tp>
      <tp>
        <v>0</v>
        <stp/>
        <stp>##V3_BDPV12</stp>
        <stp>912834EN Govt</stp>
        <stp>CPN</stp>
        <stp>[STRIPS.xlsx]Sheet1!R310C3</stp>
        <tr r="C310" s="1"/>
      </tp>
      <tp>
        <v>0</v>
        <stp/>
        <stp>##V3_BDPV12</stp>
        <stp>912833DA Govt</stp>
        <stp>CPN</stp>
        <stp>[STRIPS.xlsx]Sheet1!R167C3</stp>
        <tr r="C167" s="1"/>
      </tp>
      <tp>
        <v>0</v>
        <stp/>
        <stp>##V3_BDPV12</stp>
        <stp>912834DZ Govt</stp>
        <stp>CPN</stp>
        <stp>[STRIPS.xlsx]Sheet1!R460C3</stp>
        <tr r="C460" s="1"/>
      </tp>
      <tp>
        <v>0</v>
        <stp/>
        <stp>##V3_BDPV12</stp>
        <stp>912834DW Govt</stp>
        <stp>CPN</stp>
        <stp>[STRIPS.xlsx]Sheet1!R390C3</stp>
        <tr r="C390" s="1"/>
      </tp>
      <tp>
        <v>0</v>
        <stp/>
        <stp>##V3_BDPV12</stp>
        <stp>912833GF Govt</stp>
        <stp>CPN</stp>
        <stp>[STRIPS.xlsx]Sheet1!R667C3</stp>
        <tr r="C667" s="1"/>
      </tp>
      <tp>
        <v>0</v>
        <stp/>
        <stp>##V3_BDPV12</stp>
        <stp>912833FJ Govt</stp>
        <stp>CPN</stp>
        <stp>[STRIPS.xlsx]Sheet1!R737C3</stp>
        <tr r="C737" s="1"/>
      </tp>
      <tp>
        <v>0</v>
        <stp/>
        <stp>##V3_BDPV12</stp>
        <stp>912833FH Govt</stp>
        <stp>CPN</stp>
        <stp>[STRIPS.xlsx]Sheet1!R507C3</stp>
        <tr r="C507" s="1"/>
      </tp>
      <tp>
        <v>0</v>
        <stp/>
        <stp>##V3_BDPV12</stp>
        <stp>912834FB Govt</stp>
        <stp>CPN</stp>
        <stp>[STRIPS.xlsx]Sheet1!R120C3</stp>
        <tr r="C120" s="1"/>
      </tp>
      <tp>
        <v>0</v>
        <stp/>
        <stp>##V3_BDPV12</stp>
        <stp>912834AG Govt</stp>
        <stp>CPN</stp>
        <stp>[STRIPS.xlsx]Sheet1!R590C3</stp>
        <tr r="C590" s="1"/>
      </tp>
      <tp>
        <v>0</v>
        <stp/>
        <stp>##V3_BDPV12</stp>
        <stp>912834AQ Govt</stp>
        <stp>CPN</stp>
        <stp>[STRIPS.xlsx]Sheet1!R260C3</stp>
        <tr r="C260" s="1"/>
      </tp>
      <tp t="s">
        <v>#N/A N/A</v>
        <stp/>
        <stp>##V3_BDPV12</stp>
        <stp>912834AL Govt</stp>
        <stp>YLD_YTM_BID</stp>
        <stp>[STRIPS.xlsx]Sheet1!R258C4</stp>
        <tr r="D258" s="1"/>
      </tp>
      <tp>
        <v>2.0820000000000061</v>
        <stp/>
        <stp>##V3_BDPV12</stp>
        <stp>912834AE Govt</stp>
        <stp>YLD_YTM_BID</stp>
        <stp>[STRIPS.xlsx]Sheet1!R118C4</stp>
        <tr r="D118" s="1"/>
      </tp>
      <tp t="s">
        <v>#N/A N/A</v>
        <stp/>
        <stp>##V3_BDPV12</stp>
        <stp>912834AX Govt</stp>
        <stp>YLD_YTM_BID</stp>
        <stp>[STRIPS.xlsx]Sheet1!R388C4</stp>
        <tr r="D388" s="1"/>
      </tp>
      <tp>
        <v>0</v>
        <stp/>
        <stp>##V3_BDPV12</stp>
        <stp>912833CJ Govt</stp>
        <stp>CPN</stp>
        <stp>[STRIPS.xlsx]Sheet1!R297C3</stp>
        <tr r="C297" s="1"/>
      </tp>
      <tp t="s">
        <v>#N/A N/A</v>
        <stp/>
        <stp>##V3_BDPV12</stp>
        <stp>912834BK Govt</stp>
        <stp>YLD_YTM_BID</stp>
        <stp>[STRIPS.xlsx]Sheet1!R308C4</stp>
        <tr r="D308" s="1"/>
      </tp>
      <tp>
        <v>0</v>
        <stp/>
        <stp>##V3_BDPV12</stp>
        <stp>912833CE Govt</stp>
        <stp>CPN</stp>
        <stp>[STRIPS.xlsx]Sheet1!R437C3</stp>
        <tr r="C437" s="1"/>
      </tp>
      <tp t="s">
        <v>#N/A N/A</v>
        <stp/>
        <stp>##V3_BDPV12</stp>
        <stp>912834BC Govt</stp>
        <stp>YLD_YTM_BID</stp>
        <stp>[STRIPS.xlsx]Sheet1!R458C4</stp>
        <tr r="D458" s="1"/>
      </tp>
      <tp>
        <v>0</v>
        <stp/>
        <stp>##V3_BDPV12</stp>
        <stp>912833CT Govt</stp>
        <stp>CPN</stp>
        <stp>[STRIPS.xlsx]Sheet1!R657C3</stp>
        <tr r="C657" s="1"/>
      </tp>
      <tp>
        <v>0</v>
        <stp/>
        <stp>##V3_BDPV12</stp>
        <stp>912833CR Govt</stp>
        <stp>CPN</stp>
        <stp>[STRIPS.xlsx]Sheet1!R617C3</stp>
        <tr r="C617" s="1"/>
      </tp>
      <tp>
        <v>0</v>
        <stp/>
        <stp>##V3_BDPV12</stp>
        <stp>912834BE Govt</stp>
        <stp>CPN</stp>
        <stp>[STRIPS.xlsx]Sheet1!R530C3</stp>
        <tr r="C530" s="1"/>
      </tp>
      <tp>
        <v>0</v>
        <stp/>
        <stp>##V3_BDPV12</stp>
        <stp>912834BF Govt</stp>
        <stp>CPN</stp>
        <stp>[STRIPS.xlsx]Sheet1!R350C3</stp>
        <tr r="C350" s="1"/>
      </tp>
      <tp t="s">
        <v>#N/A Field Not Applicable</v>
        <stp/>
        <stp>##V3_BDPV12</stp>
        <stp>912833X8 Govt</stp>
        <stp>IDX_RATIO</stp>
        <stp>[STRIPS.xlsx]Sheet1!R66C20</stp>
        <tr r="T66" s="1"/>
      </tp>
      <tp t="s">
        <v>9/15/2008</v>
        <stp/>
        <stp>##V3_BDPV12</stp>
        <stp>912833ZY Govt</stp>
        <stp>MATURITY</stp>
        <stp>[STRIPS.xlsx]Sheet1!R255C5</stp>
        <tr r="E255" s="1"/>
      </tp>
      <tp t="s">
        <v>9/15/2005</v>
        <stp/>
        <stp>##V3_BDPV12</stp>
        <stp>912833ZS Govt</stp>
        <stp>MATURITY</stp>
        <stp>[STRIPS.xlsx]Sheet1!R455C5</stp>
        <tr r="E455" s="1"/>
      </tp>
      <tp t="s">
        <v>5/31/2004</v>
        <stp/>
        <stp>##V3_BDPV12</stp>
        <stp>912833YU Govt</stp>
        <stp>MATURITY</stp>
        <stp>[STRIPS.xlsx]Sheet1!R586C5</stp>
        <tr r="E586" s="1"/>
      </tp>
      <tp t="s">
        <v>4/30/2027</v>
        <stp/>
        <stp>##V3_BDPV12</stp>
        <stp>912834VU Govt</stp>
        <stp>MATURITY</stp>
        <stp>[STRIPS.xlsx]Sheet1!R769C5</stp>
        <tr r="E769" s="1"/>
      </tp>
      <tp t="s">
        <v>UNITED STATES</v>
        <stp/>
        <stp>##V3_BDPV12</stp>
        <stp>9128334L Govt</stp>
        <stp>COUNTRY_FULL_NAME</stp>
        <stp>[STRIPS.xlsx]Sheet1!R284C8</stp>
        <tr r="H284" s="1"/>
      </tp>
      <tp t="s">
        <v>UNITED STATES</v>
        <stp/>
        <stp>##V3_BDPV12</stp>
        <stp>912834AA Govt</stp>
        <stp>COUNTRY_FULL_NAME</stp>
        <stp>[STRIPS.xlsx]Sheet1!R589C8</stp>
        <tr r="H589" s="1"/>
      </tp>
      <tp t="s">
        <v>UNITED STATES</v>
        <stp/>
        <stp>##V3_BDPV12</stp>
        <stp>912834BA Govt</stp>
        <stp>COUNTRY_FULL_NAME</stp>
        <stp>[STRIPS.xlsx]Sheet1!R529C8</stp>
        <tr r="H529" s="1"/>
      </tp>
      <tp t="s">
        <v>UNITED STATES</v>
        <stp/>
        <stp>##V3_BDPV12</stp>
        <stp>912833LA Govt</stp>
        <stp>COUNTRY_FULL_NAME</stp>
        <stp>[STRIPS.xlsx]Sheet1!R369C8</stp>
        <tr r="H369" s="1"/>
      </tp>
      <tp t="s">
        <v>UNITED STATES</v>
        <stp/>
        <stp>##V3_BDPV12</stp>
        <stp>912834RM Govt</stp>
        <stp>COUNTRY_FULL_NAME</stp>
        <stp>[STRIPS.xlsx]Sheet1!R415C8</stp>
        <tr r="H415" s="1"/>
      </tp>
      <tp t="s">
        <v>UNITED STATES</v>
        <stp/>
        <stp>##V3_BDPV12</stp>
        <stp>912833PL Govt</stp>
        <stp>COUNTRY_FULL_NAME</stp>
        <stp>[STRIPS.xlsx]Sheet1!R374C8</stp>
        <tr r="H374" s="1"/>
      </tp>
      <tp t="s">
        <v>UNITED STATES</v>
        <stp/>
        <stp>##V3_BDPV12</stp>
        <stp>9128337A Govt</stp>
        <stp>COUNTRY_FULL_NAME</stp>
        <stp>[STRIPS.xlsx]Sheet1!R499C8</stp>
        <tr r="H499" s="1"/>
      </tp>
      <tp t="s">
        <v>UNITED STATES</v>
        <stp/>
        <stp>##V3_BDPV12</stp>
        <stp>9128335J Govt</stp>
        <stp>COUNTRY_FULL_NAME</stp>
        <stp>[STRIPS.xlsx]Sheet1!R492C8</stp>
        <tr r="H492" s="1"/>
      </tp>
      <tp t="s">
        <v>UNITED STATES</v>
        <stp/>
        <stp>##V3_BDPV12</stp>
        <stp>9128335K Govt</stp>
        <stp>COUNTRY_FULL_NAME</stp>
        <stp>[STRIPS.xlsx]Sheet1!R493C8</stp>
        <tr r="H493" s="1"/>
      </tp>
      <tp t="s">
        <v>UNITED STATES</v>
        <stp/>
        <stp>##V3_BDPV12</stp>
        <stp>912834BJ Govt</stp>
        <stp>COUNTRY_FULL_NAME</stp>
        <stp>[STRIPS.xlsx]Sheet1!R352C8</stp>
        <tr r="H352" s="1"/>
      </tp>
      <tp t="s">
        <v>UNITED STATES</v>
        <stp/>
        <stp>##V3_BDPV12</stp>
        <stp>912833GA Govt</stp>
        <stp>COUNTRY_FULL_NAME</stp>
        <stp>[STRIPS.xlsx]Sheet1!R439C8</stp>
        <tr r="H439" s="1"/>
      </tp>
      <tp t="s">
        <v>UNITED STATES</v>
        <stp/>
        <stp>##V3_BDPV12</stp>
        <stp>912833KJ Govt</stp>
        <stp>COUNTRY_FULL_NAME</stp>
        <stp>[STRIPS.xlsx]Sheet1!R512C8</stp>
        <tr r="H512" s="1"/>
      </tp>
      <tp t="s">
        <v>UNITED STATES</v>
        <stp/>
        <stp>##V3_BDPV12</stp>
        <stp>912833PK Govt</stp>
        <stp>COUNTRY_FULL_NAME</stp>
        <stp>[STRIPS.xlsx]Sheet1!R573C8</stp>
        <tr r="H573" s="1"/>
      </tp>
      <tp t="s">
        <v>UNITED STATES</v>
        <stp/>
        <stp>##V3_BDPV12</stp>
        <stp>912834UN Govt</stp>
        <stp>COUNTRY_FULL_NAME</stp>
        <stp>[STRIPS.xlsx]Sheet1!R206C8</stp>
        <tr r="H206" s="1"/>
      </tp>
      <tp t="s">
        <v>UNITED STATES</v>
        <stp/>
        <stp>##V3_BDPV12</stp>
        <stp>9128333H Govt</stp>
        <stp>COUNTRY_FULL_NAME</stp>
        <stp>[STRIPS.xlsx]Sheet1!R600C8</stp>
        <tr r="H600" s="1"/>
      </tp>
      <tp t="s">
        <v>UNITED STATES</v>
        <stp/>
        <stp>##V3_BDPV12</stp>
        <stp>912834XH Govt</stp>
        <stp>COUNTRY_FULL_NAME</stp>
        <stp>[STRIPS.xlsx]Sheet1!R150C8</stp>
        <tr r="H150" s="1"/>
      </tp>
      <tp t="s">
        <v>UNITED STATES</v>
        <stp/>
        <stp>##V3_BDPV12</stp>
        <stp>912833QH Govt</stp>
        <stp>COUNTRY_FULL_NAME</stp>
        <stp>[STRIPS.xlsx]Sheet1!R630C8</stp>
        <tr r="H630" s="1"/>
      </tp>
      <tp t="s">
        <v>UNITED STATES</v>
        <stp/>
        <stp>##V3_BDPV12</stp>
        <stp>9128335N Govt</stp>
        <stp>COUNTRY_FULL_NAME</stp>
        <stp>[STRIPS.xlsx]Sheet1!R746C8</stp>
        <tr r="H746" s="1"/>
      </tp>
      <tp t="s">
        <v>UNITED STATES</v>
        <stp/>
        <stp>##V3_BDPV12</stp>
        <stp>9128333K Govt</stp>
        <stp>COUNTRY_FULL_NAME</stp>
        <stp>[STRIPS.xlsx]Sheet1!R743C8</stp>
        <tr r="H743" s="1"/>
      </tp>
      <tp t="s">
        <v>UNITED STATES</v>
        <stp/>
        <stp>##V3_BDPV12</stp>
        <stp>912833CK Govt</stp>
        <stp>COUNTRY_FULL_NAME</stp>
        <stp>[STRIPS.xlsx]Sheet1!R733C8</stp>
        <tr r="H733" s="1"/>
      </tp>
      <tp t="s">
        <v>12/15/2023</v>
        <stp/>
        <stp>##V3_BDPV12</stp>
        <stp>912834WL Govt</stp>
        <stp>MATURITY</stp>
        <stp>[STRIPS.xlsx]Sheet1!R768C5</stp>
        <tr r="E768" s="1"/>
      </tp>
      <tp t="s">
        <v>12/31/2027</v>
        <stp/>
        <stp>##V3_BDPV12</stp>
        <stp>912834WM Govt</stp>
        <stp>MATURITY</stp>
        <stp>[STRIPS.xlsx]Sheet1!R188C5</stp>
        <tr r="E188" s="1"/>
      </tp>
      <tp t="s">
        <v>9/30/2026</v>
        <stp/>
        <stp>##V3_BDPV12</stp>
        <stp>912834VB Govt</stp>
        <stp>MATURITY</stp>
        <stp>[STRIPS.xlsx]Sheet1!R159C5</stp>
        <tr r="E159" s="1"/>
      </tp>
      <tp t="s">
        <v>9/30/2003</v>
        <stp/>
        <stp>##V3_BDPV12</stp>
        <stp>912833YC Govt</stp>
        <stp>MATURITY</stp>
        <stp>[STRIPS.xlsx]Sheet1!R636C5</stp>
        <tr r="E636" s="1"/>
      </tp>
      <tp t="s">
        <v>7/31/2028</v>
        <stp/>
        <stp>##V3_BDPV12</stp>
        <stp>912834XF Govt</stp>
        <stp>MATURITY</stp>
        <stp>[STRIPS.xlsx]Sheet1!R187C5</stp>
        <tr r="E187" s="1"/>
      </tp>
      <tp t="s">
        <v>11/30/2026</v>
        <stp/>
        <stp>##V3_BDPV12</stp>
        <stp>912834VF Govt</stp>
        <stp>MATURITY</stp>
        <stp>[STRIPS.xlsx]Sheet1!R219C5</stp>
        <tr r="E219" s="1"/>
      </tp>
      <tp>
        <v>0</v>
        <stp/>
        <stp>##V3_BDPV12</stp>
        <stp>9128335L Govt</stp>
        <stp>CPN</stp>
        <stp>[STRIPS.xlsx]Sheet1!R287C3</stp>
        <tr r="C287" s="1"/>
      </tp>
      <tp>
        <v>0</v>
        <stp/>
        <stp>##V3_BDPV12</stp>
        <stp>9128335X Govt</stp>
        <stp>CPN</stp>
        <stp>[STRIPS.xlsx]Sheet1!R747C3</stp>
        <tr r="C747" s="1"/>
      </tp>
      <tp>
        <v>0</v>
        <stp/>
        <stp>##V3_BDPV12</stp>
        <stp>9128334C Govt</stp>
        <stp>CPN</stp>
        <stp>[STRIPS.xlsx]Sheet1!R707C3</stp>
        <tr r="C707" s="1"/>
      </tp>
      <tp>
        <v>0</v>
        <stp/>
        <stp>##V3_BDPV12</stp>
        <stp>9128334A Govt</stp>
        <stp>CPN</stp>
        <stp>[STRIPS.xlsx]Sheet1!R487C3</stp>
        <tr r="C487" s="1"/>
      </tp>
      <tp>
        <v>0</v>
        <stp/>
        <stp>##V3_BDPV12</stp>
        <stp>9128334X Govt</stp>
        <stp>CPN</stp>
        <stp>[STRIPS.xlsx]Sheet1!R107C3</stp>
        <tr r="C107" s="1"/>
      </tp>
      <tp>
        <v>0</v>
        <stp/>
        <stp>##V3_BDPV12</stp>
        <stp>9128336L Govt</stp>
        <stp>CPN</stp>
        <stp>[STRIPS.xlsx]Sheet1!R557C3</stp>
        <tr r="C557" s="1"/>
      </tp>
      <tp>
        <v>0</v>
        <stp/>
        <stp>##V3_BDPV12</stp>
        <stp>9128336N Govt</stp>
        <stp>CPN</stp>
        <stp>[STRIPS.xlsx]Sheet1!R497C3</stp>
        <tr r="C497" s="1"/>
      </tp>
      <tp>
        <v>0</v>
        <stp/>
        <stp>##V3_BDPV12</stp>
        <stp>9128336B Govt</stp>
        <stp>CPN</stp>
        <stp>[STRIPS.xlsx]Sheet1!R727C3</stp>
        <tr r="C727" s="1"/>
      </tp>
      <tp>
        <v>0</v>
        <stp/>
        <stp>##V3_BDPV12</stp>
        <stp>9128336W Govt</stp>
        <stp>CPN</stp>
        <stp>[STRIPS.xlsx]Sheet1!R607C3</stp>
        <tr r="C607" s="1"/>
      </tp>
      <tp>
        <v>0</v>
        <stp/>
        <stp>##V3_BDPV12</stp>
        <stp>9128333J Govt</stp>
        <stp>CPN</stp>
        <stp>[STRIPS.xlsx]Sheet1!R427C3</stp>
        <tr r="C427" s="1"/>
      </tp>
      <tp>
        <v>0</v>
        <stp/>
        <stp>##V3_BDPV12</stp>
        <stp>9128332E Govt</stp>
        <stp>CPN</stp>
        <stp>[STRIPS.xlsx]Sheet1!R597C3</stp>
        <tr r="C597" s="1"/>
      </tp>
      <tp>
        <v>0</v>
        <stp/>
        <stp>##V3_BDPV12</stp>
        <stp>9128332B Govt</stp>
        <stp>CPN</stp>
        <stp>[STRIPS.xlsx]Sheet1!R717C3</stp>
        <tr r="C717" s="1"/>
      </tp>
      <tp t="s">
        <v>S</v>
        <stp/>
        <stp>##V3_BDPV12</stp>
        <stp>912834KP Govt</stp>
        <stp>TICKER</stp>
        <stp>[STRIPS.xlsx]Sheet1!R8C2</stp>
        <tr r="B8" s="1"/>
      </tp>
      <tp>
        <v>1.3980000000000103</v>
        <stp/>
        <stp>##V3_BDPV12</stp>
        <stp>912834XF Govt</stp>
        <stp>YLD_YTM_BID</stp>
        <stp>[STRIPS.xlsx]Sheet1!R187C4</stp>
        <tr r="D187" s="1"/>
      </tp>
      <tp>
        <v>0</v>
        <stp/>
        <stp>##V3_BDPV12</stp>
        <stp>912833Y8 Govt</stp>
        <stp>CPN</stp>
        <stp>[STRIPS.xlsx]Sheet1!R248C3</stp>
        <tr r="C248" s="1"/>
      </tp>
      <tp t="s">
        <v>#N/A N/A</v>
        <stp/>
        <stp>##V3_BDPV12</stp>
        <stp>912833YV Govt</stp>
        <stp>YLD_YTM_BID</stp>
        <stp>[STRIPS.xlsx]Sheet1!R250C4</stp>
        <tr r="D250" s="1"/>
      </tp>
      <tp t="s">
        <v>#N/A N/A</v>
        <stp/>
        <stp>##V3_BDPV12</stp>
        <stp>912833Y9 Govt</stp>
        <stp>YLD_YTM_BID</stp>
        <stp>[STRIPS.xlsx]Sheet1!R450C4</stp>
        <tr r="D450" s="1"/>
      </tp>
      <tp t="s">
        <v>#N/A N/A</v>
        <stp/>
        <stp>##V3_BDPV12</stp>
        <stp>912833ZW Govt</stp>
        <stp>YLD_YTM_BID</stp>
        <stp>[STRIPS.xlsx]Sheet1!R640C4</stp>
        <tr r="D640" s="1"/>
      </tp>
      <tp>
        <v>0</v>
        <stp/>
        <stp>##V3_BDPV12</stp>
        <stp>912833ZN Govt</stp>
        <stp>CPN</stp>
        <stp>[STRIPS.xlsx]Sheet1!R638C3</stp>
        <tr r="C638" s="1"/>
      </tp>
      <tp>
        <v>0</v>
        <stp/>
        <stp>##V3_BDPV12</stp>
        <stp>912833ZH Govt</stp>
        <stp>CPN</stp>
        <stp>[STRIPS.xlsx]Sheet1!R698C3</stp>
        <tr r="C698" s="1"/>
      </tp>
      <tp>
        <v>0</v>
        <stp/>
        <stp>##V3_BDPV12</stp>
        <stp>912833ZX Govt</stp>
        <stp>CPN</stp>
        <stp>[STRIPS.xlsx]Sheet1!R588C3</stp>
        <tr r="C588" s="1"/>
      </tp>
      <tp>
        <v>0</v>
        <stp/>
        <stp>##V3_BDPV12</stp>
        <stp>912833ZZ Govt</stp>
        <stp>CPN</stp>
        <stp>[STRIPS.xlsx]Sheet1!R528C3</stp>
        <tr r="C528" s="1"/>
      </tp>
      <tp>
        <v>0</v>
        <stp/>
        <stp>##V3_BDPV12</stp>
        <stp>912833ZU Govt</stp>
        <stp>CPN</stp>
        <stp>[STRIPS.xlsx]Sheet1!R348C3</stp>
        <tr r="C348" s="1"/>
      </tp>
      <tp>
        <v>0.68899999999998407</v>
        <stp/>
        <stp>##V3_BDPV12</stp>
        <stp>912834TJ Govt</stp>
        <stp>YLD_YTM_BID</stp>
        <stp>[STRIPS.xlsx]Sheet1!R757C4</stp>
        <tr r="D757" s="1"/>
      </tp>
      <tp>
        <v>2.2600000000000176</v>
        <stp/>
        <stp>##V3_BDPV12</stp>
        <stp>912834TP Govt</stp>
        <stp>YLD_YTM_BID</stp>
        <stp>[STRIPS.xlsx]Sheet1!R117C4</stp>
        <tr r="D117" s="1"/>
      </tp>
      <tp>
        <v>0.9160000000000057</v>
        <stp/>
        <stp>##V3_BDPV12</stp>
        <stp>912834UG Govt</stp>
        <stp>YLD_YTM_BID</stp>
        <stp>[STRIPS.xlsx]Sheet1!R137C4</stp>
        <tr r="D137" s="1"/>
      </tp>
      <tp>
        <v>0.8960000000000079</v>
        <stp/>
        <stp>##V3_BDPV12</stp>
        <stp>912834UE Govt</stp>
        <stp>YLD_YTM_BID</stp>
        <stp>[STRIPS.xlsx]Sheet1!R207C4</stp>
        <tr r="D207" s="1"/>
      </tp>
      <tp>
        <v>-2.8000000000004042E-2</v>
        <stp/>
        <stp>##V3_BDPV12</stp>
        <stp>912834UF Govt</stp>
        <stp>YLD_YTM_BID</stp>
        <stp>[STRIPS.xlsx]Sheet1!R147C4</stp>
        <tr r="D147" s="1"/>
      </tp>
      <tp>
        <v>-4.1000000000101115E-2</v>
        <stp/>
        <stp>##V3_BDPV12</stp>
        <stp>912834UD Govt</stp>
        <stp>YLD_YTM_BID</stp>
        <stp>[STRIPS.xlsx]Sheet1!R197C4</stp>
        <tr r="D197" s="1"/>
      </tp>
      <tp>
        <v>0.22500000000000853</v>
        <stp/>
        <stp>##V3_BDPV12</stp>
        <stp>912834VX Govt</stp>
        <stp>YLD_YTM_BID</stp>
        <stp>[STRIPS.xlsx]Sheet1!R767C4</stp>
        <tr r="D767" s="1"/>
      </tp>
      <tp t="s">
        <v>#N/A N/A</v>
        <stp/>
        <stp>##V3_BDPV12</stp>
        <stp>912833PJ Govt</stp>
        <stp>YLD_YTM_BID</stp>
        <stp>[STRIPS.xlsx]Sheet1!R680C4</stp>
        <tr r="D680" s="1"/>
      </tp>
      <tp t="s">
        <v>#N/A N/A</v>
        <stp/>
        <stp>##V3_BDPV12</stp>
        <stp>912833PY Govt</stp>
        <stp>YLD_YTM_BID</stp>
        <stp>[STRIPS.xlsx]Sheet1!R340C4</stp>
        <tr r="D340" s="1"/>
      </tp>
      <tp t="s">
        <v>#N/A N/A</v>
        <stp/>
        <stp>##V3_BDPV12</stp>
        <stp>912833PZ Govt</stp>
        <stp>YLD_YTM_BID</stp>
        <stp>[STRIPS.xlsx]Sheet1!R240C4</stp>
        <tr r="D240" s="1"/>
      </tp>
      <tp>
        <v>0</v>
        <stp/>
        <stp>##V3_BDPV12</stp>
        <stp>912833QU Govt</stp>
        <stp>CPN</stp>
        <stp>[STRIPS.xlsx]Sheet1!R688C3</stp>
        <tr r="C688" s="1"/>
      </tp>
      <tp>
        <v>0</v>
        <stp/>
        <stp>##V3_BDPV12</stp>
        <stp>912833QW Govt</stp>
        <stp>CPN</stp>
        <stp>[STRIPS.xlsx]Sheet1!R378C3</stp>
        <tr r="C378" s="1"/>
      </tp>
      <tp t="s">
        <v>#N/A N/A</v>
        <stp/>
        <stp>##V3_BDPV12</stp>
        <stp>912833QH Govt</stp>
        <stp>YLD_YTM_BID</stp>
        <stp>[STRIPS.xlsx]Sheet1!R630C4</stp>
        <tr r="D630" s="1"/>
      </tp>
      <tp t="s">
        <v>#N/A N/A</v>
        <stp/>
        <stp>##V3_BDPV12</stp>
        <stp>912833QM Govt</stp>
        <stp>YLD_YTM_BID</stp>
        <stp>[STRIPS.xlsx]Sheet1!R520C4</stp>
        <tr r="D520" s="1"/>
      </tp>
      <tp>
        <v>0</v>
        <stp/>
        <stp>##V3_BDPV12</stp>
        <stp>912833PM Govt</stp>
        <stp>CPN</stp>
        <stp>[STRIPS.xlsx]Sheet1!R238C3</stp>
        <tr r="C238" s="1"/>
      </tp>
      <tp>
        <v>0</v>
        <stp/>
        <stp>##V3_BDPV12</stp>
        <stp>912833PF Govt</stp>
        <stp>CPN</stp>
        <stp>[STRIPS.xlsx]Sheet1!R678C3</stp>
        <tr r="C678" s="1"/>
      </tp>
      <tp t="s">
        <v>#N/A N/A</v>
        <stp/>
        <stp>##V3_BDPV12</stp>
        <stp>912834QF Govt</stp>
        <stp>YLD_YTM_BID</stp>
        <stp>[STRIPS.xlsx]Sheet1!R277C4</stp>
        <tr r="D277" s="1"/>
      </tp>
      <tp>
        <v>0</v>
        <stp/>
        <stp>##V3_BDPV12</stp>
        <stp>912833PV Govt</stp>
        <stp>CPN</stp>
        <stp>[STRIPS.xlsx]Sheet1!R338C3</stp>
        <tr r="C338" s="1"/>
      </tp>
      <tp t="s">
        <v>#N/A N/A</v>
        <stp/>
        <stp>##V3_BDPV12</stp>
        <stp>912833RD Govt</stp>
        <stp>YLD_YTM_BID</stp>
        <stp>[STRIPS.xlsx]Sheet1!R380C4</stp>
        <tr r="D380" s="1"/>
      </tp>
      <tp>
        <v>0.43199999999998795</v>
        <stp/>
        <stp>##V3_BDPV12</stp>
        <stp>912834RG Govt</stp>
        <stp>YLD_YTM_BID</stp>
        <stp>[STRIPS.xlsx]Sheet1!R217C4</stp>
        <tr r="D217" s="1"/>
      </tp>
      <tp t="s">
        <v>#N/A N/A</v>
        <stp/>
        <stp>##V3_BDPV12</stp>
        <stp>912833RC Govt</stp>
        <stp>YLD_YTM_BID</stp>
        <stp>[STRIPS.xlsx]Sheet1!R690C4</stp>
        <tr r="D690" s="1"/>
      </tp>
      <tp t="s">
        <v>#N/A N/A</v>
        <stp/>
        <stp>##V3_BDPV12</stp>
        <stp>912833RT Govt</stp>
        <stp>YLD_YTM_BID</stp>
        <stp>[STRIPS.xlsx]Sheet1!R580C4</stp>
        <tr r="D580" s="1"/>
      </tp>
      <tp>
        <v>0</v>
        <stp/>
        <stp>##V3_BDPV12</stp>
        <stp>912833RM Govt</stp>
        <stp>CPN</stp>
        <stp>[STRIPS.xlsx]Sheet1!R448C3</stp>
        <tr r="C448" s="1"/>
      </tp>
      <tp>
        <v>0</v>
        <stp/>
        <stp>##V3_BDPV12</stp>
        <stp>912833RK Govt</stp>
        <stp>CPN</stp>
        <stp>[STRIPS.xlsx]Sheet1!R578C3</stp>
        <tr r="C578" s="1"/>
      </tp>
      <tp>
        <v>0</v>
        <stp/>
        <stp>##V3_BDPV12</stp>
        <stp>912833ML Govt</stp>
        <stp>CPN</stp>
        <stp>[STRIPS.xlsx]Sheet1!R568C3</stp>
        <tr r="C568" s="1"/>
      </tp>
      <tp>
        <v>0</v>
        <stp/>
        <stp>##V3_BDPV12</stp>
        <stp>912833MZ Govt</stp>
        <stp>CPN</stp>
        <stp>[STRIPS.xlsx]Sheet1!R628C3</stp>
        <tr r="C628" s="1"/>
      </tp>
      <tp t="s">
        <v>#N/A N/A</v>
        <stp/>
        <stp>##V3_BDPV12</stp>
        <stp>912834MN Govt</stp>
        <stp>YLD_YTM_BID</stp>
        <stp>[STRIPS.xlsx]Sheet1!R417C4</stp>
        <tr r="D417" s="1"/>
      </tp>
      <tp t="s">
        <v>#N/A N/A</v>
        <stp/>
        <stp>##V3_BDPV12</stp>
        <stp>912833MJ Govt</stp>
        <stp>YLD_YTM_BID</stp>
        <stp>[STRIPS.xlsx]Sheet1!R370C4</stp>
        <tr r="D370" s="1"/>
      </tp>
      <tp t="s">
        <v>#N/A N/A</v>
        <stp/>
        <stp>##V3_BDPV12</stp>
        <stp>912834MX Govt</stp>
        <stp>YLD_YTM_BID</stp>
        <stp>[STRIPS.xlsx]Sheet1!R327C4</stp>
        <tr r="D327" s="1"/>
      </tp>
      <tp t="s">
        <v>#N/A N/A</v>
        <stp/>
        <stp>##V3_BDPV12</stp>
        <stp>912834NK Govt</stp>
        <stp>YLD_YTM_BID</stp>
        <stp>[STRIPS.xlsx]Sheet1!R477C4</stp>
        <tr r="D477" s="1"/>
      </tp>
      <tp t="s">
        <v>#N/A N/A</v>
        <stp/>
        <stp>##V3_BDPV12</stp>
        <stp>912833NC Govt</stp>
        <stp>YLD_YTM_BID</stp>
        <stp>[STRIPS.xlsx]Sheet1!R570C4</stp>
        <tr r="D570" s="1"/>
      </tp>
      <tp t="s">
        <v>#N/A N/A</v>
        <stp/>
        <stp>##V3_BDPV12</stp>
        <stp>912834NC Govt</stp>
        <stp>YLD_YTM_BID</stp>
        <stp>[STRIPS.xlsx]Sheet1!R407C4</stp>
        <tr r="D407" s="1"/>
      </tp>
      <tp t="s">
        <v>#N/A N/A</v>
        <stp/>
        <stp>##V3_BDPV12</stp>
        <stp>912834NS Govt</stp>
        <stp>YLD_YTM_BID</stp>
        <stp>[STRIPS.xlsx]Sheet1!R547C4</stp>
        <tr r="D547" s="1"/>
      </tp>
      <tp>
        <v>0</v>
        <stp/>
        <stp>##V3_BDPV12</stp>
        <stp>912833NN Govt</stp>
        <stp>CPN</stp>
        <stp>[STRIPS.xlsx]Sheet1!R518C3</stp>
        <tr r="C518" s="1"/>
      </tp>
      <tp t="s">
        <v>#N/A N/A</v>
        <stp/>
        <stp>##V3_BDPV12</stp>
        <stp>912834JM Govt</stp>
        <stp>YLD_YTM_BID</stp>
        <stp>[STRIPS.xlsx]Sheet1!R397C4</stp>
        <tr r="D397" s="1"/>
      </tp>
      <tp t="s">
        <v>#N/A N/A</v>
        <stp/>
        <stp>##V3_BDPV12</stp>
        <stp>912834JN Govt</stp>
        <stp>YLD_YTM_BID</stp>
        <stp>[STRIPS.xlsx]Sheet1!R357C4</stp>
        <tr r="D357" s="1"/>
      </tp>
      <tp t="s">
        <v>#N/A N/A</v>
        <stp/>
        <stp>##V3_BDPV12</stp>
        <stp>912834JA Govt</stp>
        <stp>YLD_YTM_BID</stp>
        <stp>[STRIPS.xlsx]Sheet1!R537C4</stp>
        <tr r="D537" s="1"/>
      </tp>
      <tp>
        <v>0</v>
        <stp/>
        <stp>##V3_BDPV12</stp>
        <stp>912833KF Govt</stp>
        <stp>CPN</stp>
        <stp>[STRIPS.xlsx]Sheet1!R368C3</stp>
        <tr r="C368" s="1"/>
      </tp>
      <tp t="s">
        <v>#N/A N/A</v>
        <stp/>
        <stp>##V3_BDPV12</stp>
        <stp>912834JF Govt</stp>
        <stp>YLD_YTM_BID</stp>
        <stp>[STRIPS.xlsx]Sheet1!R647C4</stp>
        <tr r="D647" s="1"/>
      </tp>
      <tp t="s">
        <v>#N/A N/A</v>
        <stp/>
        <stp>##V3_BDPV12</stp>
        <stp>912834JC Govt</stp>
        <stp>YLD_YTM_BID</stp>
        <stp>[STRIPS.xlsx]Sheet1!R227C4</stp>
        <tr r="D227" s="1"/>
      </tp>
      <tp t="s">
        <v>#N/A N/A</v>
        <stp/>
        <stp>##V3_BDPV12</stp>
        <stp>912833JW Govt</stp>
        <stp>YLD_YTM_BID</stp>
        <stp>[STRIPS.xlsx]Sheet1!R740C4</stp>
        <tr r="D740" s="1"/>
      </tp>
      <tp t="s">
        <v>#N/A N/A</v>
        <stp/>
        <stp>##V3_BDPV12</stp>
        <stp>912834JT Govt</stp>
        <stp>YLD_YTM_BID</stp>
        <stp>[STRIPS.xlsx]Sheet1!R467C4</stp>
        <tr r="D467" s="1"/>
      </tp>
      <tp t="s">
        <v>#N/A N/A</v>
        <stp/>
        <stp>##V3_BDPV12</stp>
        <stp>912834KK Govt</stp>
        <stp>YLD_YTM_BID</stp>
        <stp>[STRIPS.xlsx]Sheet1!R317C4</stp>
        <tr r="D317" s="1"/>
      </tp>
      <tp t="s">
        <v>#N/A N/A</v>
        <stp/>
        <stp>##V3_BDPV12</stp>
        <stp>912834KJ Govt</stp>
        <stp>YLD_YTM_BID</stp>
        <stp>[STRIPS.xlsx]Sheet1!R267C4</stp>
        <tr r="D267" s="1"/>
      </tp>
      <tp t="s">
        <v>#N/A N/A</v>
        <stp/>
        <stp>##V3_BDPV12</stp>
        <stp>912833KD Govt</stp>
        <stp>YLD_YTM_BID</stp>
        <stp>[STRIPS.xlsx]Sheet1!R300C4</stp>
        <tr r="D300" s="1"/>
      </tp>
      <tp t="s">
        <v>#N/A N/A</v>
        <stp/>
        <stp>##V3_BDPV12</stp>
        <stp>912833KE Govt</stp>
        <stp>YLD_YTM_BID</stp>
        <stp>[STRIPS.xlsx]Sheet1!R670C4</stp>
        <tr r="D670" s="1"/>
      </tp>
      <tp>
        <v>0</v>
        <stp/>
        <stp>##V3_BDPV12</stp>
        <stp>912833JV Govt</stp>
        <stp>CPN</stp>
        <stp>[STRIPS.xlsx]Sheet1!R668C3</stp>
        <tr r="C668" s="1"/>
      </tp>
      <tp t="s">
        <v>#N/A N/A</v>
        <stp/>
        <stp>##V3_BDPV12</stp>
        <stp>912833DF Govt</stp>
        <stp>YLD_YTM_BID</stp>
        <stp>[STRIPS.xlsx]Sheet1!R660C4</stp>
        <tr r="D660" s="1"/>
      </tp>
      <tp>
        <v>2.1259999999999835</v>
        <stp/>
        <stp>##V3_BDPV12</stp>
        <stp>912834DV Govt</stp>
        <stp>YLD_YTM_BID</stp>
        <stp>[STRIPS.xlsx]Sheet1!R127C4</stp>
        <tr r="D127" s="1"/>
      </tp>
      <tp t="s">
        <v>#N/A N/A</v>
        <stp/>
        <stp>##V3_BDPV12</stp>
        <stp>912833FQ Govt</stp>
        <stp>YLD_YTM_BID</stp>
        <stp>[STRIPS.xlsx]Sheet1!R620C4</stp>
        <tr r="D620" s="1"/>
      </tp>
      <tp t="s">
        <v>#N/A N/A</v>
        <stp/>
        <stp>##V3_BDPV12</stp>
        <stp>912833FV Govt</stp>
        <stp>YLD_YTM_BID</stp>
        <stp>[STRIPS.xlsx]Sheet1!R510C4</stp>
        <tr r="D510" s="1"/>
      </tp>
      <tp>
        <v>0</v>
        <stp/>
        <stp>##V3_BDPV12</stp>
        <stp>912833FN Govt</stp>
        <stp>CPN</stp>
        <stp>[STRIPS.xlsx]Sheet1!R738C3</stp>
        <tr r="C738" s="1"/>
      </tp>
      <tp>
        <v>0</v>
        <stp/>
        <stp>##V3_BDPV12</stp>
        <stp>912833FF Govt</stp>
        <stp>CPN</stp>
        <stp>[STRIPS.xlsx]Sheet1!R618C3</stp>
        <tr r="C618" s="1"/>
      </tp>
      <tp t="s">
        <v>#N/A N/A</v>
        <stp/>
        <stp>##V3_BDPV12</stp>
        <stp>912833GC Govt</stp>
        <stp>YLD_YTM_BID</stp>
        <stp>[STRIPS.xlsx]Sheet1!R440C4</stp>
        <tr r="D440" s="1"/>
      </tp>
      <tp>
        <v>0</v>
        <stp/>
        <stp>##V3_BDPV12</stp>
        <stp>912833FS Govt</stp>
        <stp>CPN</stp>
        <stp>[STRIPS.xlsx]Sheet1!R508C3</stp>
        <tr r="C508" s="1"/>
      </tp>
      <tp>
        <v>0</v>
        <stp/>
        <stp>##V3_BDPV12</stp>
        <stp>912833A2 Govt</stp>
        <stp>CPN</stp>
        <stp>[STRIPS.xlsx]Sheet1!R608C3</stp>
        <tr r="C608" s="1"/>
      </tp>
      <tp t="s">
        <v>#N/A N/A</v>
        <stp/>
        <stp>##V3_BDPV12</stp>
        <stp>912834AK Govt</stp>
        <stp>YLD_YTM_BID</stp>
        <stp>[STRIPS.xlsx]Sheet1!R257C4</stp>
        <tr r="D257" s="1"/>
      </tp>
      <tp t="s">
        <v>#N/A N/A</v>
        <stp/>
        <stp>##V3_BDPV12</stp>
        <stp>912834AM Govt</stp>
        <stp>YLD_YTM_BID</stp>
        <stp>[STRIPS.xlsx]Sheet1!R457C4</stp>
        <tr r="D457" s="1"/>
      </tp>
      <tp t="s">
        <v>#N/A N/A</v>
        <stp/>
        <stp>##V3_BDPV12</stp>
        <stp>912834AV Govt</stp>
        <stp>YLD_YTM_BID</stp>
        <stp>[STRIPS.xlsx]Sheet1!R387C4</stp>
        <tr r="D387" s="1"/>
      </tp>
      <tp t="s">
        <v>#N/A N/A</v>
        <stp/>
        <stp>##V3_BDPV12</stp>
        <stp>912833A8 Govt</stp>
        <stp>YLD_YTM_BID</stp>
        <stp>[STRIPS.xlsx]Sheet1!R560C4</stp>
        <tr r="D560" s="1"/>
      </tp>
      <tp t="s">
        <v>#N/A N/A</v>
        <stp/>
        <stp>##V3_BDPV12</stp>
        <stp>912833A4 Govt</stp>
        <stp>YLD_YTM_BID</stp>
        <stp>[STRIPS.xlsx]Sheet1!R330C4</stp>
        <tr r="D330" s="1"/>
      </tp>
      <tp>
        <v>0</v>
        <stp/>
        <stp>##V3_BDPV12</stp>
        <stp>912833CV Govt</stp>
        <stp>CPN</stp>
        <stp>[STRIPS.xlsx]Sheet1!R658C3</stp>
        <tr r="C658" s="1"/>
      </tp>
      <tp>
        <v>0</v>
        <stp/>
        <stp>##V3_BDPV12</stp>
        <stp>912833CS Govt</stp>
        <stp>CPN</stp>
        <stp>[STRIPS.xlsx]Sheet1!R298C3</stp>
        <tr r="C298" s="1"/>
      </tp>
      <tp>
        <v>0</v>
        <stp/>
        <stp>##V3_BDPV12</stp>
        <stp>912833CQ Govt</stp>
        <stp>CPN</stp>
        <stp>[STRIPS.xlsx]Sheet1!R438C3</stp>
        <tr r="C438" s="1"/>
      </tp>
      <tp t="s">
        <v>#N/A N/A</v>
        <stp/>
        <stp>##V3_BDPV12</stp>
        <stp>912833BW Govt</stp>
        <stp>YLD_YTM_BID</stp>
        <stp>[STRIPS.xlsx]Sheet1!R610C4</stp>
        <tr r="D610" s="1"/>
      </tp>
      <tp t="s">
        <v>#N/A N/A</v>
        <stp/>
        <stp>##V3_BDPV12</stp>
        <stp>912833B6 Govt</stp>
        <stp>YLD_YTM_BID</stp>
        <stp>[STRIPS.xlsx]Sheet1!R500C4</stp>
        <tr r="D500" s="1"/>
      </tp>
      <tp t="s">
        <v>#N/A N/A</v>
        <stp/>
        <stp>##V3_BDPV12</stp>
        <stp>912833CZ Govt</stp>
        <stp>YLD_YTM_BID</stp>
        <stp>[STRIPS.xlsx]Sheet1!R220C4</stp>
        <tr r="D220" s="1"/>
      </tp>
      <tp t="s">
        <v>S 0 08/15/26</v>
        <stp/>
        <stp>##V3_BDPV12</stp>
        <stp>912833PA Govt</stp>
        <stp>SECURITY_NAME</stp>
        <stp>[STRIPS.xlsx]Sheet1!R4C16</stp>
        <tr r="P4" s="1"/>
      </tp>
      <tp t="s">
        <v>S 0 11/15/26</v>
        <stp/>
        <stp>##V3_BDPV12</stp>
        <stp>912833PB Govt</stp>
        <stp>SECURITY_NAME</stp>
        <stp>[STRIPS.xlsx]Sheet1!R3C16</stp>
        <tr r="P3" s="1"/>
      </tp>
      <tp t="s">
        <v>10/31/2001</v>
        <stp/>
        <stp>##V3_BDPV12</stp>
        <stp>912833PY Govt</stp>
        <stp>MATURITY</stp>
        <stp>[STRIPS.xlsx]Sheet1!R340C5</stp>
        <tr r="E340" s="1"/>
      </tp>
      <tp t="s">
        <v>7/15/2023</v>
        <stp/>
        <stp>##V3_BDPV12</stp>
        <stp>912834VZ Govt</stp>
        <stp>MATURITY</stp>
        <stp>[STRIPS.xlsx]Sheet1!R766C5</stp>
        <tr r="E766" s="1"/>
      </tp>
      <tp t="s">
        <v>4/30/2002</v>
        <stp/>
        <stp>##V3_BDPV12</stp>
        <stp>912833PZ Govt</stp>
        <stp>MATURITY</stp>
        <stp>[STRIPS.xlsx]Sheet1!R240C5</stp>
        <tr r="E240" s="1"/>
      </tp>
      <tp t="s">
        <v>8/31/2001</v>
        <stp/>
        <stp>##V3_BDPV12</stp>
        <stp>912833RQ Govt</stp>
        <stp>MATURITY</stp>
        <stp>[STRIPS.xlsx]Sheet1!R692C5</stp>
        <tr r="E692" s="1"/>
      </tp>
      <tp t="s">
        <v>9/30/2022</v>
        <stp/>
        <stp>##V3_BDPV12</stp>
        <stp>912834PQ Govt</stp>
        <stp>MATURITY</stp>
        <stp>[STRIPS.xlsx]Sheet1!R140C5</stp>
        <tr r="E140" s="1"/>
      </tp>
      <tp t="s">
        <v>12/31/1999</v>
        <stp/>
        <stp>##V3_BDPV12</stp>
        <stp>912833QR Govt</stp>
        <stp>MATURITY</stp>
        <stp>[STRIPS.xlsx]Sheet1!R521C5</stp>
        <tr r="E521" s="1"/>
      </tp>
      <tp t="s">
        <v>4/30/2004</v>
        <stp/>
        <stp>##V3_BDPV12</stp>
        <stp>912833YT Govt</stp>
        <stp>MATURITY</stp>
        <stp>[STRIPS.xlsx]Sheet1!R249C5</stp>
        <tr r="E249" s="1"/>
      </tp>
      <tp t="s">
        <v>6/30/2026</v>
        <stp/>
        <stp>##V3_BDPV12</stp>
        <stp>912834UU Govt</stp>
        <stp>MATURITY</stp>
        <stp>[STRIPS.xlsx]Sheet1!R755C5</stp>
        <tr r="E755" s="1"/>
      </tp>
      <tp t="s">
        <v>10/31/2023</v>
        <stp/>
        <stp>##V3_BDPV12</stp>
        <stp>912834QU Govt</stp>
        <stp>MATURITY</stp>
        <stp>[STRIPS.xlsx]Sheet1!R201C5</stp>
        <tr r="E201" s="1"/>
      </tp>
      <tp t="s">
        <v>10/15/2020</v>
        <stp/>
        <stp>##V3_BDPV12</stp>
        <stp>912834RV Govt</stp>
        <stp>MATURITY</stp>
        <stp>[STRIPS.xlsx]Sheet1!R482C5</stp>
        <tr r="E482" s="1"/>
      </tp>
      <tp t="s">
        <v>11/30/2023</v>
        <stp/>
        <stp>##V3_BDPV12</stp>
        <stp>912834QW Govt</stp>
        <stp>MATURITY</stp>
        <stp>[STRIPS.xlsx]Sheet1!R171C5</stp>
        <tr r="E171" s="1"/>
      </tp>
      <tp t="s">
        <v>12/31/2026</v>
        <stp/>
        <stp>##V3_BDPV12</stp>
        <stp>912834VH Govt</stp>
        <stp>MATURITY</stp>
        <stp>[STRIPS.xlsx]Sheet1!R146C5</stp>
        <tr r="E146" s="1"/>
      </tp>
      <tp t="s">
        <v>2/15/2049</v>
        <stp/>
        <stp>##V3_BDPV12</stp>
        <stp>912834UH Govt</stp>
        <stp>MATURITY</stp>
        <stp>[STRIPS.xlsx]Sheet1!R105C5</stp>
        <tr r="E105" s="1"/>
      </tp>
      <tp t="s">
        <v>UNITED STATES</v>
        <stp/>
        <stp>##V3_BDPV12</stp>
        <stp>912834TA Govt</stp>
        <stp>COUNTRY_FULL_NAME</stp>
        <stp>[STRIPS.xlsx]Sheet1!R756C8</stp>
        <tr r="H756" s="1"/>
      </tp>
      <tp t="s">
        <v>UNITED STATES</v>
        <stp/>
        <stp>##V3_BDPV12</stp>
        <stp>912834BD Govt</stp>
        <stp>COUNTRY_FULL_NAME</stp>
        <stp>[STRIPS.xlsx]Sheet1!R643C8</stp>
        <tr r="H643" s="1"/>
      </tp>
      <tp t="s">
        <v>UNITED STATES</v>
        <stp/>
        <stp>##V3_BDPV12</stp>
        <stp>912834AG Govt</stp>
        <stp>COUNTRY_FULL_NAME</stp>
        <stp>[STRIPS.xlsx]Sheet1!R590C8</stp>
        <tr r="H590" s="1"/>
      </tp>
      <tp t="s">
        <v>UNITED STATES</v>
        <stp/>
        <stp>##V3_BDPV12</stp>
        <stp>912834EE Govt</stp>
        <stp>COUNTRY_FULL_NAME</stp>
        <stp>[STRIPS.xlsx]Sheet1!R532C8</stp>
        <tr r="H532" s="1"/>
      </tp>
      <tp t="s">
        <v>UNITED STATES</v>
        <stp/>
        <stp>##V3_BDPV12</stp>
        <stp>912834FC Govt</stp>
        <stp>COUNTRY_FULL_NAME</stp>
        <stp>[STRIPS.xlsx]Sheet1!R534C8</stp>
        <tr r="H534" s="1"/>
      </tp>
      <tp t="s">
        <v>UNITED STATES</v>
        <stp/>
        <stp>##V3_BDPV12</stp>
        <stp>912833ZE Govt</stp>
        <stp>COUNTRY_FULL_NAME</stp>
        <stp>[STRIPS.xlsx]Sheet1!R252C8</stp>
        <tr r="H252" s="1"/>
      </tp>
      <tp t="s">
        <v>UNITED STATES</v>
        <stp/>
        <stp>##V3_BDPV12</stp>
        <stp>912834RF Govt</stp>
        <stp>COUNTRY_FULL_NAME</stp>
        <stp>[STRIPS.xlsx]Sheet1!R551C8</stp>
        <tr r="H551" s="1"/>
      </tp>
      <tp t="s">
        <v>9/30/1999</v>
        <stp/>
        <stp>##V3_BDPV12</stp>
        <stp>912833PJ Govt</stp>
        <stp>MATURITY</stp>
        <stp>[STRIPS.xlsx]Sheet1!R680C5</stp>
        <tr r="E680" s="1"/>
      </tp>
      <tp t="s">
        <v>UNITED STATES</v>
        <stp/>
        <stp>##V3_BDPV12</stp>
        <stp>912834NA Govt</stp>
        <stp>COUNTRY_FULL_NAME</stp>
        <stp>[STRIPS.xlsx]Sheet1!R476C8</stp>
        <tr r="H476" s="1"/>
      </tp>
      <tp t="s">
        <v>UNITED STATES</v>
        <stp/>
        <stp>##V3_BDPV12</stp>
        <stp>912834KN Govt</stp>
        <stp>COUNTRY_FULL_NAME</stp>
        <stp>[STRIPS.xlsx]Sheet1!R469C8</stp>
        <tr r="H469" s="1"/>
      </tp>
      <tp t="s">
        <v>UNITED STATES</v>
        <stp/>
        <stp>##V3_BDPV12</stp>
        <stp>912834PF Govt</stp>
        <stp>COUNTRY_FULL_NAME</stp>
        <stp>[STRIPS.xlsx]Sheet1!R411C8</stp>
        <tr r="H411" s="1"/>
      </tp>
      <tp t="s">
        <v>UNITED STATES</v>
        <stp/>
        <stp>##V3_BDPV12</stp>
        <stp>912833QA Govt</stp>
        <stp>COUNTRY_FULL_NAME</stp>
        <stp>[STRIPS.xlsx]Sheet1!R376C8</stp>
        <tr r="H376" s="1"/>
      </tp>
      <tp t="s">
        <v>UNITED STATES</v>
        <stp/>
        <stp>##V3_BDPV12</stp>
        <stp>912833NA Govt</stp>
        <stp>COUNTRY_FULL_NAME</stp>
        <stp>[STRIPS.xlsx]Sheet1!R446C8</stp>
        <tr r="H446" s="1"/>
      </tp>
      <tp t="s">
        <v>UNITED STATES</v>
        <stp/>
        <stp>##V3_BDPV12</stp>
        <stp>912834AC Govt</stp>
        <stp>COUNTRY_FULL_NAME</stp>
        <stp>[STRIPS.xlsx]Sheet1!R384C8</stp>
        <tr r="H384" s="1"/>
      </tp>
      <tp t="s">
        <v>UNITED STATES</v>
        <stp/>
        <stp>##V3_BDPV12</stp>
        <stp>912834KG Govt</stp>
        <stp>COUNTRY_FULL_NAME</stp>
        <stp>[STRIPS.xlsx]Sheet1!R230C8</stp>
        <tr r="H230" s="1"/>
      </tp>
      <tp t="s">
        <v>UNITED STATES</v>
        <stp/>
        <stp>##V3_BDPV12</stp>
        <stp>912833DC Govt</stp>
        <stp>COUNTRY_FULL_NAME</stp>
        <stp>[STRIPS.xlsx]Sheet1!R504C8</stp>
        <tr r="H504" s="1"/>
      </tp>
      <tp t="s">
        <v>UNITED STATES</v>
        <stp/>
        <stp>##V3_BDPV12</stp>
        <stp>912834AN Govt</stp>
        <stp>COUNTRY_FULL_NAME</stp>
        <stp>[STRIPS.xlsx]Sheet1!R259C8</stp>
        <tr r="H259" s="1"/>
      </tp>
      <tp t="s">
        <v>UNITED STATES</v>
        <stp/>
        <stp>##V3_BDPV12</stp>
        <stp>912834XC Govt</stp>
        <stp>COUNTRY_FULL_NAME</stp>
        <stp>[STRIPS.xlsx]Sheet1!R214C8</stp>
        <tr r="H214" s="1"/>
      </tp>
      <tp t="s">
        <v>UNITED STATES</v>
        <stp/>
        <stp>##V3_BDPV12</stp>
        <stp>912834RA Govt</stp>
        <stp>COUNTRY_FULL_NAME</stp>
        <stp>[STRIPS.xlsx]Sheet1!R216C8</stp>
        <tr r="H216" s="1"/>
      </tp>
      <tp t="s">
        <v>UNITED STATES</v>
        <stp/>
        <stp>##V3_BDPV12</stp>
        <stp>912833RN Govt</stp>
        <stp>COUNTRY_FULL_NAME</stp>
        <stp>[STRIPS.xlsx]Sheet1!R579C8</stp>
        <tr r="H579" s="1"/>
      </tp>
      <tp t="s">
        <v>UNITED STATES</v>
        <stp/>
        <stp>##V3_BDPV12</stp>
        <stp>912834PE Govt</stp>
        <stp>COUNTRY_FULL_NAME</stp>
        <stp>[STRIPS.xlsx]Sheet1!R132C8</stp>
        <tr r="H132" s="1"/>
      </tp>
      <tp t="s">
        <v>UNITED STATES</v>
        <stp/>
        <stp>##V3_BDPV12</stp>
        <stp>912834VG Govt</stp>
        <stp>COUNTRY_FULL_NAME</stp>
        <stp>[STRIPS.xlsx]Sheet1!R160C8</stp>
        <tr r="H160" s="1"/>
      </tp>
      <tp t="s">
        <v>UNITED STATES</v>
        <stp/>
        <stp>##V3_BDPV12</stp>
        <stp>912834QN Govt</stp>
        <stp>COUNTRY_FULL_NAME</stp>
        <stp>[STRIPS.xlsx]Sheet1!R179C8</stp>
        <tr r="H179" s="1"/>
      </tp>
      <tp t="s">
        <v>UNITED STATES</v>
        <stp/>
        <stp>##V3_BDPV12</stp>
        <stp>9128335F Govt</stp>
        <stp>COUNTRY_FULL_NAME</stp>
        <stp>[STRIPS.xlsx]Sheet1!R721C8</stp>
        <tr r="H721" s="1"/>
      </tp>
      <tp t="s">
        <v>5/31/2002</v>
        <stp/>
        <stp>##V3_BDPV12</stp>
        <stp>912833QL Govt</stp>
        <stp>MATURITY</stp>
        <stp>[STRIPS.xlsx]Sheet1!R631C5</stp>
        <tr r="E631" s="1"/>
      </tp>
      <tp t="s">
        <v>7/31/1999</v>
        <stp/>
        <stp>##V3_BDPV12</stp>
        <stp>912833RA Govt</stp>
        <stp>MATURITY</stp>
        <stp>[STRIPS.xlsx]Sheet1!R342C5</stp>
        <tr r="E342" s="1"/>
      </tp>
      <tp t="s">
        <v>12/15/2020</v>
        <stp/>
        <stp>##V3_BDPV12</stp>
        <stp>912834TB Govt</stp>
        <stp>MATURITY</stp>
        <stp>[STRIPS.xlsx]Sheet1!R424C5</stp>
        <tr r="E424" s="1"/>
      </tp>
      <tp t="s">
        <v>2/15/2047</v>
        <stp/>
        <stp>##V3_BDPV12</stp>
        <stp>912834RB Govt</stp>
        <stp>MATURITY</stp>
        <stp>[STRIPS.xlsx]Sheet1!R112C5</stp>
        <tr r="E112" s="1"/>
      </tp>
      <tp t="s">
        <v>2/28/2023</v>
        <stp/>
        <stp>##V3_BDPV12</stp>
        <stp>912834QC Govt</stp>
        <stp>MATURITY</stp>
        <stp>[STRIPS.xlsx]Sheet1!R141C5</stp>
        <tr r="E141" s="1"/>
      </tp>
      <tp t="s">
        <v>5/31/1998</v>
        <stp/>
        <stp>##V3_BDPV12</stp>
        <stp>912833QC Govt</stp>
        <stp>MATURITY</stp>
        <stp>[STRIPS.xlsx]Sheet1!R341C5</stp>
        <tr r="E341" s="1"/>
      </tp>
      <tp t="s">
        <v>11/15/2049</v>
        <stp/>
        <stp>##V3_BDPV12</stp>
        <stp>912834VE Govt</stp>
        <stp>MATURITY</stp>
        <stp>[STRIPS.xlsx]Sheet1!R116C5</stp>
        <tr r="E116" s="1"/>
      </tp>
      <tp t="s">
        <v>5/31/1999</v>
        <stp/>
        <stp>##V3_BDPV12</stp>
        <stp>912833QE Govt</stp>
        <stp>MATURITY</stp>
        <stp>[STRIPS.xlsx]Sheet1!R241C5</stp>
        <tr r="E241" s="1"/>
      </tp>
      <tp t="s">
        <v>1/31/2002</v>
        <stp/>
        <stp>##V3_BDPV12</stp>
        <stp>912833RF Govt</stp>
        <stp>MATURITY</stp>
        <stp>[STRIPS.xlsx]Sheet1!R522C5</stp>
        <tr r="E522" s="1"/>
      </tp>
      <tp t="s">
        <v>4/30/2023</v>
        <stp/>
        <stp>##V3_BDPV12</stp>
        <stp>912834QG Govt</stp>
        <stp>MATURITY</stp>
        <stp>[STRIPS.xlsx]Sheet1!R211C5</stp>
        <tr r="E211" s="1"/>
      </tp>
      <tp t="s">
        <v>#N/A N/A</v>
        <stp/>
        <stp>##V3_BDPV12</stp>
        <stp>9128334K Govt</stp>
        <stp>YLD_YTM_BID</stp>
        <stp>[STRIPS.xlsx]Sheet1!R490C4</stp>
        <tr r="D490" s="1"/>
      </tp>
      <tp t="s">
        <v>#N/A N/A</v>
        <stp/>
        <stp>##V3_BDPV12</stp>
        <stp>9128335M Govt</stp>
        <stp>YLD_YTM_BID</stp>
        <stp>[STRIPS.xlsx]Sheet1!R710C4</stp>
        <tr r="D710" s="1"/>
      </tp>
      <tp>
        <v>0</v>
        <stp/>
        <stp>##V3_BDPV12</stp>
        <stp>9128334D Govt</stp>
        <stp>CPN</stp>
        <stp>[STRIPS.xlsx]Sheet1!R488C3</stp>
        <tr r="C488" s="1"/>
      </tp>
      <tp t="s">
        <v>#N/A N/A</v>
        <stp/>
        <stp>##V3_BDPV12</stp>
        <stp>9128335C Govt</stp>
        <stp>YLD_YTM_BID</stp>
        <stp>[STRIPS.xlsx]Sheet1!R720C4</stp>
        <tr r="D720" s="1"/>
      </tp>
      <tp>
        <v>0</v>
        <stp/>
        <stp>##V3_BDPV12</stp>
        <stp>9128334E Govt</stp>
        <stp>CPN</stp>
        <stp>[STRIPS.xlsx]Sheet1!R708C3</stp>
        <tr r="C708" s="1"/>
      </tp>
      <tp t="s">
        <v>#N/A N/A</v>
        <stp/>
        <stp>##V3_BDPV12</stp>
        <stp>9128335Z Govt</stp>
        <stp>YLD_YTM_BID</stp>
        <stp>[STRIPS.xlsx]Sheet1!R650C4</stp>
        <tr r="D650" s="1"/>
      </tp>
      <tp t="s">
        <v>#N/A N/A</v>
        <stp/>
        <stp>##V3_BDPV12</stp>
        <stp>9128336Z Govt</stp>
        <stp>YLD_YTM_BID</stp>
        <stp>[STRIPS.xlsx]Sheet1!R430C4</stp>
        <tr r="D430" s="1"/>
      </tp>
      <tp t="s">
        <v>#N/A N/A</v>
        <stp/>
        <stp>##V3_BDPV12</stp>
        <stp>9128336X Govt</stp>
        <stp>YLD_YTM_BID</stp>
        <stp>[STRIPS.xlsx]Sheet1!R290C4</stp>
        <tr r="D290" s="1"/>
      </tp>
      <tp t="s">
        <v>#N/A N/A</v>
        <stp/>
        <stp>##V3_BDPV12</stp>
        <stp>9128336Q Govt</stp>
        <stp>YLD_YTM_BID</stp>
        <stp>[STRIPS.xlsx]Sheet1!R750C4</stp>
        <tr r="D750" s="1"/>
      </tp>
      <tp>
        <v>0</v>
        <stp/>
        <stp>##V3_BDPV12</stp>
        <stp>9128336M Govt</stp>
        <stp>CPN</stp>
        <stp>[STRIPS.xlsx]Sheet1!R558C3</stp>
        <tr r="C558" s="1"/>
      </tp>
      <tp t="s">
        <v>#N/A N/A</v>
        <stp/>
        <stp>##V3_BDPV12</stp>
        <stp>9128337J Govt</stp>
        <stp>YLD_YTM_BID</stp>
        <stp>[STRIPS.xlsx]Sheet1!R730C4</stp>
        <tr r="D730" s="1"/>
      </tp>
      <tp>
        <v>0</v>
        <stp/>
        <stp>##V3_BDPV12</stp>
        <stp>9128336E Govt</stp>
        <stp>CPN</stp>
        <stp>[STRIPS.xlsx]Sheet1!R728C3</stp>
        <tr r="C728" s="1"/>
      </tp>
      <tp>
        <v>0</v>
        <stp/>
        <stp>##V3_BDPV12</stp>
        <stp>9128336F Govt</stp>
        <stp>CPN</stp>
        <stp>[STRIPS.xlsx]Sheet1!R288C3</stp>
        <tr r="C288" s="1"/>
      </tp>
      <tp>
        <v>0</v>
        <stp/>
        <stp>##V3_BDPV12</stp>
        <stp>9128336A Govt</stp>
        <stp>CPN</stp>
        <stp>[STRIPS.xlsx]Sheet1!R748C3</stp>
        <tr r="C748" s="1"/>
      </tp>
      <tp>
        <v>1.8819999999999837</v>
        <stp/>
        <stp>##V3_BDPV12</stp>
        <stp>9128337V Govt</stp>
        <stp>YLD_YTM_BID</stp>
        <stp>[STRIPS.xlsx]Sheet1!R100C4</stp>
        <tr r="D100" s="1"/>
      </tp>
      <tp>
        <v>0</v>
        <stp/>
        <stp>##V3_BDPV12</stp>
        <stp>9128336R Govt</stp>
        <stp>CPN</stp>
        <stp>[STRIPS.xlsx]Sheet1!R498C3</stp>
        <tr r="C498" s="1"/>
      </tp>
      <tp>
        <v>0</v>
        <stp/>
        <stp>##V3_BDPV12</stp>
        <stp>9128333N Govt</stp>
        <stp>CPN</stp>
        <stp>[STRIPS.xlsx]Sheet1!R428C3</stp>
        <tr r="C428" s="1"/>
      </tp>
      <tp t="s">
        <v>#N/A N/A</v>
        <stp/>
        <stp>##V3_BDPV12</stp>
        <stp>9128332A Govt</stp>
        <stp>YLD_YTM_BID</stp>
        <stp>[STRIPS.xlsx]Sheet1!R700C4</stp>
        <tr r="D700" s="1"/>
      </tp>
      <tp t="s">
        <v>#N/A N/A</v>
        <stp/>
        <stp>##V3_BDPV12</stp>
        <stp>9128333H Govt</stp>
        <stp>YLD_YTM_BID</stp>
        <stp>[STRIPS.xlsx]Sheet1!R600C4</stp>
        <tr r="D600" s="1"/>
      </tp>
      <tp>
        <v>0</v>
        <stp/>
        <stp>##V3_BDPV12</stp>
        <stp>9128332H Govt</stp>
        <stp>CPN</stp>
        <stp>[STRIPS.xlsx]Sheet1!R718C3</stp>
        <tr r="C718" s="1"/>
      </tp>
      <tp>
        <v>0</v>
        <stp/>
        <stp>##V3_BDPV12</stp>
        <stp>9128332J Govt</stp>
        <stp>CPN</stp>
        <stp>[STRIPS.xlsx]Sheet1!R598C3</stp>
        <tr r="C598" s="1"/>
      </tp>
      <tp>
        <v>0</v>
        <stp/>
        <stp>##V3_BDPV12</stp>
        <stp>9128332D Govt</stp>
        <stp>CPN</stp>
        <stp>[STRIPS.xlsx]Sheet1!R648C3</stp>
        <tr r="C648" s="1"/>
      </tp>
      <tp>
        <v>0</v>
        <stp/>
        <stp>##V3_BDPV12</stp>
        <stp>912833YT Govt</stp>
        <stp>CPN</stp>
        <stp>[STRIPS.xlsx]Sheet1!R249C3</stp>
        <tr r="C249" s="1"/>
      </tp>
      <tp t="s">
        <v>#N/A N/A</v>
        <stp/>
        <stp>##V3_BDPV12</stp>
        <stp>912833YB Govt</stp>
        <stp>YLD_YTM_BID</stp>
        <stp>[STRIPS.xlsx]Sheet1!R451C4</stp>
        <tr r="D451" s="1"/>
      </tp>
      <tp t="s">
        <v>#N/A N/A</v>
        <stp/>
        <stp>##V3_BDPV12</stp>
        <stp>912833YX Govt</stp>
        <stp>YLD_YTM_BID</stp>
        <stp>[STRIPS.xlsx]Sheet1!R381C4</stp>
        <tr r="D381" s="1"/>
      </tp>
      <tp t="s">
        <v>#N/A N/A</v>
        <stp/>
        <stp>##V3_BDPV12</stp>
        <stp>912833ZA Govt</stp>
        <stp>YLD_YTM_BID</stp>
        <stp>[STRIPS.xlsx]Sheet1!R251C4</stp>
        <tr r="D251" s="1"/>
      </tp>
      <tp>
        <v>2.0760000000000112</v>
        <stp/>
        <stp>##V3_BDPV12</stp>
        <stp>912833Z6 Govt</stp>
        <stp>YLD_YTM_BID</stp>
        <stp>[STRIPS.xlsx]Sheet1!R111C4</stp>
        <tr r="D111" s="1"/>
      </tp>
      <tp>
        <v>0</v>
        <stp/>
        <stp>##V3_BDPV12</stp>
        <stp>912833ZM Govt</stp>
        <stp>CPN</stp>
        <stp>[STRIPS.xlsx]Sheet1!R699C3</stp>
        <tr r="C699" s="1"/>
      </tp>
      <tp>
        <v>0</v>
        <stp/>
        <stp>##V3_BDPV12</stp>
        <stp>912833ZQ Govt</stp>
        <stp>CPN</stp>
        <stp>[STRIPS.xlsx]Sheet1!R639C3</stp>
        <tr r="C639" s="1"/>
      </tp>
      <tp>
        <v>0.62799999999998413</v>
        <stp/>
        <stp>##V3_BDPV12</stp>
        <stp>912834TA Govt</stp>
        <stp>YLD_YTM_BID</stp>
        <stp>[STRIPS.xlsx]Sheet1!R756C4</stp>
        <tr r="D756" s="1"/>
      </tp>
      <tp t="s">
        <v>#N/A N/A</v>
        <stp/>
        <stp>##V3_BDPV12</stp>
        <stp>912834TR Govt</stp>
        <stp>YLD_YTM_BID</stp>
        <stp>[STRIPS.xlsx]Sheet1!R426C4</stp>
        <tr r="D426" s="1"/>
      </tp>
      <tp>
        <v>0.77199999999999491</v>
        <stp/>
        <stp>##V3_BDPV12</stp>
        <stp>912834TS Govt</stp>
        <stp>YLD_YTM_BID</stp>
        <stp>[STRIPS.xlsx]Sheet1!R196C4</stp>
        <tr r="D196" s="1"/>
      </tp>
      <tp>
        <v>0.95499999999999474</v>
        <stp/>
        <stp>##V3_BDPV12</stp>
        <stp>912834UN Govt</stp>
        <stp>YLD_YTM_BID</stp>
        <stp>[STRIPS.xlsx]Sheet1!R206C4</stp>
        <tr r="D206" s="1"/>
      </tp>
      <tp>
        <v>1.1249999999999982</v>
        <stp/>
        <stp>##V3_BDPV12</stp>
        <stp>912834VH Govt</stp>
        <stp>YLD_YTM_BID</stp>
        <stp>[STRIPS.xlsx]Sheet1!R146C4</stp>
        <tr r="D146" s="1"/>
      </tp>
      <tp>
        <v>2.2219999999999906</v>
        <stp/>
        <stp>##V3_BDPV12</stp>
        <stp>912834VE Govt</stp>
        <stp>YLD_YTM_BID</stp>
        <stp>[STRIPS.xlsx]Sheet1!R116C4</stp>
        <tr r="D116" s="1"/>
      </tp>
      <tp>
        <v>0.24099999999998012</v>
        <stp/>
        <stp>##V3_BDPV12</stp>
        <stp>912834VZ Govt</stp>
        <stp>YLD_YTM_BID</stp>
        <stp>[STRIPS.xlsx]Sheet1!R766C4</stp>
        <tr r="D766" s="1"/>
      </tp>
      <tp>
        <v>1.252999999999993</v>
        <stp/>
        <stp>##V3_BDPV12</stp>
        <stp>912834WD Govt</stp>
        <stp>YLD_YTM_BID</stp>
        <stp>[STRIPS.xlsx]Sheet1!R186C4</stp>
        <tr r="D186" s="1"/>
      </tp>
      <tp>
        <v>0.44400000000002215</v>
        <stp/>
        <stp>##V3_BDPV12</stp>
        <stp>912834WX Govt</stp>
        <stp>YLD_YTM_BID</stp>
        <stp>[STRIPS.xlsx]Sheet1!R776C4</stp>
        <tr r="D776" s="1"/>
      </tp>
      <tp>
        <v>1.3339999999999907</v>
        <stp/>
        <stp>##V3_BDPV12</stp>
        <stp>912834WU Govt</stp>
        <stp>YLD_YTM_BID</stp>
        <stp>[STRIPS.xlsx]Sheet1!R166C4</stp>
        <tr r="D166" s="1"/>
      </tp>
      <tp>
        <v>1.3209999999999944</v>
        <stp/>
        <stp>##V3_BDPV12</stp>
        <stp>912834WQ Govt</stp>
        <stp>YLD_YTM_BID</stp>
        <stp>[STRIPS.xlsx]Sheet1!R136C4</stp>
        <tr r="D136" s="1"/>
      </tp>
      <tp>
        <v>0</v>
        <stp/>
        <stp>##V3_BDPV12</stp>
        <stp>912833QK Govt</stp>
        <stp>CPN</stp>
        <stp>[STRIPS.xlsx]Sheet1!R519C3</stp>
        <tr r="C519" s="1"/>
      </tp>
      <tp t="s">
        <v>#N/A N/A</v>
        <stp/>
        <stp>##V3_BDPV12</stp>
        <stp>912833PN Govt</stp>
        <stp>YLD_YTM_BID</stp>
        <stp>[STRIPS.xlsx]Sheet1!R681C4</stp>
        <tr r="D681" s="1"/>
      </tp>
      <tp>
        <v>0</v>
        <stp/>
        <stp>##V3_BDPV12</stp>
        <stp>912833QZ Govt</stp>
        <stp>CPN</stp>
        <stp>[STRIPS.xlsx]Sheet1!R379C3</stp>
        <tr r="C379" s="1"/>
      </tp>
      <tp>
        <v>2.2600000000000176</v>
        <stp/>
        <stp>##V3_BDPV12</stp>
        <stp>912834PZ Govt</stp>
        <stp>YLD_YTM_BID</stp>
        <stp>[STRIPS.xlsx]Sheet1!R126C4</stp>
        <tr r="D126" s="1"/>
      </tp>
      <tp>
        <v>2.2629999999999928</v>
        <stp/>
        <stp>##V3_BDPV12</stp>
        <stp>912834PT Govt</stp>
        <stp>YLD_YTM_BID</stp>
        <stp>[STRIPS.xlsx]Sheet1!R106C4</stp>
        <tr r="D106" s="1"/>
      </tp>
      <tp t="s">
        <v>#N/A N/A</v>
        <stp/>
        <stp>##V3_BDPV12</stp>
        <stp>912834PP Govt</stp>
        <stp>YLD_YTM_BID</stp>
        <stp>[STRIPS.xlsx]Sheet1!R276C4</stp>
        <tr r="D276" s="1"/>
      </tp>
      <tp t="s">
        <v>#N/A N/A</v>
        <stp/>
        <stp>##V3_BDPV12</stp>
        <stp>912833QL Govt</stp>
        <stp>YLD_YTM_BID</stp>
        <stp>[STRIPS.xlsx]Sheet1!R631C4</stp>
        <tr r="D631" s="1"/>
      </tp>
      <tp>
        <v>0</v>
        <stp/>
        <stp>##V3_BDPV12</stp>
        <stp>912833PG Govt</stp>
        <stp>CPN</stp>
        <stp>[STRIPS.xlsx]Sheet1!R679C3</stp>
        <tr r="C679" s="1"/>
      </tp>
      <tp t="s">
        <v>#N/A N/A</v>
        <stp/>
        <stp>##V3_BDPV12</stp>
        <stp>912833QE Govt</stp>
        <stp>YLD_YTM_BID</stp>
        <stp>[STRIPS.xlsx]Sheet1!R241C4</stp>
        <tr r="D241" s="1"/>
      </tp>
      <tp t="s">
        <v>#N/A N/A</v>
        <stp/>
        <stp>##V3_BDPV12</stp>
        <stp>912833QC Govt</stp>
        <stp>YLD_YTM_BID</stp>
        <stp>[STRIPS.xlsx]Sheet1!R341C4</stp>
        <tr r="D341" s="1"/>
      </tp>
      <tp>
        <v>0</v>
        <stp/>
        <stp>##V3_BDPV12</stp>
        <stp>912833PX Govt</stp>
        <stp>CPN</stp>
        <stp>[STRIPS.xlsx]Sheet1!R339C3</stp>
        <tr r="C339" s="1"/>
      </tp>
      <tp t="s">
        <v>#N/A N/A</v>
        <stp/>
        <stp>##V3_BDPV12</stp>
        <stp>912833QR Govt</stp>
        <stp>YLD_YTM_BID</stp>
        <stp>[STRIPS.xlsx]Sheet1!R521C4</stp>
        <tr r="D521" s="1"/>
      </tp>
      <tp>
        <v>0</v>
        <stp/>
        <stp>##V3_BDPV12</stp>
        <stp>912833PW Govt</stp>
        <stp>CPN</stp>
        <stp>[STRIPS.xlsx]Sheet1!R239C3</stp>
        <tr r="C239" s="1"/>
      </tp>
      <tp>
        <v>0.38100000000000911</v>
        <stp/>
        <stp>##V3_BDPV12</stp>
        <stp>912834RA Govt</stp>
        <stp>YLD_YTM_BID</stp>
        <stp>[STRIPS.xlsx]Sheet1!R216C4</stp>
        <tr r="D216" s="1"/>
      </tp>
      <tp t="s">
        <v>#N/A N/A</v>
        <stp/>
        <stp>##V3_BDPV12</stp>
        <stp>912833RE Govt</stp>
        <stp>YLD_YTM_BID</stp>
        <stp>[STRIPS.xlsx]Sheet1!R691C4</stp>
        <tr r="D691" s="1"/>
      </tp>
      <tp t="s">
        <v>#N/A N/A</v>
        <stp/>
        <stp>##V3_BDPV12</stp>
        <stp>912834RP Govt</stp>
        <stp>YLD_YTM_BID</stp>
        <stp>[STRIPS.xlsx]Sheet1!R416C4</stp>
        <tr r="D416" s="1"/>
      </tp>
      <tp t="s">
        <v>#N/A N/A</v>
        <stp/>
        <stp>##V3_BDPV12</stp>
        <stp>912833RV Govt</stp>
        <stp>YLD_YTM_BID</stp>
        <stp>[STRIPS.xlsx]Sheet1!R581C4</stp>
        <tr r="D581" s="1"/>
      </tp>
      <tp>
        <v>0</v>
        <stp/>
        <stp>##V3_BDPV12</stp>
        <stp>912833RN Govt</stp>
        <stp>CPN</stp>
        <stp>[STRIPS.xlsx]Sheet1!R579C3</stp>
        <tr r="C579" s="1"/>
      </tp>
      <tp>
        <v>0</v>
        <stp/>
        <stp>##V3_BDPV12</stp>
        <stp>912833RB Govt</stp>
        <stp>CPN</stp>
        <stp>[STRIPS.xlsx]Sheet1!R689C3</stp>
        <tr r="C689" s="1"/>
      </tp>
      <tp>
        <v>0</v>
        <stp/>
        <stp>##V3_BDPV12</stp>
        <stp>912833RX Govt</stp>
        <stp>CPN</stp>
        <stp>[STRIPS.xlsx]Sheet1!R449C3</stp>
        <tr r="C449" s="1"/>
      </tp>
      <tp t="s">
        <v>#N/A N/A</v>
        <stp/>
        <stp>##V3_BDPV12</stp>
        <stp>912833LD Govt</stp>
        <stp>YLD_YTM_BID</stp>
        <stp>[STRIPS.xlsx]Sheet1!R151C4</stp>
        <tr r="D151" s="1"/>
      </tp>
      <tp>
        <v>0</v>
        <stp/>
        <stp>##V3_BDPV12</stp>
        <stp>912833MY Govt</stp>
        <stp>CPN</stp>
        <stp>[STRIPS.xlsx]Sheet1!R569C3</stp>
        <tr r="C569" s="1"/>
      </tp>
      <tp t="s">
        <v>#N/A N/A</v>
        <stp/>
        <stp>##V3_BDPV12</stp>
        <stp>912833MM Govt</stp>
        <stp>YLD_YTM_BID</stp>
        <stp>[STRIPS.xlsx]Sheet1!R371C4</stp>
        <tr r="D371" s="1"/>
      </tp>
      <tp t="s">
        <v>#N/A N/A</v>
        <stp/>
        <stp>##V3_BDPV12</stp>
        <stp>912834MH Govt</stp>
        <stp>YLD_YTM_BID</stp>
        <stp>[STRIPS.xlsx]Sheet1!R326C4</stp>
        <tr r="D326" s="1"/>
      </tp>
      <tp>
        <v>0</v>
        <stp/>
        <stp>##V3_BDPV12</stp>
        <stp>912833LA Govt</stp>
        <stp>CPN</stp>
        <stp>[STRIPS.xlsx]Sheet1!R369C3</stp>
        <tr r="C369" s="1"/>
      </tp>
      <tp t="s">
        <v>#N/A N/A</v>
        <stp/>
        <stp>##V3_BDPV12</stp>
        <stp>912834MS Govt</stp>
        <stp>YLD_YTM_BID</stp>
        <stp>[STRIPS.xlsx]Sheet1!R406C4</stp>
        <tr r="D406" s="1"/>
      </tp>
      <tp t="s">
        <v>#N/A N/A</v>
        <stp/>
        <stp>##V3_BDPV12</stp>
        <stp>912834NA Govt</stp>
        <stp>YLD_YTM_BID</stp>
        <stp>[STRIPS.xlsx]Sheet1!R476C4</stp>
        <tr r="D476" s="1"/>
      </tp>
      <tp t="s">
        <v>#N/A N/A</v>
        <stp/>
        <stp>##V3_BDPV12</stp>
        <stp>912834NE Govt</stp>
        <stp>YLD_YTM_BID</stp>
        <stp>[STRIPS.xlsx]Sheet1!R546C4</stp>
        <tr r="D546" s="1"/>
      </tp>
      <tp t="s">
        <v>#N/A N/A</v>
        <stp/>
        <stp>##V3_BDPV12</stp>
        <stp>912833NE Govt</stp>
        <stp>YLD_YTM_BID</stp>
        <stp>[STRIPS.xlsx]Sheet1!R571C4</stp>
        <tr r="D571" s="1"/>
      </tp>
      <tp>
        <v>0</v>
        <stp/>
        <stp>##V3_BDPV12</stp>
        <stp>912833NB Govt</stp>
        <stp>CPN</stp>
        <stp>[STRIPS.xlsx]Sheet1!R629C3</stp>
        <tr r="C629" s="1"/>
      </tp>
      <tp t="s">
        <v>#N/A N/A</v>
        <stp/>
        <stp>##V3_BDPV12</stp>
        <stp>912834HY Govt</stp>
        <stp>YLD_YTM_BID</stp>
        <stp>[STRIPS.xlsx]Sheet1!R226C4</stp>
        <tr r="D226" s="1"/>
      </tp>
      <tp t="s">
        <v>#N/A N/A</v>
        <stp/>
        <stp>##V3_BDPV12</stp>
        <stp>912834HX Govt</stp>
        <stp>YLD_YTM_BID</stp>
        <stp>[STRIPS.xlsx]Sheet1!R356C4</stp>
        <tr r="D356" s="1"/>
      </tp>
      <tp t="s">
        <v>#N/A N/A</v>
        <stp/>
        <stp>##V3_BDPV12</stp>
        <stp>912834HW Govt</stp>
        <stp>YLD_YTM_BID</stp>
        <stp>[STRIPS.xlsx]Sheet1!R536C4</stp>
        <tr r="D536" s="1"/>
      </tp>
      <tp t="s">
        <v>#N/A N/A</v>
        <stp/>
        <stp>##V3_BDPV12</stp>
        <stp>912834HS Govt</stp>
        <stp>YLD_YTM_BID</stp>
        <stp>[STRIPS.xlsx]Sheet1!R396C4</stp>
        <tr r="D396" s="1"/>
      </tp>
      <tp t="s">
        <v>#N/A N/A</v>
        <stp/>
        <stp>##V3_BDPV12</stp>
        <stp>912834JK Govt</stp>
        <stp>YLD_YTM_BID</stp>
        <stp>[STRIPS.xlsx]Sheet1!R466C4</stp>
        <tr r="D466" s="1"/>
      </tp>
      <tp t="s">
        <v>#N/A N/A</v>
        <stp/>
        <stp>##V3_BDPV12</stp>
        <stp>912834JE Govt</stp>
        <stp>YLD_YTM_BID</stp>
        <stp>[STRIPS.xlsx]Sheet1!R646C4</stp>
        <tr r="D646" s="1"/>
      </tp>
      <tp t="s">
        <v>#N/A N/A</v>
        <stp/>
        <stp>##V3_BDPV12</stp>
        <stp>912833JZ Govt</stp>
        <stp>YLD_YTM_BID</stp>
        <stp>[STRIPS.xlsx]Sheet1!R741C4</stp>
        <tr r="D741" s="1"/>
      </tp>
      <tp t="s">
        <v>#N/A N/A</v>
        <stp/>
        <stp>##V3_BDPV12</stp>
        <stp>912834JZ Govt</stp>
        <stp>YLD_YTM_BID</stp>
        <stp>[STRIPS.xlsx]Sheet1!R266C4</stp>
        <tr r="D266" s="1"/>
      </tp>
      <tp t="s">
        <v>#N/A N/A</v>
        <stp/>
        <stp>##V3_BDPV12</stp>
        <stp>912833KK Govt</stp>
        <stp>YLD_YTM_BID</stp>
        <stp>[STRIPS.xlsx]Sheet1!R301C4</stp>
        <tr r="D301" s="1"/>
      </tp>
      <tp t="s">
        <v>#N/A N/A</v>
        <stp/>
        <stp>##V3_BDPV12</stp>
        <stp>912834KE Govt</stp>
        <stp>YLD_YTM_BID</stp>
        <stp>[STRIPS.xlsx]Sheet1!R316C4</stp>
        <tr r="D316" s="1"/>
      </tp>
      <tp t="s">
        <v>#N/A N/A</v>
        <stp/>
        <stp>##V3_BDPV12</stp>
        <stp>912833KG Govt</stp>
        <stp>YLD_YTM_BID</stp>
        <stp>[STRIPS.xlsx]Sheet1!R671C4</stp>
        <tr r="D671" s="1"/>
      </tp>
      <tp>
        <v>0</v>
        <stp/>
        <stp>##V3_BDPV12</stp>
        <stp>912833JX Govt</stp>
        <stp>CPN</stp>
        <stp>[STRIPS.xlsx]Sheet1!R669C3</stp>
        <tr r="C669" s="1"/>
      </tp>
      <tp t="s">
        <v>#N/A N/A</v>
        <stp/>
        <stp>##V3_BDPV12</stp>
        <stp>912833KT Govt</stp>
        <stp>YLD_YTM_BID</stp>
        <stp>[STRIPS.xlsx]Sheet1!R161C4</stp>
        <tr r="D161" s="1"/>
      </tp>
      <tp>
        <v>0</v>
        <stp/>
        <stp>##V3_BDPV12</stp>
        <stp>912833DD Govt</stp>
        <stp>CPN</stp>
        <stp>[STRIPS.xlsx]Sheet1!R659C3</stp>
        <tr r="C659" s="1"/>
      </tp>
      <tp t="s">
        <v>#N/A N/A</v>
        <stp/>
        <stp>##V3_BDPV12</stp>
        <stp>912834ER Govt</stp>
        <stp>YLD_YTM_BID</stp>
        <stp>[STRIPS.xlsx]Sheet1!R596C4</stp>
        <tr r="D596" s="1"/>
      </tp>
      <tp>
        <v>0</v>
        <stp/>
        <stp>##V3_BDPV12</stp>
        <stp>912833GA Govt</stp>
        <stp>CPN</stp>
        <stp>[STRIPS.xlsx]Sheet1!R439C3</stp>
        <tr r="C439" s="1"/>
      </tp>
      <tp t="s">
        <v>#N/A N/A</v>
        <stp/>
        <stp>##V3_BDPV12</stp>
        <stp>912833FG Govt</stp>
        <stp>YLD_YTM_BID</stp>
        <stp>[STRIPS.xlsx]Sheet1!R661C4</stp>
        <tr r="D661" s="1"/>
      </tp>
      <tp t="s">
        <v>#N/A N/A</v>
        <stp/>
        <stp>##V3_BDPV12</stp>
        <stp>912833FZ Govt</stp>
        <stp>YLD_YTM_BID</stp>
        <stp>[STRIPS.xlsx]Sheet1!R511C4</stp>
        <tr r="D511" s="1"/>
      </tp>
      <tp t="s">
        <v>#N/A N/A</v>
        <stp/>
        <stp>##V3_BDPV12</stp>
        <stp>912833FT Govt</stp>
        <stp>YLD_YTM_BID</stp>
        <stp>[STRIPS.xlsx]Sheet1!R621C4</stp>
        <tr r="D621" s="1"/>
      </tp>
      <tp>
        <v>0</v>
        <stp/>
        <stp>##V3_BDPV12</stp>
        <stp>912833FM Govt</stp>
        <stp>CPN</stp>
        <stp>[STRIPS.xlsx]Sheet1!R619C3</stp>
        <tr r="C619" s="1"/>
      </tp>
      <tp t="s">
        <v>#N/A N/A</v>
        <stp/>
        <stp>##V3_BDPV12</stp>
        <stp>912833GE Govt</stp>
        <stp>YLD_YTM_BID</stp>
        <stp>[STRIPS.xlsx]Sheet1!R441C4</stp>
        <tr r="D441" s="1"/>
      </tp>
      <tp>
        <v>0</v>
        <stp/>
        <stp>##V3_BDPV12</stp>
        <stp>912833FW Govt</stp>
        <stp>CPN</stp>
        <stp>[STRIPS.xlsx]Sheet1!R739C3</stp>
        <tr r="C739" s="1"/>
      </tp>
      <tp>
        <v>0</v>
        <stp/>
        <stp>##V3_BDPV12</stp>
        <stp>912833FU Govt</stp>
        <stp>CPN</stp>
        <stp>[STRIPS.xlsx]Sheet1!R509C3</stp>
        <tr r="C509" s="1"/>
      </tp>
      <tp>
        <v>0</v>
        <stp/>
        <stp>##V3_BDPV12</stp>
        <stp>912833A9 Govt</stp>
        <stp>CPN</stp>
        <stp>[STRIPS.xlsx]Sheet1!R609C3</stp>
        <tr r="C609" s="1"/>
      </tp>
      <tp t="s">
        <v>#N/A N/A</v>
        <stp/>
        <stp>##V3_BDPV12</stp>
        <stp>912834AF Govt</stp>
        <stp>YLD_YTM_BID</stp>
        <stp>[STRIPS.xlsx]Sheet1!R456C4</stp>
        <tr r="D456" s="1"/>
      </tp>
      <tp t="s">
        <v>#N/A N/A</v>
        <stp/>
        <stp>##V3_BDPV12</stp>
        <stp>912834AB Govt</stp>
        <stp>YLD_YTM_BID</stp>
        <stp>[STRIPS.xlsx]Sheet1!R256C4</stp>
        <tr r="D256" s="1"/>
      </tp>
      <tp t="s">
        <v>#N/A N/A</v>
        <stp/>
        <stp>##V3_BDPV12</stp>
        <stp>912834AP Govt</stp>
        <stp>YLD_YTM_BID</stp>
        <stp>[STRIPS.xlsx]Sheet1!R386C4</stp>
        <tr r="D386" s="1"/>
      </tp>
      <tp t="s">
        <v>#N/A N/A</v>
        <stp/>
        <stp>##V3_BDPV12</stp>
        <stp>912833A3 Govt</stp>
        <stp>YLD_YTM_BID</stp>
        <stp>[STRIPS.xlsx]Sheet1!R731C4</stp>
        <tr r="D731" s="1"/>
      </tp>
      <tp t="s">
        <v>#N/A N/A</v>
        <stp/>
        <stp>##V3_BDPV12</stp>
        <stp>912833BY Govt</stp>
        <stp>YLD_YTM_BID</stp>
        <stp>[STRIPS.xlsx]Sheet1!R501C4</stp>
        <tr r="D501" s="1"/>
      </tp>
      <tp t="s">
        <v>#N/A N/A</v>
        <stp/>
        <stp>##V3_BDPV12</stp>
        <stp>912833BX Govt</stp>
        <stp>YLD_YTM_BID</stp>
        <stp>[STRIPS.xlsx]Sheet1!R361C4</stp>
        <tr r="D361" s="1"/>
      </tp>
      <tp>
        <v>0</v>
        <stp/>
        <stp>##V3_BDPV12</stp>
        <stp>912833CU Govt</stp>
        <stp>CPN</stp>
        <stp>[STRIPS.xlsx]Sheet1!R299C3</stp>
        <tr r="C299" s="1"/>
      </tp>
      <tp t="s">
        <v>#N/A N/A</v>
        <stp/>
        <stp>##V3_BDPV12</stp>
        <stp>912833B5 Govt</stp>
        <stp>YLD_YTM_BID</stp>
        <stp>[STRIPS.xlsx]Sheet1!R331C4</stp>
        <tr r="D331" s="1"/>
      </tp>
      <tp t="s">
        <v>#N/A N/A</v>
        <stp/>
        <stp>##V3_BDPV12</stp>
        <stp>912833B2 Govt</stp>
        <stp>YLD_YTM_BID</stp>
        <stp>[STRIPS.xlsx]Sheet1!R561C4</stp>
        <tr r="D561" s="1"/>
      </tp>
      <tp t="s">
        <v>#N/A N/A</v>
        <stp/>
        <stp>##V3_BDPV12</stp>
        <stp>912833C2 Govt</stp>
        <stp>YLD_YTM_BID</stp>
        <stp>[STRIPS.xlsx]Sheet1!R611C4</stp>
        <tr r="D611" s="1"/>
      </tp>
      <tp t="s">
        <v>11/30/2012</v>
        <stp/>
        <stp>##V3_BDPV12</stp>
        <stp>912833Y8 Govt</stp>
        <stp>MATURITY</stp>
        <stp>[STRIPS.xlsx]Sheet1!R248C5</stp>
        <tr r="E248" s="1"/>
      </tp>
      <tp t="s">
        <v>4/15/2024</v>
        <stp/>
        <stp>##V3_BDPV12</stp>
        <stp>912834WX Govt</stp>
        <stp>MATURITY</stp>
        <stp>[STRIPS.xlsx]Sheet1!R776C5</stp>
        <tr r="E776" s="1"/>
      </tp>
      <tp t="s">
        <v>6/15/2023</v>
        <stp/>
        <stp>##V3_BDPV12</stp>
        <stp>912834VX Govt</stp>
        <stp>MATURITY</stp>
        <stp>[STRIPS.xlsx]Sheet1!R767C5</stp>
        <tr r="E767" s="1"/>
      </tp>
      <tp t="s">
        <v>9/15/2021</v>
        <stp/>
        <stp>##V3_BDPV12</stp>
        <stp>912834TX Govt</stp>
        <stp>MATURITY</stp>
        <stp>[STRIPS.xlsx]Sheet1!R145C5</stp>
        <tr r="E145" s="1"/>
      </tp>
      <tp t="s">
        <v>4/15/2022</v>
        <stp/>
        <stp>##V3_BDPV12</stp>
        <stp>912834UP Govt</stp>
        <stp>MATURITY</stp>
        <stp>[STRIPS.xlsx]Sheet1!R754C5</stp>
        <tr r="E754" s="1"/>
      </tp>
      <tp t="s">
        <v>1/31/2028</v>
        <stp/>
        <stp>##V3_BDPV12</stp>
        <stp>912834WQ Govt</stp>
        <stp>MATURITY</stp>
        <stp>[STRIPS.xlsx]Sheet1!R136C5</stp>
        <tr r="E136" s="1"/>
      </tp>
      <tp t="s">
        <v>9/15/2019</v>
        <stp/>
        <stp>##V3_BDPV12</stp>
        <stp>912834QR Govt</stp>
        <stp>MATURITY</stp>
        <stp>[STRIPS.xlsx]Sheet1!R480C5</stp>
        <tr r="E480" s="1"/>
      </tp>
      <tp t="s">
        <v>2/28/2002</v>
        <stp/>
        <stp>##V3_BDPV12</stp>
        <stp>912833RR Govt</stp>
        <stp>MATURITY</stp>
        <stp>[STRIPS.xlsx]Sheet1!R693C5</stp>
        <tr r="E693" s="1"/>
      </tp>
      <tp t="s">
        <v>6/15/2022</v>
        <stp/>
        <stp>##V3_BDPV12</stp>
        <stp>912834UT Govt</stp>
        <stp>MATURITY</stp>
        <stp>[STRIPS.xlsx]Sheet1!R184C5</stp>
        <tr r="E184" s="1"/>
      </tp>
      <tp t="s">
        <v>2/29/2028</v>
        <stp/>
        <stp>##V3_BDPV12</stp>
        <stp>912834WU Govt</stp>
        <stp>MATURITY</stp>
        <stp>[STRIPS.xlsx]Sheet1!R166C5</stp>
        <tr r="E166" s="1"/>
      </tp>
      <tp t="s">
        <v>10/31/2024</v>
        <stp/>
        <stp>##V3_BDPV12</stp>
        <stp>912834RW Govt</stp>
        <stp>MATURITY</stp>
        <stp>[STRIPS.xlsx]Sheet1!R753C5</stp>
        <tr r="E753" s="1"/>
      </tp>
      <tp t="s">
        <v>11/30/2000</v>
        <stp/>
        <stp>##V3_BDPV12</stp>
        <stp>912833QH Govt</stp>
        <stp>MATURITY</stp>
        <stp>[STRIPS.xlsx]Sheet1!R630C5</stp>
        <tr r="E630" s="1"/>
      </tp>
      <tp t="s">
        <v>UNITED STATES</v>
        <stp/>
        <stp>##V3_BDPV12</stp>
        <stp>912834WF Govt</stp>
        <stp>COUNTRY_FULL_NAME</stp>
        <stp>[STRIPS.xlsx]Sheet1!R770C8</stp>
        <tr r="H770" s="1"/>
      </tp>
      <tp t="s">
        <v>UNITED STATES</v>
        <stp/>
        <stp>##V3_BDPV12</stp>
        <stp>912833LE Govt</stp>
        <stp>COUNTRY_FULL_NAME</stp>
        <stp>[STRIPS.xlsx]Sheet1!R153C8</stp>
        <tr r="H153" s="1"/>
      </tp>
      <tp t="s">
        <v>UNITED STATES</v>
        <stp/>
        <stp>##V3_BDPV12</stp>
        <stp>912833DA Govt</stp>
        <stp>COUNTRY_FULL_NAME</stp>
        <stp>[STRIPS.xlsx]Sheet1!R167C8</stp>
        <tr r="H167" s="1"/>
      </tp>
      <tp t="s">
        <v>UNITED STATES</v>
        <stp/>
        <stp>##V3_BDPV12</stp>
        <stp>912834EB Govt</stp>
        <stp>COUNTRY_FULL_NAME</stp>
        <stp>[STRIPS.xlsx]Sheet1!R644C8</stp>
        <tr r="H644" s="1"/>
      </tp>
      <tp t="s">
        <v>UNITED STATES</v>
        <stp/>
        <stp>##V3_BDPV12</stp>
        <stp>912834NB Govt</stp>
        <stp>COUNTRY_FULL_NAME</stp>
        <stp>[STRIPS.xlsx]Sheet1!R544C8</stp>
        <tr r="H544" s="1"/>
      </tp>
      <tp t="s">
        <v>UNITED STATES</v>
        <stp/>
        <stp>##V3_BDPV12</stp>
        <stp>912834JA Govt</stp>
        <stp>COUNTRY_FULL_NAME</stp>
        <stp>[STRIPS.xlsx]Sheet1!R537C8</stp>
        <tr r="H537" s="1"/>
      </tp>
      <tp t="s">
        <v>UNITED STATES</v>
        <stp/>
        <stp>##V3_BDPV12</stp>
        <stp>912834LE Govt</stp>
        <stp>COUNTRY_FULL_NAME</stp>
        <stp>[STRIPS.xlsx]Sheet1!R473C8</stp>
        <tr r="H473" s="1"/>
      </tp>
      <tp t="s">
        <v>UNITED STATES</v>
        <stp/>
        <stp>##V3_BDPV12</stp>
        <stp>912834TB Govt</stp>
        <stp>COUNTRY_FULL_NAME</stp>
        <stp>[STRIPS.xlsx]Sheet1!R424C8</stp>
        <tr r="H424" s="1"/>
      </tp>
      <tp t="s">
        <v>UNITED STATES</v>
        <stp/>
        <stp>##V3_BDPV12</stp>
        <stp>9128334A Govt</stp>
        <stp>COUNTRY_FULL_NAME</stp>
        <stp>[STRIPS.xlsx]Sheet1!R487C8</stp>
        <tr r="H487" s="1"/>
      </tp>
      <tp t="s">
        <v>UNITED STATES</v>
        <stp/>
        <stp>##V3_BDPV12</stp>
        <stp>9128333N Govt</stp>
        <stp>COUNTRY_FULL_NAME</stp>
        <stp>[STRIPS.xlsx]Sheet1!R428C8</stp>
        <tr r="H428" s="1"/>
      </tp>
      <tp t="s">
        <v>UNITED STATES</v>
        <stp/>
        <stp>##V3_BDPV12</stp>
        <stp>912834LF Govt</stp>
        <stp>COUNTRY_FULL_NAME</stp>
        <stp>[STRIPS.xlsx]Sheet1!R320C8</stp>
        <tr r="H320" s="1"/>
      </tp>
      <tp t="s">
        <v>UNITED STATES</v>
        <stp/>
        <stp>##V3_BDPV12</stp>
        <stp>912834LG Govt</stp>
        <stp>COUNTRY_FULL_NAME</stp>
        <stp>[STRIPS.xlsx]Sheet1!R321C8</stp>
        <tr r="H321" s="1"/>
      </tp>
      <tp t="s">
        <v>UNITED STATES</v>
        <stp/>
        <stp>##V3_BDPV12</stp>
        <stp>912834BF Govt</stp>
        <stp>COUNTRY_FULL_NAME</stp>
        <stp>[STRIPS.xlsx]Sheet1!R350C8</stp>
        <tr r="H350" s="1"/>
      </tp>
      <tp t="s">
        <v>UNITED STATES</v>
        <stp/>
        <stp>##V3_BDPV12</stp>
        <stp>912833ZB Govt</stp>
        <stp>COUNTRY_FULL_NAME</stp>
        <stp>[STRIPS.xlsx]Sheet1!R454C8</stp>
        <tr r="H454" s="1"/>
      </tp>
      <tp t="s">
        <v>UNITED STATES</v>
        <stp/>
        <stp>##V3_BDPV12</stp>
        <stp>912834MG Govt</stp>
        <stp>COUNTRY_FULL_NAME</stp>
        <stp>[STRIPS.xlsx]Sheet1!R271C8</stp>
        <tr r="H271" s="1"/>
      </tp>
      <tp t="s">
        <v>UNITED STATES</v>
        <stp/>
        <stp>##V3_BDPV12</stp>
        <stp>912833NN Govt</stp>
        <stp>COUNTRY_FULL_NAME</stp>
        <stp>[STRIPS.xlsx]Sheet1!R518C8</stp>
        <tr r="H518" s="1"/>
      </tp>
      <tp t="s">
        <v>UNITED STATES</v>
        <stp/>
        <stp>##V3_BDPV12</stp>
        <stp>912834QG Govt</stp>
        <stp>COUNTRY_FULL_NAME</stp>
        <stp>[STRIPS.xlsx]Sheet1!R211C8</stp>
        <tr r="H211" s="1"/>
      </tp>
      <tp t="s">
        <v>UNITED STATES</v>
        <stp/>
        <stp>##V3_BDPV12</stp>
        <stp>912834WE Govt</stp>
        <stp>COUNTRY_FULL_NAME</stp>
        <stp>[STRIPS.xlsx]Sheet1!R223C8</stp>
        <tr r="H223" s="1"/>
      </tp>
      <tp t="s">
        <v>UNITED STATES</v>
        <stp/>
        <stp>##V3_BDPV12</stp>
        <stp>912833KG Govt</stp>
        <stp>COUNTRY_FULL_NAME</stp>
        <stp>[STRIPS.xlsx]Sheet1!R671C8</stp>
        <tr r="H671" s="1"/>
      </tp>
      <tp t="s">
        <v>UNITED STATES</v>
        <stp/>
        <stp>##V3_BDPV12</stp>
        <stp>912833CB Govt</stp>
        <stp>COUNTRY_FULL_NAME</stp>
        <stp>[STRIPS.xlsx]Sheet1!R614C8</stp>
        <tr r="H614" s="1"/>
      </tp>
      <tp t="s">
        <v>UNITED STATES</v>
        <stp/>
        <stp>##V3_BDPV12</stp>
        <stp>912833DF Govt</stp>
        <stp>COUNTRY_FULL_NAME</stp>
        <stp>[STRIPS.xlsx]Sheet1!R660C8</stp>
        <tr r="H660" s="1"/>
      </tp>
      <tp t="s">
        <v>UNITED STATES</v>
        <stp/>
        <stp>##V3_BDPV12</stp>
        <stp>912833FG Govt</stp>
        <stp>COUNTRY_FULL_NAME</stp>
        <stp>[STRIPS.xlsx]Sheet1!R661C8</stp>
        <tr r="H661" s="1"/>
      </tp>
      <tp t="s">
        <v>UNITED STATES</v>
        <stp/>
        <stp>##V3_BDPV12</stp>
        <stp>912833ZN Govt</stp>
        <stp>COUNTRY_FULL_NAME</stp>
        <stp>[STRIPS.xlsx]Sheet1!R638C8</stp>
        <tr r="H638" s="1"/>
      </tp>
      <tp t="s">
        <v>UNITED STATES</v>
        <stp/>
        <stp>##V3_BDPV12</stp>
        <stp>912834TN Govt</stp>
        <stp>COUNTRY_FULL_NAME</stp>
        <stp>[STRIPS.xlsx]Sheet1!R158C8</stp>
        <tr r="H158" s="1"/>
      </tp>
      <tp t="s">
        <v>4/30/2024</v>
        <stp/>
        <stp>##V3_BDPV12</stp>
        <stp>912834RJ Govt</stp>
        <stp>MATURITY</stp>
        <stp>[STRIPS.xlsx]Sheet1!R203C5</stp>
        <tr r="E203" s="1"/>
      </tp>
      <tp t="s">
        <v>UNITED STATES</v>
        <stp/>
        <stp>##V3_BDPV12</stp>
        <stp>912833FN Govt</stp>
        <stp>COUNTRY_FULL_NAME</stp>
        <stp>[STRIPS.xlsx]Sheet1!R738C8</stp>
        <tr r="H738" s="1"/>
      </tp>
      <tp t="s">
        <v>3/15/2021</v>
        <stp/>
        <stp>##V3_BDPV12</stp>
        <stp>912834TK Govt</stp>
        <stp>MATURITY</stp>
        <stp>[STRIPS.xlsx]Sheet1!R425C5</stp>
        <tr r="E425" s="1"/>
      </tp>
      <tp t="s">
        <v>8/31/1999</v>
        <stp/>
        <stp>##V3_BDPV12</stp>
        <stp>912833RL Govt</stp>
        <stp>MATURITY</stp>
        <stp>[STRIPS.xlsx]Sheet1!R523C5</stp>
        <tr r="E523" s="1"/>
      </tp>
      <tp t="s">
        <v>3/31/2025</v>
        <stp/>
        <stp>##V3_BDPV12</stp>
        <stp>912834TL Govt</stp>
        <stp>MATURITY</stp>
        <stp>[STRIPS.xlsx]Sheet1!R195C5</stp>
        <tr r="E195" s="1"/>
      </tp>
      <tp t="s">
        <v>11/30/2002</v>
        <stp/>
        <stp>##V3_BDPV12</stp>
        <stp>912833QM Govt</stp>
        <stp>MATURITY</stp>
        <stp>[STRIPS.xlsx]Sheet1!R520C5</stp>
        <tr r="E520" s="1"/>
      </tp>
      <tp t="s">
        <v>9/30/2001</v>
        <stp/>
        <stp>##V3_BDPV12</stp>
        <stp>912833PN Govt</stp>
        <stp>MATURITY</stp>
        <stp>[STRIPS.xlsx]Sheet1!R681C5</stp>
        <tr r="E681" s="1"/>
      </tp>
      <tp t="s">
        <v>3/15/2019</v>
        <stp/>
        <stp>##V3_BDPV12</stp>
        <stp>912834QD Govt</stp>
        <stp>MATURITY</stp>
        <stp>[STRIPS.xlsx]Sheet1!R550C5</stp>
        <tr r="E550" s="1"/>
      </tp>
      <tp t="s">
        <v>8/31/2027</v>
        <stp/>
        <stp>##V3_BDPV12</stp>
        <stp>912834WD Govt</stp>
        <stp>MATURITY</stp>
        <stp>[STRIPS.xlsx]Sheet1!R186C5</stp>
        <tr r="E186" s="1"/>
      </tp>
      <tp t="s">
        <v>1/31/2025</v>
        <stp/>
        <stp>##V3_BDPV12</stp>
        <stp>912834TE Govt</stp>
        <stp>MATURITY</stp>
        <stp>[STRIPS.xlsx]Sheet1!R155C5</stp>
        <tr r="E155" s="1"/>
      </tp>
      <tp t="s">
        <v>1/15/2018</v>
        <stp/>
        <stp>##V3_BDPV12</stp>
        <stp>912834PF Govt</stp>
        <stp>MATURITY</stp>
        <stp>[STRIPS.xlsx]Sheet1!R411C5</stp>
        <tr r="E411" s="1"/>
      </tp>
      <tp t="s">
        <v>#N/A N/A</v>
        <stp/>
        <stp>##V3_BDPV12</stp>
        <stp>9128334M Govt</stp>
        <stp>YLD_YTM_BID</stp>
        <stp>[STRIPS.xlsx]Sheet1!R491C4</stp>
        <tr r="D491" s="1"/>
      </tp>
      <tp>
        <v>0</v>
        <stp/>
        <stp>##V3_BDPV12</stp>
        <stp>9128335S Govt</stp>
        <stp>CPN</stp>
        <stp>[STRIPS.xlsx]Sheet1!R649C3</stp>
        <tr r="C649" s="1"/>
      </tp>
      <tp>
        <v>0</v>
        <stp/>
        <stp>##V3_BDPV12</stp>
        <stp>9128334H Govt</stp>
        <stp>CPN</stp>
        <stp>[STRIPS.xlsx]Sheet1!R489C3</stp>
        <tr r="C489" s="1"/>
      </tp>
      <tp>
        <v>0</v>
        <stp/>
        <stp>##V3_BDPV12</stp>
        <stp>9128334G Govt</stp>
        <stp>CPN</stp>
        <stp>[STRIPS.xlsx]Sheet1!R709C3</stp>
        <tr r="C709" s="1"/>
      </tp>
      <tp t="s">
        <v>#N/A N/A</v>
        <stp/>
        <stp>##V3_BDPV12</stp>
        <stp>9128335F Govt</stp>
        <stp>YLD_YTM_BID</stp>
        <stp>[STRIPS.xlsx]Sheet1!R721C4</stp>
        <tr r="D721" s="1"/>
      </tp>
      <tp t="s">
        <v>#N/A N/A</v>
        <stp/>
        <stp>##V3_BDPV12</stp>
        <stp>9128335Q Govt</stp>
        <stp>YLD_YTM_BID</stp>
        <stp>[STRIPS.xlsx]Sheet1!R711C4</stp>
        <tr r="D711" s="1"/>
      </tp>
      <tp>
        <v>0</v>
        <stp/>
        <stp>##V3_BDPV12</stp>
        <stp>9128337M Govt</stp>
        <stp>CPN</stp>
        <stp>[STRIPS.xlsx]Sheet1!R559C3</stp>
        <tr r="C559" s="1"/>
      </tp>
      <tp>
        <v>0</v>
        <stp/>
        <stp>##V3_BDPV12</stp>
        <stp>9128337A Govt</stp>
        <stp>CPN</stp>
        <stp>[STRIPS.xlsx]Sheet1!R499C3</stp>
        <tr r="C499" s="1"/>
      </tp>
      <tp t="s">
        <v>#N/A N/A</v>
        <stp/>
        <stp>##V3_BDPV12</stp>
        <stp>9128336S Govt</stp>
        <stp>YLD_YTM_BID</stp>
        <stp>[STRIPS.xlsx]Sheet1!R751C4</stp>
        <tr r="D751" s="1"/>
      </tp>
      <tp>
        <v>0</v>
        <stp/>
        <stp>##V3_BDPV12</stp>
        <stp>9128336J Govt</stp>
        <stp>CPN</stp>
        <stp>[STRIPS.xlsx]Sheet1!R289C3</stp>
        <tr r="C289" s="1"/>
      </tp>
      <tp t="s">
        <v>#N/A N/A</v>
        <stp/>
        <stp>##V3_BDPV12</stp>
        <stp>9128337H Govt</stp>
        <stp>YLD_YTM_BID</stp>
        <stp>[STRIPS.xlsx]Sheet1!R431C4</stp>
        <tr r="D431" s="1"/>
      </tp>
      <tp t="s">
        <v>#N/A N/A</v>
        <stp/>
        <stp>##V3_BDPV12</stp>
        <stp>9128337L Govt</stp>
        <stp>YLD_YTM_BID</stp>
        <stp>[STRIPS.xlsx]Sheet1!R651C4</stp>
        <tr r="D651" s="1"/>
      </tp>
      <tp t="s">
        <v>#N/A N/A</v>
        <stp/>
        <stp>##V3_BDPV12</stp>
        <stp>9128337D Govt</stp>
        <stp>YLD_YTM_BID</stp>
        <stp>[STRIPS.xlsx]Sheet1!R291C4</stp>
        <tr r="D291" s="1"/>
      </tp>
      <tp>
        <v>0</v>
        <stp/>
        <stp>##V3_BDPV12</stp>
        <stp>9128336D Govt</stp>
        <stp>CPN</stp>
        <stp>[STRIPS.xlsx]Sheet1!R749C3</stp>
        <tr r="C749" s="1"/>
      </tp>
      <tp>
        <v>0</v>
        <stp/>
        <stp>##V3_BDPV12</stp>
        <stp>9128336Y Govt</stp>
        <stp>CPN</stp>
        <stp>[STRIPS.xlsx]Sheet1!R429C3</stp>
        <tr r="C429" s="1"/>
      </tp>
      <tp>
        <v>1.8450000000000077</v>
        <stp/>
        <stp>##V3_BDPV12</stp>
        <stp>9128337T Govt</stp>
        <stp>YLD_YTM_BID</stp>
        <stp>[STRIPS.xlsx]Sheet1!R121C4</stp>
        <tr r="D121" s="1"/>
      </tp>
      <tp>
        <v>0</v>
        <stp/>
        <stp>##V3_BDPV12</stp>
        <stp>9128336P Govt</stp>
        <stp>CPN</stp>
        <stp>[STRIPS.xlsx]Sheet1!R729C3</stp>
        <tr r="C729" s="1"/>
      </tp>
      <tp>
        <v>0</v>
        <stp/>
        <stp>##V3_BDPV12</stp>
        <stp>9128333M Govt</stp>
        <stp>CPN</stp>
        <stp>[STRIPS.xlsx]Sheet1!R599C3</stp>
        <tr r="C599" s="1"/>
      </tp>
      <tp t="s">
        <v>#N/A N/A</v>
        <stp/>
        <stp>##V3_BDPV12</stp>
        <stp>9128332C Govt</stp>
        <stp>YLD_YTM_BID</stp>
        <stp>[STRIPS.xlsx]Sheet1!R701C4</stp>
        <tr r="D701" s="1"/>
      </tp>
      <tp>
        <v>0</v>
        <stp/>
        <stp>##V3_BDPV12</stp>
        <stp>9128333Q Govt</stp>
        <stp>CPN</stp>
        <stp>[STRIPS.xlsx]Sheet1!R719C3</stp>
        <tr r="C719" s="1"/>
      </tp>
      <tp t="s">
        <v>5/17/2021</v>
        <stp/>
        <stp>##V3_BDPV12</stp>
        <stp>912834WZ Govt</stp>
        <stp>ISSUE_DT</stp>
        <stp>[STRIPS.xlsx]Sheet1!R6C15</stp>
        <tr r="O6" s="1"/>
      </tp>
      <tp t="s">
        <v>#N/A N/A</v>
        <stp/>
        <stp>##V3_BDPV12</stp>
        <stp>9128333X Govt</stp>
        <stp>YLD_YTM_BID</stp>
        <stp>[STRIPS.xlsx]Sheet1!R601C4</stp>
        <tr r="D601" s="1"/>
      </tp>
      <tp t="s">
        <v>8/15/2011</v>
        <stp/>
        <stp>##V3_BDPV12</stp>
        <stp>912834KP Govt</stp>
        <stp>ISSUE_DT</stp>
        <stp>[STRIPS.xlsx]Sheet1!R8C15</stp>
        <tr r="O8" s="1"/>
      </tp>
      <tp t="s">
        <v>#N/A N/A</v>
        <stp/>
        <stp>##V3_BDPV12</stp>
        <stp>912833YM Govt</stp>
        <stp>YLD_YTM_BID</stp>
        <stp>[STRIPS.xlsx]Sheet1!R452C4</stp>
        <tr r="D452" s="1"/>
      </tp>
      <tp t="s">
        <v>#N/A N/A</v>
        <stp/>
        <stp>##V3_BDPV12</stp>
        <stp>912833Y5 Govt</stp>
        <stp>YLD_YTM_BID</stp>
        <stp>[STRIPS.xlsx]Sheet1!R582C4</stp>
        <tr r="D582" s="1"/>
      </tp>
      <tp t="s">
        <v>#N/A N/A</v>
        <stp/>
        <stp>##V3_BDPV12</stp>
        <stp>912833ZE Govt</stp>
        <stp>YLD_YTM_BID</stp>
        <stp>[STRIPS.xlsx]Sheet1!R252C4</stp>
        <tr r="D252" s="1"/>
      </tp>
      <tp t="s">
        <v>#N/A N/A</v>
        <stp/>
        <stp>##V3_BDPV12</stp>
        <stp>912833ZP Govt</stp>
        <stp>YLD_YTM_BID</stp>
        <stp>[STRIPS.xlsx]Sheet1!R192C4</stp>
        <tr r="D192" s="1"/>
      </tp>
      <tp t="s">
        <v>#N/A N/A</v>
        <stp/>
        <stp>##V3_BDPV12</stp>
        <stp>912833Z4 Govt</stp>
        <stp>YLD_YTM_BID</stp>
        <stp>[STRIPS.xlsx]Sheet1!R382C4</stp>
        <tr r="D382" s="1"/>
      </tp>
      <tp t="s">
        <v>#N/A N/A</v>
        <stp/>
        <stp>##V3_BDPV12</stp>
        <stp>912834TK Govt</stp>
        <stp>YLD_YTM_BID</stp>
        <stp>[STRIPS.xlsx]Sheet1!R425C4</stp>
        <tr r="D425" s="1"/>
      </tp>
      <tp>
        <v>0.71099999999999497</v>
        <stp/>
        <stp>##V3_BDPV12</stp>
        <stp>912834TL Govt</stp>
        <stp>YLD_YTM_BID</stp>
        <stp>[STRIPS.xlsx]Sheet1!R195C4</stp>
        <tr r="D195" s="1"/>
      </tp>
      <tp>
        <v>0.66999999999999282</v>
        <stp/>
        <stp>##V3_BDPV12</stp>
        <stp>912834TE Govt</stp>
        <stp>YLD_YTM_BID</stp>
        <stp>[STRIPS.xlsx]Sheet1!R155C4</stp>
        <tr r="D155" s="1"/>
      </tp>
      <tp t="s">
        <v>#N/A N/A</v>
        <stp/>
        <stp>##V3_BDPV12</stp>
        <stp>912834TX Govt</stp>
        <stp>YLD_YTM_BID</stp>
        <stp>[STRIPS.xlsx]Sheet1!R145C4</stp>
        <tr r="D145" s="1"/>
      </tp>
      <tp>
        <v>2.2419999999999884</v>
        <stp/>
        <stp>##V3_BDPV12</stp>
        <stp>912834UH Govt</stp>
        <stp>YLD_YTM_BID</stp>
        <stp>[STRIPS.xlsx]Sheet1!R105C4</stp>
        <tr r="D105" s="1"/>
      </tp>
      <tp>
        <v>1.0149999999999881</v>
        <stp/>
        <stp>##V3_BDPV12</stp>
        <stp>912834UU Govt</stp>
        <stp>YLD_YTM_BID</stp>
        <stp>[STRIPS.xlsx]Sheet1!R755C4</stp>
        <tr r="D755" s="1"/>
      </tp>
      <tp>
        <v>1.0930000000000106</v>
        <stp/>
        <stp>##V3_BDPV12</stp>
        <stp>912834VD Govt</stp>
        <stp>YLD_YTM_BID</stp>
        <stp>[STRIPS.xlsx]Sheet1!R765C4</stp>
        <tr r="D765" s="1"/>
      </tp>
      <tp>
        <v>1.2950000000000017</v>
        <stp/>
        <stp>##V3_BDPV12</stp>
        <stp>912834WK Govt</stp>
        <stp>YLD_YTM_BID</stp>
        <stp>[STRIPS.xlsx]Sheet1!R775C4</stp>
        <tr r="D775" s="1"/>
      </tp>
      <tp>
        <v>1.2820000000000054</v>
        <stp/>
        <stp>##V3_BDPV12</stp>
        <stp>912834WH Govt</stp>
        <stp>YLD_YTM_BID</stp>
        <stp>[STRIPS.xlsx]Sheet1!R215C4</stp>
        <tr r="D215" s="1"/>
      </tp>
      <tp>
        <v>1.3469999999999871</v>
        <stp/>
        <stp>##V3_BDPV12</stp>
        <stp>912834WW Govt</stp>
        <stp>YLD_YTM_BID</stp>
        <stp>[STRIPS.xlsx]Sheet1!R185C4</stp>
        <tr r="D185" s="1"/>
      </tp>
      <tp t="s">
        <v>#N/A N/A</v>
        <stp/>
        <stp>##V3_BDPV12</stp>
        <stp>912833PQ Govt</stp>
        <stp>YLD_YTM_BID</stp>
        <stp>[STRIPS.xlsx]Sheet1!R682C4</stp>
        <tr r="D682" s="1"/>
      </tp>
      <tp t="s">
        <v>#N/A N/A</v>
        <stp/>
        <stp>##V3_BDPV12</stp>
        <stp>912833QV Govt</stp>
        <stp>YLD_YTM_BID</stp>
        <stp>[STRIPS.xlsx]Sheet1!R242C4</stp>
        <tr r="D242" s="1"/>
      </tp>
      <tp t="s">
        <v>#N/A N/A</v>
        <stp/>
        <stp>##V3_BDPV12</stp>
        <stp>912833QS Govt</stp>
        <stp>YLD_YTM_BID</stp>
        <stp>[STRIPS.xlsx]Sheet1!R632C4</stp>
        <tr r="D632" s="1"/>
      </tp>
      <tp>
        <v>0.27900000000000702</v>
        <stp/>
        <stp>##V3_BDPV12</stp>
        <stp>912834QS Govt</stp>
        <stp>YLD_YTM_BID</stp>
        <stp>[STRIPS.xlsx]Sheet1!R135C4</stp>
        <tr r="D135" s="1"/>
      </tp>
      <tp>
        <v>0.26399999999999757</v>
        <stp/>
        <stp>##V3_BDPV12</stp>
        <stp>912834QQ Govt</stp>
        <stp>YLD_YTM_BID</stp>
        <stp>[STRIPS.xlsx]Sheet1!R205C4</stp>
        <tr r="D205" s="1"/>
      </tp>
      <tp t="s">
        <v>#N/A N/A</v>
        <stp/>
        <stp>##V3_BDPV12</stp>
        <stp>912834RM Govt</stp>
        <stp>YLD_YTM_BID</stp>
        <stp>[STRIPS.xlsx]Sheet1!R415C4</stp>
        <tr r="D415" s="1"/>
      </tp>
      <tp t="s">
        <v>#N/A N/A</v>
        <stp/>
        <stp>##V3_BDPV12</stp>
        <stp>912833RA Govt</stp>
        <stp>YLD_YTM_BID</stp>
        <stp>[STRIPS.xlsx]Sheet1!R342C4</stp>
        <tr r="D342" s="1"/>
      </tp>
      <tp t="s">
        <v>#N/A N/A</v>
        <stp/>
        <stp>##V3_BDPV12</stp>
        <stp>912833RF Govt</stp>
        <stp>YLD_YTM_BID</stp>
        <stp>[STRIPS.xlsx]Sheet1!R522C4</stp>
        <tr r="D522" s="1"/>
      </tp>
      <tp t="s">
        <v>#N/A N/A</v>
        <stp/>
        <stp>##V3_BDPV12</stp>
        <stp>912833RQ Govt</stp>
        <stp>YLD_YTM_BID</stp>
        <stp>[STRIPS.xlsx]Sheet1!R692C4</stp>
        <tr r="D692" s="1"/>
      </tp>
      <tp t="s">
        <v>#N/A N/A</v>
        <stp/>
        <stp>##V3_BDPV12</stp>
        <stp>912833LB Govt</stp>
        <stp>YLD_YTM_BID</stp>
        <stp>[STRIPS.xlsx]Sheet1!R332C4</stp>
        <tr r="D332" s="1"/>
      </tp>
      <tp t="s">
        <v>#N/A N/A</v>
        <stp/>
        <stp>##V3_BDPV12</stp>
        <stp>912834LZ Govt</stp>
        <stp>YLD_YTM_BID</stp>
        <stp>[STRIPS.xlsx]Sheet1!R325C4</stp>
        <tr r="D325" s="1"/>
      </tp>
      <tp t="s">
        <v>#N/A N/A</v>
        <stp/>
        <stp>##V3_BDPV12</stp>
        <stp>912834MK Govt</stp>
        <stp>YLD_YTM_BID</stp>
        <stp>[STRIPS.xlsx]Sheet1!R405C4</stp>
        <tr r="D405" s="1"/>
      </tp>
      <tp t="s">
        <v>#N/A N/A</v>
        <stp/>
        <stp>##V3_BDPV12</stp>
        <stp>912834ML Govt</stp>
        <stp>YLD_YTM_BID</stp>
        <stp>[STRIPS.xlsx]Sheet1!R475C4</stp>
        <tr r="D475" s="1"/>
      </tp>
      <tp t="s">
        <v>#N/A N/A</v>
        <stp/>
        <stp>##V3_BDPV12</stp>
        <stp>912833NK Govt</stp>
        <stp>YLD_YTM_BID</stp>
        <stp>[STRIPS.xlsx]Sheet1!R372C4</stp>
        <tr r="D372" s="1"/>
      </tp>
      <tp t="s">
        <v>#N/A N/A</v>
        <stp/>
        <stp>##V3_BDPV12</stp>
        <stp>912834ND Govt</stp>
        <stp>YLD_YTM_BID</stp>
        <stp>[STRIPS.xlsx]Sheet1!R545C4</stp>
        <tr r="D545" s="1"/>
      </tp>
      <tp t="s">
        <v>#N/A N/A</v>
        <stp/>
        <stp>##V3_BDPV12</stp>
        <stp>912834NZ Govt</stp>
        <stp>YLD_YTM_BID</stp>
        <stp>[STRIPS.xlsx]Sheet1!R275C4</stp>
        <tr r="D275" s="1"/>
      </tp>
      <tp>
        <v>2.2470000000000212</v>
        <stp/>
        <stp>##V3_BDPV12</stp>
        <stp>912834NV Govt</stp>
        <stp>YLD_YTM_BID</stp>
        <stp>[STRIPS.xlsx]Sheet1!R115C4</stp>
        <tr r="D115" s="1"/>
      </tp>
      <tp t="s">
        <v>#N/A N/A</v>
        <stp/>
        <stp>##V3_BDPV12</stp>
        <stp>912833NR Govt</stp>
        <stp>YLD_YTM_BID</stp>
        <stp>[STRIPS.xlsx]Sheet1!R572C4</stp>
        <tr r="D572" s="1"/>
      </tp>
      <tp t="s">
        <v>#N/A N/A</v>
        <stp/>
        <stp>##V3_BDPV12</stp>
        <stp>912834HZ Govt</stp>
        <stp>YLD_YTM_BID</stp>
        <stp>[STRIPS.xlsx]Sheet1!R265C4</stp>
        <tr r="D265" s="1"/>
      </tp>
      <tp t="s">
        <v>#N/A N/A</v>
        <stp/>
        <stp>##V3_BDPV12</stp>
        <stp>912834HU Govt</stp>
        <stp>YLD_YTM_BID</stp>
        <stp>[STRIPS.xlsx]Sheet1!R225C4</stp>
        <tr r="D225" s="1"/>
      </tp>
      <tp t="s">
        <v>#N/A N/A</v>
        <stp/>
        <stp>##V3_BDPV12</stp>
        <stp>912834HR Govt</stp>
        <stp>YLD_YTM_BID</stp>
        <stp>[STRIPS.xlsx]Sheet1!R535C4</stp>
        <tr r="D535" s="1"/>
      </tp>
      <tp t="s">
        <v>#N/A N/A</v>
        <stp/>
        <stp>##V3_BDPV12</stp>
        <stp>912834HT Govt</stp>
        <stp>YLD_YTM_BID</stp>
        <stp>[STRIPS.xlsx]Sheet1!R355C4</stp>
        <tr r="D355" s="1"/>
      </tp>
      <tp t="s">
        <v>#N/A N/A</v>
        <stp/>
        <stp>##V3_BDPV12</stp>
        <stp>912834JJ Govt</stp>
        <stp>YLD_YTM_BID</stp>
        <stp>[STRIPS.xlsx]Sheet1!R465C4</stp>
        <tr r="D465" s="1"/>
      </tp>
      <tp t="s">
        <v>#N/A N/A</v>
        <stp/>
        <stp>##V3_BDPV12</stp>
        <stp>912834JS Govt</stp>
        <stp>YLD_YTM_BID</stp>
        <stp>[STRIPS.xlsx]Sheet1!R315C4</stp>
        <tr r="D315" s="1"/>
      </tp>
      <tp t="s">
        <v>#N/A N/A</v>
        <stp/>
        <stp>##V3_BDPV12</stp>
        <stp>912833KL Govt</stp>
        <stp>YLD_YTM_BID</stp>
        <stp>[STRIPS.xlsx]Sheet1!R302C4</stp>
        <tr r="D302" s="1"/>
      </tp>
      <tp t="s">
        <v>#N/A N/A</v>
        <stp/>
        <stp>##V3_BDPV12</stp>
        <stp>912833KJ Govt</stp>
        <stp>YLD_YTM_BID</stp>
        <stp>[STRIPS.xlsx]Sheet1!R512C4</stp>
        <tr r="D512" s="1"/>
      </tp>
      <tp t="s">
        <v>#N/A N/A</v>
        <stp/>
        <stp>##V3_BDPV12</stp>
        <stp>912833KN Govt</stp>
        <stp>YLD_YTM_BID</stp>
        <stp>[STRIPS.xlsx]Sheet1!R672C4</stp>
        <tr r="D672" s="1"/>
      </tp>
      <tp t="s">
        <v>#N/A N/A</v>
        <stp/>
        <stp>##V3_BDPV12</stp>
        <stp>912833KC Govt</stp>
        <stp>YLD_YTM_BID</stp>
        <stp>[STRIPS.xlsx]Sheet1!R442C4</stp>
        <tr r="D442" s="1"/>
      </tp>
      <tp>
        <v>1.4000000000002899E-2</v>
        <stp/>
        <stp>##V3_BDPV12</stp>
        <stp>912834KA Govt</stp>
        <stp>YLD_YTM_BID</stp>
        <stp>[STRIPS.xlsx]Sheet1!R165C4</stp>
        <tr r="D165" s="1"/>
      </tp>
      <tp t="s">
        <v>#N/A N/A</v>
        <stp/>
        <stp>##V3_BDPV12</stp>
        <stp>912833KZ Govt</stp>
        <stp>YLD_YTM_BID</stp>
        <stp>[STRIPS.xlsx]Sheet1!R152C4</stp>
        <tr r="D152" s="1"/>
      </tp>
      <tp t="s">
        <v>#N/A N/A</v>
        <stp/>
        <stp>##V3_BDPV12</stp>
        <stp>912833KV Govt</stp>
        <stp>YLD_YTM_BID</stp>
        <stp>[STRIPS.xlsx]Sheet1!R742C4</stp>
        <tr r="D742" s="1"/>
      </tp>
      <tp t="s">
        <v>#N/A N/A</v>
        <stp/>
        <stp>##V3_BDPV12</stp>
        <stp>912833DB Govt</stp>
        <stp>YLD_YTM_BID</stp>
        <stp>[STRIPS.xlsx]Sheet1!R162C4</stp>
        <tr r="D162" s="1"/>
      </tp>
      <tp t="s">
        <v>#N/A N/A</v>
        <stp/>
        <stp>##V3_BDPV12</stp>
        <stp>912834EJ Govt</stp>
        <stp>YLD_YTM_BID</stp>
        <stp>[STRIPS.xlsx]Sheet1!R595C4</stp>
        <tr r="D595" s="1"/>
      </tp>
      <tp t="s">
        <v>#N/A N/A</v>
        <stp/>
        <stp>##V3_BDPV12</stp>
        <stp>912834ED Govt</stp>
        <stp>YLD_YTM_BID</stp>
        <stp>[STRIPS.xlsx]Sheet1!R645C4</stp>
        <tr r="D645" s="1"/>
      </tp>
      <tp t="s">
        <v>#N/A N/A</v>
        <stp/>
        <stp>##V3_BDPV12</stp>
        <stp>912834EU Govt</stp>
        <stp>YLD_YTM_BID</stp>
        <stp>[STRIPS.xlsx]Sheet1!R175C4</stp>
        <tr r="D175" s="1"/>
      </tp>
      <tp t="s">
        <v>#N/A N/A</v>
        <stp/>
        <stp>##V3_BDPV12</stp>
        <stp>912833FK Govt</stp>
        <stp>YLD_YTM_BID</stp>
        <stp>[STRIPS.xlsx]Sheet1!R662C4</stp>
        <tr r="D662" s="1"/>
      </tp>
      <tp t="s">
        <v>#N/A N/A</v>
        <stp/>
        <stp>##V3_BDPV12</stp>
        <stp>912834FA Govt</stp>
        <stp>YLD_YTM_BID</stp>
        <stp>[STRIPS.xlsx]Sheet1!R395C4</stp>
        <tr r="D395" s="1"/>
      </tp>
      <tp t="s">
        <v>#N/A N/A</v>
        <stp/>
        <stp>##V3_BDPV12</stp>
        <stp>912833FX Govt</stp>
        <stp>YLD_YTM_BID</stp>
        <stp>[STRIPS.xlsx]Sheet1!R622C4</stp>
        <tr r="D622" s="1"/>
      </tp>
      <tp t="s">
        <v>#N/A N/A</v>
        <stp/>
        <stp>##V3_BDPV12</stp>
        <stp>912834AH Govt</stp>
        <stp>YLD_YTM_BID</stp>
        <stp>[STRIPS.xlsx]Sheet1!R385C4</stp>
        <tr r="D385" s="1"/>
      </tp>
      <tp>
        <v>2.1180000000000199</v>
        <stp/>
        <stp>##V3_BDPV12</stp>
        <stp>912834AU Govt</stp>
        <stp>YLD_YTM_BID</stp>
        <stp>[STRIPS.xlsx]Sheet1!R125C4</stp>
        <tr r="D125" s="1"/>
      </tp>
      <tp t="s">
        <v>#N/A N/A</v>
        <stp/>
        <stp>##V3_BDPV12</stp>
        <stp>912833A6 Govt</stp>
        <stp>YLD_YTM_BID</stp>
        <stp>[STRIPS.xlsx]Sheet1!R652C4</stp>
        <tr r="D652" s="1"/>
      </tp>
      <tp t="s">
        <v>#N/A N/A</v>
        <stp/>
        <stp>##V3_BDPV12</stp>
        <stp>912833A5 Govt</stp>
        <stp>YLD_YTM_BID</stp>
        <stp>[STRIPS.xlsx]Sheet1!R432C4</stp>
        <tr r="D432" s="1"/>
      </tp>
      <tp t="s">
        <v>#N/A N/A</v>
        <stp/>
        <stp>##V3_BDPV12</stp>
        <stp>912833BZ Govt</stp>
        <stp>YLD_YTM_BID</stp>
        <stp>[STRIPS.xlsx]Sheet1!R562C4</stp>
        <tr r="D562" s="1"/>
      </tp>
      <tp t="s">
        <v>#N/A N/A</v>
        <stp/>
        <stp>##V3_BDPV12</stp>
        <stp>912833B3 Govt</stp>
        <stp>YLD_YTM_BID</stp>
        <stp>[STRIPS.xlsx]Sheet1!R732C4</stp>
        <tr r="D732" s="1"/>
      </tp>
      <tp t="s">
        <v>#N/A N/A</v>
        <stp/>
        <stp>##V3_BDPV12</stp>
        <stp>912833CA Govt</stp>
        <stp>YLD_YTM_BID</stp>
        <stp>[STRIPS.xlsx]Sheet1!R502C4</stp>
        <tr r="D502" s="1"/>
      </tp>
      <tp t="s">
        <v>#N/A N/A</v>
        <stp/>
        <stp>##V3_BDPV12</stp>
        <stp>912833C4 Govt</stp>
        <stp>YLD_YTM_BID</stp>
        <stp>[STRIPS.xlsx]Sheet1!R612C4</stp>
        <tr r="D612" s="1"/>
      </tp>
      <tp t="s">
        <v>#N/A N/A</v>
        <stp/>
        <stp>##V3_BDPV12</stp>
        <stp>912833C3 Govt</stp>
        <stp>YLD_YTM_BID</stp>
        <stp>[STRIPS.xlsx]Sheet1!R362C4</stp>
        <tr r="D362" s="1"/>
      </tp>
      <tp t="s">
        <v>#N/A Field Not Applicable</v>
        <stp/>
        <stp>##V3_BDPV12</stp>
        <stp>912833Z5 Govt</stp>
        <stp>IDX_RATIO</stp>
        <stp>[STRIPS.xlsx]Sheet1!R74C20</stp>
        <tr r="T74" s="1"/>
      </tp>
      <tp t="s">
        <v>3/15/2008</v>
        <stp/>
        <stp>##V3_BDPV12</stp>
        <stp>912833ZX Govt</stp>
        <stp>MATURITY</stp>
        <stp>[STRIPS.xlsx]Sheet1!R588C5</stp>
        <tr r="E588" s="1"/>
      </tp>
      <tp t="s">
        <v>12/15/2019</v>
        <stp/>
        <stp>##V3_BDPV12</stp>
        <stp>912834QX Govt</stp>
        <stp>MATURITY</stp>
        <stp>[STRIPS.xlsx]Sheet1!R423C5</stp>
        <tr r="E423" s="1"/>
      </tp>
      <tp t="s">
        <v>1/15/2019</v>
        <stp/>
        <stp>##V3_BDPV12</stp>
        <stp>912834PX Govt</stp>
        <stp>MATURITY</stp>
        <stp>[STRIPS.xlsx]Sheet1!R412C5</stp>
        <tr r="E412" s="1"/>
      </tp>
      <tp t="s">
        <v>12/31/2002</v>
        <stp/>
        <stp>##V3_BDPV12</stp>
        <stp>912833QX Govt</stp>
        <stp>MATURITY</stp>
        <stp>[STRIPS.xlsx]Sheet1!R243C5</stp>
        <tr r="E243" s="1"/>
      </tp>
      <tp t="s">
        <v>7/31/1998</v>
        <stp/>
        <stp>##V3_BDPV12</stp>
        <stp>912833QY Govt</stp>
        <stp>MATURITY</stp>
        <stp>[STRIPS.xlsx]Sheet1!R633C5</stp>
        <tr r="E633" s="1"/>
      </tp>
      <tp t="s">
        <v>1/31/2023</v>
        <stp/>
        <stp>##V3_BDPV12</stp>
        <stp>912834PY Govt</stp>
        <stp>MATURITY</stp>
        <stp>[STRIPS.xlsx]Sheet1!R202C5</stp>
        <tr r="E202" s="1"/>
      </tp>
      <tp t="s">
        <v>9/30/2005</v>
        <stp/>
        <stp>##V3_BDPV12</stp>
        <stp>912833ZZ Govt</stp>
        <stp>MATURITY</stp>
        <stp>[STRIPS.xlsx]Sheet1!R528C5</stp>
        <tr r="E528" s="1"/>
      </tp>
      <tp t="s">
        <v>9/30/2002</v>
        <stp/>
        <stp>##V3_BDPV12</stp>
        <stp>912833PQ Govt</stp>
        <stp>MATURITY</stp>
        <stp>[STRIPS.xlsx]Sheet1!R682C5</stp>
        <tr r="E682" s="1"/>
      </tp>
      <tp t="s">
        <v>6/15/2021</v>
        <stp/>
        <stp>##V3_BDPV12</stp>
        <stp>912834TR Govt</stp>
        <stp>MATURITY</stp>
        <stp>[STRIPS.xlsx]Sheet1!R426C5</stp>
        <tr r="E426" s="1"/>
      </tp>
      <tp t="s">
        <v>3/15/2023</v>
        <stp/>
        <stp>##V3_BDPV12</stp>
        <stp>912834VR Govt</stp>
        <stp>MATURITY</stp>
        <stp>[STRIPS.xlsx]Sheet1!R224C5</stp>
        <tr r="E224" s="1"/>
      </tp>
      <tp t="s">
        <v>6/30/2025</v>
        <stp/>
        <stp>##V3_BDPV12</stp>
        <stp>912834TS Govt</stp>
        <stp>MATURITY</stp>
        <stp>[STRIPS.xlsx]Sheet1!R196C5</stp>
        <tr r="E196" s="1"/>
      </tp>
      <tp t="s">
        <v>2/28/2003</v>
        <stp/>
        <stp>##V3_BDPV12</stp>
        <stp>912833RT Govt</stp>
        <stp>MATURITY</stp>
        <stp>[STRIPS.xlsx]Sheet1!R580C5</stp>
        <tr r="E580" s="1"/>
      </tp>
      <tp t="s">
        <v>9/15/2020</v>
        <stp/>
        <stp>##V3_BDPV12</stp>
        <stp>912834RT Govt</stp>
        <stp>MATURITY</stp>
        <stp>[STRIPS.xlsx]Sheet1!R280C5</stp>
        <tr r="E280" s="1"/>
      </tp>
      <tp t="s">
        <v>9/15/2006</v>
        <stp/>
        <stp>##V3_BDPV12</stp>
        <stp>912833ZU Govt</stp>
        <stp>MATURITY</stp>
        <stp>[STRIPS.xlsx]Sheet1!R348C5</stp>
        <tr r="E348" s="1"/>
      </tp>
      <tp t="s">
        <v>11/30/2022</v>
        <stp/>
        <stp>##V3_BDPV12</stp>
        <stp>912834PU Govt</stp>
        <stp>MATURITY</stp>
        <stp>[STRIPS.xlsx]Sheet1!R212C5</stp>
        <tr r="E212" s="1"/>
      </tp>
      <tp t="s">
        <v>3/31/2028</v>
        <stp/>
        <stp>##V3_BDPV12</stp>
        <stp>912834WW Govt</stp>
        <stp>MATURITY</stp>
        <stp>[STRIPS.xlsx]Sheet1!R185C5</stp>
        <tr r="E185" s="1"/>
      </tp>
      <tp t="s">
        <v>5/31/2005</v>
        <stp/>
        <stp>##V3_BDPV12</stp>
        <stp>912833ZH Govt</stp>
        <stp>MATURITY</stp>
        <stp>[STRIPS.xlsx]Sheet1!R698C5</stp>
        <tr r="E698" s="1"/>
      </tp>
      <tp t="s">
        <v>10/31/2027</v>
        <stp/>
        <stp>##V3_BDPV12</stp>
        <stp>912834WH Govt</stp>
        <stp>MATURITY</stp>
        <stp>[STRIPS.xlsx]Sheet1!R215C5</stp>
        <tr r="E215" s="1"/>
      </tp>
      <tp t="s">
        <v>UNITED STATES</v>
        <stp/>
        <stp>##V3_BDPV12</stp>
        <stp>912834WG Govt</stp>
        <stp>COUNTRY_FULL_NAME</stp>
        <stp>[STRIPS.xlsx]Sheet1!R772C8</stp>
        <tr r="H772" s="1"/>
      </tp>
      <tp t="s">
        <v>UNITED STATES</v>
        <stp/>
        <stp>##V3_BDPV12</stp>
        <stp>912833LD Govt</stp>
        <stp>COUNTRY_FULL_NAME</stp>
        <stp>[STRIPS.xlsx]Sheet1!R151C8</stp>
        <tr r="H151" s="1"/>
      </tp>
      <tp t="s">
        <v>1/15/2023</v>
        <stp/>
        <stp>##V3_BDPV12</stp>
        <stp>912834VJ Govt</stp>
        <stp>MATURITY</stp>
        <stp>[STRIPS.xlsx]Sheet1!R774C5</stp>
        <tr r="E774" s="1"/>
      </tp>
      <tp t="s">
        <v>UNITED STATES</v>
        <stp/>
        <stp>##V3_BDPV12</stp>
        <stp>9128337D Govt</stp>
        <stp>COUNTRY_FULL_NAME</stp>
        <stp>[STRIPS.xlsx]Sheet1!R291C8</stp>
        <tr r="H291" s="1"/>
      </tp>
      <tp t="s">
        <v>UNITED STATES</v>
        <stp/>
        <stp>##V3_BDPV12</stp>
        <stp>912834BG Govt</stp>
        <stp>COUNTRY_FULL_NAME</stp>
        <stp>[STRIPS.xlsx]Sheet1!R592C8</stp>
        <tr r="H592" s="1"/>
      </tp>
      <tp t="s">
        <v>UNITED STATES</v>
        <stp/>
        <stp>##V3_BDPV12</stp>
        <stp>912834BE Govt</stp>
        <stp>COUNTRY_FULL_NAME</stp>
        <stp>[STRIPS.xlsx]Sheet1!R530C8</stp>
        <tr r="H530" s="1"/>
      </tp>
      <tp t="s">
        <v>UNITED STATES</v>
        <stp/>
        <stp>##V3_BDPV12</stp>
        <stp>912833PM Govt</stp>
        <stp>COUNTRY_FULL_NAME</stp>
        <stp>[STRIPS.xlsx]Sheet1!R238C8</stp>
        <tr r="H238" s="1"/>
      </tp>
      <tp t="s">
        <v>UNITED STATES</v>
        <stp/>
        <stp>##V3_BDPV12</stp>
        <stp>912833KB Govt</stp>
        <stp>COUNTRY_FULL_NAME</stp>
        <stp>[STRIPS.xlsx]Sheet1!R367C8</stp>
        <tr r="H367" s="1"/>
      </tp>
      <tp t="s">
        <v>UNITED STATES</v>
        <stp/>
        <stp>##V3_BDPV12</stp>
        <stp>912833ZC Govt</stp>
        <stp>COUNTRY_FULL_NAME</stp>
        <stp>[STRIPS.xlsx]Sheet1!R346C8</stp>
        <tr r="H346" s="1"/>
      </tp>
      <tp t="s">
        <v>UNITED STATES</v>
        <stp/>
        <stp>##V3_BDPV12</stp>
        <stp>912833CC Govt</stp>
        <stp>COUNTRY_FULL_NAME</stp>
        <stp>[STRIPS.xlsx]Sheet1!R436C8</stp>
        <tr r="H436" s="1"/>
      </tp>
      <tp t="s">
        <v>UNITED STATES</v>
        <stp/>
        <stp>##V3_BDPV12</stp>
        <stp>912833RM Govt</stp>
        <stp>COUNTRY_FULL_NAME</stp>
        <stp>[STRIPS.xlsx]Sheet1!R448C8</stp>
        <tr r="H448" s="1"/>
      </tp>
      <tp t="s">
        <v>UNITED STATES</v>
        <stp/>
        <stp>##V3_BDPV12</stp>
        <stp>9128336M Govt</stp>
        <stp>COUNTRY_FULL_NAME</stp>
        <stp>[STRIPS.xlsx]Sheet1!R558C8</stp>
        <tr r="H558" s="1"/>
      </tp>
      <tp t="s">
        <v>UNITED STATES</v>
        <stp/>
        <stp>##V3_BDPV12</stp>
        <stp>912834TD Govt</stp>
        <stp>COUNTRY_FULL_NAME</stp>
        <stp>[STRIPS.xlsx]Sheet1!R281C8</stp>
        <tr r="H281" s="1"/>
      </tp>
      <tp t="s">
        <v>UNITED STATES</v>
        <stp/>
        <stp>##V3_BDPV12</stp>
        <stp>912833KE Govt</stp>
        <stp>COUNTRY_FULL_NAME</stp>
        <stp>[STRIPS.xlsx]Sheet1!R670C8</stp>
        <tr r="H670" s="1"/>
      </tp>
      <tp t="s">
        <v>UNITED STATES</v>
        <stp/>
        <stp>##V3_BDPV12</stp>
        <stp>912833YC Govt</stp>
        <stp>COUNTRY_FULL_NAME</stp>
        <stp>[STRIPS.xlsx]Sheet1!R636C8</stp>
        <tr r="H636" s="1"/>
      </tp>
      <tp t="s">
        <v>UNITED STATES</v>
        <stp/>
        <stp>##V3_BDPV12</stp>
        <stp>912834WM Govt</stp>
        <stp>COUNTRY_FULL_NAME</stp>
        <stp>[STRIPS.xlsx]Sheet1!R188C8</stp>
        <tr r="H188" s="1"/>
      </tp>
      <tp t="s">
        <v>UNITED STATES</v>
        <stp/>
        <stp>##V3_BDPV12</stp>
        <stp>912833YA Govt</stp>
        <stp>COUNTRY_FULL_NAME</stp>
        <stp>[STRIPS.xlsx]Sheet1!R694C8</stp>
        <tr r="H694" s="1"/>
      </tp>
      <tp t="s">
        <v>5/31/2023</v>
        <stp/>
        <stp>##V3_BDPV12</stp>
        <stp>912834QJ Govt</stp>
        <stp>MATURITY</stp>
        <stp>[STRIPS.xlsx]Sheet1!R213C5</stp>
        <tr r="E213" s="1"/>
      </tp>
      <tp t="s">
        <v>UNITED STATES</v>
        <stp/>
        <stp>##V3_BDPV12</stp>
        <stp>9128332B Govt</stp>
        <stp>COUNTRY_FULL_NAME</stp>
        <stp>[STRIPS.xlsx]Sheet1!R717C8</stp>
        <tr r="H717" s="1"/>
      </tp>
      <tp t="s">
        <v>UNITED STATES</v>
        <stp/>
        <stp>##V3_BDPV12</stp>
        <stp>9128336B Govt</stp>
        <stp>COUNTRY_FULL_NAME</stp>
        <stp>[STRIPS.xlsx]Sheet1!R727C8</stp>
        <tr r="H727" s="1"/>
      </tp>
      <tp t="s">
        <v>11/30/2027</v>
        <stp/>
        <stp>##V3_BDPV12</stp>
        <stp>912834WK Govt</stp>
        <stp>MATURITY</stp>
        <stp>[STRIPS.xlsx]Sheet1!R775C5</stp>
        <tr r="E775" s="1"/>
      </tp>
      <tp t="s">
        <v>7/15/2019</v>
        <stp/>
        <stp>##V3_BDPV12</stp>
        <stp>912834QM Govt</stp>
        <stp>MATURITY</stp>
        <stp>[STRIPS.xlsx]Sheet1!R413C5</stp>
        <tr r="E413" s="1"/>
      </tp>
      <tp t="s">
        <v>8/31/2005</v>
        <stp/>
        <stp>##V3_BDPV12</stp>
        <stp>912833ZN Govt</stp>
        <stp>MATURITY</stp>
        <stp>[STRIPS.xlsx]Sheet1!R638C5</stp>
        <tr r="E638" s="1"/>
      </tp>
      <tp t="s">
        <v>11/30/2024</v>
        <stp/>
        <stp>##V3_BDPV12</stp>
        <stp>912834TA Govt</stp>
        <stp>MATURITY</stp>
        <stp>[STRIPS.xlsx]Sheet1!R756C5</stp>
        <tr r="E756" s="1"/>
      </tp>
      <tp t="s">
        <v>7/31/2000</v>
        <stp/>
        <stp>##V3_BDPV12</stp>
        <stp>912833RC Govt</stp>
        <stp>MATURITY</stp>
        <stp>[STRIPS.xlsx]Sheet1!R690C5</stp>
        <tr r="E690" s="1"/>
      </tp>
      <tp t="s">
        <v>12/15/2021</v>
        <stp/>
        <stp>##V3_BDPV12</stp>
        <stp>912834UD Govt</stp>
        <stp>MATURITY</stp>
        <stp>[STRIPS.xlsx]Sheet1!R197C5</stp>
        <tr r="E197" s="1"/>
      </tp>
      <tp t="s">
        <v>1/31/2001</v>
        <stp/>
        <stp>##V3_BDPV12</stp>
        <stp>912833RD Govt</stp>
        <stp>MATURITY</stp>
        <stp>[STRIPS.xlsx]Sheet1!R380C5</stp>
        <tr r="E380" s="1"/>
      </tp>
      <tp t="s">
        <v>12/31/2021</v>
        <stp/>
        <stp>##V3_BDPV12</stp>
        <stp>912834PE Govt</stp>
        <stp>MATURITY</stp>
        <stp>[STRIPS.xlsx]Sheet1!R132C5</stp>
        <tr r="E132" s="1"/>
      </tp>
      <tp t="s">
        <v>12/31/2025</v>
        <stp/>
        <stp>##V3_BDPV12</stp>
        <stp>912834UE Govt</stp>
        <stp>MATURITY</stp>
        <stp>[STRIPS.xlsx]Sheet1!R207C5</stp>
        <tr r="E207" s="1"/>
      </tp>
      <tp t="s">
        <v>1/15/2022</v>
        <stp/>
        <stp>##V3_BDPV12</stp>
        <stp>912834UF Govt</stp>
        <stp>MATURITY</stp>
        <stp>[STRIPS.xlsx]Sheet1!R147C5</stp>
        <tr r="E147" s="1"/>
      </tp>
      <tp t="s">
        <v>1/31/2026</v>
        <stp/>
        <stp>##V3_BDPV12</stp>
        <stp>912834UG Govt</stp>
        <stp>MATURITY</stp>
        <stp>[STRIPS.xlsx]Sheet1!R137C5</stp>
        <tr r="E137" s="1"/>
      </tp>
      <tp>
        <v>1.8009999999999859</v>
        <stp/>
        <stp>##V3_BDPV12</stp>
        <stp>9128334U Govt</stp>
        <stp>YLD_YTM_BID</stp>
        <stp>[STRIPS.xlsx]Sheet1!R102C4</stp>
        <tr r="D102" s="1"/>
      </tp>
      <tp t="s">
        <v>#N/A N/A</v>
        <stp/>
        <stp>##V3_BDPV12</stp>
        <stp>9128335J Govt</stp>
        <stp>YLD_YTM_BID</stp>
        <stp>[STRIPS.xlsx]Sheet1!R492C4</stp>
        <tr r="D492" s="1"/>
      </tp>
      <tp t="s">
        <v>#N/A N/A</v>
        <stp/>
        <stp>##V3_BDPV12</stp>
        <stp>9128335H Govt</stp>
        <stp>YLD_YTM_BID</stp>
        <stp>[STRIPS.xlsx]Sheet1!R722C4</stp>
        <tr r="D722" s="1"/>
      </tp>
      <tp t="s">
        <v>#N/A N/A</v>
        <stp/>
        <stp>##V3_BDPV12</stp>
        <stp>9128335U Govt</stp>
        <stp>YLD_YTM_BID</stp>
        <stp>[STRIPS.xlsx]Sheet1!R712C4</stp>
        <tr r="D712" s="1"/>
      </tp>
      <tp t="s">
        <v>#N/A N/A</v>
        <stp/>
        <stp>##V3_BDPV12</stp>
        <stp>9128337K Govt</stp>
        <stp>YLD_YTM_BID</stp>
        <stp>[STRIPS.xlsx]Sheet1!R292C4</stp>
        <tr r="D292" s="1"/>
      </tp>
      <tp t="s">
        <v>#N/A N/A</v>
        <stp/>
        <stp>##V3_BDPV12</stp>
        <stp>9128332F Govt</stp>
        <stp>YLD_YTM_BID</stp>
        <stp>[STRIPS.xlsx]Sheet1!R702C4</stp>
        <tr r="D702" s="1"/>
      </tp>
      <tp t="s">
        <v>#N/A N/A</v>
        <stp/>
        <stp>##V3_BDPV12</stp>
        <stp>9128333L Govt</stp>
        <stp>YLD_YTM_BID</stp>
        <stp>[STRIPS.xlsx]Sheet1!R552C4</stp>
        <tr r="D552" s="1"/>
      </tp>
      <tp t="s">
        <v>#N/A N/A</v>
        <stp/>
        <stp>##V3_BDPV12</stp>
        <stp>9128333Z Govt</stp>
        <stp>YLD_YTM_BID</stp>
        <stp>[STRIPS.xlsx]Sheet1!R602C4</stp>
        <tr r="D602" s="1"/>
      </tp>
      <tp t="s">
        <v>S</v>
        <stp/>
        <stp>##V3_BDPV12</stp>
        <stp>912833LW Govt</stp>
        <stp>TICKER</stp>
        <stp>[STRIPS.xlsx]Sheet1!R2C2</stp>
        <tr r="B2" s="1"/>
      </tp>
      <tp t="s">
        <v>NORMAL</v>
        <stp/>
        <stp>##V3_BDPV12</stp>
        <stp>912834WZ Govt</stp>
        <stp>MTY_TYP</stp>
        <stp>[STRIPS.xlsx]Sheet1!R6C6</stp>
        <tr r="F6" s="1"/>
      </tp>
      <tp>
        <v>0.52099999999999369</v>
        <stp/>
        <stp>##V3_BDPV12</stp>
        <stp>912834XD Govt</stp>
        <stp>YLD_YTM_BID</stp>
        <stp>[STRIPS.xlsx]Sheet1!R764C4</stp>
        <tr r="D764" s="1"/>
      </tp>
      <tp>
        <v>1.385000000000014</v>
        <stp/>
        <stp>##V3_BDPV12</stp>
        <stp>912834XC Govt</stp>
        <stp>YLD_YTM_BID</stp>
        <stp>[STRIPS.xlsx]Sheet1!R214C4</stp>
        <tr r="D214" s="1"/>
      </tp>
      <tp t="s">
        <v>#N/A N/A</v>
        <stp/>
        <stp>##V3_BDPV12</stp>
        <stp>912833YL Govt</stp>
        <stp>YLD_YTM_BID</stp>
        <stp>[STRIPS.xlsx]Sheet1!R343C4</stp>
        <tr r="D343" s="1"/>
      </tp>
      <tp t="s">
        <v>#N/A N/A</v>
        <stp/>
        <stp>##V3_BDPV12</stp>
        <stp>912833YY Govt</stp>
        <stp>YLD_YTM_BID</stp>
        <stp>[STRIPS.xlsx]Sheet1!R453C4</stp>
        <tr r="D453" s="1"/>
      </tp>
      <tp>
        <v>1.9979999999999887</v>
        <stp/>
        <stp>##V3_BDPV12</stp>
        <stp>912833Y3 Govt</stp>
        <stp>YLD_YTM_BID</stp>
        <stp>[STRIPS.xlsx]Sheet1!R103C4</stp>
        <tr r="D103" s="1"/>
      </tp>
      <tp t="s">
        <v>#N/A N/A</v>
        <stp/>
        <stp>##V3_BDPV12</stp>
        <stp>912833Y7 Govt</stp>
        <stp>YLD_YTM_BID</stp>
        <stp>[STRIPS.xlsx]Sheet1!R583C4</stp>
        <tr r="D583" s="1"/>
      </tp>
      <tp t="s">
        <v>#N/A N/A</v>
        <stp/>
        <stp>##V3_BDPV12</stp>
        <stp>912833ZG Govt</stp>
        <stp>YLD_YTM_BID</stp>
        <stp>[STRIPS.xlsx]Sheet1!R253C4</stp>
        <tr r="D253" s="1"/>
      </tp>
      <tp t="s">
        <v>#N/A N/A</v>
        <stp/>
        <stp>##V3_BDPV12</stp>
        <stp>912833ZR Govt</stp>
        <stp>YLD_YTM_BID</stp>
        <stp>[STRIPS.xlsx]Sheet1!R383C4</stp>
        <tr r="D383" s="1"/>
      </tp>
      <tp t="s">
        <v>#N/A N/A</v>
        <stp/>
        <stp>##V3_BDPV12</stp>
        <stp>912834TB Govt</stp>
        <stp>YLD_YTM_BID</stp>
        <stp>[STRIPS.xlsx]Sheet1!R424C4</stp>
        <tr r="D424" s="1"/>
      </tp>
      <tp t="s">
        <v>#N/A N/A</v>
        <stp/>
        <stp>##V3_BDPV12</stp>
        <stp>912834UP Govt</stp>
        <stp>YLD_YTM_BID</stp>
        <stp>[STRIPS.xlsx]Sheet1!R754C4</stp>
        <tr r="D754" s="1"/>
      </tp>
      <tp>
        <v>3.4000000000000696E-2</v>
        <stp/>
        <stp>##V3_BDPV12</stp>
        <stp>912834UT Govt</stp>
        <stp>YLD_YTM_BID</stp>
        <stp>[STRIPS.xlsx]Sheet1!R184C4</stp>
        <tr r="D184" s="1"/>
      </tp>
      <tp>
        <v>0.15000000000000568</v>
        <stp/>
        <stp>##V3_BDPV12</stp>
        <stp>912834VJ Govt</stp>
        <stp>YLD_YTM_BID</stp>
        <stp>[STRIPS.xlsx]Sheet1!R774C4</stp>
        <tr r="D774" s="1"/>
      </tp>
      <tp>
        <v>0.17900000000001803</v>
        <stp/>
        <stp>##V3_BDPV12</stp>
        <stp>912834VR Govt</stp>
        <stp>YLD_YTM_BID</stp>
        <stp>[STRIPS.xlsx]Sheet1!R224C4</stp>
        <tr r="D224" s="1"/>
      </tp>
      <tp t="s">
        <v>#N/A N/A</v>
        <stp/>
        <stp>##V3_BDPV12</stp>
        <stp>912833PK Govt</stp>
        <stp>YLD_YTM_BID</stp>
        <stp>[STRIPS.xlsx]Sheet1!R573C4</stp>
        <tr r="D573" s="1"/>
      </tp>
      <tp>
        <v>7.7999999999978087E-2</v>
        <stp/>
        <stp>##V3_BDPV12</stp>
        <stp>912834PN Govt</stp>
        <stp>YLD_YTM_BID</stp>
        <stp>[STRIPS.xlsx]Sheet1!R164C4</stp>
        <tr r="D164" s="1"/>
      </tp>
      <tp>
        <v>4.2999999999970839E-2</v>
        <stp/>
        <stp>##V3_BDPV12</stp>
        <stp>912834PJ Govt</stp>
        <stp>YLD_YTM_BID</stp>
        <stp>[STRIPS.xlsx]Sheet1!R144C4</stp>
        <tr r="D144" s="1"/>
      </tp>
      <tp>
        <v>0.14300000000000423</v>
        <stp/>
        <stp>##V3_BDPV12</stp>
        <stp>912834PW Govt</stp>
        <stp>YLD_YTM_BID</stp>
        <stp>[STRIPS.xlsx]Sheet1!R154C4</stp>
        <tr r="D154" s="1"/>
      </tp>
      <tp t="s">
        <v>#N/A N/A</v>
        <stp/>
        <stp>##V3_BDPV12</stp>
        <stp>912833PU Govt</stp>
        <stp>YLD_YTM_BID</stp>
        <stp>[STRIPS.xlsx]Sheet1!R683C4</stp>
        <tr r="D683" s="1"/>
      </tp>
      <tp t="s">
        <v>#N/A N/A</v>
        <stp/>
        <stp>##V3_BDPV12</stp>
        <stp>912833QY Govt</stp>
        <stp>YLD_YTM_BID</stp>
        <stp>[STRIPS.xlsx]Sheet1!R633C4</stp>
        <tr r="D633" s="1"/>
      </tp>
      <tp t="s">
        <v>#N/A N/A</v>
        <stp/>
        <stp>##V3_BDPV12</stp>
        <stp>912833QX Govt</stp>
        <stp>YLD_YTM_BID</stp>
        <stp>[STRIPS.xlsx]Sheet1!R243C4</stp>
        <tr r="D243" s="1"/>
      </tp>
      <tp>
        <v>0.35500000000001641</v>
        <stp/>
        <stp>##V3_BDPV12</stp>
        <stp>912834QY Govt</stp>
        <stp>YLD_YTM_BID</stp>
        <stp>[STRIPS.xlsx]Sheet1!R134C4</stp>
        <tr r="D134" s="1"/>
      </tp>
      <tp>
        <v>2.2639999999999993</v>
        <stp/>
        <stp>##V3_BDPV12</stp>
        <stp>912834QV Govt</stp>
        <stp>YLD_YTM_BID</stp>
        <stp>[STRIPS.xlsx]Sheet1!R104C4</stp>
        <tr r="D104" s="1"/>
      </tp>
      <tp t="s">
        <v>#N/A N/A</v>
        <stp/>
        <stp>##V3_BDPV12</stp>
        <stp>912834QT Govt</stp>
        <stp>YLD_YTM_BID</stp>
        <stp>[STRIPS.xlsx]Sheet1!R414C4</stp>
        <tr r="D414" s="1"/>
      </tp>
      <tp>
        <v>0.50900000000000389</v>
        <stp/>
        <stp>##V3_BDPV12</stp>
        <stp>912834RN Govt</stp>
        <stp>YLD_YTM_BID</stp>
        <stp>[STRIPS.xlsx]Sheet1!R194C4</stp>
        <tr r="D194" s="1"/>
      </tp>
      <tp>
        <v>2.2609999999999797</v>
        <stp/>
        <stp>##V3_BDPV12</stp>
        <stp>912834RK Govt</stp>
        <stp>YLD_YTM_BID</stp>
        <stp>[STRIPS.xlsx]Sheet1!R124C4</stp>
        <tr r="D124" s="1"/>
      </tp>
      <tp t="s">
        <v>#N/A N/A</v>
        <stp/>
        <stp>##V3_BDPV12</stp>
        <stp>912833RL Govt</stp>
        <stp>YLD_YTM_BID</stp>
        <stp>[STRIPS.xlsx]Sheet1!R523C4</stp>
        <tr r="D523" s="1"/>
      </tp>
      <tp t="s">
        <v>#N/A N/A</v>
        <stp/>
        <stp>##V3_BDPV12</stp>
        <stp>912833RR Govt</stp>
        <stp>YLD_YTM_BID</stp>
        <stp>[STRIPS.xlsx]Sheet1!R693C4</stp>
        <tr r="D693" s="1"/>
      </tp>
      <tp>
        <v>0.53399999999999004</v>
        <stp/>
        <stp>##V3_BDPV12</stp>
        <stp>912834RQ Govt</stp>
        <stp>YLD_YTM_BID</stp>
        <stp>[STRIPS.xlsx]Sheet1!R204C4</stp>
        <tr r="D204" s="1"/>
      </tp>
      <tp t="s">
        <v>#N/A N/A</v>
        <stp/>
        <stp>##V3_BDPV12</stp>
        <stp>912834LM Govt</stp>
        <stp>YLD_YTM_BID</stp>
        <stp>[STRIPS.xlsx]Sheet1!R324C4</stp>
        <tr r="D324" s="1"/>
      </tp>
      <tp t="s">
        <v>#N/A N/A</v>
        <stp/>
        <stp>##V3_BDPV12</stp>
        <stp>912833LE Govt</stp>
        <stp>YLD_YTM_BID</stp>
        <stp>[STRIPS.xlsx]Sheet1!R153C4</stp>
        <tr r="D153" s="1"/>
      </tp>
      <tp t="s">
        <v>#N/A N/A</v>
        <stp/>
        <stp>##V3_BDPV12</stp>
        <stp>912833LC Govt</stp>
        <stp>YLD_YTM_BID</stp>
        <stp>[STRIPS.xlsx]Sheet1!R673C4</stp>
        <tr r="D673" s="1"/>
      </tp>
      <tp t="s">
        <v>#N/A N/A</v>
        <stp/>
        <stp>##V3_BDPV12</stp>
        <stp>912834LP Govt</stp>
        <stp>YLD_YTM_BID</stp>
        <stp>[STRIPS.xlsx]Sheet1!R474C4</stp>
        <tr r="D474" s="1"/>
      </tp>
      <tp t="s">
        <v>#N/A N/A</v>
        <stp/>
        <stp>##V3_BDPV12</stp>
        <stp>912834LQ Govt</stp>
        <stp>YLD_YTM_BID</stp>
        <stp>[STRIPS.xlsx]Sheet1!R404C4</stp>
        <tr r="D404" s="1"/>
      </tp>
      <tp t="s">
        <v>#N/A N/A</v>
        <stp/>
        <stp>##V3_BDPV12</stp>
        <stp>912834MW Govt</stp>
        <stp>YLD_YTM_BID</stp>
        <stp>[STRIPS.xlsx]Sheet1!R234C4</stp>
        <tr r="D234" s="1"/>
      </tp>
      <tp t="s">
        <v>#N/A N/A</v>
        <stp/>
        <stp>##V3_BDPV12</stp>
        <stp>912833MR Govt</stp>
        <stp>YLD_YTM_BID</stp>
        <stp>[STRIPS.xlsx]Sheet1!R333C4</stp>
        <tr r="D333" s="1"/>
      </tp>
      <tp t="s">
        <v>#N/A N/A</v>
        <stp/>
        <stp>##V3_BDPV12</stp>
        <stp>912834NB Govt</stp>
        <stp>YLD_YTM_BID</stp>
        <stp>[STRIPS.xlsx]Sheet1!R544C4</stp>
        <tr r="D544" s="1"/>
      </tp>
      <tp t="s">
        <v>#N/A N/A</v>
        <stp/>
        <stp>##V3_BDPV12</stp>
        <stp>912834NU Govt</stp>
        <stp>YLD_YTM_BID</stp>
        <stp>[STRIPS.xlsx]Sheet1!R274C4</stp>
        <tr r="D274" s="1"/>
      </tp>
      <tp t="s">
        <v>#N/A N/A</v>
        <stp/>
        <stp>##V3_BDPV12</stp>
        <stp>912834NT Govt</stp>
        <stp>YLD_YTM_BID</stp>
        <stp>[STRIPS.xlsx]Sheet1!R174C4</stp>
        <tr r="D174" s="1"/>
      </tp>
      <tp t="s">
        <v>#N/A N/A</v>
        <stp/>
        <stp>##V3_BDPV12</stp>
        <stp>912833NP Govt</stp>
        <stp>YLD_YTM_BID</stp>
        <stp>[STRIPS.xlsx]Sheet1!R373C4</stp>
        <tr r="D373" s="1"/>
      </tp>
      <tp t="s">
        <v>#N/A N/A</v>
        <stp/>
        <stp>##V3_BDPV12</stp>
        <stp>912834JD Govt</stp>
        <stp>YLD_YTM_BID</stp>
        <stp>[STRIPS.xlsx]Sheet1!R314C4</stp>
        <tr r="D314" s="1"/>
      </tp>
      <tp t="s">
        <v>#N/A N/A</v>
        <stp/>
        <stp>##V3_BDPV12</stp>
        <stp>912833JY Govt</stp>
        <stp>YLD_YTM_BID</stp>
        <stp>[STRIPS.xlsx]Sheet1!R173C4</stp>
        <tr r="D173" s="1"/>
      </tp>
      <tp t="s">
        <v>#N/A N/A</v>
        <stp/>
        <stp>##V3_BDPV12</stp>
        <stp>912833KM Govt</stp>
        <stp>YLD_YTM_BID</stp>
        <stp>[STRIPS.xlsx]Sheet1!R303C4</stp>
        <tr r="D303" s="1"/>
      </tp>
      <tp t="s">
        <v>#N/A N/A</v>
        <stp/>
        <stp>##V3_BDPV12</stp>
        <stp>912833KA Govt</stp>
        <stp>YLD_YTM_BID</stp>
        <stp>[STRIPS.xlsx]Sheet1!R193C4</stp>
        <tr r="D193" s="1"/>
      </tp>
      <tp t="s">
        <v>#N/A N/A</v>
        <stp/>
        <stp>##V3_BDPV12</stp>
        <stp>912833KY Govt</stp>
        <stp>YLD_YTM_BID</stp>
        <stp>[STRIPS.xlsx]Sheet1!R513C4</stp>
        <tr r="D513" s="1"/>
      </tp>
      <tp t="s">
        <v>#N/A N/A</v>
        <stp/>
        <stp>##V3_BDPV12</stp>
        <stp>912833KP Govt</stp>
        <stp>YLD_YTM_BID</stp>
        <stp>[STRIPS.xlsx]Sheet1!R623C4</stp>
        <tr r="D623" s="1"/>
      </tp>
      <tp t="s">
        <v>#N/A N/A</v>
        <stp/>
        <stp>##V3_BDPV12</stp>
        <stp>912833KR Govt</stp>
        <stp>YLD_YTM_BID</stp>
        <stp>[STRIPS.xlsx]Sheet1!R443C4</stp>
        <tr r="D443" s="1"/>
      </tp>
      <tp t="s">
        <v>#N/A N/A</v>
        <stp/>
        <stp>##V3_BDPV12</stp>
        <stp>912834DY Govt</stp>
        <stp>YLD_YTM_BID</stp>
        <stp>[STRIPS.xlsx]Sheet1!R264C4</stp>
        <tr r="D264" s="1"/>
      </tp>
      <tp t="s">
        <v>#N/A N/A</v>
        <stp/>
        <stp>##V3_BDPV12</stp>
        <stp>912834EB Govt</stp>
        <stp>YLD_YTM_BID</stp>
        <stp>[STRIPS.xlsx]Sheet1!R644C4</stp>
        <tr r="D644" s="1"/>
      </tp>
      <tp t="s">
        <v>#N/A N/A</v>
        <stp/>
        <stp>##V3_BDPV12</stp>
        <stp>912834EF Govt</stp>
        <stp>YLD_YTM_BID</stp>
        <stp>[STRIPS.xlsx]Sheet1!R594C4</stp>
        <tr r="D594" s="1"/>
      </tp>
      <tp t="s">
        <v>#N/A N/A</v>
        <stp/>
        <stp>##V3_BDPV12</stp>
        <stp>912834EX Govt</stp>
        <stp>YLD_YTM_BID</stp>
        <stp>[STRIPS.xlsx]Sheet1!R354C4</stp>
        <tr r="D354" s="1"/>
      </tp>
      <tp t="s">
        <v>#N/A N/A</v>
        <stp/>
        <stp>##V3_BDPV12</stp>
        <stp>912834EZ Govt</stp>
        <stp>YLD_YTM_BID</stp>
        <stp>[STRIPS.xlsx]Sheet1!R394C4</stp>
        <tr r="D394" s="1"/>
      </tp>
      <tp t="s">
        <v>#N/A N/A</v>
        <stp/>
        <stp>##V3_BDPV12</stp>
        <stp>912834ES Govt</stp>
        <stp>YLD_YTM_BID</stp>
        <stp>[STRIPS.xlsx]Sheet1!R464C4</stp>
        <tr r="D464" s="1"/>
      </tp>
      <tp t="s">
        <v>#N/A N/A</v>
        <stp/>
        <stp>##V3_BDPV12</stp>
        <stp>912833FL Govt</stp>
        <stp>YLD_YTM_BID</stp>
        <stp>[STRIPS.xlsx]Sheet1!R663C4</stp>
        <tr r="D663" s="1"/>
      </tp>
      <tp t="s">
        <v>#N/A N/A</v>
        <stp/>
        <stp>##V3_BDPV12</stp>
        <stp>912834FC Govt</stp>
        <stp>YLD_YTM_BID</stp>
        <stp>[STRIPS.xlsx]Sheet1!R534C4</stp>
        <tr r="D534" s="1"/>
      </tp>
      <tp t="s">
        <v>#N/A N/A</v>
        <stp/>
        <stp>##V3_BDPV12</stp>
        <stp>912834AC Govt</stp>
        <stp>YLD_YTM_BID</stp>
        <stp>[STRIPS.xlsx]Sheet1!R384C4</stp>
        <tr r="D384" s="1"/>
      </tp>
      <tp t="s">
        <v>#N/A N/A</v>
        <stp/>
        <stp>##V3_BDPV12</stp>
        <stp>912833A7 Govt</stp>
        <stp>YLD_YTM_BID</stp>
        <stp>[STRIPS.xlsx]Sheet1!R653C4</stp>
        <tr r="D653" s="1"/>
      </tp>
      <tp t="s">
        <v>#N/A N/A</v>
        <stp/>
        <stp>##V3_BDPV12</stp>
        <stp>912833B8 Govt</stp>
        <stp>YLD_YTM_BID</stp>
        <stp>[STRIPS.xlsx]Sheet1!R293C4</stp>
        <tr r="D293" s="1"/>
      </tp>
      <tp t="s">
        <v>#N/A N/A</v>
        <stp/>
        <stp>##V3_BDPV12</stp>
        <stp>912833B7 Govt</stp>
        <stp>YLD_YTM_BID</stp>
        <stp>[STRIPS.xlsx]Sheet1!R433C4</stp>
        <tr r="D433" s="1"/>
      </tp>
      <tp t="s">
        <v>#N/A N/A</v>
        <stp/>
        <stp>##V3_BDPV12</stp>
        <stp>912833CK Govt</stp>
        <stp>YLD_YTM_BID</stp>
        <stp>[STRIPS.xlsx]Sheet1!R733C4</stp>
        <tr r="D733" s="1"/>
      </tp>
      <tp t="s">
        <v>#N/A N/A</v>
        <stp/>
        <stp>##V3_BDPV12</stp>
        <stp>912833CX Govt</stp>
        <stp>YLD_YTM_BID</stp>
        <stp>[STRIPS.xlsx]Sheet1!R503C4</stp>
        <tr r="D503" s="1"/>
      </tp>
      <tp t="s">
        <v>#N/A N/A</v>
        <stp/>
        <stp>##V3_BDPV12</stp>
        <stp>912833CY Govt</stp>
        <stp>YLD_YTM_BID</stp>
        <stp>[STRIPS.xlsx]Sheet1!R363C4</stp>
        <tr r="D363" s="1"/>
      </tp>
      <tp t="s">
        <v>#N/A N/A</v>
        <stp/>
        <stp>##V3_BDPV12</stp>
        <stp>912833C9 Govt</stp>
        <stp>YLD_YTM_BID</stp>
        <stp>[STRIPS.xlsx]Sheet1!R613C4</stp>
        <tr r="D613" s="1"/>
      </tp>
      <tp t="s">
        <v>#N/A N/A</v>
        <stp/>
        <stp>##V3_BDPV12</stp>
        <stp>912833C6 Govt</stp>
        <stp>YLD_YTM_BID</stp>
        <stp>[STRIPS.xlsx]Sheet1!R563C4</stp>
        <tr r="D563" s="1"/>
      </tp>
      <tp t="s">
        <v>#N/A Field Not Applicable</v>
        <stp/>
        <stp>##V3_BDPV12</stp>
        <stp>912833Y4 Govt</stp>
        <stp>IDX_RATIO</stp>
        <stp>[STRIPS.xlsx]Sheet1!R60C20</stp>
        <tr r="T60" s="1"/>
      </tp>
      <tp t="s">
        <v>5/15/2048</v>
        <stp/>
        <stp>##V3_BDPV12</stp>
        <stp>912834TP Govt</stp>
        <stp>MATURITY</stp>
        <stp>[STRIPS.xlsx]Sheet1!R117C5</stp>
        <tr r="E117" s="1"/>
      </tp>
      <tp t="s">
        <v>9/15/2004</v>
        <stp/>
        <stp>##V3_BDPV12</stp>
        <stp>912833ZQ Govt</stp>
        <stp>MATURITY</stp>
        <stp>[STRIPS.xlsx]Sheet1!R639C5</stp>
        <tr r="E639" s="1"/>
      </tp>
      <tp t="s">
        <v>6/30/2000</v>
        <stp/>
        <stp>##V3_BDPV12</stp>
        <stp>912833QS Govt</stp>
        <stp>MATURITY</stp>
        <stp>[STRIPS.xlsx]Sheet1!R632C5</stp>
        <tr r="E632" s="1"/>
      </tp>
      <tp t="s">
        <v>10/31/1999</v>
        <stp/>
        <stp>##V3_BDPV12</stp>
        <stp>912833PU Govt</stp>
        <stp>MATURITY</stp>
        <stp>[STRIPS.xlsx]Sheet1!R683C5</stp>
        <tr r="E683" s="1"/>
      </tp>
      <tp t="s">
        <v>4/30/2003</v>
        <stp/>
        <stp>##V3_BDPV12</stp>
        <stp>912833RV Govt</stp>
        <stp>MATURITY</stp>
        <stp>[STRIPS.xlsx]Sheet1!R581C5</stp>
        <tr r="E581" s="1"/>
      </tp>
      <tp t="s">
        <v>12/31/2001</v>
        <stp/>
        <stp>##V3_BDPV12</stp>
        <stp>912833QV Govt</stp>
        <stp>MATURITY</stp>
        <stp>[STRIPS.xlsx]Sheet1!R242C5</stp>
        <tr r="E242" s="1"/>
      </tp>
      <tp t="s">
        <v>4/15/2020</v>
        <stp/>
        <stp>##V3_BDPV12</stp>
        <stp>912834RH Govt</stp>
        <stp>MATURITY</stp>
        <stp>[STRIPS.xlsx]Sheet1!R481C5</stp>
        <tr r="E481" s="1"/>
      </tp>
      <tp t="s">
        <v>UNITED STATES</v>
        <stp/>
        <stp>##V3_BDPV12</stp>
        <stp>912834WL Govt</stp>
        <stp>COUNTRY_FULL_NAME</stp>
        <stp>[STRIPS.xlsx]Sheet1!R768C8</stp>
        <tr r="H768" s="1"/>
      </tp>
      <tp t="s">
        <v>2/28/2025</v>
        <stp/>
        <stp>##V3_BDPV12</stp>
        <stp>912834TJ Govt</stp>
        <stp>MATURITY</stp>
        <stp>[STRIPS.xlsx]Sheet1!R757C5</stp>
        <tr r="E757" s="1"/>
      </tp>
      <tp t="s">
        <v>UNITED STATES</v>
        <stp/>
        <stp>##V3_BDPV12</stp>
        <stp>912834JL Govt</stp>
        <stp>COUNTRY_FULL_NAME</stp>
        <stp>[STRIPS.xlsx]Sheet1!R538C8</stp>
        <tr r="H538" s="1"/>
      </tp>
      <tp t="s">
        <v>UNITED STATES</v>
        <stp/>
        <stp>##V3_BDPV12</stp>
        <stp>912834EG Govt</stp>
        <stp>COUNTRY_FULL_NAME</stp>
        <stp>[STRIPS.xlsx]Sheet1!R533C8</stp>
        <tr r="H533" s="1"/>
      </tp>
      <tp t="s">
        <v>UNITED STATES</v>
        <stp/>
        <stp>##V3_BDPV12</stp>
        <stp>912833ZG Govt</stp>
        <stp>COUNTRY_FULL_NAME</stp>
        <stp>[STRIPS.xlsx]Sheet1!R253C8</stp>
        <tr r="H253" s="1"/>
      </tp>
      <tp t="s">
        <v>UNITED STATES</v>
        <stp/>
        <stp>##V3_BDPV12</stp>
        <stp>912833QE Govt</stp>
        <stp>COUNTRY_FULL_NAME</stp>
        <stp>[STRIPS.xlsx]Sheet1!R241C8</stp>
        <tr r="H241" s="1"/>
      </tp>
      <tp t="s">
        <v>UNITED STATES</v>
        <stp/>
        <stp>##V3_BDPV12</stp>
        <stp>912834QD Govt</stp>
        <stp>COUNTRY_FULL_NAME</stp>
        <stp>[STRIPS.xlsx]Sheet1!R550C8</stp>
        <tr r="H550" s="1"/>
      </tp>
      <tp t="s">
        <v>UNITED STATES</v>
        <stp/>
        <stp>##V3_BDPV12</stp>
        <stp>912833KD Govt</stp>
        <stp>COUNTRY_FULL_NAME</stp>
        <stp>[STRIPS.xlsx]Sheet1!R300C8</stp>
        <tr r="H300" s="1"/>
      </tp>
      <tp t="s">
        <v>UNITED STATES</v>
        <stp/>
        <stp>##V3_BDPV12</stp>
        <stp>912834NC Govt</stp>
        <stp>COUNTRY_FULL_NAME</stp>
        <stp>[STRIPS.xlsx]Sheet1!R407C8</stp>
        <tr r="H407" s="1"/>
      </tp>
      <tp t="s">
        <v>UNITED STATES</v>
        <stp/>
        <stp>##V3_BDPV12</stp>
        <stp>912834NL Govt</stp>
        <stp>COUNTRY_FULL_NAME</stp>
        <stp>[STRIPS.xlsx]Sheet1!R408C8</stp>
        <tr r="H408" s="1"/>
      </tp>
      <tp t="s">
        <v>UNITED STATES</v>
        <stp/>
        <stp>##V3_BDPV12</stp>
        <stp>912834NM Govt</stp>
        <stp>COUNTRY_FULL_NAME</stp>
        <stp>[STRIPS.xlsx]Sheet1!R409C8</stp>
        <tr r="H409" s="1"/>
      </tp>
      <tp t="s">
        <v>UNITED STATES</v>
        <stp/>
        <stp>##V3_BDPV12</stp>
        <stp>912834KL Govt</stp>
        <stp>COUNTRY_FULL_NAME</stp>
        <stp>[STRIPS.xlsx]Sheet1!R468C8</stp>
        <tr r="H468" s="1"/>
      </tp>
      <tp t="s">
        <v>UNITED STATES</v>
        <stp/>
        <stp>##V3_BDPV12</stp>
        <stp>912833RD Govt</stp>
        <stp>COUNTRY_FULL_NAME</stp>
        <stp>[STRIPS.xlsx]Sheet1!R380C8</stp>
        <tr r="H380" s="1"/>
      </tp>
      <tp t="s">
        <v>UNITED STATES</v>
        <stp/>
        <stp>##V3_BDPV12</stp>
        <stp>912834FA Govt</stp>
        <stp>COUNTRY_FULL_NAME</stp>
        <stp>[STRIPS.xlsx]Sheet1!R395C8</stp>
        <tr r="H395" s="1"/>
      </tp>
      <tp t="s">
        <v>UNITED STATES</v>
        <stp/>
        <stp>##V3_BDPV12</stp>
        <stp>912833GE Govt</stp>
        <stp>COUNTRY_FULL_NAME</stp>
        <stp>[STRIPS.xlsx]Sheet1!R441C8</stp>
        <tr r="H441" s="1"/>
      </tp>
      <tp t="s">
        <v>UNITED STATES</v>
        <stp/>
        <stp>##V3_BDPV12</stp>
        <stp>912834KM Govt</stp>
        <stp>COUNTRY_FULL_NAME</stp>
        <stp>[STRIPS.xlsx]Sheet1!R399C8</stp>
        <tr r="H399" s="1"/>
      </tp>
      <tp t="s">
        <v>UNITED STATES</v>
        <stp/>
        <stp>##V3_BDPV12</stp>
        <stp>9128333M Govt</stp>
        <stp>COUNTRY_FULL_NAME</stp>
        <stp>[STRIPS.xlsx]Sheet1!R599C8</stp>
        <tr r="H599" s="1"/>
      </tp>
      <tp t="s">
        <v>UNITED STATES</v>
        <stp/>
        <stp>##V3_BDPV12</stp>
        <stp>9128337M Govt</stp>
        <stp>COUNTRY_FULL_NAME</stp>
        <stp>[STRIPS.xlsx]Sheet1!R559C8</stp>
        <tr r="H559" s="1"/>
      </tp>
      <tp t="s">
        <v>UNITED STATES</v>
        <stp/>
        <stp>##V3_BDPV12</stp>
        <stp>912833ML Govt</stp>
        <stp>COUNTRY_FULL_NAME</stp>
        <stp>[STRIPS.xlsx]Sheet1!R568C8</stp>
        <tr r="H568" s="1"/>
      </tp>
      <tp t="s">
        <v>UNITED STATES</v>
        <stp/>
        <stp>##V3_BDPV12</stp>
        <stp>912833NE Govt</stp>
        <stp>COUNTRY_FULL_NAME</stp>
        <stp>[STRIPS.xlsx]Sheet1!R571C8</stp>
        <tr r="H571" s="1"/>
      </tp>
      <tp t="s">
        <v>UNITED STATES</v>
        <stp/>
        <stp>##V3_BDPV12</stp>
        <stp>912834JC Govt</stp>
        <stp>COUNTRY_FULL_NAME</stp>
        <stp>[STRIPS.xlsx]Sheet1!R227C8</stp>
        <tr r="H227" s="1"/>
      </tp>
      <tp t="s">
        <v>UNITED STATES</v>
        <stp/>
        <stp>##V3_BDPV12</stp>
        <stp>912834AB Govt</stp>
        <stp>COUNTRY_FULL_NAME</stp>
        <stp>[STRIPS.xlsx]Sheet1!R256C8</stp>
        <tr r="H256" s="1"/>
      </tp>
      <tp t="s">
        <v>UNITED STATES</v>
        <stp/>
        <stp>##V3_BDPV12</stp>
        <stp>912834AL Govt</stp>
        <stp>COUNTRY_FULL_NAME</stp>
        <stp>[STRIPS.xlsx]Sheet1!R258C8</stp>
        <tr r="H258" s="1"/>
      </tp>
      <tp t="s">
        <v>UNITED STATES</v>
        <stp/>
        <stp>##V3_BDPV12</stp>
        <stp>912833RF Govt</stp>
        <stp>COUNTRY_FULL_NAME</stp>
        <stp>[STRIPS.xlsx]Sheet1!R522C8</stp>
        <tr r="H522" s="1"/>
      </tp>
      <tp t="s">
        <v>UNITED STATES</v>
        <stp/>
        <stp>##V3_BDPV12</stp>
        <stp>912834KA Govt</stp>
        <stp>COUNTRY_FULL_NAME</stp>
        <stp>[STRIPS.xlsx]Sheet1!R165C8</stp>
        <tr r="H165" s="1"/>
      </tp>
      <tp t="s">
        <v>UNITED STATES</v>
        <stp/>
        <stp>##V3_BDPV12</stp>
        <stp>912833GB Govt</stp>
        <stp>COUNTRY_FULL_NAME</stp>
        <stp>[STRIPS.xlsx]Sheet1!R666C8</stp>
        <tr r="H666" s="1"/>
      </tp>
      <tp t="s">
        <v>UNITED STATES</v>
        <stp/>
        <stp>##V3_BDPV12</stp>
        <stp>912833FM Govt</stp>
        <stp>COUNTRY_FULL_NAME</stp>
        <stp>[STRIPS.xlsx]Sheet1!R619C8</stp>
        <tr r="H619" s="1"/>
      </tp>
      <tp t="s">
        <v>UNITED STATES</v>
        <stp/>
        <stp>##V3_BDPV12</stp>
        <stp>912833RE Govt</stp>
        <stp>COUNTRY_FULL_NAME</stp>
        <stp>[STRIPS.xlsx]Sheet1!R691C8</stp>
        <tr r="H691" s="1"/>
      </tp>
      <tp t="s">
        <v>UNITED STATES</v>
        <stp/>
        <stp>##V3_BDPV12</stp>
        <stp>912834RL Govt</stp>
        <stp>COUNTRY_FULL_NAME</stp>
        <stp>[STRIPS.xlsx]Sheet1!R198C8</stp>
        <tr r="H198" s="1"/>
      </tp>
      <tp t="s">
        <v>UNITED STATES</v>
        <stp/>
        <stp>##V3_BDPV12</stp>
        <stp>912833ZM Govt</stp>
        <stp>COUNTRY_FULL_NAME</stp>
        <stp>[STRIPS.xlsx]Sheet1!R699C8</stp>
        <tr r="H699" s="1"/>
      </tp>
      <tp t="s">
        <v>UNITED STATES</v>
        <stp/>
        <stp>##V3_BDPV12</stp>
        <stp>912834PL Govt</stp>
        <stp>COUNTRY_FULL_NAME</stp>
        <stp>[STRIPS.xlsx]Sheet1!R128C8</stp>
        <tr r="H128" s="1"/>
      </tp>
      <tp t="s">
        <v>UNITED STATES</v>
        <stp/>
        <stp>##V3_BDPV12</stp>
        <stp>912834VL Govt</stp>
        <stp>COUNTRY_FULL_NAME</stp>
        <stp>[STRIPS.xlsx]Sheet1!R138C8</stp>
        <tr r="H138" s="1"/>
      </tp>
      <tp t="s">
        <v>UNITED STATES</v>
        <stp/>
        <stp>##V3_BDPV12</stp>
        <stp>9128332F Govt</stp>
        <stp>COUNTRY_FULL_NAME</stp>
        <stp>[STRIPS.xlsx]Sheet1!R702C8</stp>
        <tr r="H702" s="1"/>
      </tp>
      <tp t="s">
        <v>UNITED STATES</v>
        <stp/>
        <stp>##V3_BDPV12</stp>
        <stp>9128332G Govt</stp>
        <stp>COUNTRY_FULL_NAME</stp>
        <stp>[STRIPS.xlsx]Sheet1!R703C8</stp>
        <tr r="H703" s="1"/>
      </tp>
      <tp t="s">
        <v>UNITED STATES</v>
        <stp/>
        <stp>##V3_BDPV12</stp>
        <stp>9128334C Govt</stp>
        <stp>COUNTRY_FULL_NAME</stp>
        <stp>[STRIPS.xlsx]Sheet1!R707C8</stp>
        <tr r="H707" s="1"/>
      </tp>
      <tp t="s">
        <v>3/31/2000</v>
        <stp/>
        <stp>##V3_BDPV12</stp>
        <stp>912833PK Govt</stp>
        <stp>MATURITY</stp>
        <stp>[STRIPS.xlsx]Sheet1!R573C5</stp>
        <tr r="E573" s="1"/>
      </tp>
      <tp t="s">
        <v>6/30/2023</v>
        <stp/>
        <stp>##V3_BDPV12</stp>
        <stp>912834QL Govt</stp>
        <stp>MATURITY</stp>
        <stp>[STRIPS.xlsx]Sheet1!R142C5</stp>
        <tr r="E142" s="1"/>
      </tp>
      <tp t="s">
        <v>7/31/2005</v>
        <stp/>
        <stp>##V3_BDPV12</stp>
        <stp>912833ZM Govt</stp>
        <stp>MATURITY</stp>
        <stp>[STRIPS.xlsx]Sheet1!R699C5</stp>
        <tr r="E699" s="1"/>
      </tp>
      <tp t="s">
        <v>3/31/2026</v>
        <stp/>
        <stp>##V3_BDPV12</stp>
        <stp>912834UN Govt</stp>
        <stp>MATURITY</stp>
        <stp>[STRIPS.xlsx]Sheet1!R206C5</stp>
        <tr r="E206" s="1"/>
      </tp>
      <tp t="s">
        <v>10/31/2021</v>
        <stp/>
        <stp>##V3_BDPV12</stp>
        <stp>912834PA Govt</stp>
        <stp>MATURITY</stp>
        <stp>[STRIPS.xlsx]Sheet1!R123C5</stp>
        <tr r="E123" s="1"/>
      </tp>
      <tp t="s">
        <v>10/31/2026</v>
        <stp/>
        <stp>##V3_BDPV12</stp>
        <stp>912834VD Govt</stp>
        <stp>MATURITY</stp>
        <stp>[STRIPS.xlsx]Sheet1!R765C5</stp>
        <tr r="E765" s="1"/>
      </tp>
      <tp t="s">
        <v>7/31/2001</v>
        <stp/>
        <stp>##V3_BDPV12</stp>
        <stp>912833RE Govt</stp>
        <stp>MATURITY</stp>
        <stp>[STRIPS.xlsx]Sheet1!R691C5</stp>
        <tr r="E691" s="1"/>
      </tp>
      <tp t="s">
        <v>3/15/2020</v>
        <stp/>
        <stp>##V3_BDPV12</stp>
        <stp>912834RF Govt</stp>
        <stp>MATURITY</stp>
        <stp>[STRIPS.xlsx]Sheet1!R551C5</stp>
        <tr r="E551" s="1"/>
      </tp>
      <tp t="s">
        <v>#N/A N/A</v>
        <stp/>
        <stp>##V3_BDPV12</stp>
        <stp>9128334B Govt</stp>
        <stp>YLD_YTM_BID</stp>
        <stp>[STRIPS.xlsx]Sheet1!R603C4</stp>
        <tr r="D603" s="1"/>
      </tp>
      <tp t="s">
        <v>#N/A N/A</v>
        <stp/>
        <stp>##V3_BDPV12</stp>
        <stp>9128335K Govt</stp>
        <stp>YLD_YTM_BID</stp>
        <stp>[STRIPS.xlsx]Sheet1!R493C4</stp>
        <tr r="D493" s="1"/>
      </tp>
      <tp t="s">
        <v>#N/A N/A</v>
        <stp/>
        <stp>##V3_BDPV12</stp>
        <stp>9128335P Govt</stp>
        <stp>YLD_YTM_BID</stp>
        <stp>[STRIPS.xlsx]Sheet1!R723C4</stp>
        <tr r="D723" s="1"/>
      </tp>
      <tp t="s">
        <v>#N/A N/A</v>
        <stp/>
        <stp>##V3_BDPV12</stp>
        <stp>9128336C Govt</stp>
        <stp>YLD_YTM_BID</stp>
        <stp>[STRIPS.xlsx]Sheet1!R713C4</stp>
        <tr r="D713" s="1"/>
      </tp>
      <tp t="s">
        <v>#N/A N/A</v>
        <stp/>
        <stp>##V3_BDPV12</stp>
        <stp>9128332G Govt</stp>
        <stp>YLD_YTM_BID</stp>
        <stp>[STRIPS.xlsx]Sheet1!R703C4</stp>
        <tr r="D703" s="1"/>
      </tp>
      <tp t="s">
        <v>#N/A N/A</v>
        <stp/>
        <stp>##V3_BDPV12</stp>
        <stp>9128333K Govt</stp>
        <stp>YLD_YTM_BID</stp>
        <stp>[STRIPS.xlsx]Sheet1!R743C4</stp>
        <tr r="D743" s="1"/>
      </tp>
      <tp t="s">
        <v>#N/A N/A</v>
        <stp/>
        <stp>##V3_BDPV12</stp>
        <stp>9128333S Govt</stp>
        <stp>YLD_YTM_BID</stp>
        <stp>[STRIPS.xlsx]Sheet1!R553C4</stp>
        <tr r="D553" s="1"/>
      </tp>
      <tp t="s">
        <v>#N/A N/A</v>
        <stp/>
        <stp>##V3_BDPV12</stp>
        <stp>9128333T Govt</stp>
        <stp>YLD_YTM_BID</stp>
        <stp>[STRIPS.xlsx]Sheet1!R483C4</stp>
        <tr r="D483" s="1"/>
      </tp>
      <tp>
        <v>0.49600000000000755</v>
        <stp/>
        <stp>##V3_BDPV12</stp>
        <stp>912834XB Govt</stp>
        <stp>YLD_YTM_BID</stp>
        <stp>[STRIPS.xlsx]Sheet1!R183C4</stp>
        <tr r="D183" s="1"/>
      </tp>
      <tp t="s">
        <v>#N/A Field Not Applicable</v>
        <stp/>
        <stp>##V3_BDPV12</stp>
        <stp>912833C9 Govt</stp>
        <stp>COUPON_FREQUENCY_DESCRIPTION</stp>
        <stp>[STRIPS.xlsx]Sheet1!R613C10</stp>
        <tr r="J613" s="1"/>
      </tp>
      <tp t="s">
        <v>#N/A Field Not Applicable</v>
        <stp/>
        <stp>##V3_BDPV12</stp>
        <stp>912833A9 Govt</stp>
        <stp>COUPON_FREQUENCY_DESCRIPTION</stp>
        <stp>[STRIPS.xlsx]Sheet1!R609C10</stp>
        <tr r="J609" s="1"/>
      </tp>
      <tp t="s">
        <v>#N/A N/A</v>
        <stp/>
        <stp>##V3_BDPV12</stp>
        <stp>912833YK Govt</stp>
        <stp>YLD_YTM_BID</stp>
        <stp>[STRIPS.xlsx]Sheet1!R584C4</stp>
        <tr r="D584" s="1"/>
      </tp>
      <tp t="s">
        <v>#N/A N/A</v>
        <stp/>
        <stp>##V3_BDPV12</stp>
        <stp>912833YA Govt</stp>
        <stp>YLD_YTM_BID</stp>
        <stp>[STRIPS.xlsx]Sheet1!R694C4</stp>
        <tr r="D694" s="1"/>
      </tp>
      <tp t="s">
        <v>#N/A N/A</v>
        <stp/>
        <stp>##V3_BDPV12</stp>
        <stp>912833YQ Govt</stp>
        <stp>YLD_YTM_BID</stp>
        <stp>[STRIPS.xlsx]Sheet1!R344C4</stp>
        <tr r="D344" s="1"/>
      </tp>
      <tp t="s">
        <v>#N/A N/A</v>
        <stp/>
        <stp>##V3_BDPV12</stp>
        <stp>912833ZB Govt</stp>
        <stp>YLD_YTM_BID</stp>
        <stp>[STRIPS.xlsx]Sheet1!R454C4</stp>
        <tr r="D454" s="1"/>
      </tp>
      <tp t="s">
        <v>#N/A N/A</v>
        <stp/>
        <stp>##V3_BDPV12</stp>
        <stp>912833ZV Govt</stp>
        <stp>YLD_YTM_BID</stp>
        <stp>[STRIPS.xlsx]Sheet1!R254C4</stp>
        <tr r="D254" s="1"/>
      </tp>
      <tp t="s">
        <v>#N/A Field Not Applicable</v>
        <stp/>
        <stp>##V3_BDPV12</stp>
        <stp>912833Y9 Govt</stp>
        <stp>COUPON_FREQUENCY_DESCRIPTION</stp>
        <stp>[STRIPS.xlsx]Sheet1!R450C10</stp>
        <tr r="J450" s="1"/>
      </tp>
      <tp t="s">
        <v>#N/A Field Not Applicable</v>
        <stp/>
        <stp>##V3_BDPV12</stp>
        <stp>912833B9 Govt</stp>
        <stp>COUPON_FREQUENCY_DESCRIPTION</stp>
        <stp>[STRIPS.xlsx]Sheet1!R434C10</stp>
        <tr r="J434" s="1"/>
      </tp>
      <tp t="s">
        <v>#N/A Field Not Applicable</v>
        <stp/>
        <stp>##V3_BDPV12</stp>
        <stp>912833Z9 Govt</stp>
        <stp>COUPON_FREQUENCY_DESCRIPTION</stp>
        <stp>[STRIPS.xlsx]Sheet1!R526C10</stp>
        <tr r="J526" s="1"/>
      </tp>
      <tp>
        <v>0.64899999999998847</v>
        <stp/>
        <stp>##V3_BDPV12</stp>
        <stp>912834TC Govt</stp>
        <stp>YLD_YTM_BID</stp>
        <stp>[STRIPS.xlsx]Sheet1!R163C4</stp>
        <tr r="D163" s="1"/>
      </tp>
      <tp t="s">
        <v>#N/A N/A</v>
        <stp/>
        <stp>##V3_BDPV12</stp>
        <stp>912834TT Govt</stp>
        <stp>YLD_YTM_BID</stp>
        <stp>[STRIPS.xlsx]Sheet1!R283C4</stp>
        <tr r="D283" s="1"/>
      </tp>
      <tp>
        <v>2.2460000000000147</v>
        <stp/>
        <stp>##V3_BDPV12</stp>
        <stp>912834UB Govt</stp>
        <stp>YLD_YTM_BID</stp>
        <stp>[STRIPS.xlsx]Sheet1!R113C4</stp>
        <tr r="D113" s="1"/>
      </tp>
      <tp>
        <v>0.10300000000000864</v>
        <stp/>
        <stp>##V3_BDPV12</stp>
        <stp>912834VC Govt</stp>
        <stp>YLD_YTM_BID</stp>
        <stp>[STRIPS.xlsx]Sheet1!R763C4</stp>
        <tr r="D763" s="1"/>
      </tp>
      <tp>
        <v>0.19499999999998963</v>
        <stp/>
        <stp>##V3_BDPV12</stp>
        <stp>912834VT Govt</stp>
        <stp>YLD_YTM_BID</stp>
        <stp>[STRIPS.xlsx]Sheet1!R773C4</stp>
        <tr r="D773" s="1"/>
      </tp>
      <tp>
        <v>0.26999999999999247</v>
        <stp/>
        <stp>##V3_BDPV12</stp>
        <stp>912834WE Govt</stp>
        <stp>YLD_YTM_BID</stp>
        <stp>[STRIPS.xlsx]Sheet1!R223C4</stp>
        <tr r="D223" s="1"/>
      </tp>
      <tp t="s">
        <v>#N/A N/A</v>
        <stp/>
        <stp>##V3_BDPV12</stp>
        <stp>912833PL Govt</stp>
        <stp>YLD_YTM_BID</stp>
        <stp>[STRIPS.xlsx]Sheet1!R374C4</stp>
        <tr r="D374" s="1"/>
      </tp>
      <tp>
        <v>2.8000000000076852E-2</v>
        <stp/>
        <stp>##V3_BDPV12</stp>
        <stp>912834PA Govt</stp>
        <stp>YLD_YTM_BID</stp>
        <stp>[STRIPS.xlsx]Sheet1!R123C4</stp>
        <tr r="D123" s="1"/>
      </tp>
      <tp t="s">
        <v>#N/A N/A</v>
        <stp/>
        <stp>##V3_BDPV12</stp>
        <stp>912833PS Govt</stp>
        <stp>YLD_YTM_BID</stp>
        <stp>[STRIPS.xlsx]Sheet1!R574C4</stp>
        <tr r="D574" s="1"/>
      </tp>
      <tp>
        <v>0.21800000000000708</v>
        <stp/>
        <stp>##V3_BDPV12</stp>
        <stp>912834QJ Govt</stp>
        <stp>YLD_YTM_BID</stp>
        <stp>[STRIPS.xlsx]Sheet1!R213C4</stp>
        <tr r="D213" s="1"/>
      </tp>
      <tp t="s">
        <v>#N/A N/A</v>
        <stp/>
        <stp>##V3_BDPV12</stp>
        <stp>912834QM Govt</stp>
        <stp>YLD_YTM_BID</stp>
        <stp>[STRIPS.xlsx]Sheet1!R413C4</stp>
        <tr r="D413" s="1"/>
      </tp>
      <tp t="s">
        <v>#N/A N/A</v>
        <stp/>
        <stp>##V3_BDPV12</stp>
        <stp>912833QF Govt</stp>
        <stp>YLD_YTM_BID</stp>
        <stp>[STRIPS.xlsx]Sheet1!R684C4</stp>
        <tr r="D684" s="1"/>
      </tp>
      <tp t="s">
        <v>#N/A N/A</v>
        <stp/>
        <stp>##V3_BDPV12</stp>
        <stp>912834QX Govt</stp>
        <stp>YLD_YTM_BID</stp>
        <stp>[STRIPS.xlsx]Sheet1!R423C4</stp>
        <tr r="D423" s="1"/>
      </tp>
      <tp t="s">
        <v>#N/A N/A</v>
        <stp/>
        <stp>##V3_BDPV12</stp>
        <stp>912833RH Govt</stp>
        <stp>YLD_YTM_BID</stp>
        <stp>[STRIPS.xlsx]Sheet1!R634C4</stp>
        <tr r="D634" s="1"/>
      </tp>
      <tp>
        <v>0.45600000000001195</v>
        <stp/>
        <stp>##V3_BDPV12</stp>
        <stp>912834RJ Govt</stp>
        <stp>YLD_YTM_BID</stp>
        <stp>[STRIPS.xlsx]Sheet1!R203C4</stp>
        <tr r="D203" s="1"/>
      </tp>
      <tp t="s">
        <v>#N/A N/A</v>
        <stp/>
        <stp>##V3_BDPV12</stp>
        <stp>912833RG Govt</stp>
        <stp>YLD_YTM_BID</stp>
        <stp>[STRIPS.xlsx]Sheet1!R244C4</stp>
        <tr r="D244" s="1"/>
      </tp>
      <tp t="s">
        <v>#N/A N/A</v>
        <stp/>
        <stp>##V3_BDPV12</stp>
        <stp>912833RP Govt</stp>
        <stp>YLD_YTM_BID</stp>
        <stp>[STRIPS.xlsx]Sheet1!R524C4</stp>
        <tr r="D524" s="1"/>
      </tp>
      <tp>
        <v>0.60899999999999288</v>
        <stp/>
        <stp>##V3_BDPV12</stp>
        <stp>912834RW Govt</stp>
        <stp>YLD_YTM_BID</stp>
        <stp>[STRIPS.xlsx]Sheet1!R753C4</stp>
        <tr r="D753" s="1"/>
      </tp>
      <tp t="s">
        <v>#N/A N/A</v>
        <stp/>
        <stp>##V3_BDPV12</stp>
        <stp>912834LJ Govt</stp>
        <stp>YLD_YTM_BID</stp>
        <stp>[STRIPS.xlsx]Sheet1!R403C4</stp>
        <tr r="D403" s="1"/>
      </tp>
      <tp t="s">
        <v>#N/A N/A</v>
        <stp/>
        <stp>##V3_BDPV12</stp>
        <stp>912834LL Govt</stp>
        <stp>YLD_YTM_BID</stp>
        <stp>[STRIPS.xlsx]Sheet1!R323C4</stp>
        <tr r="D323" s="1"/>
      </tp>
      <tp t="s">
        <v>#N/A N/A</v>
        <stp/>
        <stp>##V3_BDPV12</stp>
        <stp>912834LE Govt</stp>
        <stp>YLD_YTM_BID</stp>
        <stp>[STRIPS.xlsx]Sheet1!R473C4</stp>
        <tr r="D473" s="1"/>
      </tp>
      <tp t="s">
        <v>#N/A N/A</v>
        <stp/>
        <stp>##V3_BDPV12</stp>
        <stp>912833MN Govt</stp>
        <stp>YLD_YTM_BID</stp>
        <stp>[STRIPS.xlsx]Sheet1!R624C4</stp>
        <tr r="D624" s="1"/>
      </tp>
      <tp t="s">
        <v>#N/A N/A</v>
        <stp/>
        <stp>##V3_BDPV12</stp>
        <stp>912834MJ Govt</stp>
        <stp>YLD_YTM_BID</stp>
        <stp>[STRIPS.xlsx]Sheet1!R233C4</stp>
        <tr r="D233" s="1"/>
      </tp>
      <tp t="s">
        <v>#N/A N/A</v>
        <stp/>
        <stp>##V3_BDPV12</stp>
        <stp>912833MD Govt</stp>
        <stp>YLD_YTM_BID</stp>
        <stp>[STRIPS.xlsx]Sheet1!R304C4</stp>
        <tr r="D304" s="1"/>
      </tp>
      <tp t="s">
        <v>#N/A N/A</v>
        <stp/>
        <stp>##V3_BDPV12</stp>
        <stp>912833MG Govt</stp>
        <stp>YLD_YTM_BID</stp>
        <stp>[STRIPS.xlsx]Sheet1!R514C4</stp>
        <tr r="D514" s="1"/>
      </tp>
      <tp t="s">
        <v>#N/A N/A</v>
        <stp/>
        <stp>##V3_BDPV12</stp>
        <stp>912833MT Govt</stp>
        <stp>YLD_YTM_BID</stp>
        <stp>[STRIPS.xlsx]Sheet1!R674C4</stp>
        <tr r="D674" s="1"/>
      </tp>
      <tp t="s">
        <v>#N/A N/A</v>
        <stp/>
        <stp>##V3_BDPV12</stp>
        <stp>912834MV Govt</stp>
        <stp>YLD_YTM_BID</stp>
        <stp>[STRIPS.xlsx]Sheet1!R543C4</stp>
        <tr r="D543" s="1"/>
      </tp>
      <tp t="s">
        <v>#N/A N/A</v>
        <stp/>
        <stp>##V3_BDPV12</stp>
        <stp>912833NJ Govt</stp>
        <stp>YLD_YTM_BID</stp>
        <stp>[STRIPS.xlsx]Sheet1!R334C4</stp>
        <tr r="D334" s="1"/>
      </tp>
      <tp t="s">
        <v>#N/A N/A</v>
        <stp/>
        <stp>##V3_BDPV12</stp>
        <stp>912834NY Govt</stp>
        <stp>YLD_YTM_BID</stp>
        <stp>[STRIPS.xlsx]Sheet1!R143C4</stp>
        <tr r="D143" s="1"/>
      </tp>
      <tp t="s">
        <v>#N/A N/A</v>
        <stp/>
        <stp>##V3_BDPV12</stp>
        <stp>912834NQ Govt</stp>
        <stp>YLD_YTM_BID</stp>
        <stp>[STRIPS.xlsx]Sheet1!R273C4</stp>
        <tr r="D273" s="1"/>
      </tp>
      <tp>
        <v>6.2000000000006494E-2</v>
        <stp/>
        <stp>##V3_BDPV12</stp>
        <stp>912834KC Govt</stp>
        <stp>YLD_YTM_BID</stp>
        <stp>[STRIPS.xlsx]Sheet1!R133C4</stp>
        <tr r="D133" s="1"/>
      </tp>
      <tp t="s">
        <v>#N/A N/A</v>
        <stp/>
        <stp>##V3_BDPV12</stp>
        <stp>912833KU Govt</stp>
        <stp>YLD_YTM_BID</stp>
        <stp>[STRIPS.xlsx]Sheet1!R444C4</stp>
        <tr r="D444" s="1"/>
      </tp>
      <tp t="s">
        <v>#N/A N/A</v>
        <stp/>
        <stp>##V3_BDPV12</stp>
        <stp>912833DC Govt</stp>
        <stp>YLD_YTM_BID</stp>
        <stp>[STRIPS.xlsx]Sheet1!R504C4</stp>
        <tr r="D504" s="1"/>
      </tp>
      <tp t="s">
        <v>#N/A N/A</v>
        <stp/>
        <stp>##V3_BDPV12</stp>
        <stp>912834EM Govt</stp>
        <stp>YLD_YTM_BID</stp>
        <stp>[STRIPS.xlsx]Sheet1!R463C4</stp>
        <tr r="D463" s="1"/>
      </tp>
      <tp t="s">
        <v>#N/A N/A</v>
        <stp/>
        <stp>##V3_BDPV12</stp>
        <stp>912834EA Govt</stp>
        <stp>YLD_YTM_BID</stp>
        <stp>[STRIPS.xlsx]Sheet1!R593C4</stp>
        <tr r="D593" s="1"/>
      </tp>
      <tp t="s">
        <v>#N/A N/A</v>
        <stp/>
        <stp>##V3_BDPV12</stp>
        <stp>912834EG Govt</stp>
        <stp>YLD_YTM_BID</stp>
        <stp>[STRIPS.xlsx]Sheet1!R533C4</stp>
        <tr r="D533" s="1"/>
      </tp>
      <tp t="s">
        <v>#N/A N/A</v>
        <stp/>
        <stp>##V3_BDPV12</stp>
        <stp>912834EY Govt</stp>
        <stp>YLD_YTM_BID</stp>
        <stp>[STRIPS.xlsx]Sheet1!R313C4</stp>
        <tr r="D313" s="1"/>
      </tp>
      <tp t="s">
        <v>#N/A N/A</v>
        <stp/>
        <stp>##V3_BDPV12</stp>
        <stp>912834ET Govt</stp>
        <stp>YLD_YTM_BID</stp>
        <stp>[STRIPS.xlsx]Sheet1!R393C4</stp>
        <tr r="D393" s="1"/>
      </tp>
      <tp t="s">
        <v>#N/A N/A</v>
        <stp/>
        <stp>##V3_BDPV12</stp>
        <stp>912833FP Govt</stp>
        <stp>YLD_YTM_BID</stp>
        <stp>[STRIPS.xlsx]Sheet1!R664C4</stp>
        <tr r="D664" s="1"/>
      </tp>
      <tp t="s">
        <v>#N/A N/A</v>
        <stp/>
        <stp>##V3_BDPV12</stp>
        <stp>912833FR Govt</stp>
        <stp>YLD_YTM_BID</stp>
        <stp>[STRIPS.xlsx]Sheet1!R364C4</stp>
        <tr r="D364" s="1"/>
      </tp>
      <tp t="s">
        <v>#N/A N/A</v>
        <stp/>
        <stp>##V3_BDPV12</stp>
        <stp>912834BM Govt</stp>
        <stp>YLD_YTM_BID</stp>
        <stp>[STRIPS.xlsx]Sheet1!R353C4</stp>
        <tr r="D353" s="1"/>
      </tp>
      <tp t="s">
        <v>#N/A N/A</v>
        <stp/>
        <stp>##V3_BDPV12</stp>
        <stp>912834BN Govt</stp>
        <stp>YLD_YTM_BID</stp>
        <stp>[STRIPS.xlsx]Sheet1!R263C4</stp>
        <tr r="D263" s="1"/>
      </tp>
      <tp t="s">
        <v>#N/A N/A</v>
        <stp/>
        <stp>##V3_BDPV12</stp>
        <stp>912834BD Govt</stp>
        <stp>YLD_YTM_BID</stp>
        <stp>[STRIPS.xlsx]Sheet1!R643C4</stp>
        <tr r="D643" s="1"/>
      </tp>
      <tp t="s">
        <v>#N/A N/A</v>
        <stp/>
        <stp>##V3_BDPV12</stp>
        <stp>912833B9 Govt</stp>
        <stp>YLD_YTM_BID</stp>
        <stp>[STRIPS.xlsx]Sheet1!R434C4</stp>
        <tr r="D434" s="1"/>
      </tp>
      <tp t="s">
        <v>#N/A N/A</v>
        <stp/>
        <stp>##V3_BDPV12</stp>
        <stp>912833B4 Govt</stp>
        <stp>YLD_YTM_BID</stp>
        <stp>[STRIPS.xlsx]Sheet1!R654C4</stp>
        <tr r="D654" s="1"/>
      </tp>
      <tp t="s">
        <v>#N/A N/A</v>
        <stp/>
        <stp>##V3_BDPV12</stp>
        <stp>912833CN Govt</stp>
        <stp>YLD_YTM_BID</stp>
        <stp>[STRIPS.xlsx]Sheet1!R734C4</stp>
        <tr r="D734" s="1"/>
      </tp>
      <tp t="s">
        <v>#N/A N/A</v>
        <stp/>
        <stp>##V3_BDPV12</stp>
        <stp>912833CB Govt</stp>
        <stp>YLD_YTM_BID</stp>
        <stp>[STRIPS.xlsx]Sheet1!R614C4</stp>
        <tr r="D614" s="1"/>
      </tp>
      <tp t="s">
        <v>#N/A N/A</v>
        <stp/>
        <stp>##V3_BDPV12</stp>
        <stp>912833CP Govt</stp>
        <stp>YLD_YTM_BID</stp>
        <stp>[STRIPS.xlsx]Sheet1!R564C4</stp>
        <tr r="D564" s="1"/>
      </tp>
      <tp t="s">
        <v>#N/A N/A</v>
        <stp/>
        <stp>##V3_BDPV12</stp>
        <stp>912833C7 Govt</stp>
        <stp>YLD_YTM_BID</stp>
        <stp>[STRIPS.xlsx]Sheet1!R294C4</stp>
        <tr r="D294" s="1"/>
      </tp>
      <tp t="s">
        <v>2/15/2006</v>
        <stp/>
        <stp>##V3_BDPV12</stp>
        <stp>9128334Z Govt</stp>
        <stp>ISSUE_DT</stp>
        <stp>[STRIPS.xlsx]Sheet1!R45C15</stp>
        <tr r="O45" s="1"/>
      </tp>
      <tp t="s">
        <v>2/15/2006</v>
        <stp/>
        <stp>##V3_BDPV12</stp>
        <stp>9128334Y Govt</stp>
        <stp>ISSUE_DT</stp>
        <stp>[STRIPS.xlsx]Sheet1!R67C15</stp>
        <tr r="O67" s="1"/>
      </tp>
      <tp t="s">
        <v>2/15/2006</v>
        <stp/>
        <stp>##V3_BDPV12</stp>
        <stp>9128334V Govt</stp>
        <stp>ISSUE_DT</stp>
        <stp>[STRIPS.xlsx]Sheet1!R69C15</stp>
        <tr r="O69" s="1"/>
      </tp>
      <tp t="s">
        <v>2/15/2006</v>
        <stp/>
        <stp>##V3_BDPV12</stp>
        <stp>9128334W Govt</stp>
        <stp>ISSUE_DT</stp>
        <stp>[STRIPS.xlsx]Sheet1!R61C15</stp>
        <tr r="O61" s="1"/>
      </tp>
      <tp t="s">
        <v>2/15/2006</v>
        <stp/>
        <stp>##V3_BDPV12</stp>
        <stp>9128334T Govt</stp>
        <stp>ISSUE_DT</stp>
        <stp>[STRIPS.xlsx]Sheet1!R48C15</stp>
        <tr r="O48" s="1"/>
      </tp>
      <tp t="s">
        <v>8/31/2026</v>
        <stp/>
        <stp>##V3_BDPV12</stp>
        <stp>912834UZ Govt</stp>
        <stp>MATURITY</stp>
        <stp>[STRIPS.xlsx]Sheet1!R181C5</stp>
        <tr r="E181" s="1"/>
      </tp>
      <tp t="s">
        <v>7/15/2020</v>
        <stp/>
        <stp>##V3_BDPV12</stp>
        <stp>912834RP Govt</stp>
        <stp>MATURITY</stp>
        <stp>[STRIPS.xlsx]Sheet1!R416C5</stp>
        <tr r="E416" s="1"/>
      </tp>
      <tp t="s">
        <v>2/28/2027</v>
        <stp/>
        <stp>##V3_BDPV12</stp>
        <stp>912834VQ Govt</stp>
        <stp>MATURITY</stp>
        <stp>[STRIPS.xlsx]Sheet1!R222C5</stp>
        <tr r="E222" s="1"/>
      </tp>
      <tp t="s">
        <v>8/31/2023</v>
        <stp/>
        <stp>##V3_BDPV12</stp>
        <stp>912834QQ Govt</stp>
        <stp>MATURITY</stp>
        <stp>[STRIPS.xlsx]Sheet1!R205C5</stp>
        <tr r="E205" s="1"/>
      </tp>
      <tp t="s">
        <v>10/31/1998</v>
        <stp/>
        <stp>##V3_BDPV12</stp>
        <stp>912833PS Govt</stp>
        <stp>MATURITY</stp>
        <stp>[STRIPS.xlsx]Sheet1!R574C5</stp>
        <tr r="E574" s="1"/>
      </tp>
      <tp t="s">
        <v>9/30/2023</v>
        <stp/>
        <stp>##V3_BDPV12</stp>
        <stp>912834QS Govt</stp>
        <stp>MATURITY</stp>
        <stp>[STRIPS.xlsx]Sheet1!R135C5</stp>
        <tr r="E135" s="1"/>
      </tp>
      <tp t="s">
        <v>8/31/2025</v>
        <stp/>
        <stp>##V3_BDPV12</stp>
        <stp>912834TW Govt</stp>
        <stp>MATURITY</stp>
        <stp>[STRIPS.xlsx]Sheet1!R760C5</stp>
        <tr r="E760" s="1"/>
      </tp>
      <tp t="s">
        <v>12/31/2022</v>
        <stp/>
        <stp>##V3_BDPV12</stp>
        <stp>912834PW Govt</stp>
        <stp>MATURITY</stp>
        <stp>[STRIPS.xlsx]Sheet1!R154C5</stp>
        <tr r="E154" s="1"/>
      </tp>
      <tp t="s">
        <v>5/31/2003</v>
        <stp/>
        <stp>##V3_BDPV12</stp>
        <stp>912833RW Govt</stp>
        <stp>MATURITY</stp>
        <stp>[STRIPS.xlsx]Sheet1!R246C5</stp>
        <tr r="E246" s="1"/>
      </tp>
      <tp t="s">
        <v>UNITED STATES</v>
        <stp/>
        <stp>##V3_BDPV12</stp>
        <stp>912834WB Govt</stp>
        <stp>COUNTRY_FULL_NAME</stp>
        <stp>[STRIPS.xlsx]Sheet1!R771C8</stp>
        <tr r="H771" s="1"/>
      </tp>
      <tp t="s">
        <v>UNITED STATES</v>
        <stp/>
        <stp>##V3_BDPV12</stp>
        <stp>912834JE Govt</stp>
        <stp>COUNTRY_FULL_NAME</stp>
        <stp>[STRIPS.xlsx]Sheet1!R646C8</stp>
        <tr r="H646" s="1"/>
      </tp>
      <tp t="s">
        <v>UNITED STATES</v>
        <stp/>
        <stp>##V3_BDPV12</stp>
        <stp>9128336J Govt</stp>
        <stp>COUNTRY_FULL_NAME</stp>
        <stp>[STRIPS.xlsx]Sheet1!R289C8</stp>
        <tr r="H289" s="1"/>
      </tp>
      <tp t="s">
        <v>UNITED STATES</v>
        <stp/>
        <stp>##V3_BDPV12</stp>
        <stp>912834NE Govt</stp>
        <stp>COUNTRY_FULL_NAME</stp>
        <stp>[STRIPS.xlsx]Sheet1!R546C8</stp>
        <tr r="H546" s="1"/>
      </tp>
      <tp t="s">
        <v>UNITED STATES</v>
        <stp/>
        <stp>##V3_BDPV12</stp>
        <stp>912833RG Govt</stp>
        <stp>COUNTRY_FULL_NAME</stp>
        <stp>[STRIPS.xlsx]Sheet1!R244C8</stp>
        <tr r="H244" s="1"/>
      </tp>
      <tp t="s">
        <v>UNITED STATES</v>
        <stp/>
        <stp>##V3_BDPV12</stp>
        <stp>912833MF Govt</stp>
        <stp>COUNTRY_FULL_NAME</stp>
        <stp>[STRIPS.xlsx]Sheet1!R305C8</stp>
        <tr r="H305" s="1"/>
      </tp>
      <tp t="s">
        <v>UNITED STATES</v>
        <stp/>
        <stp>##V3_BDPV12</stp>
        <stp>912834LA Govt</stp>
        <stp>COUNTRY_FULL_NAME</stp>
        <stp>[STRIPS.xlsx]Sheet1!R402C8</stp>
        <tr r="H402" s="1"/>
      </tp>
      <tp t="s">
        <v>UNITED STATES</v>
        <stp/>
        <stp>##V3_BDPV12</stp>
        <stp>912833RA Govt</stp>
        <stp>COUNTRY_FULL_NAME</stp>
        <stp>[STRIPS.xlsx]Sheet1!R342C8</stp>
        <tr r="H342" s="1"/>
      </tp>
      <tp t="s">
        <v>6/30/2022</v>
        <stp/>
        <stp>##V3_BDPV12</stp>
        <stp>912834PJ Govt</stp>
        <stp>MATURITY</stp>
        <stp>[STRIPS.xlsx]Sheet1!R144C5</stp>
        <tr r="E144" s="1"/>
      </tp>
      <tp t="s">
        <v>UNITED STATES</v>
        <stp/>
        <stp>##V3_BDPV12</stp>
        <stp>9128336G Govt</stp>
        <stp>COUNTRY_FULL_NAME</stp>
        <stp>[STRIPS.xlsx]Sheet1!R494C8</stp>
        <tr r="H494" s="1"/>
      </tp>
      <tp t="s">
        <v>UNITED STATES</v>
        <stp/>
        <stp>##V3_BDPV12</stp>
        <stp>912834KE Govt</stp>
        <stp>COUNTRY_FULL_NAME</stp>
        <stp>[STRIPS.xlsx]Sheet1!R316C8</stp>
        <tr r="H316" s="1"/>
      </tp>
      <tp t="s">
        <v>UNITED STATES</v>
        <stp/>
        <stp>##V3_BDPV12</stp>
        <stp>912833GC Govt</stp>
        <stp>COUNTRY_FULL_NAME</stp>
        <stp>[STRIPS.xlsx]Sheet1!R440C8</stp>
        <tr r="H440" s="1"/>
      </tp>
      <tp t="s">
        <v>UNITED STATES</v>
        <stp/>
        <stp>##V3_BDPV12</stp>
        <stp>912834BK Govt</stp>
        <stp>COUNTRY_FULL_NAME</stp>
        <stp>[STRIPS.xlsx]Sheet1!R308C8</stp>
        <tr r="H308" s="1"/>
      </tp>
      <tp t="s">
        <v>UNITED STATES</v>
        <stp/>
        <stp>##V3_BDPV12</stp>
        <stp>912833YB Govt</stp>
        <stp>COUNTRY_FULL_NAME</stp>
        <stp>[STRIPS.xlsx]Sheet1!R451C8</stp>
        <tr r="H451" s="1"/>
      </tp>
      <tp t="s">
        <v>UNITED STATES</v>
        <stp/>
        <stp>##V3_BDPV12</stp>
        <stp>912833NC Govt</stp>
        <stp>COUNTRY_FULL_NAME</stp>
        <stp>[STRIPS.xlsx]Sheet1!R570C8</stp>
        <tr r="H570" s="1"/>
      </tp>
      <tp t="s">
        <v>UNITED STATES</v>
        <stp/>
        <stp>##V3_BDPV12</stp>
        <stp>912833MG Govt</stp>
        <stp>COUNTRY_FULL_NAME</stp>
        <stp>[STRIPS.xlsx]Sheet1!R514C8</stp>
        <tr r="H514" s="1"/>
      </tp>
      <tp t="s">
        <v>UNITED STATES</v>
        <stp/>
        <stp>##V3_BDPV12</stp>
        <stp>912833CA Govt</stp>
        <stp>COUNTRY_FULL_NAME</stp>
        <stp>[STRIPS.xlsx]Sheet1!R502C8</stp>
        <tr r="H502" s="1"/>
      </tp>
      <tp t="s">
        <v>UNITED STATES</v>
        <stp/>
        <stp>##V3_BDPV12</stp>
        <stp>912834QK Govt</stp>
        <stp>COUNTRY_FULL_NAME</stp>
        <stp>[STRIPS.xlsx]Sheet1!R278C8</stp>
        <tr r="H278" s="1"/>
      </tp>
      <tp t="s">
        <v>UNITED STATES</v>
        <stp/>
        <stp>##V3_BDPV12</stp>
        <stp>912833RK Govt</stp>
        <stp>COUNTRY_FULL_NAME</stp>
        <stp>[STRIPS.xlsx]Sheet1!R578C8</stp>
        <tr r="H578" s="1"/>
      </tp>
      <tp t="s">
        <v>UNITED STATES</v>
        <stp/>
        <stp>##V3_BDPV12</stp>
        <stp>912834MA Govt</stp>
        <stp>COUNTRY_FULL_NAME</stp>
        <stp>[STRIPS.xlsx]Sheet1!R172C8</stp>
        <tr r="H172" s="1"/>
      </tp>
      <tp t="s">
        <v>UNITED STATES</v>
        <stp/>
        <stp>##V3_BDPV12</stp>
        <stp>912833CF Govt</stp>
        <stp>COUNTRY_FULL_NAME</stp>
        <stp>[STRIPS.xlsx]Sheet1!R655C8</stp>
        <tr r="H655" s="1"/>
      </tp>
      <tp t="s">
        <v>UNITED STATES</v>
        <stp/>
        <stp>##V3_BDPV12</stp>
        <stp>912833RC Govt</stp>
        <stp>COUNTRY_FULL_NAME</stp>
        <stp>[STRIPS.xlsx]Sheet1!R690C8</stp>
        <tr r="H690" s="1"/>
      </tp>
      <tp t="s">
        <v>UNITED STATES</v>
        <stp/>
        <stp>##V3_BDPV12</stp>
        <stp>912833ZD Govt</stp>
        <stp>COUNTRY_FULL_NAME</stp>
        <stp>[STRIPS.xlsx]Sheet1!R637C8</stp>
        <tr r="H637" s="1"/>
      </tp>
      <tp t="s">
        <v>UNITED STATES</v>
        <stp/>
        <stp>##V3_BDPV12</stp>
        <stp>912834UD Govt</stp>
        <stp>COUNTRY_FULL_NAME</stp>
        <stp>[STRIPS.xlsx]Sheet1!R197C8</stp>
        <tr r="H197" s="1"/>
      </tp>
      <tp t="s">
        <v>UNITED STATES</v>
        <stp/>
        <stp>##V3_BDPV12</stp>
        <stp>912834VE Govt</stp>
        <stp>COUNTRY_FULL_NAME</stp>
        <stp>[STRIPS.xlsx]Sheet1!R116C8</stp>
        <tr r="H116" s="1"/>
      </tp>
      <tp t="s">
        <v>UNITED STATES</v>
        <stp/>
        <stp>##V3_BDPV12</stp>
        <stp>9128335C Govt</stp>
        <stp>COUNTRY_FULL_NAME</stp>
        <stp>[STRIPS.xlsx]Sheet1!R720C8</stp>
        <tr r="H720" s="1"/>
      </tp>
      <tp t="s">
        <v>9/30/2000</v>
        <stp/>
        <stp>##V3_BDPV12</stp>
        <stp>912833PL Govt</stp>
        <stp>MATURITY</stp>
        <stp>[STRIPS.xlsx]Sheet1!R374C5</stp>
        <tr r="E374" s="1"/>
      </tp>
      <tp t="s">
        <v>8/31/2022</v>
        <stp/>
        <stp>##V3_BDPV12</stp>
        <stp>912834PN Govt</stp>
        <stp>MATURITY</stp>
        <stp>[STRIPS.xlsx]Sheet1!R164C5</stp>
        <tr r="E164" s="1"/>
      </tp>
      <tp t="s">
        <v>1/31/2024</v>
        <stp/>
        <stp>##V3_BDPV12</stp>
        <stp>912834RA Govt</stp>
        <stp>MATURITY</stp>
        <stp>[STRIPS.xlsx]Sheet1!R216C5</stp>
        <tr r="E216" s="1"/>
      </tp>
      <tp t="s">
        <v>11/30/2025</v>
        <stp/>
        <stp>##V3_BDPV12</stp>
        <stp>912834UC Govt</stp>
        <stp>MATURITY</stp>
        <stp>[STRIPS.xlsx]Sheet1!R761C5</stp>
        <tr r="E761" s="1"/>
      </tp>
      <tp t="s">
        <v>9/15/2023</v>
        <stp/>
        <stp>##V3_BDPV12</stp>
        <stp>912834WE Govt</stp>
        <stp>MATURITY</stp>
        <stp>[STRIPS.xlsx]Sheet1!R223C5</stp>
        <tr r="E223" s="1"/>
      </tp>
      <tp t="s">
        <v>5/31/2000</v>
        <stp/>
        <stp>##V3_BDPV12</stp>
        <stp>912833QG Govt</stp>
        <stp>MATURITY</stp>
        <stp>[STRIPS.xlsx]Sheet1!R685C5</stp>
        <tr r="E685" s="1"/>
      </tp>
      <tp t="s">
        <v>#N/A N/A</v>
        <stp/>
        <stp>##V3_BDPV12</stp>
        <stp>9128334L Govt</stp>
        <stp>YLD_YTM_BID</stp>
        <stp>[STRIPS.xlsx]Sheet1!R284C4</stp>
        <tr r="D284" s="1"/>
      </tp>
      <tp t="s">
        <v>#N/A N/A</v>
        <stp/>
        <stp>##V3_BDPV12</stp>
        <stp>9128334N Govt</stp>
        <stp>YLD_YTM_BID</stp>
        <stp>[STRIPS.xlsx]Sheet1!R744C4</stp>
        <tr r="D744" s="1"/>
      </tp>
      <tp t="s">
        <v>#N/A N/A</v>
        <stp/>
        <stp>##V3_BDPV12</stp>
        <stp>9128334F Govt</stp>
        <stp>YLD_YTM_BID</stp>
        <stp>[STRIPS.xlsx]Sheet1!R604C4</stp>
        <tr r="D604" s="1"/>
      </tp>
      <tp t="s">
        <v>#N/A N/A</v>
        <stp/>
        <stp>##V3_BDPV12</stp>
        <stp>9128334R Govt</stp>
        <stp>YLD_YTM_BID</stp>
        <stp>[STRIPS.xlsx]Sheet1!R554C4</stp>
        <tr r="D554" s="1"/>
      </tp>
      <tp t="s">
        <v>#N/A N/A</v>
        <stp/>
        <stp>##V3_BDPV12</stp>
        <stp>9128335V Govt</stp>
        <stp>YLD_YTM_BID</stp>
        <stp>[STRIPS.xlsx]Sheet1!R724C4</stp>
        <tr r="D724" s="1"/>
      </tp>
      <tp t="s">
        <v>#N/A N/A</v>
        <stp/>
        <stp>##V3_BDPV12</stp>
        <stp>9128336G Govt</stp>
        <stp>YLD_YTM_BID</stp>
        <stp>[STRIPS.xlsx]Sheet1!R494C4</stp>
        <tr r="D494" s="1"/>
      </tp>
      <tp t="s">
        <v>#N/A N/A</v>
        <stp/>
        <stp>##V3_BDPV12</stp>
        <stp>9128336T Govt</stp>
        <stp>YLD_YTM_BID</stp>
        <stp>[STRIPS.xlsx]Sheet1!R714C4</stp>
        <tr r="D714" s="1"/>
      </tp>
      <tp>
        <v>1.7840000000000078</v>
        <stp/>
        <stp>##V3_BDPV12</stp>
        <stp>9128337R Govt</stp>
        <stp>YLD_YTM_BID</stp>
        <stp>[STRIPS.xlsx]Sheet1!R114C4</stp>
        <tr r="D114" s="1"/>
      </tp>
      <tp t="s">
        <v>#N/A N/A</v>
        <stp/>
        <stp>##V3_BDPV12</stp>
        <stp>9128333P Govt</stp>
        <stp>YLD_YTM_BID</stp>
        <stp>[STRIPS.xlsx]Sheet1!R704C4</stp>
        <tr r="D704" s="1"/>
      </tp>
      <tp t="s">
        <v>#N/A N/A</v>
        <stp/>
        <stp>##V3_BDPV12</stp>
        <stp>9128333V Govt</stp>
        <stp>YLD_YTM_BID</stp>
        <stp>[STRIPS.xlsx]Sheet1!R484C4</stp>
        <tr r="D484" s="1"/>
      </tp>
      <tp t="s">
        <v>#N/A Field Not Applicable</v>
        <stp/>
        <stp>##V3_BDPV12</stp>
        <stp>912833B8 Govt</stp>
        <stp>COUPON_FREQUENCY_DESCRIPTION</stp>
        <stp>[STRIPS.xlsx]Sheet1!R293C10</stp>
        <tr r="J293" s="1"/>
      </tp>
      <tp t="s">
        <v>#N/A Field Not Applicable</v>
        <stp/>
        <stp>##V3_BDPV12</stp>
        <stp>912833Y8 Govt</stp>
        <stp>COUPON_FREQUENCY_DESCRIPTION</stp>
        <stp>[STRIPS.xlsx]Sheet1!R248C10</stp>
        <tr r="J248" s="1"/>
      </tp>
      <tp t="s">
        <v>#N/A Field Not Applicable</v>
        <stp/>
        <stp>##V3_BDPV12</stp>
        <stp>912833Z8 Govt</stp>
        <stp>COUPON_FREQUENCY_DESCRIPTION</stp>
        <stp>[STRIPS.xlsx]Sheet1!R697C10</stp>
        <tr r="J697" s="1"/>
      </tp>
      <tp t="s">
        <v>#N/A N/A</v>
        <stp/>
        <stp>##V3_BDPV12</stp>
        <stp>912833YZ Govt</stp>
        <stp>YLD_YTM_BID</stp>
        <stp>[STRIPS.xlsx]Sheet1!R695C4</stp>
        <tr r="D695" s="1"/>
      </tp>
      <tp t="s">
        <v>#N/A N/A</v>
        <stp/>
        <stp>##V3_BDPV12</stp>
        <stp>912833YS Govt</stp>
        <stp>YLD_YTM_BID</stp>
        <stp>[STRIPS.xlsx]Sheet1!R585C4</stp>
        <tr r="D585" s="1"/>
      </tp>
      <tp t="s">
        <v>#N/A N/A</v>
        <stp/>
        <stp>##V3_BDPV12</stp>
        <stp>912833YR Govt</stp>
        <stp>YLD_YTM_BID</stp>
        <stp>[STRIPS.xlsx]Sheet1!R345C4</stp>
        <tr r="D345" s="1"/>
      </tp>
      <tp t="s">
        <v>#N/A N/A</v>
        <stp/>
        <stp>##V3_BDPV12</stp>
        <stp>912833ZY Govt</stp>
        <stp>YLD_YTM_BID</stp>
        <stp>[STRIPS.xlsx]Sheet1!R255C4</stp>
        <tr r="D255" s="1"/>
      </tp>
      <tp t="s">
        <v>#N/A N/A</v>
        <stp/>
        <stp>##V3_BDPV12</stp>
        <stp>912833ZS Govt</stp>
        <stp>YLD_YTM_BID</stp>
        <stp>[STRIPS.xlsx]Sheet1!R455C4</stp>
        <tr r="D455" s="1"/>
      </tp>
      <tp t="s">
        <v>#N/A Field Not Applicable</v>
        <stp/>
        <stp>##V3_BDPV12</stp>
        <stp>912833A8 Govt</stp>
        <stp>COUPON_FREQUENCY_DESCRIPTION</stp>
        <stp>[STRIPS.xlsx]Sheet1!R560C10</stp>
        <tr r="J560" s="1"/>
      </tp>
      <tp t="s">
        <v>#N/A N/A</v>
        <stp/>
        <stp>##V3_BDPV12</stp>
        <stp>912834TM Govt</stp>
        <stp>YLD_YTM_BID</stp>
        <stp>[STRIPS.xlsx]Sheet1!R282C4</stp>
        <tr r="D282" s="1"/>
      </tp>
      <tp>
        <v>0.79299999999999926</v>
        <stp/>
        <stp>##V3_BDPV12</stp>
        <stp>912834TU Govt</stp>
        <stp>YLD_YTM_BID</stp>
        <stp>[STRIPS.xlsx]Sheet1!R752C4</stp>
        <tr r="D752" s="1"/>
      </tp>
      <tp>
        <v>1.0359999999999925</v>
        <stp/>
        <stp>##V3_BDPV12</stp>
        <stp>912834UX Govt</stp>
        <stp>YLD_YTM_BID</stp>
        <stp>[STRIPS.xlsx]Sheet1!R182C4</stp>
        <tr r="D182" s="1"/>
      </tp>
      <tp>
        <v>0.99499999999999034</v>
        <stp/>
        <stp>##V3_BDPV12</stp>
        <stp>912834US Govt</stp>
        <stp>YLD_YTM_BID</stp>
        <stp>[STRIPS.xlsx]Sheet1!R762C4</stp>
        <tr r="D762" s="1"/>
      </tp>
      <tp>
        <v>1.1559999999999793</v>
        <stp/>
        <stp>##V3_BDPV12</stp>
        <stp>912834VQ Govt</stp>
        <stp>YLD_YTM_BID</stp>
        <stp>[STRIPS.xlsx]Sheet1!R222C4</stp>
        <tr r="D222" s="1"/>
      </tp>
      <tp>
        <v>0.28999999999999027</v>
        <stp/>
        <stp>##V3_BDPV12</stp>
        <stp>912834WG Govt</stp>
        <stp>YLD_YTM_BID</stp>
        <stp>[STRIPS.xlsx]Sheet1!R772C4</stp>
        <tr r="D772" s="1"/>
      </tp>
      <tp>
        <v>-3.3000000000045777E-2</v>
        <stp/>
        <stp>##V3_BDPV12</stp>
        <stp>912834PE Govt</stp>
        <stp>YLD_YTM_BID</stp>
        <stp>[STRIPS.xlsx]Sheet1!R132C4</stp>
        <tr r="D132" s="1"/>
      </tp>
      <tp t="s">
        <v>#N/A N/A</v>
        <stp/>
        <stp>##V3_BDPV12</stp>
        <stp>912834PX Govt</stp>
        <stp>YLD_YTM_BID</stp>
        <stp>[STRIPS.xlsx]Sheet1!R412C4</stp>
        <tr r="D412" s="1"/>
      </tp>
      <tp>
        <v>0.15699999999996272</v>
        <stp/>
        <stp>##V3_BDPV12</stp>
        <stp>912834PY Govt</stp>
        <stp>YLD_YTM_BID</stp>
        <stp>[STRIPS.xlsx]Sheet1!R202C4</stp>
        <tr r="D202" s="1"/>
      </tp>
      <tp>
        <v>0.12900000000000134</v>
        <stp/>
        <stp>##V3_BDPV12</stp>
        <stp>912834PU Govt</stp>
        <stp>YLD_YTM_BID</stp>
        <stp>[STRIPS.xlsx]Sheet1!R212C4</stp>
        <tr r="D212" s="1"/>
      </tp>
      <tp t="s">
        <v>#N/A N/A</v>
        <stp/>
        <stp>##V3_BDPV12</stp>
        <stp>912833PR Govt</stp>
        <stp>YLD_YTM_BID</stp>
        <stp>[STRIPS.xlsx]Sheet1!R375C4</stp>
        <tr r="D375" s="1"/>
      </tp>
      <tp t="s">
        <v>#N/A N/A</v>
        <stp/>
        <stp>##V3_BDPV12</stp>
        <stp>912833PT Govt</stp>
        <stp>YLD_YTM_BID</stp>
        <stp>[STRIPS.xlsx]Sheet1!R575C4</stp>
        <tr r="D575" s="1"/>
      </tp>
      <tp>
        <v>0.23300000000001653</v>
        <stp/>
        <stp>##V3_BDPV12</stp>
        <stp>912834QL Govt</stp>
        <stp>YLD_YTM_BID</stp>
        <stp>[STRIPS.xlsx]Sheet1!R142C4</stp>
        <tr r="D142" s="1"/>
      </tp>
      <tp t="s">
        <v>#N/A N/A</v>
        <stp/>
        <stp>##V3_BDPV12</stp>
        <stp>912833QG Govt</stp>
        <stp>YLD_YTM_BID</stp>
        <stp>[STRIPS.xlsx]Sheet1!R685C4</stp>
        <tr r="D685" s="1"/>
      </tp>
      <tp t="s">
        <v>#N/A N/A</v>
        <stp/>
        <stp>##V3_BDPV12</stp>
        <stp>912833RJ Govt</stp>
        <stp>YLD_YTM_BID</stp>
        <stp>[STRIPS.xlsx]Sheet1!R245C4</stp>
        <tr r="D245" s="1"/>
      </tp>
      <tp>
        <v>2.2619999999999862</v>
        <stp/>
        <stp>##V3_BDPV12</stp>
        <stp>912834RB Govt</stp>
        <stp>YLD_YTM_BID</stp>
        <stp>[STRIPS.xlsx]Sheet1!R112C4</stp>
        <tr r="D112" s="1"/>
      </tp>
      <tp t="s">
        <v>#N/A N/A</v>
        <stp/>
        <stp>##V3_BDPV12</stp>
        <stp>912833RS Govt</stp>
        <stp>YLD_YTM_BID</stp>
        <stp>[STRIPS.xlsx]Sheet1!R525C4</stp>
        <tr r="D525" s="1"/>
      </tp>
      <tp t="s">
        <v>#N/A N/A</v>
        <stp/>
        <stp>##V3_BDPV12</stp>
        <stp>912834RV Govt</stp>
        <stp>YLD_YTM_BID</stp>
        <stp>[STRIPS.xlsx]Sheet1!R482C4</stp>
        <tr r="D482" s="1"/>
      </tp>
      <tp t="s">
        <v>#N/A N/A</v>
        <stp/>
        <stp>##V3_BDPV12</stp>
        <stp>912833RU Govt</stp>
        <stp>YLD_YTM_BID</stp>
        <stp>[STRIPS.xlsx]Sheet1!R635C4</stp>
        <tr r="D635" s="1"/>
      </tp>
      <tp t="s">
        <v>#N/A N/A</v>
        <stp/>
        <stp>##V3_BDPV12</stp>
        <stp>912834LH Govt</stp>
        <stp>YLD_YTM_BID</stp>
        <stp>[STRIPS.xlsx]Sheet1!R322C4</stp>
        <tr r="D322" s="1"/>
      </tp>
      <tp t="s">
        <v>#N/A N/A</v>
        <stp/>
        <stp>##V3_BDPV12</stp>
        <stp>912834LA Govt</stp>
        <stp>YLD_YTM_BID</stp>
        <stp>[STRIPS.xlsx]Sheet1!R402C4</stp>
        <tr r="D402" s="1"/>
      </tp>
      <tp t="s">
        <v>#N/A N/A</v>
        <stp/>
        <stp>##V3_BDPV12</stp>
        <stp>912834LV Govt</stp>
        <stp>YLD_YTM_BID</stp>
        <stp>[STRIPS.xlsx]Sheet1!R232C4</stp>
        <tr r="D232" s="1"/>
      </tp>
      <tp t="s">
        <v>#N/A N/A</v>
        <stp/>
        <stp>##V3_BDPV12</stp>
        <stp>912833MK Govt</stp>
        <stp>YLD_YTM_BID</stp>
        <stp>[STRIPS.xlsx]Sheet1!R445C4</stp>
        <tr r="D445" s="1"/>
      </tp>
      <tp t="s">
        <v>#N/A N/A</v>
        <stp/>
        <stp>##V3_BDPV12</stp>
        <stp>912833MF Govt</stp>
        <stp>YLD_YTM_BID</stp>
        <stp>[STRIPS.xlsx]Sheet1!R305C4</stp>
        <tr r="D305" s="1"/>
      </tp>
      <tp t="s">
        <v>#N/A N/A</v>
        <stp/>
        <stp>##V3_BDPV12</stp>
        <stp>912834MA Govt</stp>
        <stp>YLD_YTM_BID</stp>
        <stp>[STRIPS.xlsx]Sheet1!R172C4</stp>
        <tr r="D172" s="1"/>
      </tp>
      <tp t="s">
        <v>#N/A N/A</v>
        <stp/>
        <stp>##V3_BDPV12</stp>
        <stp>912833MS Govt</stp>
        <stp>YLD_YTM_BID</stp>
        <stp>[STRIPS.xlsx]Sheet1!R625C4</stp>
        <tr r="D625" s="1"/>
      </tp>
      <tp t="s">
        <v>#N/A N/A</v>
        <stp/>
        <stp>##V3_BDPV12</stp>
        <stp>912834MP Govt</stp>
        <stp>YLD_YTM_BID</stp>
        <stp>[STRIPS.xlsx]Sheet1!R542C4</stp>
        <tr r="D542" s="1"/>
      </tp>
      <tp t="s">
        <v>#N/A N/A</v>
        <stp/>
        <stp>##V3_BDPV12</stp>
        <stp>912833MP Govt</stp>
        <stp>YLD_YTM_BID</stp>
        <stp>[STRIPS.xlsx]Sheet1!R235C4</stp>
        <tr r="D235" s="1"/>
      </tp>
      <tp t="s">
        <v>#N/A N/A</v>
        <stp/>
        <stp>##V3_BDPV12</stp>
        <stp>912833MU Govt</stp>
        <stp>YLD_YTM_BID</stp>
        <stp>[STRIPS.xlsx]Sheet1!R515C4</stp>
        <tr r="D515" s="1"/>
      </tp>
      <tp t="s">
        <v>#N/A N/A</v>
        <stp/>
        <stp>##V3_BDPV12</stp>
        <stp>912834MR Govt</stp>
        <stp>YLD_YTM_BID</stp>
        <stp>[STRIPS.xlsx]Sheet1!R272C4</stp>
        <tr r="D272" s="1"/>
      </tp>
      <tp t="s">
        <v>#N/A N/A</v>
        <stp/>
        <stp>##V3_BDPV12</stp>
        <stp>912833MW Govt</stp>
        <stp>YLD_YTM_BID</stp>
        <stp>[STRIPS.xlsx]Sheet1!R675C4</stp>
        <tr r="D675" s="1"/>
      </tp>
      <tp t="s">
        <v>#N/A N/A</v>
        <stp/>
        <stp>##V3_BDPV12</stp>
        <stp>912833NL Govt</stp>
        <stp>YLD_YTM_BID</stp>
        <stp>[STRIPS.xlsx]Sheet1!R335C4</stp>
        <tr r="D335" s="1"/>
      </tp>
      <tp t="s">
        <v>#N/A N/A</v>
        <stp/>
        <stp>##V3_BDPV12</stp>
        <stp>912834NR Govt</stp>
        <stp>YLD_YTM_BID</stp>
        <stp>[STRIPS.xlsx]Sheet1!R422C4</stp>
        <tr r="D422" s="1"/>
      </tp>
      <tp t="s">
        <v>#N/A N/A</v>
        <stp/>
        <stp>##V3_BDPV12</stp>
        <stp>912833KH Govt</stp>
        <stp>YLD_YTM_BID</stp>
        <stp>[STRIPS.xlsx]Sheet1!R565C4</stp>
        <tr r="D565" s="1"/>
      </tp>
      <tp t="s">
        <v>#N/A N/A</v>
        <stp/>
        <stp>##V3_BDPV12</stp>
        <stp>912834KY Govt</stp>
        <stp>YLD_YTM_BID</stp>
        <stp>[STRIPS.xlsx]Sheet1!R472C4</stp>
        <tr r="D472" s="1"/>
      </tp>
      <tp t="s">
        <v>#N/A N/A</v>
        <stp/>
        <stp>##V3_BDPV12</stp>
        <stp>912833DE Govt</stp>
        <stp>YLD_YTM_BID</stp>
        <stp>[STRIPS.xlsx]Sheet1!R505C4</stp>
        <tr r="D505" s="1"/>
      </tp>
      <tp t="s">
        <v>#N/A N/A</v>
        <stp/>
        <stp>##V3_BDPV12</stp>
        <stp>912834EL Govt</stp>
        <stp>YLD_YTM_BID</stp>
        <stp>[STRIPS.xlsx]Sheet1!R462C4</stp>
        <tr r="D462" s="1"/>
      </tp>
      <tp t="s">
        <v>#N/A N/A</v>
        <stp/>
        <stp>##V3_BDPV12</stp>
        <stp>912834EK Govt</stp>
        <stp>YLD_YTM_BID</stp>
        <stp>[STRIPS.xlsx]Sheet1!R392C4</stp>
        <tr r="D392" s="1"/>
      </tp>
      <tp t="s">
        <v>#N/A N/A</v>
        <stp/>
        <stp>##V3_BDPV12</stp>
        <stp>912834EE Govt</stp>
        <stp>YLD_YTM_BID</stp>
        <stp>[STRIPS.xlsx]Sheet1!R532C4</stp>
        <tr r="D532" s="1"/>
      </tp>
      <tp t="s">
        <v>#N/A N/A</v>
        <stp/>
        <stp>##V3_BDPV12</stp>
        <stp>912834EW Govt</stp>
        <stp>YLD_YTM_BID</stp>
        <stp>[STRIPS.xlsx]Sheet1!R312C4</stp>
        <tr r="D312" s="1"/>
      </tp>
      <tp t="s">
        <v>#N/A N/A</v>
        <stp/>
        <stp>##V3_BDPV12</stp>
        <stp>912833FY Govt</stp>
        <stp>YLD_YTM_BID</stp>
        <stp>[STRIPS.xlsx]Sheet1!R665C4</stp>
        <tr r="D665" s="1"/>
      </tp>
      <tp t="s">
        <v>#N/A N/A</v>
        <stp/>
        <stp>##V3_BDPV12</stp>
        <stp>912833GD Govt</stp>
        <stp>YLD_YTM_BID</stp>
        <stp>[STRIPS.xlsx]Sheet1!R365C4</stp>
        <tr r="D365" s="1"/>
      </tp>
      <tp t="s">
        <v>#N/A N/A</v>
        <stp/>
        <stp>##V3_BDPV12</stp>
        <stp>912834AY Govt</stp>
        <stp>YLD_YTM_BID</stp>
        <stp>[STRIPS.xlsx]Sheet1!R642C4</stp>
        <tr r="D642" s="1"/>
      </tp>
      <tp>
        <v>0.57399999999998563</v>
        <stp/>
        <stp>##V3_BDPV12</stp>
        <stp>912834A2 Govt</stp>
        <stp>YLD_YTM_BID</stp>
        <stp>[STRIPS.xlsx]Sheet1!R122C4</stp>
        <tr r="D122" s="1"/>
      </tp>
      <tp t="s">
        <v>#N/A N/A</v>
        <stp/>
        <stp>##V3_BDPV12</stp>
        <stp>912834BL Govt</stp>
        <stp>YLD_YTM_BID</stp>
        <stp>[STRIPS.xlsx]Sheet1!R262C4</stp>
        <tr r="D262" s="1"/>
      </tp>
      <tp t="s">
        <v>#N/A N/A</v>
        <stp/>
        <stp>##V3_BDPV12</stp>
        <stp>912834BJ Govt</stp>
        <stp>YLD_YTM_BID</stp>
        <stp>[STRIPS.xlsx]Sheet1!R352C4</stp>
        <tr r="D352" s="1"/>
      </tp>
      <tp t="s">
        <v>#N/A N/A</v>
        <stp/>
        <stp>##V3_BDPV12</stp>
        <stp>912834BG Govt</stp>
        <stp>YLD_YTM_BID</stp>
        <stp>[STRIPS.xlsx]Sheet1!R592C4</stp>
        <tr r="D592" s="1"/>
      </tp>
      <tp t="s">
        <v>#N/A N/A</v>
        <stp/>
        <stp>##V3_BDPV12</stp>
        <stp>912833CH Govt</stp>
        <stp>YLD_YTM_BID</stp>
        <stp>[STRIPS.xlsx]Sheet1!R615C4</stp>
        <tr r="D615" s="1"/>
      </tp>
      <tp t="s">
        <v>#N/A N/A</v>
        <stp/>
        <stp>##V3_BDPV12</stp>
        <stp>912833CD Govt</stp>
        <stp>YLD_YTM_BID</stp>
        <stp>[STRIPS.xlsx]Sheet1!R295C4</stp>
        <tr r="D295" s="1"/>
      </tp>
      <tp t="s">
        <v>#N/A N/A</v>
        <stp/>
        <stp>##V3_BDPV12</stp>
        <stp>912833CF Govt</stp>
        <stp>YLD_YTM_BID</stp>
        <stp>[STRIPS.xlsx]Sheet1!R655C4</stp>
        <tr r="D655" s="1"/>
      </tp>
      <tp t="s">
        <v>#N/A N/A</v>
        <stp/>
        <stp>##V3_BDPV12</stp>
        <stp>912833CW Govt</stp>
        <stp>YLD_YTM_BID</stp>
        <stp>[STRIPS.xlsx]Sheet1!R735C4</stp>
        <tr r="D735" s="1"/>
      </tp>
      <tp t="s">
        <v>#N/A N/A</v>
        <stp/>
        <stp>##V3_BDPV12</stp>
        <stp>912833C5 Govt</stp>
        <stp>YLD_YTM_BID</stp>
        <stp>[STRIPS.xlsx]Sheet1!R435C4</stp>
        <tr r="D435" s="1"/>
      </tp>
      <tp t="s">
        <v>2/15/2006</v>
        <stp/>
        <stp>##V3_BDPV12</stp>
        <stp>9128335B Govt</stp>
        <stp>ISSUE_DT</stp>
        <stp>[STRIPS.xlsx]Sheet1!R43C15</stp>
        <tr r="O43" s="1"/>
      </tp>
      <tp t="s">
        <v>#N/A Field Not Applicable</v>
        <stp/>
        <stp>##V3_BDPV12</stp>
        <stp>912833Y2 Govt</stp>
        <stp>IDX_RATIO</stp>
        <stp>[STRIPS.xlsx]Sheet1!R27C20</stp>
        <tr r="T27" s="1"/>
      </tp>
      <tp t="s">
        <v>2/15/2006</v>
        <stp/>
        <stp>##V3_BDPV12</stp>
        <stp>9128335A Govt</stp>
        <stp>ISSUE_DT</stp>
        <stp>[STRIPS.xlsx]Sheet1!R42C15</stp>
        <tr r="O42" s="1"/>
      </tp>
      <tp t="s">
        <v>12/31/2023</v>
        <stp/>
        <stp>##V3_BDPV12</stp>
        <stp>912834QY Govt</stp>
        <stp>MATURITY</stp>
        <stp>[STRIPS.xlsx]Sheet1!R134C5</stp>
        <tr r="E134" s="1"/>
      </tp>
      <tp t="s">
        <v>4/30/1998</v>
        <stp/>
        <stp>##V3_BDPV12</stp>
        <stp>912833PR Govt</stp>
        <stp>MATURITY</stp>
        <stp>[STRIPS.xlsx]Sheet1!R375C5</stp>
        <tr r="E375" s="1"/>
      </tp>
      <tp t="s">
        <v>4/30/1999</v>
        <stp/>
        <stp>##V3_BDPV12</stp>
        <stp>912833PT Govt</stp>
        <stp>MATURITY</stp>
        <stp>[STRIPS.xlsx]Sheet1!R575C5</stp>
        <tr r="E575" s="1"/>
      </tp>
      <tp t="s">
        <v>10/15/2019</v>
        <stp/>
        <stp>##V3_BDPV12</stp>
        <stp>912834QT Govt</stp>
        <stp>MATURITY</stp>
        <stp>[STRIPS.xlsx]Sheet1!R414C5</stp>
        <tr r="E414" s="1"/>
      </tp>
      <tp t="s">
        <v>4/15/2023</v>
        <stp/>
        <stp>##V3_BDPV12</stp>
        <stp>912834VT Govt</stp>
        <stp>MATURITY</stp>
        <stp>[STRIPS.xlsx]Sheet1!R773C5</stp>
        <tr r="E773" s="1"/>
      </tp>
      <tp t="s">
        <v>11/15/2046</v>
        <stp/>
        <stp>##V3_BDPV12</stp>
        <stp>912834QV Govt</stp>
        <stp>MATURITY</stp>
        <stp>[STRIPS.xlsx]Sheet1!R104C5</stp>
        <tr r="E104" s="1"/>
      </tp>
      <tp t="s">
        <v>UNITED STATES</v>
        <stp/>
        <stp>##V3_BDPV12</stp>
        <stp>912834UC Govt</stp>
        <stp>COUNTRY_FULL_NAME</stp>
        <stp>[STRIPS.xlsx]Sheet1!R761C8</stp>
        <tr r="H761" s="1"/>
      </tp>
      <tp t="s">
        <v>UNITED STATES</v>
        <stp/>
        <stp>##V3_BDPV12</stp>
        <stp>912833KA Govt</stp>
        <stp>COUNTRY_FULL_NAME</stp>
        <stp>[STRIPS.xlsx]Sheet1!R193C8</stp>
        <tr r="H193" s="1"/>
      </tp>
      <tp t="s">
        <v>UNITED STATES</v>
        <stp/>
        <stp>##V3_BDPV12</stp>
        <stp>912834MB Govt</stp>
        <stp>COUNTRY_FULL_NAME</stp>
        <stp>[STRIPS.xlsx]Sheet1!R540C8</stp>
        <tr r="H540" s="1"/>
      </tp>
      <tp t="s">
        <v>UNITED STATES</v>
        <stp/>
        <stp>##V3_BDPV12</stp>
        <stp>912834MC Govt</stp>
        <stp>COUNTRY_FULL_NAME</stp>
        <stp>[STRIPS.xlsx]Sheet1!R541C8</stp>
        <tr r="H541" s="1"/>
      </tp>
      <tp t="s">
        <v>UNITED STATES</v>
        <stp/>
        <stp>##V3_BDPV12</stp>
        <stp>912834EA Govt</stp>
        <stp>COUNTRY_FULL_NAME</stp>
        <stp>[STRIPS.xlsx]Sheet1!R593C8</stp>
        <tr r="H593" s="1"/>
      </tp>
      <tp t="s">
        <v>UNITED STATES</v>
        <stp/>
        <stp>##V3_BDPV12</stp>
        <stp>912834EF Govt</stp>
        <stp>COUNTRY_FULL_NAME</stp>
        <stp>[STRIPS.xlsx]Sheet1!R594C8</stp>
        <tr r="H594" s="1"/>
      </tp>
      <tp t="s">
        <v>UNITED STATES</v>
        <stp/>
        <stp>##V3_BDPV12</stp>
        <stp>912834EC Govt</stp>
        <stp>COUNTRY_FULL_NAME</stp>
        <stp>[STRIPS.xlsx]Sheet1!R461C8</stp>
        <tr r="H461" s="1"/>
      </tp>
      <tp t="s">
        <v>UNITED STATES</v>
        <stp/>
        <stp>##V3_BDPV12</stp>
        <stp>912833QC Govt</stp>
        <stp>COUNTRY_FULL_NAME</stp>
        <stp>[STRIPS.xlsx]Sheet1!R341C8</stp>
        <tr r="H341" s="1"/>
      </tp>
      <tp t="s">
        <v>UNITED STATES</v>
        <stp/>
        <stp>##V3_BDPV12</stp>
        <stp>912833CE Govt</stp>
        <stp>COUNTRY_FULL_NAME</stp>
        <stp>[STRIPS.xlsx]Sheet1!R437C8</stp>
        <tr r="H437" s="1"/>
      </tp>
      <tp t="s">
        <v>UNITED STATES</v>
        <stp/>
        <stp>##V3_BDPV12</stp>
        <stp>912834PK Govt</stp>
        <stp>COUNTRY_FULL_NAME</stp>
        <stp>[STRIPS.xlsx]Sheet1!R329C8</stp>
        <tr r="H329" s="1"/>
      </tp>
      <tp t="s">
        <v>UNITED STATES</v>
        <stp/>
        <stp>##V3_BDPV12</stp>
        <stp>9128332E Govt</stp>
        <stp>COUNTRY_FULL_NAME</stp>
        <stp>[STRIPS.xlsx]Sheet1!R597C8</stp>
        <tr r="H597" s="1"/>
      </tp>
      <tp t="s">
        <v>UNITED STATES</v>
        <stp/>
        <stp>##V3_BDPV12</stp>
        <stp>9128332J Govt</stp>
        <stp>COUNTRY_FULL_NAME</stp>
        <stp>[STRIPS.xlsx]Sheet1!R598C8</stp>
        <tr r="H598" s="1"/>
      </tp>
      <tp t="s">
        <v>UNITED STATES</v>
        <stp/>
        <stp>##V3_BDPV12</stp>
        <stp>912833ME Govt</stp>
        <stp>COUNTRY_FULL_NAME</stp>
        <stp>[STRIPS.xlsx]Sheet1!R567C8</stp>
        <tr r="H567" s="1"/>
      </tp>
      <tp t="s">
        <v>UNITED STATES</v>
        <stp/>
        <stp>##V3_BDPV12</stp>
        <stp>912833QK Govt</stp>
        <stp>COUNTRY_FULL_NAME</stp>
        <stp>[STRIPS.xlsx]Sheet1!R519C8</stp>
        <tr r="H519" s="1"/>
      </tp>
      <tp t="s">
        <v>UNITED STATES</v>
        <stp/>
        <stp>##V3_BDPV12</stp>
        <stp>912833QD Govt</stp>
        <stp>COUNTRY_FULL_NAME</stp>
        <stp>[STRIPS.xlsx]Sheet1!R576C8</stp>
        <tr r="H576" s="1"/>
      </tp>
      <tp t="s">
        <v>UNITED STATES</v>
        <stp/>
        <stp>##V3_BDPV12</stp>
        <stp>912834UE Govt</stp>
        <stp>COUNTRY_FULL_NAME</stp>
        <stp>[STRIPS.xlsx]Sheet1!R207C8</stp>
        <tr r="H207" s="1"/>
      </tp>
      <tp t="s">
        <v>UNITED STATES</v>
        <stp/>
        <stp>##V3_BDPV12</stp>
        <stp>9128334F Govt</stp>
        <stp>COUNTRY_FULL_NAME</stp>
        <stp>[STRIPS.xlsx]Sheet1!R604C8</stp>
        <tr r="H604" s="1"/>
      </tp>
      <tp t="s">
        <v>UNITED STATES</v>
        <stp/>
        <stp>##V3_BDPV12</stp>
        <stp>912834KB Govt</stp>
        <stp>COUNTRY_FULL_NAME</stp>
        <stp>[STRIPS.xlsx]Sheet1!R110C8</stp>
        <tr r="H110" s="1"/>
      </tp>
      <tp t="s">
        <v>UNITED STATES</v>
        <stp/>
        <stp>##V3_BDPV12</stp>
        <stp>912833ND Govt</stp>
        <stp>COUNTRY_FULL_NAME</stp>
        <stp>[STRIPS.xlsx]Sheet1!R676C8</stp>
        <tr r="H676" s="1"/>
      </tp>
      <tp t="s">
        <v>UNITED STATES</v>
        <stp/>
        <stp>##V3_BDPV12</stp>
        <stp>912834FB Govt</stp>
        <stp>COUNTRY_FULL_NAME</stp>
        <stp>[STRIPS.xlsx]Sheet1!R120C8</stp>
        <tr r="H120" s="1"/>
      </tp>
      <tp t="s">
        <v>UNITED STATES</v>
        <stp/>
        <stp>##V3_BDPV12</stp>
        <stp>912833QF Govt</stp>
        <stp>COUNTRY_FULL_NAME</stp>
        <stp>[STRIPS.xlsx]Sheet1!R684C8</stp>
        <tr r="H684" s="1"/>
      </tp>
      <tp t="s">
        <v>UNITED STATES</v>
        <stp/>
        <stp>##V3_BDPV12</stp>
        <stp>912833QG Govt</stp>
        <stp>COUNTRY_FULL_NAME</stp>
        <stp>[STRIPS.xlsx]Sheet1!R685C8</stp>
        <tr r="H685" s="1"/>
      </tp>
      <tp t="s">
        <v>UNITED STATES</v>
        <stp/>
        <stp>##V3_BDPV12</stp>
        <stp>912834WD Govt</stp>
        <stp>COUNTRY_FULL_NAME</stp>
        <stp>[STRIPS.xlsx]Sheet1!R186C8</stp>
        <tr r="H186" s="1"/>
      </tp>
      <tp t="s">
        <v>UNITED STATES</v>
        <stp/>
        <stp>##V3_BDPV12</stp>
        <stp>912834PA Govt</stp>
        <stp>COUNTRY_FULL_NAME</stp>
        <stp>[STRIPS.xlsx]Sheet1!R123C8</stp>
        <tr r="H123" s="1"/>
      </tp>
      <tp t="s">
        <v>UNITED STATES</v>
        <stp/>
        <stp>##V3_BDPV12</stp>
        <stp>912834QC Govt</stp>
        <stp>COUNTRY_FULL_NAME</stp>
        <stp>[STRIPS.xlsx]Sheet1!R141C8</stp>
        <tr r="H141" s="1"/>
      </tp>
      <tp t="s">
        <v>UNITED STATES</v>
        <stp/>
        <stp>##V3_BDPV12</stp>
        <stp>9128332C Govt</stp>
        <stp>COUNTRY_FULL_NAME</stp>
        <stp>[STRIPS.xlsx]Sheet1!R701C8</stp>
        <tr r="H701" s="1"/>
      </tp>
      <tp t="s">
        <v>3/15/2022</v>
        <stp/>
        <stp>##V3_BDPV12</stp>
        <stp>912834UM Govt</stp>
        <stp>MATURITY</stp>
        <stp>[STRIPS.xlsx]Sheet1!R180C5</stp>
        <tr r="E180" s="1"/>
      </tp>
      <tp t="s">
        <v>10/31/2025</v>
        <stp/>
        <stp>##V3_BDPV12</stp>
        <stp>912834UA Govt</stp>
        <stp>MATURITY</stp>
        <stp>[STRIPS.xlsx]Sheet1!R200C5</stp>
        <tr r="E200" s="1"/>
      </tp>
      <tp t="s">
        <v>10/15/2022</v>
        <stp/>
        <stp>##V3_BDPV12</stp>
        <stp>912834VC Govt</stp>
        <stp>MATURITY</stp>
        <stp>[STRIPS.xlsx]Sheet1!R763C5</stp>
        <tr r="E763" s="1"/>
      </tp>
      <tp t="s">
        <v>1/15/2021</v>
        <stp/>
        <stp>##V3_BDPV12</stp>
        <stp>912834TD Govt</stp>
        <stp>MATURITY</stp>
        <stp>[STRIPS.xlsx]Sheet1!R281C5</stp>
        <tr r="E281" s="1"/>
      </tp>
      <tp t="s">
        <v>11/30/1999</v>
        <stp/>
        <stp>##V3_BDPV12</stp>
        <stp>912833QF Govt</stp>
        <stp>MATURITY</stp>
        <stp>[STRIPS.xlsx]Sheet1!R684C5</stp>
        <tr r="E684" s="1"/>
      </tp>
      <tp t="s">
        <v>10/15/2023</v>
        <stp/>
        <stp>##V3_BDPV12</stp>
        <stp>912834WG Govt</stp>
        <stp>MATURITY</stp>
        <stp>[STRIPS.xlsx]Sheet1!R772C5</stp>
        <tr r="E772" s="1"/>
      </tp>
      <tp t="s">
        <v>3/31/2024</v>
        <stp/>
        <stp>##V3_BDPV12</stp>
        <stp>912834RG Govt</stp>
        <stp>MATURITY</stp>
        <stp>[STRIPS.xlsx]Sheet1!R217C5</stp>
        <tr r="E217" s="1"/>
      </tp>
      <tp t="s">
        <v>#N/A N/A</v>
        <stp/>
        <stp>##V3_BDPV12</stp>
        <stp>9128334J Govt</stp>
        <stp>YLD_YTM_BID</stp>
        <stp>[STRIPS.xlsx]Sheet1!R605C4</stp>
        <tr r="D605" s="1"/>
      </tp>
      <tp t="s">
        <v>#N/A N/A</v>
        <stp/>
        <stp>##V3_BDPV12</stp>
        <stp>9128335D Govt</stp>
        <stp>YLD_YTM_BID</stp>
        <stp>[STRIPS.xlsx]Sheet1!R285C4</stp>
        <tr r="D285" s="1"/>
      </tp>
      <tp t="s">
        <v>#N/A N/A</v>
        <stp/>
        <stp>##V3_BDPV12</stp>
        <stp>9128335E Govt</stp>
        <stp>YLD_YTM_BID</stp>
        <stp>[STRIPS.xlsx]Sheet1!R745C4</stp>
        <tr r="D745" s="1"/>
      </tp>
      <tp t="s">
        <v>#N/A N/A</v>
        <stp/>
        <stp>##V3_BDPV12</stp>
        <stp>9128335R Govt</stp>
        <stp>YLD_YTM_BID</stp>
        <stp>[STRIPS.xlsx]Sheet1!R555C4</stp>
        <tr r="D555" s="1"/>
      </tp>
      <tp t="s">
        <v>#N/A N/A</v>
        <stp/>
        <stp>##V3_BDPV12</stp>
        <stp>9128335W Govt</stp>
        <stp>YLD_YTM_BID</stp>
        <stp>[STRIPS.xlsx]Sheet1!R725C4</stp>
        <tr r="D725" s="1"/>
      </tp>
      <tp t="s">
        <v>#N/A N/A</v>
        <stp/>
        <stp>##V3_BDPV12</stp>
        <stp>9128336H Govt</stp>
        <stp>YLD_YTM_BID</stp>
        <stp>[STRIPS.xlsx]Sheet1!R495C4</stp>
        <tr r="D495" s="1"/>
      </tp>
      <tp t="s">
        <v>#N/A N/A</v>
        <stp/>
        <stp>##V3_BDPV12</stp>
        <stp>9128336V Govt</stp>
        <stp>YLD_YTM_BID</stp>
        <stp>[STRIPS.xlsx]Sheet1!R715C4</stp>
        <tr r="D715" s="1"/>
      </tp>
      <tp t="s">
        <v>#N/A N/A</v>
        <stp/>
        <stp>##V3_BDPV12</stp>
        <stp>9128333R Govt</stp>
        <stp>YLD_YTM_BID</stp>
        <stp>[STRIPS.xlsx]Sheet1!R705C4</stp>
        <tr r="D705" s="1"/>
      </tp>
      <tp t="s">
        <v>#N/A N/A</v>
        <stp/>
        <stp>##V3_BDPV12</stp>
        <stp>9128333W Govt</stp>
        <stp>YLD_YTM_BID</stp>
        <stp>[STRIPS.xlsx]Sheet1!R485C4</stp>
        <tr r="D485" s="1"/>
      </tp>
      <tp t="s">
        <v>#N/A N/A</v>
        <stp/>
        <stp>##V3_BDPV12</stp>
        <stp>912833YC Govt</stp>
        <stp>YLD_YTM_BID</stp>
        <stp>[STRIPS.xlsx]Sheet1!R636C4</stp>
        <tr r="D636" s="1"/>
      </tp>
      <tp t="s">
        <v>#N/A N/A</v>
        <stp/>
        <stp>##V3_BDPV12</stp>
        <stp>912833YU Govt</stp>
        <stp>YLD_YTM_BID</stp>
        <stp>[STRIPS.xlsx]Sheet1!R586C4</stp>
        <tr r="D586" s="1"/>
      </tp>
      <tp t="s">
        <v>#N/A N/A</v>
        <stp/>
        <stp>##V3_BDPV12</stp>
        <stp>912833ZC Govt</stp>
        <stp>YLD_YTM_BID</stp>
        <stp>[STRIPS.xlsx]Sheet1!R346C4</stp>
        <tr r="D346" s="1"/>
      </tp>
      <tp t="s">
        <v>#N/A N/A</v>
        <stp/>
        <stp>##V3_BDPV12</stp>
        <stp>912833Z9 Govt</stp>
        <stp>YLD_YTM_BID</stp>
        <stp>[STRIPS.xlsx]Sheet1!R526C4</stp>
        <tr r="D526" s="1"/>
      </tp>
      <tp t="s">
        <v>#N/A N/A</v>
        <stp/>
        <stp>##V3_BDPV12</stp>
        <stp>912833Z7 Govt</stp>
        <stp>YLD_YTM_BID</stp>
        <stp>[STRIPS.xlsx]Sheet1!R696C4</stp>
        <tr r="D696" s="1"/>
      </tp>
      <tp t="s">
        <v>#N/A N/A</v>
        <stp/>
        <stp>##V3_BDPV12</stp>
        <stp>912834TD Govt</stp>
        <stp>YLD_YTM_BID</stp>
        <stp>[STRIPS.xlsx]Sheet1!R281C4</stp>
        <tr r="D281" s="1"/>
      </tp>
      <tp>
        <v>0.87500000000000355</v>
        <stp/>
        <stp>##V3_BDPV12</stp>
        <stp>912834UC Govt</stp>
        <stp>YLD_YTM_BID</stp>
        <stp>[STRIPS.xlsx]Sheet1!R761C4</stp>
        <tr r="D761" s="1"/>
      </tp>
      <tp>
        <v>0</v>
        <stp/>
        <stp>##V3_BDPV12</stp>
        <stp>912834TY Govt</stp>
        <stp>CPN</stp>
        <stp>[STRIPS.xlsx]Sheet1!R199C3</stp>
        <tr r="C199" s="1"/>
      </tp>
      <tp>
        <v>0</v>
        <stp/>
        <stp>##V3_BDPV12</stp>
        <stp>912834TZ Govt</stp>
        <stp>CPN</stp>
        <stp>[STRIPS.xlsx]Sheet1!R139C3</stp>
        <tr r="C139" s="1"/>
      </tp>
      <tp>
        <v>1.0559999999999903</v>
        <stp/>
        <stp>##V3_BDPV12</stp>
        <stp>912834UZ Govt</stp>
        <stp>YLD_YTM_BID</stp>
        <stp>[STRIPS.xlsx]Sheet1!R181C4</stp>
        <tr r="D181" s="1"/>
      </tp>
      <tp>
        <v>0</v>
        <stp/>
        <stp>##V3_BDPV12</stp>
        <stp>912834WY Govt</stp>
        <stp>CPN</stp>
        <stp>[STRIPS.xlsx]Sheet1!R189C3</stp>
        <tr r="C189" s="1"/>
      </tp>
      <tp>
        <v>1.2039999999999829</v>
        <stp/>
        <stp>##V3_BDPV12</stp>
        <stp>912834VW Govt</stp>
        <stp>YLD_YTM_BID</stp>
        <stp>[STRIPS.xlsx]Sheet1!R131C4</stp>
        <tr r="D131" s="1"/>
      </tp>
      <tp>
        <v>0</v>
        <stp/>
        <stp>##V3_BDPV12</stp>
        <stp>912834WV Govt</stp>
        <stp>CPN</stp>
        <stp>[STRIPS.xlsx]Sheet1!R129C3</stp>
        <tr r="C129" s="1"/>
      </tp>
      <tp>
        <v>0.36800000000001276</v>
        <stp/>
        <stp>##V3_BDPV12</stp>
        <stp>912834WN Govt</stp>
        <stp>YLD_YTM_BID</stp>
        <stp>[STRIPS.xlsx]Sheet1!R191C4</stp>
        <tr r="D191" s="1"/>
      </tp>
      <tp>
        <v>0</v>
        <stp/>
        <stp>##V3_BDPV12</stp>
        <stp>912834VB Govt</stp>
        <stp>CPN</stp>
        <stp>[STRIPS.xlsx]Sheet1!R159C3</stp>
        <tr r="C159" s="1"/>
      </tp>
      <tp>
        <v>1.2370000000000214</v>
        <stp/>
        <stp>##V3_BDPV12</stp>
        <stp>912834WB Govt</stp>
        <stp>YLD_YTM_BID</stp>
        <stp>[STRIPS.xlsx]Sheet1!R771C4</stp>
        <tr r="D771" s="1"/>
      </tp>
      <tp>
        <v>0</v>
        <stp/>
        <stp>##V3_BDPV12</stp>
        <stp>912834VF Govt</stp>
        <stp>CPN</stp>
        <stp>[STRIPS.xlsx]Sheet1!R219C3</stp>
        <tr r="C219" s="1"/>
      </tp>
      <tp>
        <v>0</v>
        <stp/>
        <stp>##V3_BDPV12</stp>
        <stp>912834VU Govt</stp>
        <stp>CPN</stp>
        <stp>[STRIPS.xlsx]Sheet1!R769C3</stp>
        <tr r="C769" s="1"/>
      </tp>
      <tp t="s">
        <v>#N/A N/A</v>
        <stp/>
        <stp>##V3_BDPV12</stp>
        <stp>912833PH Govt</stp>
        <stp>YLD_YTM_BID</stp>
        <stp>[STRIPS.xlsx]Sheet1!R336C4</stp>
        <tr r="D336" s="1"/>
      </tp>
      <tp>
        <v>0</v>
        <stp/>
        <stp>##V3_BDPV12</stp>
        <stp>912834QN Govt</stp>
        <stp>CPN</stp>
        <stp>[STRIPS.xlsx]Sheet1!R179C3</stp>
        <tr r="C179" s="1"/>
      </tp>
      <tp t="s">
        <v>#N/A N/A</v>
        <stp/>
        <stp>##V3_BDPV12</stp>
        <stp>912834PF Govt</stp>
        <stp>YLD_YTM_BID</stp>
        <stp>[STRIPS.xlsx]Sheet1!R411C4</stp>
        <tr r="D411" s="1"/>
      </tp>
      <tp>
        <v>0</v>
        <stp/>
        <stp>##V3_BDPV12</stp>
        <stp>912834QE Govt</stp>
        <stp>CPN</stp>
        <stp>[STRIPS.xlsx]Sheet1!R149C3</stp>
        <tr r="C149" s="1"/>
      </tp>
      <tp>
        <v>0</v>
        <stp/>
        <stp>##V3_BDPV12</stp>
        <stp>912834QZ Govt</stp>
        <stp>CPN</stp>
        <stp>[STRIPS.xlsx]Sheet1!R279C3</stp>
        <tr r="C279" s="1"/>
      </tp>
      <tp>
        <v>0</v>
        <stp/>
        <stp>##V3_BDPV12</stp>
        <stp>912834PK Govt</stp>
        <stp>CPN</stp>
        <stp>[STRIPS.xlsx]Sheet1!R329C3</stp>
        <tr r="C329" s="1"/>
      </tp>
      <tp t="s">
        <v>#N/A N/A</v>
        <stp/>
        <stp>##V3_BDPV12</stp>
        <stp>912833QJ Govt</stp>
        <stp>YLD_YTM_BID</stp>
        <stp>[STRIPS.xlsx]Sheet1!R686C4</stp>
        <tr r="D686" s="1"/>
      </tp>
      <tp>
        <v>0.20199999999999108</v>
        <stp/>
        <stp>##V3_BDPV12</stp>
        <stp>912834QG Govt</stp>
        <stp>YLD_YTM_BID</stp>
        <stp>[STRIPS.xlsx]Sheet1!R211C4</stp>
        <tr r="D211" s="1"/>
      </tp>
      <tp>
        <v>0</v>
        <stp/>
        <stp>##V3_BDPV12</stp>
        <stp>912834PB Govt</stp>
        <stp>CPN</stp>
        <stp>[STRIPS.xlsx]Sheet1!R109C3</stp>
        <tr r="C109" s="1"/>
      </tp>
      <tp>
        <v>0.17299999999993432</v>
        <stp/>
        <stp>##V3_BDPV12</stp>
        <stp>912834QC Govt</stp>
        <stp>YLD_YTM_BID</stp>
        <stp>[STRIPS.xlsx]Sheet1!R141C4</stp>
        <tr r="D141" s="1"/>
      </tp>
      <tp t="s">
        <v>#N/A N/A</v>
        <stp/>
        <stp>##V3_BDPV12</stp>
        <stp>912833QA Govt</stp>
        <stp>YLD_YTM_BID</stp>
        <stp>[STRIPS.xlsx]Sheet1!R376C4</stp>
        <tr r="D376" s="1"/>
      </tp>
      <tp t="s">
        <v>#N/A N/A</v>
        <stp/>
        <stp>##V3_BDPV12</stp>
        <stp>912833QD Govt</stp>
        <stp>YLD_YTM_BID</stp>
        <stp>[STRIPS.xlsx]Sheet1!R576C4</stp>
        <tr r="D576" s="1"/>
      </tp>
      <tp>
        <v>0.32800000000001717</v>
        <stp/>
        <stp>##V3_BDPV12</stp>
        <stp>912834QW Govt</stp>
        <stp>YLD_YTM_BID</stp>
        <stp>[STRIPS.xlsx]Sheet1!R171C4</stp>
        <tr r="D171" s="1"/>
      </tp>
      <tp>
        <v>0.30299999999998661</v>
        <stp/>
        <stp>##V3_BDPV12</stp>
        <stp>912834QU Govt</stp>
        <stp>YLD_YTM_BID</stp>
        <stp>[STRIPS.xlsx]Sheet1!R201C4</stp>
        <tr r="D201" s="1"/>
      </tp>
      <tp>
        <v>0</v>
        <stp/>
        <stp>##V3_BDPV12</stp>
        <stp>912834PS Govt</stp>
        <stp>CPN</stp>
        <stp>[STRIPS.xlsx]Sheet1!R209C3</stp>
        <tr r="C209" s="1"/>
      </tp>
      <tp>
        <v>0</v>
        <stp/>
        <stp>##V3_BDPV12</stp>
        <stp>912834PV Govt</stp>
        <stp>CPN</stp>
        <stp>[STRIPS.xlsx]Sheet1!R479C3</stp>
        <tr r="C479" s="1"/>
      </tp>
      <tp>
        <v>0</v>
        <stp/>
        <stp>##V3_BDPV12</stp>
        <stp>912834PR Govt</stp>
        <stp>CPN</stp>
        <stp>[STRIPS.xlsx]Sheet1!R549C3</stp>
        <tr r="C549" s="1"/>
      </tp>
      <tp t="s">
        <v>2/15/2006</v>
        <stp/>
        <stp>##V3_BDPV12</stp>
        <stp>9128334S Govt</stp>
        <stp>ISSUE_DT</stp>
        <stp>[STRIPS.xlsx]Sheet1!R5C15</stp>
        <tr r="O5" s="1"/>
      </tp>
      <tp t="s">
        <v>#N/A N/A</v>
        <stp/>
        <stp>##V3_BDPV12</stp>
        <stp>912834RH Govt</stp>
        <stp>YLD_YTM_BID</stp>
        <stp>[STRIPS.xlsx]Sheet1!R481C4</stp>
        <tr r="D481" s="1"/>
      </tp>
      <tp t="s">
        <v>#N/A N/A</v>
        <stp/>
        <stp>##V3_BDPV12</stp>
        <stp>912834RF Govt</stp>
        <stp>YLD_YTM_BID</stp>
        <stp>[STRIPS.xlsx]Sheet1!R551C4</stp>
        <tr r="D551" s="1"/>
      </tp>
      <tp t="s">
        <v>#N/A N/A</v>
        <stp/>
        <stp>##V3_BDPV12</stp>
        <stp>912833RW Govt</stp>
        <stp>YLD_YTM_BID</stp>
        <stp>[STRIPS.xlsx]Sheet1!R246C4</stp>
        <tr r="D246" s="1"/>
      </tp>
      <tp>
        <v>0</v>
        <stp/>
        <stp>##V3_BDPV12</stp>
        <stp>912834RS Govt</stp>
        <stp>CPN</stp>
        <stp>[STRIPS.xlsx]Sheet1!R169C3</stp>
        <tr r="C169" s="1"/>
      </tp>
      <tp>
        <v>0</v>
        <stp/>
        <stp>##V3_BDPV12</stp>
        <stp>912834RU Govt</stp>
        <stp>CPN</stp>
        <stp>[STRIPS.xlsx]Sheet1!R759C3</stp>
        <tr r="C759" s="1"/>
      </tp>
      <tp t="s">
        <v>#N/A N/A</v>
        <stp/>
        <stp>##V3_BDPV12</stp>
        <stp>912834LN Govt</stp>
        <stp>YLD_YTM_BID</stp>
        <stp>[STRIPS.xlsx]Sheet1!R231C4</stp>
        <tr r="D231" s="1"/>
      </tp>
      <tp t="s">
        <v>#N/A N/A</v>
        <stp/>
        <stp>##V3_BDPV12</stp>
        <stp>912834LG Govt</stp>
        <stp>YLD_YTM_BID</stp>
        <stp>[STRIPS.xlsx]Sheet1!R321C4</stp>
        <tr r="D321" s="1"/>
      </tp>
      <tp>
        <v>0</v>
        <stp/>
        <stp>##V3_BDPV12</stp>
        <stp>912834MU Govt</stp>
        <stp>CPN</stp>
        <stp>[STRIPS.xlsx]Sheet1!R419C3</stp>
        <tr r="C419" s="1"/>
      </tp>
      <tp t="s">
        <v>#N/A N/A</v>
        <stp/>
        <stp>##V3_BDPV12</stp>
        <stp>912833MH Govt</stp>
        <stp>YLD_YTM_BID</stp>
        <stp>[STRIPS.xlsx]Sheet1!R306C4</stp>
        <tr r="D306" s="1"/>
      </tp>
      <tp t="s">
        <v>#N/A N/A</v>
        <stp/>
        <stp>##V3_BDPV12</stp>
        <stp>912834MC Govt</stp>
        <stp>YLD_YTM_BID</stp>
        <stp>[STRIPS.xlsx]Sheet1!R541C4</stp>
        <tr r="D541" s="1"/>
      </tp>
      <tp t="s">
        <v>#N/A N/A</v>
        <stp/>
        <stp>##V3_BDPV12</stp>
        <stp>912834MG Govt</stp>
        <stp>YLD_YTM_BID</stp>
        <stp>[STRIPS.xlsx]Sheet1!R271C4</stp>
        <tr r="D271" s="1"/>
      </tp>
      <tp>
        <v>0</v>
        <stp/>
        <stp>##V3_BDPV12</stp>
        <stp>912834LY Govt</stp>
        <stp>CPN</stp>
        <stp>[STRIPS.xlsx]Sheet1!R539C3</stp>
        <tr r="C539" s="1"/>
      </tp>
      <tp t="s">
        <v>#N/A N/A</v>
        <stp/>
        <stp>##V3_BDPV12</stp>
        <stp>912833MQ Govt</stp>
        <stp>YLD_YTM_BID</stp>
        <stp>[STRIPS.xlsx]Sheet1!R236C4</stp>
        <tr r="D236" s="1"/>
      </tp>
      <tp t="s">
        <v>#N/A N/A</v>
        <stp/>
        <stp>##V3_BDPV12</stp>
        <stp>912833MV Govt</stp>
        <stp>YLD_YTM_BID</stp>
        <stp>[STRIPS.xlsx]Sheet1!R626C4</stp>
        <tr r="D626" s="1"/>
      </tp>
      <tp>
        <v>0</v>
        <stp/>
        <stp>##V3_BDPV12</stp>
        <stp>912834LU Govt</stp>
        <stp>CPN</stp>
        <stp>[STRIPS.xlsx]Sheet1!R359C3</stp>
        <tr r="C359" s="1"/>
      </tp>
      <tp t="s">
        <v>#N/A N/A</v>
        <stp/>
        <stp>##V3_BDPV12</stp>
        <stp>912834NN Govt</stp>
        <stp>YLD_YTM_BID</stp>
        <stp>[STRIPS.xlsx]Sheet1!R421C4</stp>
        <tr r="D421" s="1"/>
      </tp>
      <tp t="s">
        <v>#N/A N/A</v>
        <stp/>
        <stp>##V3_BDPV12</stp>
        <stp>912833NA Govt</stp>
        <stp>YLD_YTM_BID</stp>
        <stp>[STRIPS.xlsx]Sheet1!R446C4</stp>
        <tr r="D446" s="1"/>
      </tp>
      <tp t="s">
        <v>#N/A N/A</v>
        <stp/>
        <stp>##V3_BDPV12</stp>
        <stp>912833NG Govt</stp>
        <stp>YLD_YTM_BID</stp>
        <stp>[STRIPS.xlsx]Sheet1!R516C4</stp>
        <tr r="D516" s="1"/>
      </tp>
      <tp t="s">
        <v>#N/A N/A</v>
        <stp/>
        <stp>##V3_BDPV12</stp>
        <stp>912833ND Govt</stp>
        <stp>YLD_YTM_BID</stp>
        <stp>[STRIPS.xlsx]Sheet1!R676C4</stp>
        <tr r="D676" s="1"/>
      </tp>
      <tp>
        <v>0</v>
        <stp/>
        <stp>##V3_BDPV12</stp>
        <stp>912834NM Govt</stp>
        <stp>CPN</stp>
        <stp>[STRIPS.xlsx]Sheet1!R409C3</stp>
        <tr r="C409" s="1"/>
      </tp>
      <tp>
        <v>0</v>
        <stp/>
        <stp>##V3_BDPV12</stp>
        <stp>912834KN Govt</stp>
        <stp>CPN</stp>
        <stp>[STRIPS.xlsx]Sheet1!R469C3</stp>
        <tr r="C469" s="1"/>
      </tp>
      <tp>
        <v>0</v>
        <stp/>
        <stp>##V3_BDPV12</stp>
        <stp>912834KM Govt</stp>
        <stp>CPN</stp>
        <stp>[STRIPS.xlsx]Sheet1!R399C3</stp>
        <tr r="C399" s="1"/>
      </tp>
      <tp>
        <v>0</v>
        <stp/>
        <stp>##V3_BDPV12</stp>
        <stp>912834KF Govt</stp>
        <stp>CPN</stp>
        <stp>[STRIPS.xlsx]Sheet1!R229C3</stp>
        <tr r="C229" s="1"/>
      </tp>
      <tp>
        <v>0</v>
        <stp/>
        <stp>##V3_BDPV12</stp>
        <stp>912834KZ Govt</stp>
        <stp>CPN</stp>
        <stp>[STRIPS.xlsx]Sheet1!R269C3</stp>
        <tr r="C269" s="1"/>
      </tp>
      <tp t="s">
        <v>#N/A N/A</v>
        <stp/>
        <stp>##V3_BDPV12</stp>
        <stp>912834JX Govt</stp>
        <stp>YLD_YTM_BID</stp>
        <stp>[STRIPS.xlsx]Sheet1!R221C4</stp>
        <tr r="D221" s="1"/>
      </tp>
      <tp t="s">
        <v>#N/A N/A</v>
        <stp/>
        <stp>##V3_BDPV12</stp>
        <stp>912833JU Govt</stp>
        <stp>YLD_YTM_BID</stp>
        <stp>[STRIPS.xlsx]Sheet1!R366C4</stp>
        <tr r="D366" s="1"/>
      </tp>
      <tp t="s">
        <v>#N/A N/A</v>
        <stp/>
        <stp>##V3_BDPV12</stp>
        <stp>912833JT Govt</stp>
        <stp>YLD_YTM_BID</stp>
        <stp>[STRIPS.xlsx]Sheet1!R156C4</stp>
        <tr r="D156" s="1"/>
      </tp>
      <tp>
        <v>0</v>
        <stp/>
        <stp>##V3_BDPV12</stp>
        <stp>912834KT Govt</stp>
        <stp>CPN</stp>
        <stp>[STRIPS.xlsx]Sheet1!R319C3</stp>
        <tr r="C319" s="1"/>
      </tp>
      <tp t="s">
        <v>#N/A N/A</v>
        <stp/>
        <stp>##V3_BDPV12</stp>
        <stp>912834KX Govt</stp>
        <stp>YLD_YTM_BID</stp>
        <stp>[STRIPS.xlsx]Sheet1!R471C4</stp>
        <tr r="D471" s="1"/>
      </tp>
      <tp t="s">
        <v>#N/A N/A</v>
        <stp/>
        <stp>##V3_BDPV12</stp>
        <stp>912833KQ Govt</stp>
        <stp>YLD_YTM_BID</stp>
        <stp>[STRIPS.xlsx]Sheet1!R566C4</stp>
        <tr r="D566" s="1"/>
      </tp>
      <tp t="s">
        <v>#N/A N/A</v>
        <stp/>
        <stp>##V3_BDPV12</stp>
        <stp>912833KS Govt</stp>
        <stp>YLD_YTM_BID</stp>
        <stp>[STRIPS.xlsx]Sheet1!R176C4</stp>
        <tr r="D176" s="1"/>
      </tp>
      <tp t="s">
        <v>#N/A N/A</v>
        <stp/>
        <stp>##V3_BDPV12</stp>
        <stp>912834KU Govt</stp>
        <stp>YLD_YTM_BID</stp>
        <stp>[STRIPS.xlsx]Sheet1!R401C4</stp>
        <tr r="D401" s="1"/>
      </tp>
      <tp t="s">
        <v>#N/A N/A</v>
        <stp/>
        <stp>##V3_BDPV12</stp>
        <stp>912833DH Govt</stp>
        <stp>YLD_YTM_BID</stp>
        <stp>[STRIPS.xlsx]Sheet1!R506C4</stp>
        <tr r="D506" s="1"/>
      </tp>
      <tp>
        <v>0</v>
        <stp/>
        <stp>##V3_BDPV12</stp>
        <stp>912834EH Govt</stp>
        <stp>CPN</stp>
        <stp>[STRIPS.xlsx]Sheet1!R309C3</stp>
        <tr r="C309" s="1"/>
      </tp>
      <tp t="s">
        <v>#N/A N/A</v>
        <stp/>
        <stp>##V3_BDPV12</stp>
        <stp>912833DG Govt</stp>
        <stp>YLD_YTM_BID</stp>
        <stp>[STRIPS.xlsx]Sheet1!R736C4</stp>
        <tr r="D736" s="1"/>
      </tp>
      <tp t="s">
        <v>#N/A N/A</v>
        <stp/>
        <stp>##V3_BDPV12</stp>
        <stp>912834DX Govt</stp>
        <stp>YLD_YTM_BID</stp>
        <stp>[STRIPS.xlsx]Sheet1!R391C4</stp>
        <tr r="D391" s="1"/>
      </tp>
      <tp t="s">
        <v>#N/A N/A</v>
        <stp/>
        <stp>##V3_BDPV12</stp>
        <stp>912834EC Govt</stp>
        <stp>YLD_YTM_BID</stp>
        <stp>[STRIPS.xlsx]Sheet1!R461C4</stp>
        <tr r="D461" s="1"/>
      </tp>
      <tp>
        <v>2.1469999999999878</v>
        <stp/>
        <stp>##V3_BDPV12</stp>
        <stp>912834EV Govt</stp>
        <stp>YLD_YTM_BID</stp>
        <stp>[STRIPS.xlsx]Sheet1!R101C4</stp>
        <tr r="D101" s="1"/>
      </tp>
      <tp t="s">
        <v>#N/A N/A</v>
        <stp/>
        <stp>##V3_BDPV12</stp>
        <stp>912834EQ Govt</stp>
        <stp>YLD_YTM_BID</stp>
        <stp>[STRIPS.xlsx]Sheet1!R311C4</stp>
        <tr r="D311" s="1"/>
      </tp>
      <tp t="s">
        <v>#N/A N/A</v>
        <stp/>
        <stp>##V3_BDPV12</stp>
        <stp>912833GB Govt</stp>
        <stp>YLD_YTM_BID</stp>
        <stp>[STRIPS.xlsx]Sheet1!R666C4</stp>
        <tr r="D666" s="1"/>
      </tp>
      <tp>
        <v>0</v>
        <stp/>
        <stp>##V3_BDPV12</stp>
        <stp>912834AN Govt</stp>
        <stp>CPN</stp>
        <stp>[STRIPS.xlsx]Sheet1!R259C3</stp>
        <tr r="C259" s="1"/>
      </tp>
      <tp>
        <v>0</v>
        <stp/>
        <stp>##V3_BDPV12</stp>
        <stp>912834AA Govt</stp>
        <stp>CPN</stp>
        <stp>[STRIPS.xlsx]Sheet1!R589C3</stp>
        <tr r="C589" s="1"/>
      </tp>
      <tp>
        <v>0</v>
        <stp/>
        <stp>##V3_BDPV12</stp>
        <stp>912834A3 Govt</stp>
        <stp>CPN</stp>
        <stp>[STRIPS.xlsx]Sheet1!R119C3</stp>
        <tr r="C119" s="1"/>
      </tp>
      <tp t="s">
        <v>#N/A N/A</v>
        <stp/>
        <stp>##V3_BDPV12</stp>
        <stp>912834AJ Govt</stp>
        <stp>YLD_YTM_BID</stp>
        <stp>[STRIPS.xlsx]Sheet1!R591C4</stp>
        <tr r="D591" s="1"/>
      </tp>
      <tp t="s">
        <v>#N/A N/A</v>
        <stp/>
        <stp>##V3_BDPV12</stp>
        <stp>912834AZ Govt</stp>
        <stp>YLD_YTM_BID</stp>
        <stp>[STRIPS.xlsx]Sheet1!R261C4</stp>
        <tr r="D261" s="1"/>
      </tp>
      <tp t="s">
        <v>#N/A N/A</v>
        <stp/>
        <stp>##V3_BDPV12</stp>
        <stp>912834AW Govt</stp>
        <stp>YLD_YTM_BID</stp>
        <stp>[STRIPS.xlsx]Sheet1!R641C4</stp>
        <tr r="D641" s="1"/>
      </tp>
      <tp t="s">
        <v>#N/A N/A</v>
        <stp/>
        <stp>##V3_BDPV12</stp>
        <stp>912834BH Govt</stp>
        <stp>YLD_YTM_BID</stp>
        <stp>[STRIPS.xlsx]Sheet1!R351C4</stp>
        <tr r="D351" s="1"/>
      </tp>
      <tp t="s">
        <v>#N/A N/A</v>
        <stp/>
        <stp>##V3_BDPV12</stp>
        <stp>912834BR Govt</stp>
        <stp>YLD_YTM_BID</stp>
        <stp>[STRIPS.xlsx]Sheet1!R531C4</stp>
        <tr r="D531" s="1"/>
      </tp>
      <tp t="s">
        <v>#N/A N/A</v>
        <stp/>
        <stp>##V3_BDPV12</stp>
        <stp>912833CL Govt</stp>
        <stp>YLD_YTM_BID</stp>
        <stp>[STRIPS.xlsx]Sheet1!R616C4</stp>
        <tr r="D616" s="1"/>
      </tp>
      <tp t="s">
        <v>#N/A N/A</v>
        <stp/>
        <stp>##V3_BDPV12</stp>
        <stp>912833CM Govt</stp>
        <stp>YLD_YTM_BID</stp>
        <stp>[STRIPS.xlsx]Sheet1!R656C4</stp>
        <tr r="D656" s="1"/>
      </tp>
      <tp t="s">
        <v>#N/A N/A</v>
        <stp/>
        <stp>##V3_BDPV12</stp>
        <stp>912833CC Govt</stp>
        <stp>YLD_YTM_BID</stp>
        <stp>[STRIPS.xlsx]Sheet1!R436C4</stp>
        <tr r="D436" s="1"/>
      </tp>
      <tp>
        <v>0</v>
        <stp/>
        <stp>##V3_BDPV12</stp>
        <stp>912834BB Govt</stp>
        <stp>CPN</stp>
        <stp>[STRIPS.xlsx]Sheet1!R349C3</stp>
        <tr r="C349" s="1"/>
      </tp>
      <tp t="s">
        <v>#N/A N/A</v>
        <stp/>
        <stp>##V3_BDPV12</stp>
        <stp>912833CG Govt</stp>
        <stp>YLD_YTM_BID</stp>
        <stp>[STRIPS.xlsx]Sheet1!R296C4</stp>
        <tr r="D296" s="1"/>
      </tp>
      <tp>
        <v>0</v>
        <stp/>
        <stp>##V3_BDPV12</stp>
        <stp>912834BA Govt</stp>
        <stp>CPN</stp>
        <stp>[STRIPS.xlsx]Sheet1!R529C3</stp>
        <tr r="C529" s="1"/>
      </tp>
      <tp>
        <v>0</v>
        <stp/>
        <stp>##V3_BDPV12</stp>
        <stp>912834BP Govt</stp>
        <stp>CPN</stp>
        <stp>[STRIPS.xlsx]Sheet1!R389C3</stp>
        <tr r="C389" s="1"/>
      </tp>
      <tp>
        <v>0</v>
        <stp/>
        <stp>##V3_BDPV12</stp>
        <stp>912834BQ Govt</stp>
        <stp>CPN</stp>
        <stp>[STRIPS.xlsx]Sheet1!R459C3</stp>
        <tr r="C459" s="1"/>
      </tp>
      <tp t="s">
        <v>2/15/2046</v>
        <stp/>
        <stp>##V3_BDPV12</stp>
        <stp>912834PZ Govt</stp>
        <stp>MATURITY</stp>
        <stp>[STRIPS.xlsx]Sheet1!R126C5</stp>
        <tr r="E126" s="1"/>
      </tp>
      <tp t="s">
        <v>2/28/2001</v>
        <stp/>
        <stp>##V3_BDPV12</stp>
        <stp>912833RP Govt</stp>
        <stp>MATURITY</stp>
        <stp>[STRIPS.xlsx]Sheet1!R524C5</stp>
        <tr r="E524" s="1"/>
      </tp>
      <tp t="s">
        <v>12/31/1998</v>
        <stp/>
        <stp>##V3_BDPV12</stp>
        <stp>912833QP Govt</stp>
        <stp>MATURITY</stp>
        <stp>[STRIPS.xlsx]Sheet1!R687C5</stp>
        <tr r="E687" s="1"/>
      </tp>
      <tp t="s">
        <v>9/15/2018</v>
        <stp/>
        <stp>##V3_BDPV12</stp>
        <stp>912834PP Govt</stp>
        <stp>MATURITY</stp>
        <stp>[STRIPS.xlsx]Sheet1!R276C5</stp>
        <tr r="E276" s="1"/>
      </tp>
      <tp t="s">
        <v>6/30/1999</v>
        <stp/>
        <stp>##V3_BDPV12</stp>
        <stp>912833QQ Govt</stp>
        <stp>MATURITY</stp>
        <stp>[STRIPS.xlsx]Sheet1!R377C5</stp>
        <tr r="E377" s="1"/>
      </tp>
      <tp t="s">
        <v>7/31/2024</v>
        <stp/>
        <stp>##V3_BDPV12</stp>
        <stp>912834RQ Govt</stp>
        <stp>MATURITY</stp>
        <stp>[STRIPS.xlsx]Sheet1!R204C5</stp>
        <tr r="E204" s="1"/>
      </tp>
      <tp t="s">
        <v>3/31/2027</v>
        <stp/>
        <stp>##V3_BDPV12</stp>
        <stp>912834VS Govt</stp>
        <stp>MATURITY</stp>
        <stp>[STRIPS.xlsx]Sheet1!R170C5</stp>
        <tr r="E170" s="1"/>
      </tp>
      <tp t="s">
        <v>11/15/2045</v>
        <stp/>
        <stp>##V3_BDPV12</stp>
        <stp>912834PT Govt</stp>
        <stp>MATURITY</stp>
        <stp>[STRIPS.xlsx]Sheet1!R106C5</stp>
        <tr r="E106" s="1"/>
      </tp>
      <tp t="s">
        <v>12/31/2000</v>
        <stp/>
        <stp>##V3_BDPV12</stp>
        <stp>912833QT Govt</stp>
        <stp>MATURITY</stp>
        <stp>[STRIPS.xlsx]Sheet1!R307C5</stp>
        <tr r="E307" s="1"/>
      </tp>
      <tp t="s">
        <v>7/31/2025</v>
        <stp/>
        <stp>##V3_BDPV12</stp>
        <stp>912834TU Govt</stp>
        <stp>MATURITY</stp>
        <stp>[STRIPS.xlsx]Sheet1!R752C5</stp>
        <tr r="E752" s="1"/>
      </tp>
      <tp t="s">
        <v>1/31/2003</v>
        <stp/>
        <stp>##V3_BDPV12</stp>
        <stp>912833RH Govt</stp>
        <stp>MATURITY</stp>
        <stp>[STRIPS.xlsx]Sheet1!R634C5</stp>
        <tr r="E634" s="1"/>
      </tp>
      <tp t="s">
        <v>3/31/1999</v>
        <stp/>
        <stp>##V3_BDPV12</stp>
        <stp>912833PH Govt</stp>
        <stp>MATURITY</stp>
        <stp>[STRIPS.xlsx]Sheet1!R336C5</stp>
        <tr r="E336" s="1"/>
      </tp>
      <tp t="s">
        <v>UNITED STATES</v>
        <stp/>
        <stp>##V3_BDPV12</stp>
        <stp>912834VD Govt</stp>
        <stp>COUNTRY_FULL_NAME</stp>
        <stp>[STRIPS.xlsx]Sheet1!R765C8</stp>
        <tr r="H765" s="1"/>
      </tp>
      <tp t="s">
        <v>UNITED STATES</v>
        <stp/>
        <stp>##V3_BDPV12</stp>
        <stp>912834JF Govt</stp>
        <stp>COUNTRY_FULL_NAME</stp>
        <stp>[STRIPS.xlsx]Sheet1!R647C8</stp>
        <tr r="H647" s="1"/>
      </tp>
      <tp t="s">
        <v>UNITED STATES</v>
        <stp/>
        <stp>##V3_BDPV12</stp>
        <stp>912834ED Govt</stp>
        <stp>COUNTRY_FULL_NAME</stp>
        <stp>[STRIPS.xlsx]Sheet1!R645C8</stp>
        <tr r="H645" s="1"/>
      </tp>
      <tp t="s">
        <v>UNITED STATES</v>
        <stp/>
        <stp>##V3_BDPV12</stp>
        <stp>9128335D Govt</stp>
        <stp>COUNTRY_FULL_NAME</stp>
        <stp>[STRIPS.xlsx]Sheet1!R285C8</stp>
        <tr r="H285" s="1"/>
      </tp>
      <tp t="s">
        <v>UNITED STATES</v>
        <stp/>
        <stp>##V3_BDPV12</stp>
        <stp>9128335G Govt</stp>
        <stp>COUNTRY_FULL_NAME</stp>
        <stp>[STRIPS.xlsx]Sheet1!R286C8</stp>
        <tr r="H286" s="1"/>
      </tp>
      <tp t="s">
        <v>UNITED STATES</v>
        <stp/>
        <stp>##V3_BDPV12</stp>
        <stp>912833CD Govt</stp>
        <stp>COUNTRY_FULL_NAME</stp>
        <stp>[STRIPS.xlsx]Sheet1!R295C8</stp>
        <tr r="H295" s="1"/>
      </tp>
      <tp t="s">
        <v>UNITED STATES</v>
        <stp/>
        <stp>##V3_BDPV12</stp>
        <stp>912833CG Govt</stp>
        <stp>COUNTRY_FULL_NAME</stp>
        <stp>[STRIPS.xlsx]Sheet1!R296C8</stp>
        <tr r="H296" s="1"/>
      </tp>
      <tp t="s">
        <v>UNITED STATES</v>
        <stp/>
        <stp>##V3_BDPV12</stp>
        <stp>912834ND Govt</stp>
        <stp>COUNTRY_FULL_NAME</stp>
        <stp>[STRIPS.xlsx]Sheet1!R545C8</stp>
        <tr r="H545" s="1"/>
      </tp>
      <tp t="s">
        <v>UNITED STATES</v>
        <stp/>
        <stp>##V3_BDPV12</stp>
        <stp>912833GD Govt</stp>
        <stp>COUNTRY_FULL_NAME</stp>
        <stp>[STRIPS.xlsx]Sheet1!R365C8</stp>
        <tr r="H365" s="1"/>
      </tp>
      <tp t="s">
        <v>UNITED STATES</v>
        <stp/>
        <stp>##V3_BDPV12</stp>
        <stp>9128334H Govt</stp>
        <stp>COUNTRY_FULL_NAME</stp>
        <stp>[STRIPS.xlsx]Sheet1!R489C8</stp>
        <tr r="H489" s="1"/>
      </tp>
      <tp t="s">
        <v>UNITED STATES</v>
        <stp/>
        <stp>##V3_BDPV12</stp>
        <stp>912833NF Govt</stp>
        <stp>COUNTRY_FULL_NAME</stp>
        <stp>[STRIPS.xlsx]Sheet1!R447C8</stp>
        <tr r="H447" s="1"/>
      </tp>
      <tp t="s">
        <v>UNITED STATES</v>
        <stp/>
        <stp>##V3_BDPV12</stp>
        <stp>912833KC Govt</stp>
        <stp>COUNTRY_FULL_NAME</stp>
        <stp>[STRIPS.xlsx]Sheet1!R442C8</stp>
        <tr r="H442" s="1"/>
      </tp>
      <tp t="s">
        <v>UNITED STATES</v>
        <stp/>
        <stp>##V3_BDPV12</stp>
        <stp>912834EH Govt</stp>
        <stp>COUNTRY_FULL_NAME</stp>
        <stp>[STRIPS.xlsx]Sheet1!R309C8</stp>
        <tr r="H309" s="1"/>
      </tp>
      <tp t="s">
        <v>UNITED STATES</v>
        <stp/>
        <stp>##V3_BDPV12</stp>
        <stp>912833NG Govt</stp>
        <stp>COUNTRY_FULL_NAME</stp>
        <stp>[STRIPS.xlsx]Sheet1!R516C8</stp>
        <tr r="H516" s="1"/>
      </tp>
      <tp t="s">
        <v>UNITED STATES</v>
        <stp/>
        <stp>##V3_BDPV12</stp>
        <stp>912833ZF Govt</stp>
        <stp>COUNTRY_FULL_NAME</stp>
        <stp>[STRIPS.xlsx]Sheet1!R587C8</stp>
        <tr r="H587" s="1"/>
      </tp>
      <tp t="s">
        <v>UNITED STATES</v>
        <stp/>
        <stp>##V3_BDPV12</stp>
        <stp>912834QF Govt</stp>
        <stp>COUNTRY_FULL_NAME</stp>
        <stp>[STRIPS.xlsx]Sheet1!R277C8</stp>
        <tr r="H277" s="1"/>
      </tp>
      <tp t="s">
        <v>UNITED STATES</v>
        <stp/>
        <stp>##V3_BDPV12</stp>
        <stp>912834UA Govt</stp>
        <stp>COUNTRY_FULL_NAME</stp>
        <stp>[STRIPS.xlsx]Sheet1!R200C8</stp>
        <tr r="H200" s="1"/>
      </tp>
      <tp t="s">
        <v>UNITED STATES</v>
        <stp/>
        <stp>##V3_BDPV12</stp>
        <stp>9128334B Govt</stp>
        <stp>COUNTRY_FULL_NAME</stp>
        <stp>[STRIPS.xlsx]Sheet1!R603C8</stp>
        <tr r="H603" s="1"/>
      </tp>
      <tp t="s">
        <v>UNITED STATES</v>
        <stp/>
        <stp>##V3_BDPV12</stp>
        <stp>912833GF Govt</stp>
        <stp>COUNTRY_FULL_NAME</stp>
        <stp>[STRIPS.xlsx]Sheet1!R667C8</stp>
        <tr r="H667" s="1"/>
      </tp>
      <tp t="s">
        <v>UNITED STATES</v>
        <stp/>
        <stp>##V3_BDPV12</stp>
        <stp>912834UF Govt</stp>
        <stp>COUNTRY_FULL_NAME</stp>
        <stp>[STRIPS.xlsx]Sheet1!R147C8</stp>
        <tr r="H147" s="1"/>
      </tp>
      <tp t="s">
        <v>UNITED STATES</v>
        <stp/>
        <stp>##V3_BDPV12</stp>
        <stp>912834XA Govt</stp>
        <stp>COUNTRY_FULL_NAME</stp>
        <stp>[STRIPS.xlsx]Sheet1!R190C8</stp>
        <tr r="H190" s="1"/>
      </tp>
      <tp t="s">
        <v>UNITED STATES</v>
        <stp/>
        <stp>##V3_BDPV12</stp>
        <stp>912834XB Govt</stp>
        <stp>COUNTRY_FULL_NAME</stp>
        <stp>[STRIPS.xlsx]Sheet1!R183C8</stp>
        <tr r="H183" s="1"/>
      </tp>
      <tp t="s">
        <v>UNITED STATES</v>
        <stp/>
        <stp>##V3_BDPV12</stp>
        <stp>912834XF Govt</stp>
        <stp>COUNTRY_FULL_NAME</stp>
        <stp>[STRIPS.xlsx]Sheet1!R187C8</stp>
        <tr r="H187" s="1"/>
      </tp>
      <tp t="s">
        <v>UNITED STATES</v>
        <stp/>
        <stp>##V3_BDPV12</stp>
        <stp>912834UB Govt</stp>
        <stp>COUNTRY_FULL_NAME</stp>
        <stp>[STRIPS.xlsx]Sheet1!R113C8</stp>
        <tr r="H113" s="1"/>
      </tp>
      <tp t="s">
        <v>UNITED STATES</v>
        <stp/>
        <stp>##V3_BDPV12</stp>
        <stp>9128332A Govt</stp>
        <stp>COUNTRY_FULL_NAME</stp>
        <stp>[STRIPS.xlsx]Sheet1!R700C8</stp>
        <tr r="H700" s="1"/>
      </tp>
      <tp t="s">
        <v>UNITED STATES</v>
        <stp/>
        <stp>##V3_BDPV12</stp>
        <stp>9128337G Govt</stp>
        <stp>COUNTRY_FULL_NAME</stp>
        <stp>[STRIPS.xlsx]Sheet1!R716C8</stp>
        <tr r="H716" s="1"/>
      </tp>
      <tp t="s">
        <v>UNITED STATES</v>
        <stp/>
        <stp>##V3_BDPV12</stp>
        <stp>912833DG Govt</stp>
        <stp>COUNTRY_FULL_NAME</stp>
        <stp>[STRIPS.xlsx]Sheet1!R736C8</stp>
        <tr r="H736" s="1"/>
      </tp>
      <tp t="s">
        <v>5/15/2047</v>
        <stp/>
        <stp>##V3_BDPV12</stp>
        <stp>912834RK Govt</stp>
        <stp>MATURITY</stp>
        <stp>[STRIPS.xlsx]Sheet1!R124C5</stp>
        <tr r="E124" s="1"/>
      </tp>
      <tp t="s">
        <v>4/15/2021</v>
        <stp/>
        <stp>##V3_BDPV12</stp>
        <stp>912834TM Govt</stp>
        <stp>MATURITY</stp>
        <stp>[STRIPS.xlsx]Sheet1!R282C5</stp>
        <tr r="E282" s="1"/>
      </tp>
      <tp t="s">
        <v>6/30/1998</v>
        <stp/>
        <stp>##V3_BDPV12</stp>
        <stp>912833QN Govt</stp>
        <stp>MATURITY</stp>
        <stp>[STRIPS.xlsx]Sheet1!R577C5</stp>
        <tr r="E577" s="1"/>
      </tp>
      <tp t="s">
        <v>6/30/2024</v>
        <stp/>
        <stp>##V3_BDPV12</stp>
        <stp>912834RN Govt</stp>
        <stp>MATURITY</stp>
        <stp>[STRIPS.xlsx]Sheet1!R194C5</stp>
        <tr r="E194" s="1"/>
      </tp>
      <tp t="s">
        <v>1/15/2024</v>
        <stp/>
        <stp>##V3_BDPV12</stp>
        <stp>912834WN Govt</stp>
        <stp>MATURITY</stp>
        <stp>[STRIPS.xlsx]Sheet1!R191C5</stp>
        <tr r="E191" s="1"/>
      </tp>
      <tp t="s">
        <v>7/31/2027</v>
        <stp/>
        <stp>##V3_BDPV12</stp>
        <stp>912834WB Govt</stp>
        <stp>MATURITY</stp>
        <stp>[STRIPS.xlsx]Sheet1!R771C5</stp>
        <tr r="E771" s="1"/>
      </tp>
      <tp t="s">
        <v>11/15/2048</v>
        <stp/>
        <stp>##V3_BDPV12</stp>
        <stp>912834UB Govt</stp>
        <stp>MATURITY</stp>
        <stp>[STRIPS.xlsx]Sheet1!R113C5</stp>
        <tr r="E113" s="1"/>
      </tp>
      <tp t="s">
        <v>4/15/2019</v>
        <stp/>
        <stp>##V3_BDPV12</stp>
        <stp>912834QF Govt</stp>
        <stp>MATURITY</stp>
        <stp>[STRIPS.xlsx]Sheet1!R277C5</stp>
        <tr r="E277" s="1"/>
      </tp>
      <tp t="s">
        <v>12/15/2022</v>
        <stp/>
        <stp>##V3_BDPV12</stp>
        <stp>912834VG Govt</stp>
        <stp>MATURITY</stp>
        <stp>[STRIPS.xlsx]Sheet1!R160C5</stp>
        <tr r="E160" s="1"/>
      </tp>
      <tp t="s">
        <v>7/31/2002</v>
        <stp/>
        <stp>##V3_BDPV12</stp>
        <stp>912833RG Govt</stp>
        <stp>MATURITY</stp>
        <stp>[STRIPS.xlsx]Sheet1!R244C5</stp>
        <tr r="E244" s="1"/>
      </tp>
      <tp t="s">
        <v>#N/A N/A</v>
        <stp/>
        <stp>##V3_BDPV12</stp>
        <stp>9128335N Govt</stp>
        <stp>YLD_YTM_BID</stp>
        <stp>[STRIPS.xlsx]Sheet1!R746C4</stp>
        <tr r="D746" s="1"/>
      </tp>
      <tp t="s">
        <v>#N/A N/A</v>
        <stp/>
        <stp>##V3_BDPV12</stp>
        <stp>9128335G Govt</stp>
        <stp>YLD_YTM_BID</stp>
        <stp>[STRIPS.xlsx]Sheet1!R286C4</stp>
        <tr r="D286" s="1"/>
      </tp>
      <tp t="s">
        <v>#N/A N/A</v>
        <stp/>
        <stp>##V3_BDPV12</stp>
        <stp>9128335Y Govt</stp>
        <stp>YLD_YTM_BID</stp>
        <stp>[STRIPS.xlsx]Sheet1!R726C4</stp>
        <tr r="D726" s="1"/>
      </tp>
      <tp t="s">
        <v>#N/A N/A</v>
        <stp/>
        <stp>##V3_BDPV12</stp>
        <stp>9128335T Govt</stp>
        <stp>YLD_YTM_BID</stp>
        <stp>[STRIPS.xlsx]Sheet1!R556C4</stp>
        <tr r="D556" s="1"/>
      </tp>
      <tp t="s">
        <v>11/15/1996</v>
        <stp/>
        <stp>##V3_BDPV12</stp>
        <stp>912833PB Govt</stp>
        <stp>ISSUE_DT</stp>
        <stp>[STRIPS.xlsx]Sheet1!R3C15</stp>
        <tr r="O3" s="1"/>
      </tp>
      <tp t="s">
        <v>8/15/1996</v>
        <stp/>
        <stp>##V3_BDPV12</stp>
        <stp>912833PA Govt</stp>
        <stp>ISSUE_DT</stp>
        <stp>[STRIPS.xlsx]Sheet1!R4C15</stp>
        <tr r="O4" s="1"/>
      </tp>
      <tp t="s">
        <v>#N/A N/A</v>
        <stp/>
        <stp>##V3_BDPV12</stp>
        <stp>9128336K Govt</stp>
        <stp>YLD_YTM_BID</stp>
        <stp>[STRIPS.xlsx]Sheet1!R496C4</stp>
        <tr r="D496" s="1"/>
      </tp>
      <tp t="s">
        <v>#N/A N/A</v>
        <stp/>
        <stp>##V3_BDPV12</stp>
        <stp>9128336U Govt</stp>
        <stp>YLD_YTM_BID</stp>
        <stp>[STRIPS.xlsx]Sheet1!R606C4</stp>
        <tr r="D606" s="1"/>
      </tp>
      <tp t="s">
        <v>#N/A N/A</v>
        <stp/>
        <stp>##V3_BDPV12</stp>
        <stp>9128337G Govt</stp>
        <stp>YLD_YTM_BID</stp>
        <stp>[STRIPS.xlsx]Sheet1!R716C4</stp>
        <tr r="D716" s="1"/>
      </tp>
      <tp t="s">
        <v>#N/A N/A</v>
        <stp/>
        <stp>##V3_BDPV12</stp>
        <stp>9128333Y Govt</stp>
        <stp>YLD_YTM_BID</stp>
        <stp>[STRIPS.xlsx]Sheet1!R486C4</stp>
        <tr r="D486" s="1"/>
      </tp>
      <tp t="s">
        <v>#N/A N/A</v>
        <stp/>
        <stp>##V3_BDPV12</stp>
        <stp>9128333U Govt</stp>
        <stp>YLD_YTM_BID</stp>
        <stp>[STRIPS.xlsx]Sheet1!R706C4</stp>
        <tr r="D706" s="1"/>
      </tp>
      <tp t="s">
        <v>11/15/1991</v>
        <stp/>
        <stp>##V3_BDPV12</stp>
        <stp>912833LF Govt</stp>
        <stp>ISSUE_DT</stp>
        <stp>[STRIPS.xlsx]Sheet1!R7C15</stp>
        <tr r="O7" s="1"/>
      </tp>
      <tp t="s">
        <v>11/15/1996</v>
        <stp/>
        <stp>##V3_BDPV12</stp>
        <stp>912833LZ Govt</stp>
        <stp>ISSUE_DT</stp>
        <stp>[STRIPS.xlsx]Sheet1!R9C15</stp>
        <tr r="O9" s="1"/>
      </tp>
      <tp t="s">
        <v>8/15/1995</v>
        <stp/>
        <stp>##V3_BDPV12</stp>
        <stp>912833LW Govt</stp>
        <stp>ISSUE_DT</stp>
        <stp>[STRIPS.xlsx]Sheet1!R2C15</stp>
        <tr r="O2" s="1"/>
      </tp>
      <tp t="s">
        <v>NORMAL</v>
        <stp/>
        <stp>##V3_BDPV12</stp>
        <stp>912834KP Govt</stp>
        <stp>MTY_TYP</stp>
        <stp>[STRIPS.xlsx]Sheet1!R8C6</stp>
        <tr r="F8" s="1"/>
      </tp>
      <tp>
        <v>1.4120000000000132</v>
        <stp/>
        <stp>##V3_BDPV12</stp>
        <stp>912834XH Govt</stp>
        <stp>YLD_YTM_BID</stp>
        <stp>[STRIPS.xlsx]Sheet1!R150C4</stp>
        <tr r="D150" s="1"/>
      </tp>
      <tp>
        <v>1.3729999999999798</v>
        <stp/>
        <stp>##V3_BDPV12</stp>
        <stp>912834XA Govt</stp>
        <stp>YLD_YTM_BID</stp>
        <stp>[STRIPS.xlsx]Sheet1!R190C4</stp>
        <tr r="D190" s="1"/>
      </tp>
      <tp t="s">
        <v>#N/A N/A</v>
        <stp/>
        <stp>##V3_BDPV12</stp>
        <stp>912833Y6 Govt</stp>
        <stp>YLD_YTM_BID</stp>
        <stp>[STRIPS.xlsx]Sheet1!R247C4</stp>
        <tr r="D247" s="1"/>
      </tp>
      <tp t="s">
        <v>#N/A N/A</v>
        <stp/>
        <stp>##V3_BDPV12</stp>
        <stp>912833ZJ Govt</stp>
        <stp>YLD_YTM_BID</stp>
        <stp>[STRIPS.xlsx]Sheet1!R527C4</stp>
        <tr r="D527" s="1"/>
      </tp>
      <tp t="s">
        <v>#N/A N/A</v>
        <stp/>
        <stp>##V3_BDPV12</stp>
        <stp>912833ZD Govt</stp>
        <stp>YLD_YTM_BID</stp>
        <stp>[STRIPS.xlsx]Sheet1!R637C4</stp>
        <tr r="D637" s="1"/>
      </tp>
      <tp t="s">
        <v>#N/A N/A</v>
        <stp/>
        <stp>##V3_BDPV12</stp>
        <stp>912833ZF Govt</stp>
        <stp>YLD_YTM_BID</stp>
        <stp>[STRIPS.xlsx]Sheet1!R587C4</stp>
        <tr r="D587" s="1"/>
      </tp>
      <tp t="s">
        <v>#N/A N/A</v>
        <stp/>
        <stp>##V3_BDPV12</stp>
        <stp>912833ZT Govt</stp>
        <stp>YLD_YTM_BID</stp>
        <stp>[STRIPS.xlsx]Sheet1!R347C4</stp>
        <tr r="D347" s="1"/>
      </tp>
      <tp t="s">
        <v>#N/A N/A</v>
        <stp/>
        <stp>##V3_BDPV12</stp>
        <stp>912833Z8 Govt</stp>
        <stp>YLD_YTM_BID</stp>
        <stp>[STRIPS.xlsx]Sheet1!R697C4</stp>
        <tr r="D697" s="1"/>
      </tp>
      <tp>
        <v>0</v>
        <stp/>
        <stp>##V3_BDPV12</stp>
        <stp>912834UV Govt</stp>
        <stp>CPN</stp>
        <stp>[STRIPS.xlsx]Sheet1!R208C3</stp>
        <tr r="C208" s="1"/>
      </tp>
      <tp>
        <v>0.81500000000001016</v>
        <stp/>
        <stp>##V3_BDPV12</stp>
        <stp>912834TW Govt</stp>
        <stp>YLD_YTM_BID</stp>
        <stp>[STRIPS.xlsx]Sheet1!R760C4</stp>
        <tr r="D760" s="1"/>
      </tp>
      <tp>
        <v>-9.0000000000031721E-3</v>
        <stp/>
        <stp>##V3_BDPV12</stp>
        <stp>912834UM Govt</stp>
        <stp>YLD_YTM_BID</stp>
        <stp>[STRIPS.xlsx]Sheet1!R180C4</stp>
        <tr r="D180" s="1"/>
      </tp>
      <tp>
        <v>0</v>
        <stp/>
        <stp>##V3_BDPV12</stp>
        <stp>912834TN Govt</stp>
        <stp>CPN</stp>
        <stp>[STRIPS.xlsx]Sheet1!R158C3</stp>
        <tr r="C158" s="1"/>
      </tp>
      <tp>
        <v>0.85600000000001231</v>
        <stp/>
        <stp>##V3_BDPV12</stp>
        <stp>912834UA Govt</stp>
        <stp>YLD_YTM_BID</stp>
        <stp>[STRIPS.xlsx]Sheet1!R200C4</stp>
        <tr r="D200" s="1"/>
      </tp>
      <tp>
        <v>0</v>
        <stp/>
        <stp>##V3_BDPV12</stp>
        <stp>912834TQ Govt</stp>
        <stp>CPN</stp>
        <stp>[STRIPS.xlsx]Sheet1!R758C3</stp>
        <tr r="C758" s="1"/>
      </tp>
      <tp>
        <v>0</v>
        <stp/>
        <stp>##V3_BDPV12</stp>
        <stp>912834WL Govt</stp>
        <stp>CPN</stp>
        <stp>[STRIPS.xlsx]Sheet1!R768C3</stp>
        <tr r="C768" s="1"/>
      </tp>
      <tp>
        <v>0</v>
        <stp/>
        <stp>##V3_BDPV12</stp>
        <stp>912834WM Govt</stp>
        <stp>CPN</stp>
        <stp>[STRIPS.xlsx]Sheet1!R188C3</stp>
        <tr r="C188" s="1"/>
      </tp>
      <tp>
        <v>0.13499999999999623</v>
        <stp/>
        <stp>##V3_BDPV12</stp>
        <stp>912834VG Govt</stp>
        <stp>YLD_YTM_BID</stp>
        <stp>[STRIPS.xlsx]Sheet1!R160C4</stp>
        <tr r="D160" s="1"/>
      </tp>
      <tp>
        <v>1.1730000000000018</v>
        <stp/>
        <stp>##V3_BDPV12</stp>
        <stp>912834VS Govt</stp>
        <stp>YLD_YTM_BID</stp>
        <stp>[STRIPS.xlsx]Sheet1!R170C4</stp>
        <tr r="D170" s="1"/>
      </tp>
      <tp>
        <v>0</v>
        <stp/>
        <stp>##V3_BDPV12</stp>
        <stp>912834VL Govt</stp>
        <stp>CPN</stp>
        <stp>[STRIPS.xlsx]Sheet1!R138C3</stp>
        <tr r="C138" s="1"/>
      </tp>
      <tp>
        <v>0</v>
        <stp/>
        <stp>##V3_BDPV12</stp>
        <stp>912834VA Govt</stp>
        <stp>CPN</stp>
        <stp>[STRIPS.xlsx]Sheet1!R178C3</stp>
        <tr r="C178" s="1"/>
      </tp>
      <tp>
        <v>1.269000000000009</v>
        <stp/>
        <stp>##V3_BDPV12</stp>
        <stp>912834WF Govt</stp>
        <stp>YLD_YTM_BID</stp>
        <stp>[STRIPS.xlsx]Sheet1!R770C4</stp>
        <tr r="D770" s="1"/>
      </tp>
      <tp>
        <v>0</v>
        <stp/>
        <stp>##V3_BDPV12</stp>
        <stp>912834VY Govt</stp>
        <stp>CPN</stp>
        <stp>[STRIPS.xlsx]Sheet1!R218C3</stp>
        <tr r="C218" s="1"/>
      </tp>
      <tp>
        <v>0</v>
        <stp/>
        <stp>##V3_BDPV12</stp>
        <stp>912834QK Govt</stp>
        <stp>CPN</stp>
        <stp>[STRIPS.xlsx]Sheet1!R278C3</stp>
        <tr r="C278" s="1"/>
      </tp>
      <tp>
        <v>0</v>
        <stp/>
        <stp>##V3_BDPV12</stp>
        <stp>912834QP Govt</stp>
        <stp>CPN</stp>
        <stp>[STRIPS.xlsx]Sheet1!R108C3</stp>
        <tr r="C108" s="1"/>
      </tp>
      <tp t="s">
        <v>#N/A N/A</v>
        <stp/>
        <stp>##V3_BDPV12</stp>
        <stp>912833PP Govt</stp>
        <stp>YLD_YTM_BID</stp>
        <stp>[STRIPS.xlsx]Sheet1!R337C4</stp>
        <tr r="D337" s="1"/>
      </tp>
      <tp>
        <v>9.5000000000000639E-2</v>
        <stp/>
        <stp>##V3_BDPV12</stp>
        <stp>912834PQ Govt</stp>
        <stp>YLD_YTM_BID</stp>
        <stp>[STRIPS.xlsx]Sheet1!R140C4</stp>
        <tr r="D140" s="1"/>
      </tp>
      <tp>
        <v>0</v>
        <stp/>
        <stp>##V3_BDPV12</stp>
        <stp>912834PL Govt</stp>
        <stp>CPN</stp>
        <stp>[STRIPS.xlsx]Sheet1!R128C3</stp>
        <tr r="C128" s="1"/>
      </tp>
      <tp t="s">
        <v>#N/A N/A</v>
        <stp/>
        <stp>##V3_BDPV12</stp>
        <stp>912833QN Govt</stp>
        <stp>YLD_YTM_BID</stp>
        <stp>[STRIPS.xlsx]Sheet1!R577C4</stp>
        <tr r="D577" s="1"/>
      </tp>
      <tp>
        <v>0</v>
        <stp/>
        <stp>##V3_BDPV12</stp>
        <stp>912834PD Govt</stp>
        <stp>CPN</stp>
        <stp>[STRIPS.xlsx]Sheet1!R478C3</stp>
        <tr r="C478" s="1"/>
      </tp>
      <tp>
        <v>0</v>
        <stp/>
        <stp>##V3_BDPV12</stp>
        <stp>912834PC Govt</stp>
        <stp>CPN</stp>
        <stp>[STRIPS.xlsx]Sheet1!R148C3</stp>
        <tr r="C148" s="1"/>
      </tp>
      <tp t="s">
        <v>#N/A N/A</v>
        <stp/>
        <stp>##V3_BDPV12</stp>
        <stp>912834QD Govt</stp>
        <stp>YLD_YTM_BID</stp>
        <stp>[STRIPS.xlsx]Sheet1!R550C4</stp>
        <tr r="D550" s="1"/>
      </tp>
      <tp t="s">
        <v>#N/A N/A</v>
        <stp/>
        <stp>##V3_BDPV12</stp>
        <stp>912833QP Govt</stp>
        <stp>YLD_YTM_BID</stp>
        <stp>[STRIPS.xlsx]Sheet1!R687C4</stp>
        <tr r="D687" s="1"/>
      </tp>
      <tp t="s">
        <v>#N/A N/A</v>
        <stp/>
        <stp>##V3_BDPV12</stp>
        <stp>912834QR Govt</stp>
        <stp>YLD_YTM_BID</stp>
        <stp>[STRIPS.xlsx]Sheet1!R480C4</stp>
        <tr r="D480" s="1"/>
      </tp>
      <tp t="s">
        <v>#N/A N/A</v>
        <stp/>
        <stp>##V3_BDPV12</stp>
        <stp>912833QT Govt</stp>
        <stp>YLD_YTM_BID</stp>
        <stp>[STRIPS.xlsx]Sheet1!R307C4</stp>
        <tr r="D307" s="1"/>
      </tp>
      <tp t="s">
        <v>#N/A N/A</v>
        <stp/>
        <stp>##V3_BDPV12</stp>
        <stp>912833QQ Govt</stp>
        <stp>YLD_YTM_BID</stp>
        <stp>[STRIPS.xlsx]Sheet1!R377C4</stp>
        <tr r="D377" s="1"/>
      </tp>
      <tp t="s">
        <v>#N/A N/A</v>
        <stp/>
        <stp>##V3_BDPV12</stp>
        <stp>912834RT Govt</stp>
        <stp>YLD_YTM_BID</stp>
        <stp>[STRIPS.xlsx]Sheet1!R280C4</stp>
        <tr r="D280" s="1"/>
      </tp>
      <tp>
        <v>0</v>
        <stp/>
        <stp>##V3_BDPV12</stp>
        <stp>912834RL Govt</stp>
        <stp>CPN</stp>
        <stp>[STRIPS.xlsx]Sheet1!R198C3</stp>
        <tr r="C198" s="1"/>
      </tp>
      <tp>
        <v>0</v>
        <stp/>
        <stp>##V3_BDPV12</stp>
        <stp>912834RE Govt</stp>
        <stp>CPN</stp>
        <stp>[STRIPS.xlsx]Sheet1!R168C3</stp>
        <tr r="C168" s="1"/>
      </tp>
      <tp t="s">
        <v>#N/A N/A</v>
        <stp/>
        <stp>##V3_BDPV12</stp>
        <stp>912834LF Govt</stp>
        <stp>YLD_YTM_BID</stp>
        <stp>[STRIPS.xlsx]Sheet1!R320C4</stp>
        <tr r="D320" s="1"/>
      </tp>
      <tp>
        <v>0</v>
        <stp/>
        <stp>##V3_BDPV12</stp>
        <stp>912834MY Govt</stp>
        <stp>CPN</stp>
        <stp>[STRIPS.xlsx]Sheet1!R328C3</stp>
        <tr r="C328" s="1"/>
      </tp>
      <tp t="s">
        <v>#N/A N/A</v>
        <stp/>
        <stp>##V3_BDPV12</stp>
        <stp>912834LW Govt</stp>
        <stp>YLD_YTM_BID</stp>
        <stp>[STRIPS.xlsx]Sheet1!R360C4</stp>
        <tr r="D360" s="1"/>
      </tp>
      <tp>
        <v>0</v>
        <stp/>
        <stp>##V3_BDPV12</stp>
        <stp>912834MQ Govt</stp>
        <stp>CPN</stp>
        <stp>[STRIPS.xlsx]Sheet1!R418C3</stp>
        <tr r="C418" s="1"/>
      </tp>
      <tp t="s">
        <v>#N/A N/A</v>
        <stp/>
        <stp>##V3_BDPV12</stp>
        <stp>912834LS Govt</stp>
        <stp>YLD_YTM_BID</stp>
        <stp>[STRIPS.xlsx]Sheet1!R270C4</stp>
        <tr r="D270" s="1"/>
      </tp>
      <tp t="s">
        <v>#N/A N/A</v>
        <stp/>
        <stp>##V3_BDPV12</stp>
        <stp>912834MB Govt</stp>
        <stp>YLD_YTM_BID</stp>
        <stp>[STRIPS.xlsx]Sheet1!R540C4</stp>
        <tr r="D540" s="1"/>
      </tp>
      <tp t="s">
        <v>#N/A N/A</v>
        <stp/>
        <stp>##V3_BDPV12</stp>
        <stp>912833ME Govt</stp>
        <stp>YLD_YTM_BID</stp>
        <stp>[STRIPS.xlsx]Sheet1!R567C4</stp>
        <tr r="D567" s="1"/>
      </tp>
      <tp t="s">
        <v>#N/A N/A</v>
        <stp/>
        <stp>##V3_BDPV12</stp>
        <stp>912833MX Govt</stp>
        <stp>YLD_YTM_BID</stp>
        <stp>[STRIPS.xlsx]Sheet1!R627C4</stp>
        <tr r="D627" s="1"/>
      </tp>
      <tp>
        <v>0</v>
        <stp/>
        <stp>##V3_BDPV12</stp>
        <stp>912834LT Govt</stp>
        <stp>CPN</stp>
        <stp>[STRIPS.xlsx]Sheet1!R358C3</stp>
        <tr r="C358" s="1"/>
      </tp>
      <tp t="s">
        <v>#N/A N/A</v>
        <stp/>
        <stp>##V3_BDPV12</stp>
        <stp>912834NJ Govt</stp>
        <stp>YLD_YTM_BID</stp>
        <stp>[STRIPS.xlsx]Sheet1!R420C4</stp>
        <tr r="D420" s="1"/>
      </tp>
      <tp t="s">
        <v>#N/A N/A</v>
        <stp/>
        <stp>##V3_BDPV12</stp>
        <stp>912833NH Govt</stp>
        <stp>YLD_YTM_BID</stp>
        <stp>[STRIPS.xlsx]Sheet1!R237C4</stp>
        <tr r="D237" s="1"/>
      </tp>
      <tp t="s">
        <v>#N/A N/A</v>
        <stp/>
        <stp>##V3_BDPV12</stp>
        <stp>912833NM Govt</stp>
        <stp>YLD_YTM_BID</stp>
        <stp>[STRIPS.xlsx]Sheet1!R517C4</stp>
        <tr r="D517" s="1"/>
      </tp>
      <tp t="s">
        <v>#N/A N/A</v>
        <stp/>
        <stp>##V3_BDPV12</stp>
        <stp>912833NF Govt</stp>
        <stp>YLD_YTM_BID</stp>
        <stp>[STRIPS.xlsx]Sheet1!R447C4</stp>
        <tr r="D447" s="1"/>
      </tp>
      <tp t="s">
        <v>#N/A N/A</v>
        <stp/>
        <stp>##V3_BDPV12</stp>
        <stp>912834NX Govt</stp>
        <stp>YLD_YTM_BID</stp>
        <stp>[STRIPS.xlsx]Sheet1!R410C4</stp>
        <tr r="D410" s="1"/>
      </tp>
      <tp t="s">
        <v>#N/A N/A</v>
        <stp/>
        <stp>##V3_BDPV12</stp>
        <stp>912833NQ Govt</stp>
        <stp>YLD_YTM_BID</stp>
        <stp>[STRIPS.xlsx]Sheet1!R677C4</stp>
        <tr r="D677" s="1"/>
      </tp>
      <tp>
        <v>2.2450000000000081</v>
        <stp/>
        <stp>##V3_BDPV12</stp>
        <stp>912834NP Govt</stp>
        <stp>YLD_YTM_BID</stp>
        <stp>[STRIPS.xlsx]Sheet1!R130C4</stp>
        <tr r="D130" s="1"/>
      </tp>
      <tp>
        <v>0</v>
        <stp/>
        <stp>##V3_BDPV12</stp>
        <stp>912834NL Govt</stp>
        <stp>CPN</stp>
        <stp>[STRIPS.xlsx]Sheet1!R408C3</stp>
        <tr r="C408" s="1"/>
      </tp>
      <tp>
        <v>0</v>
        <stp/>
        <stp>##V3_BDPV12</stp>
        <stp>912834NW Govt</stp>
        <stp>CPN</stp>
        <stp>[STRIPS.xlsx]Sheet1!R548C3</stp>
        <tr r="C548" s="1"/>
      </tp>
      <tp>
        <v>0</v>
        <stp/>
        <stp>##V3_BDPV12</stp>
        <stp>912834KL Govt</stp>
        <stp>CPN</stp>
        <stp>[STRIPS.xlsx]Sheet1!R468C3</stp>
        <tr r="C468" s="1"/>
      </tp>
      <tp>
        <v>0</v>
        <stp/>
        <stp>##V3_BDPV12</stp>
        <stp>912834KD Govt</stp>
        <stp>CPN</stp>
        <stp>[STRIPS.xlsx]Sheet1!R398C3</stp>
        <tr r="C398" s="1"/>
      </tp>
      <tp>
        <v>0</v>
        <stp/>
        <stp>##V3_BDPV12</stp>
        <stp>912834KS Govt</stp>
        <stp>CPN</stp>
        <stp>[STRIPS.xlsx]Sheet1!R268C3</stp>
        <tr r="C268" s="1"/>
      </tp>
      <tp>
        <v>0</v>
        <stp/>
        <stp>##V3_BDPV12</stp>
        <stp>912834KQ Govt</stp>
        <stp>CPN</stp>
        <stp>[STRIPS.xlsx]Sheet1!R318C3</stp>
        <tr r="C318" s="1"/>
      </tp>
      <tp>
        <v>-1.0000000000011609E-2</v>
        <stp/>
        <stp>##V3_BDPV12</stp>
        <stp>912834JW Govt</stp>
        <stp>YLD_YTM_BID</stp>
        <stp>[STRIPS.xlsx]Sheet1!R210C4</stp>
        <tr r="D210" s="1"/>
      </tp>
      <tp>
        <v>0</v>
        <stp/>
        <stp>##V3_BDPV12</stp>
        <stp>912834JL Govt</stp>
        <stp>CPN</stp>
        <stp>[STRIPS.xlsx]Sheet1!R538C3</stp>
        <tr r="C538" s="1"/>
      </tp>
      <tp t="s">
        <v>#N/A N/A</v>
        <stp/>
        <stp>##V3_BDPV12</stp>
        <stp>912834KG Govt</stp>
        <stp>YLD_YTM_BID</stp>
        <stp>[STRIPS.xlsx]Sheet1!R230C4</stp>
        <tr r="D230" s="1"/>
      </tp>
      <tp>
        <v>0</v>
        <stp/>
        <stp>##V3_BDPV12</stp>
        <stp>912834JG Govt</stp>
        <stp>CPN</stp>
        <stp>[STRIPS.xlsx]Sheet1!R228C3</stp>
        <tr r="C228" s="1"/>
      </tp>
      <tp>
        <v>2.2450000000000081</v>
        <stp/>
        <stp>##V3_BDPV12</stp>
        <stp>912834KB Govt</stp>
        <stp>YLD_YTM_BID</stp>
        <stp>[STRIPS.xlsx]Sheet1!R110C4</stp>
        <tr r="D110" s="1"/>
      </tp>
      <tp t="s">
        <v>#N/A N/A</v>
        <stp/>
        <stp>##V3_BDPV12</stp>
        <stp>912833KB Govt</stp>
        <stp>YLD_YTM_BID</stp>
        <stp>[STRIPS.xlsx]Sheet1!R367C4</stp>
        <tr r="D367" s="1"/>
      </tp>
      <tp t="s">
        <v>#N/A N/A</v>
        <stp/>
        <stp>##V3_BDPV12</stp>
        <stp>912833KX Govt</stp>
        <stp>YLD_YTM_BID</stp>
        <stp>[STRIPS.xlsx]Sheet1!R157C4</stp>
        <tr r="D157" s="1"/>
      </tp>
      <tp t="s">
        <v>#N/A N/A</v>
        <stp/>
        <stp>##V3_BDPV12</stp>
        <stp>912834KR Govt</stp>
        <stp>YLD_YTM_BID</stp>
        <stp>[STRIPS.xlsx]Sheet1!R400C4</stp>
        <tr r="D400" s="1"/>
      </tp>
      <tp t="s">
        <v>#N/A N/A</v>
        <stp/>
        <stp>##V3_BDPV12</stp>
        <stp>912833KW Govt</stp>
        <stp>YLD_YTM_BID</stp>
        <stp>[STRIPS.xlsx]Sheet1!R177C4</stp>
        <tr r="D177" s="1"/>
      </tp>
      <tp t="s">
        <v>#N/A N/A</v>
        <stp/>
        <stp>##V3_BDPV12</stp>
        <stp>912834KW Govt</stp>
        <stp>YLD_YTM_BID</stp>
        <stp>[STRIPS.xlsx]Sheet1!R470C4</stp>
        <tr r="D470" s="1"/>
      </tp>
      <tp t="s">
        <v>#N/A N/A</v>
        <stp/>
        <stp>##V3_BDPV12</stp>
        <stp>912833DA Govt</stp>
        <stp>YLD_YTM_BID</stp>
        <stp>[STRIPS.xlsx]Sheet1!R167C4</stp>
        <tr r="D167" s="1"/>
      </tp>
      <tp t="s">
        <v>#N/A N/A</v>
        <stp/>
        <stp>##V3_BDPV12</stp>
        <stp>912834DZ Govt</stp>
        <stp>YLD_YTM_BID</stp>
        <stp>[STRIPS.xlsx]Sheet1!R460C4</stp>
        <tr r="D460" s="1"/>
      </tp>
      <tp t="s">
        <v>#N/A N/A</v>
        <stp/>
        <stp>##V3_BDPV12</stp>
        <stp>912834DW Govt</stp>
        <stp>YLD_YTM_BID</stp>
        <stp>[STRIPS.xlsx]Sheet1!R390C4</stp>
        <tr r="D390" s="1"/>
      </tp>
      <tp t="s">
        <v>#N/A N/A</v>
        <stp/>
        <stp>##V3_BDPV12</stp>
        <stp>912834EN Govt</stp>
        <stp>YLD_YTM_BID</stp>
        <stp>[STRIPS.xlsx]Sheet1!R310C4</stp>
        <tr r="D310" s="1"/>
      </tp>
      <tp t="s">
        <v>#N/A N/A</v>
        <stp/>
        <stp>##V3_BDPV12</stp>
        <stp>912833FH Govt</stp>
        <stp>YLD_YTM_BID</stp>
        <stp>[STRIPS.xlsx]Sheet1!R507C4</stp>
        <tr r="D507" s="1"/>
      </tp>
      <tp t="s">
        <v>#N/A N/A</v>
        <stp/>
        <stp>##V3_BDPV12</stp>
        <stp>912833FJ Govt</stp>
        <stp>YLD_YTM_BID</stp>
        <stp>[STRIPS.xlsx]Sheet1!R737C4</stp>
        <tr r="D737" s="1"/>
      </tp>
      <tp>
        <v>2.1409999999999929</v>
        <stp/>
        <stp>##V3_BDPV12</stp>
        <stp>912834FB Govt</stp>
        <stp>YLD_YTM_BID</stp>
        <stp>[STRIPS.xlsx]Sheet1!R120C4</stp>
        <tr r="D120" s="1"/>
      </tp>
      <tp t="s">
        <v>#N/A N/A</v>
        <stp/>
        <stp>##V3_BDPV12</stp>
        <stp>912833GF Govt</stp>
        <stp>YLD_YTM_BID</stp>
        <stp>[STRIPS.xlsx]Sheet1!R667C4</stp>
        <tr r="D667" s="1"/>
      </tp>
      <tp>
        <v>0</v>
        <stp/>
        <stp>##V3_BDPV12</stp>
        <stp>912834AL Govt</stp>
        <stp>CPN</stp>
        <stp>[STRIPS.xlsx]Sheet1!R258C3</stp>
        <tr r="C258" s="1"/>
      </tp>
      <tp>
        <v>0</v>
        <stp/>
        <stp>##V3_BDPV12</stp>
        <stp>912834AE Govt</stp>
        <stp>CPN</stp>
        <stp>[STRIPS.xlsx]Sheet1!R118C3</stp>
        <tr r="C118" s="1"/>
      </tp>
      <tp>
        <v>0</v>
        <stp/>
        <stp>##V3_BDPV12</stp>
        <stp>912834AX Govt</stp>
        <stp>CPN</stp>
        <stp>[STRIPS.xlsx]Sheet1!R388C3</stp>
        <tr r="C388" s="1"/>
      </tp>
      <tp t="s">
        <v>#N/A N/A</v>
        <stp/>
        <stp>##V3_BDPV12</stp>
        <stp>912834AG Govt</stp>
        <stp>YLD_YTM_BID</stp>
        <stp>[STRIPS.xlsx]Sheet1!R590C4</stp>
        <tr r="D590" s="1"/>
      </tp>
      <tp t="s">
        <v>#N/A N/A</v>
        <stp/>
        <stp>##V3_BDPV12</stp>
        <stp>912834AQ Govt</stp>
        <stp>YLD_YTM_BID</stp>
        <stp>[STRIPS.xlsx]Sheet1!R260C4</stp>
        <tr r="D260" s="1"/>
      </tp>
      <tp t="s">
        <v>#N/A N/A</v>
        <stp/>
        <stp>##V3_BDPV12</stp>
        <stp>912834BF Govt</stp>
        <stp>YLD_YTM_BID</stp>
        <stp>[STRIPS.xlsx]Sheet1!R350C4</stp>
        <tr r="D350" s="1"/>
      </tp>
      <tp t="s">
        <v>#N/A N/A</v>
        <stp/>
        <stp>##V3_BDPV12</stp>
        <stp>912834BE Govt</stp>
        <stp>YLD_YTM_BID</stp>
        <stp>[STRIPS.xlsx]Sheet1!R530C4</stp>
        <tr r="D530" s="1"/>
      </tp>
      <tp>
        <v>0</v>
        <stp/>
        <stp>##V3_BDPV12</stp>
        <stp>912834BK Govt</stp>
        <stp>CPN</stp>
        <stp>[STRIPS.xlsx]Sheet1!R308C3</stp>
        <tr r="C308" s="1"/>
      </tp>
      <tp t="s">
        <v>#N/A N/A</v>
        <stp/>
        <stp>##V3_BDPV12</stp>
        <stp>912833CJ Govt</stp>
        <stp>YLD_YTM_BID</stp>
        <stp>[STRIPS.xlsx]Sheet1!R297C4</stp>
        <tr r="D297" s="1"/>
      </tp>
      <tp t="s">
        <v>#N/A N/A</v>
        <stp/>
        <stp>##V3_BDPV12</stp>
        <stp>912833CE Govt</stp>
        <stp>YLD_YTM_BID</stp>
        <stp>[STRIPS.xlsx]Sheet1!R437C4</stp>
        <tr r="D437" s="1"/>
      </tp>
      <tp>
        <v>0</v>
        <stp/>
        <stp>##V3_BDPV12</stp>
        <stp>912834BC Govt</stp>
        <stp>CPN</stp>
        <stp>[STRIPS.xlsx]Sheet1!R458C3</stp>
        <tr r="C458" s="1"/>
      </tp>
      <tp t="s">
        <v>#N/A N/A</v>
        <stp/>
        <stp>##V3_BDPV12</stp>
        <stp>912833CR Govt</stp>
        <stp>YLD_YTM_BID</stp>
        <stp>[STRIPS.xlsx]Sheet1!R617C4</stp>
        <tr r="D617" s="1"/>
      </tp>
      <tp t="s">
        <v>#N/A N/A</v>
        <stp/>
        <stp>##V3_BDPV12</stp>
        <stp>912833CT Govt</stp>
        <stp>YLD_YTM_BID</stp>
        <stp>[STRIPS.xlsx]Sheet1!R657C4</stp>
        <tr r="D657" s="1"/>
      </tp>
      <tp t="s">
        <v>8/15/2007</v>
        <stp/>
        <stp>##V3_BDPV12</stp>
        <stp>9128337N Govt</stp>
        <stp>ISSUE_DT</stp>
        <stp>[STRIPS.xlsx]Sheet1!R49C15</stp>
        <tr r="O49" s="1"/>
      </tp>
      <tp t="s">
        <v>S 0 05/15/51</v>
        <stp/>
        <stp>##V3_BDPV12</stp>
        <stp>912834WZ Govt</stp>
        <stp>SECURITY_NAME</stp>
        <stp>[STRIPS.xlsx]Sheet1!R6C16</stp>
        <tr r="P6" s="1"/>
      </tp>
      <tp t="s">
        <v>2/15/2007</v>
        <stp/>
        <stp>##V3_BDPV12</stp>
        <stp>9128337F Govt</stp>
        <stp>ISSUE_DT</stp>
        <stp>[STRIPS.xlsx]Sheet1!R99C15</stp>
        <tr r="O99" s="1"/>
      </tp>
      <tp t="s">
        <v>2/15/2007</v>
        <stp/>
        <stp>##V3_BDPV12</stp>
        <stp>9128337E Govt</stp>
        <stp>ISSUE_DT</stp>
        <stp>[STRIPS.xlsx]Sheet1!R23C15</stp>
        <tr r="O23" s="1"/>
      </tp>
      <tp t="s">
        <v>8/15/2007</v>
        <stp/>
        <stp>##V3_BDPV12</stp>
        <stp>9128337W Govt</stp>
        <stp>ISSUE_DT</stp>
        <stp>[STRIPS.xlsx]Sheet1!R79C15</stp>
        <tr r="O79" s="1"/>
      </tp>
      <tp t="s">
        <v>8/15/2007</v>
        <stp/>
        <stp>##V3_BDPV12</stp>
        <stp>9128337U Govt</stp>
        <stp>ISSUE_DT</stp>
        <stp>[STRIPS.xlsx]Sheet1!R46C15</stp>
        <tr r="O46" s="1"/>
      </tp>
      <tp t="s">
        <v>8/15/2007</v>
        <stp/>
        <stp>##V3_BDPV12</stp>
        <stp>9128337S Govt</stp>
        <stp>ISSUE_DT</stp>
        <stp>[STRIPS.xlsx]Sheet1!R35C15</stp>
        <tr r="O35" s="1"/>
      </tp>
      <tp t="s">
        <v>8/15/2007</v>
        <stp/>
        <stp>##V3_BDPV12</stp>
        <stp>9128337P Govt</stp>
        <stp>ISSUE_DT</stp>
        <stp>[STRIPS.xlsx]Sheet1!R25C15</stp>
        <tr r="O25" s="1"/>
      </tp>
      <tp t="s">
        <v>8/15/2007</v>
        <stp/>
        <stp>##V3_BDPV12</stp>
        <stp>9128337Q Govt</stp>
        <stp>ISSUE_DT</stp>
        <stp>[STRIPS.xlsx]Sheet1!R29C15</stp>
        <tr r="O29" s="1"/>
      </tp>
      <tp t="s">
        <v>7/31/2026</v>
        <stp/>
        <stp>##V3_BDPV12</stp>
        <stp>912834UX Govt</stp>
        <stp>MATURITY</stp>
        <stp>[STRIPS.xlsx]Sheet1!R182C5</stp>
        <tr r="E182" s="1"/>
      </tp>
      <tp t="s">
        <v>3/31/2002</v>
        <stp/>
        <stp>##V3_BDPV12</stp>
        <stp>912833PP Govt</stp>
        <stp>MATURITY</stp>
        <stp>[STRIPS.xlsx]Sheet1!R337C5</stp>
        <tr r="E337" s="1"/>
      </tp>
      <tp t="s">
        <v>8/31/2002</v>
        <stp/>
        <stp>##V3_BDPV12</stp>
        <stp>912833RS Govt</stp>
        <stp>MATURITY</stp>
        <stp>[STRIPS.xlsx]Sheet1!R525C5</stp>
        <tr r="E525" s="1"/>
      </tp>
      <tp t="s">
        <v>5/31/2026</v>
        <stp/>
        <stp>##V3_BDPV12</stp>
        <stp>912834US Govt</stp>
        <stp>MATURITY</stp>
        <stp>[STRIPS.xlsx]Sheet1!R762C5</stp>
        <tr r="E762" s="1"/>
      </tp>
      <tp t="s">
        <v>7/15/2021</v>
        <stp/>
        <stp>##V3_BDPV12</stp>
        <stp>912834TT Govt</stp>
        <stp>MATURITY</stp>
        <stp>[STRIPS.xlsx]Sheet1!R283C5</stp>
        <tr r="E283" s="1"/>
      </tp>
      <tp t="s">
        <v>3/31/2003</v>
        <stp/>
        <stp>##V3_BDPV12</stp>
        <stp>912833RU Govt</stp>
        <stp>MATURITY</stp>
        <stp>[STRIPS.xlsx]Sheet1!R635C5</stp>
        <tr r="E635" s="1"/>
      </tp>
      <tp t="s">
        <v>5/31/2027</v>
        <stp/>
        <stp>##V3_BDPV12</stp>
        <stp>912834VW Govt</stp>
        <stp>MATURITY</stp>
        <stp>[STRIPS.xlsx]Sheet1!R131C5</stp>
        <tr r="E131" s="1"/>
      </tp>
      <tp t="s">
        <v>UNITED STATES</v>
        <stp/>
        <stp>##V3_BDPV12</stp>
        <stp>912834XD Govt</stp>
        <stp>COUNTRY_FULL_NAME</stp>
        <stp>[STRIPS.xlsx]Sheet1!R764C8</stp>
        <tr r="H764" s="1"/>
      </tp>
      <tp t="s">
        <v>UNITED STATES</v>
        <stp/>
        <stp>##V3_BDPV12</stp>
        <stp>912834VC Govt</stp>
        <stp>COUNTRY_FULL_NAME</stp>
        <stp>[STRIPS.xlsx]Sheet1!R763C8</stp>
        <tr r="H763" s="1"/>
      </tp>
      <tp t="s">
        <v>UNITED STATES</v>
        <stp/>
        <stp>##V3_BDPV12</stp>
        <stp>912833DB Govt</stp>
        <stp>COUNTRY_FULL_NAME</stp>
        <stp>[STRIPS.xlsx]Sheet1!R162C8</stp>
        <tr r="H162" s="1"/>
      </tp>
      <tp t="s">
        <v>UNITED STATES</v>
        <stp/>
        <stp>##V3_BDPV12</stp>
        <stp>912833ZA Govt</stp>
        <stp>COUNTRY_FULL_NAME</stp>
        <stp>[STRIPS.xlsx]Sheet1!R251C8</stp>
        <tr r="H251" s="1"/>
      </tp>
      <tp t="s">
        <v>5/31/2001</v>
        <stp/>
        <stp>##V3_BDPV12</stp>
        <stp>912833QJ Govt</stp>
        <stp>MATURITY</stp>
        <stp>[STRIPS.xlsx]Sheet1!R686C5</stp>
        <tr r="E686" s="1"/>
      </tp>
      <tp t="s">
        <v>UNITED STATES</v>
        <stp/>
        <stp>##V3_BDPV12</stp>
        <stp>912833LB Govt</stp>
        <stp>COUNTRY_FULL_NAME</stp>
        <stp>[STRIPS.xlsx]Sheet1!R332C8</stp>
        <tr r="H332" s="1"/>
      </tp>
      <tp t="s">
        <v>UNITED STATES</v>
        <stp/>
        <stp>##V3_BDPV12</stp>
        <stp>912833MD Govt</stp>
        <stp>COUNTRY_FULL_NAME</stp>
        <stp>[STRIPS.xlsx]Sheet1!R304C8</stp>
        <tr r="H304" s="1"/>
      </tp>
      <tp t="s">
        <v>UNITED STATES</v>
        <stp/>
        <stp>##V3_BDPV12</stp>
        <stp>912834AF Govt</stp>
        <stp>COUNTRY_FULL_NAME</stp>
        <stp>[STRIPS.xlsx]Sheet1!R456C8</stp>
        <tr r="H456" s="1"/>
      </tp>
      <tp t="s">
        <v>UNITED STATES</v>
        <stp/>
        <stp>##V3_BDPV12</stp>
        <stp>912834JD Govt</stp>
        <stp>COUNTRY_FULL_NAME</stp>
        <stp>[STRIPS.xlsx]Sheet1!R314C8</stp>
        <tr r="H314" s="1"/>
      </tp>
      <tp t="s">
        <v>UNITED STATES</v>
        <stp/>
        <stp>##V3_BDPV12</stp>
        <stp>912833DE Govt</stp>
        <stp>COUNTRY_FULL_NAME</stp>
        <stp>[STRIPS.xlsx]Sheet1!R505C8</stp>
        <tr r="H505" s="1"/>
      </tp>
      <tp t="s">
        <v>UNITED STATES</v>
        <stp/>
        <stp>##V3_BDPV12</stp>
        <stp>912834RG Govt</stp>
        <stp>COUNTRY_FULL_NAME</stp>
        <stp>[STRIPS.xlsx]Sheet1!R217C8</stp>
        <tr r="H217" s="1"/>
      </tp>
      <tp t="s">
        <v>UNITED STATES</v>
        <stp/>
        <stp>##V3_BDPV12</stp>
        <stp>912833LC Govt</stp>
        <stp>COUNTRY_FULL_NAME</stp>
        <stp>[STRIPS.xlsx]Sheet1!R673C8</stp>
        <tr r="H673" s="1"/>
      </tp>
      <tp t="s">
        <v>UNITED STATES</v>
        <stp/>
        <stp>##V3_BDPV12</stp>
        <stp>912834KC Govt</stp>
        <stp>COUNTRY_FULL_NAME</stp>
        <stp>[STRIPS.xlsx]Sheet1!R133C8</stp>
        <tr r="H133" s="1"/>
      </tp>
      <tp t="s">
        <v>UNITED STATES</v>
        <stp/>
        <stp>##V3_BDPV12</stp>
        <stp>912833ZH Govt</stp>
        <stp>COUNTRY_FULL_NAME</stp>
        <stp>[STRIPS.xlsx]Sheet1!R698C8</stp>
        <tr r="H698" s="1"/>
      </tp>
      <tp t="s">
        <v>UNITED STATES</v>
        <stp/>
        <stp>##V3_BDPV12</stp>
        <stp>912834RB Govt</stp>
        <stp>COUNTRY_FULL_NAME</stp>
        <stp>[STRIPS.xlsx]Sheet1!R112C8</stp>
        <tr r="H112" s="1"/>
      </tp>
      <tp t="s">
        <v>UNITED STATES</v>
        <stp/>
        <stp>##V3_BDPV12</stp>
        <stp>912834TC Govt</stp>
        <stp>COUNTRY_FULL_NAME</stp>
        <stp>[STRIPS.xlsx]Sheet1!R163C8</stp>
        <tr r="H163" s="1"/>
      </tp>
      <tp t="s">
        <v>UNITED STATES</v>
        <stp/>
        <stp>##V3_BDPV12</stp>
        <stp>912834TE Govt</stp>
        <stp>COUNTRY_FULL_NAME</stp>
        <stp>[STRIPS.xlsx]Sheet1!R155C8</stp>
        <tr r="H155" s="1"/>
      </tp>
      <tp t="s">
        <v>UNITED STATES</v>
        <stp/>
        <stp>##V3_BDPV12</stp>
        <stp>912834UG Govt</stp>
        <stp>COUNTRY_FULL_NAME</stp>
        <stp>[STRIPS.xlsx]Sheet1!R137C8</stp>
        <tr r="H137" s="1"/>
      </tp>
      <tp t="s">
        <v>8/31/1998</v>
        <stp/>
        <stp>##V3_BDPV12</stp>
        <stp>912833RJ Govt</stp>
        <stp>MATURITY</stp>
        <stp>[STRIPS.xlsx]Sheet1!R245C5</stp>
        <tr r="E245" s="1"/>
      </tp>
      <tp t="s">
        <v>UNITED STATES</v>
        <stp/>
        <stp>##V3_BDPV12</stp>
        <stp>9128332H Govt</stp>
        <stp>COUNTRY_FULL_NAME</stp>
        <stp>[STRIPS.xlsx]Sheet1!R718C8</stp>
        <tr r="H718" s="1"/>
      </tp>
      <tp t="s">
        <v>UNITED STATES</v>
        <stp/>
        <stp>##V3_BDPV12</stp>
        <stp>9128335E Govt</stp>
        <stp>COUNTRY_FULL_NAME</stp>
        <stp>[STRIPS.xlsx]Sheet1!R745C8</stp>
        <tr r="H745" s="1"/>
      </tp>
      <tp t="s">
        <v>UNITED STATES</v>
        <stp/>
        <stp>##V3_BDPV12</stp>
        <stp>9128336C Govt</stp>
        <stp>COUNTRY_FULL_NAME</stp>
        <stp>[STRIPS.xlsx]Sheet1!R713C8</stp>
        <tr r="H713" s="1"/>
      </tp>
      <tp t="s">
        <v>6/15/2020</v>
        <stp/>
        <stp>##V3_BDPV12</stp>
        <stp>912834RM Govt</stp>
        <stp>MATURITY</stp>
        <stp>[STRIPS.xlsx]Sheet1!R415C5</stp>
        <tr r="E415" s="1"/>
      </tp>
      <tp t="s">
        <v>10/31/2002</v>
        <stp/>
        <stp>##V3_BDPV12</stp>
        <stp>912833QA Govt</stp>
        <stp>MATURITY</stp>
        <stp>[STRIPS.xlsx]Sheet1!R376C5</stp>
        <tr r="E376" s="1"/>
      </tp>
      <tp t="s">
        <v>12/31/2024</v>
        <stp/>
        <stp>##V3_BDPV12</stp>
        <stp>912834TC Govt</stp>
        <stp>MATURITY</stp>
        <stp>[STRIPS.xlsx]Sheet1!R163C5</stp>
        <tr r="E163" s="1"/>
      </tp>
      <tp t="s">
        <v>11/30/1998</v>
        <stp/>
        <stp>##V3_BDPV12</stp>
        <stp>912833QD Govt</stp>
        <stp>MATURITY</stp>
        <stp>[STRIPS.xlsx]Sheet1!R576C5</stp>
        <tr r="E576" s="1"/>
      </tp>
      <tp t="s">
        <v>9/30/2027</v>
        <stp/>
        <stp>##V3_BDPV12</stp>
        <stp>912834WF Govt</stp>
        <stp>MATURITY</stp>
        <stp>[STRIPS.xlsx]Sheet1!R770C5</stp>
        <tr r="E770" s="1"/>
      </tp>
      <tp t="s">
        <v>S</v>
        <stp/>
        <stp>##V3_BDPV12</stp>
        <stp>912833LF Govt</stp>
        <stp>TICKER</stp>
        <stp>[STRIPS.xlsx]Sheet1!R7C2</stp>
        <tr r="B7" s="1"/>
      </tp>
      <tp t="s">
        <v>#N/A N/A</v>
        <stp/>
        <stp>##V3_BDPV12</stp>
        <stp>9128334C Govt</stp>
        <stp>YLD_YTM_BID</stp>
        <stp>[STRIPS.xlsx]Sheet1!R707C4</stp>
        <tr r="D707" s="1"/>
      </tp>
      <tp t="s">
        <v>#N/A N/A</v>
        <stp/>
        <stp>##V3_BDPV12</stp>
        <stp>9128334A Govt</stp>
        <stp>YLD_YTM_BID</stp>
        <stp>[STRIPS.xlsx]Sheet1!R487C4</stp>
        <tr r="D487" s="1"/>
      </tp>
      <tp>
        <v>1.872000000000007</v>
        <stp/>
        <stp>##V3_BDPV12</stp>
        <stp>9128334X Govt</stp>
        <stp>YLD_YTM_BID</stp>
        <stp>[STRIPS.xlsx]Sheet1!R107C4</stp>
        <tr r="D107" s="1"/>
      </tp>
      <tp t="s">
        <v>#N/A N/A</v>
        <stp/>
        <stp>##V3_BDPV12</stp>
        <stp>9128335L Govt</stp>
        <stp>YLD_YTM_BID</stp>
        <stp>[STRIPS.xlsx]Sheet1!R287C4</stp>
        <tr r="D287" s="1"/>
      </tp>
      <tp t="s">
        <v>#N/A N/A</v>
        <stp/>
        <stp>##V3_BDPV12</stp>
        <stp>9128335X Govt</stp>
        <stp>YLD_YTM_BID</stp>
        <stp>[STRIPS.xlsx]Sheet1!R747C4</stp>
        <tr r="D747" s="1"/>
      </tp>
      <tp t="s">
        <v>#N/A N/A</v>
        <stp/>
        <stp>##V3_BDPV12</stp>
        <stp>9128336N Govt</stp>
        <stp>YLD_YTM_BID</stp>
        <stp>[STRIPS.xlsx]Sheet1!R497C4</stp>
        <tr r="D497" s="1"/>
      </tp>
      <tp t="s">
        <v>#N/A N/A</v>
        <stp/>
        <stp>##V3_BDPV12</stp>
        <stp>9128336L Govt</stp>
        <stp>YLD_YTM_BID</stp>
        <stp>[STRIPS.xlsx]Sheet1!R557C4</stp>
        <tr r="D557" s="1"/>
      </tp>
      <tp t="s">
        <v>#N/A N/A</v>
        <stp/>
        <stp>##V3_BDPV12</stp>
        <stp>9128336B Govt</stp>
        <stp>YLD_YTM_BID</stp>
        <stp>[STRIPS.xlsx]Sheet1!R727C4</stp>
        <tr r="D727" s="1"/>
      </tp>
      <tp t="s">
        <v>#N/A N/A</v>
        <stp/>
        <stp>##V3_BDPV12</stp>
        <stp>9128336W Govt</stp>
        <stp>YLD_YTM_BID</stp>
        <stp>[STRIPS.xlsx]Sheet1!R607C4</stp>
        <tr r="D607" s="1"/>
      </tp>
      <tp t="s">
        <v>#N/A N/A</v>
        <stp/>
        <stp>##V3_BDPV12</stp>
        <stp>9128332B Govt</stp>
        <stp>YLD_YTM_BID</stp>
        <stp>[STRIPS.xlsx]Sheet1!R717C4</stp>
        <tr r="D717" s="1"/>
      </tp>
      <tp t="s">
        <v>#N/A N/A</v>
        <stp/>
        <stp>##V3_BDPV12</stp>
        <stp>9128332E Govt</stp>
        <stp>YLD_YTM_BID</stp>
        <stp>[STRIPS.xlsx]Sheet1!R597C4</stp>
        <tr r="D597" s="1"/>
      </tp>
      <tp t="s">
        <v>#N/A N/A</v>
        <stp/>
        <stp>##V3_BDPV12</stp>
        <stp>9128333J Govt</stp>
        <stp>YLD_YTM_BID</stp>
        <stp>[STRIPS.xlsx]Sheet1!R427C4</stp>
        <tr r="D42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76E5-AEFF-4B8D-9354-EE35D168CCAD}">
  <dimension ref="A1:T776"/>
  <sheetViews>
    <sheetView tabSelected="1" workbookViewId="0">
      <selection activeCell="K15" sqref="K15"/>
    </sheetView>
  </sheetViews>
  <sheetFormatPr defaultRowHeight="15" x14ac:dyDescent="0.25"/>
  <sheetData>
    <row r="1" spans="1:20" x14ac:dyDescent="0.25">
      <c r="A1" s="1" t="s">
        <v>8</v>
      </c>
      <c r="B1" s="1" t="s">
        <v>0</v>
      </c>
      <c r="C1" s="1" t="s">
        <v>9</v>
      </c>
      <c r="D1" s="1" t="s">
        <v>15</v>
      </c>
      <c r="E1" s="1" t="s">
        <v>1</v>
      </c>
      <c r="F1" s="1" t="s">
        <v>16</v>
      </c>
      <c r="G1" s="1" t="s">
        <v>2</v>
      </c>
      <c r="H1" s="1" t="s">
        <v>17</v>
      </c>
      <c r="I1" s="1" t="s">
        <v>18</v>
      </c>
      <c r="J1" s="1" t="s">
        <v>10</v>
      </c>
      <c r="K1" s="1" t="s">
        <v>3</v>
      </c>
      <c r="L1" s="1" t="s">
        <v>4</v>
      </c>
      <c r="M1" s="1" t="s">
        <v>13</v>
      </c>
      <c r="N1" s="1" t="s">
        <v>11</v>
      </c>
      <c r="O1" s="1" t="s">
        <v>5</v>
      </c>
      <c r="P1" s="1" t="s">
        <v>12</v>
      </c>
      <c r="Q1" s="1" t="s">
        <v>6</v>
      </c>
      <c r="R1" s="1" t="s">
        <v>19</v>
      </c>
      <c r="S1" s="1" t="s">
        <v>7</v>
      </c>
      <c r="T1" s="1" t="s">
        <v>20</v>
      </c>
    </row>
    <row r="2" spans="1:20" x14ac:dyDescent="0.25">
      <c r="A2" t="s">
        <v>14</v>
      </c>
      <c r="B2" t="str">
        <f>_xll.BDP("912833LW Govt","TICKER")</f>
        <v>S</v>
      </c>
      <c r="C2">
        <f>_xll.BDP("912833LW Govt","CPN")</f>
        <v>0</v>
      </c>
      <c r="D2">
        <f>_xll.BDP("912833LW Govt","YLD_YTM_BID")</f>
        <v>0.80300000000002036</v>
      </c>
      <c r="E2" t="str">
        <f>_xll.BDP("912833LW Govt","MATURITY")</f>
        <v>8/15/2025</v>
      </c>
      <c r="F2" t="str">
        <f>_xll.BDP("912833LW Govt","MTY_TYP")</f>
        <v>NORMAL</v>
      </c>
      <c r="G2" t="str">
        <f>_xll.BDP("912833LW Govt","CRNCY")</f>
        <v>USD</v>
      </c>
      <c r="H2" t="str">
        <f>_xll.BDP("912833LW Govt","COUNTRY_FULL_NAME")</f>
        <v>UNITED STATES</v>
      </c>
      <c r="I2" t="str">
        <f>_xll.BDP("912833LW Govt","FIRST_CPN_DT")</f>
        <v>#N/A Field Not Applicable</v>
      </c>
      <c r="J2" t="str">
        <f>_xll.BDP("912833LW Govt","COUPON_FREQUENCY_DESCRIPTION")</f>
        <v>#N/A Field Not Applicable</v>
      </c>
      <c r="K2" t="str">
        <f>_xll.BDP("912833LW Govt","CPN_TYP")</f>
        <v>ZERO</v>
      </c>
      <c r="L2" t="str">
        <f>_xll.BDP("912833LW Govt","ID_ISIN")</f>
        <v>US912833LW81</v>
      </c>
      <c r="N2">
        <v>0</v>
      </c>
      <c r="O2" t="str">
        <f>_xll.BDP("912833LW Govt","ISSUE_DT")</f>
        <v>8/15/1995</v>
      </c>
      <c r="P2" t="str">
        <f>_xll.BDP("912833LW Govt","SECURITY_NAME")</f>
        <v>S 0 08/15/25</v>
      </c>
      <c r="Q2" t="str">
        <f>_xll.BDP("912833LW Govt","DAY_CNT_DES")</f>
        <v>ACT/ACT</v>
      </c>
      <c r="R2">
        <v>100</v>
      </c>
      <c r="S2" t="str">
        <f>_xll.BDP("912833LW Govt","ID_CUSIP")</f>
        <v>912833LW8</v>
      </c>
      <c r="T2" t="str">
        <f>_xll.BDP("912833LW Govt","IDX_RATIO")</f>
        <v>#N/A Field Not Applicable</v>
      </c>
    </row>
    <row r="3" spans="1:20" x14ac:dyDescent="0.25">
      <c r="A3" t="s">
        <v>14</v>
      </c>
      <c r="B3" t="str">
        <f>_xll.BDP("912833PB Govt","TICKER")</f>
        <v>S</v>
      </c>
      <c r="C3">
        <f>_xll.BDP("912833PB Govt","CPN")</f>
        <v>0</v>
      </c>
      <c r="D3">
        <f>_xll.BDP("912833PB Govt","YLD_YTM_BID")</f>
        <v>1.1070000000000135</v>
      </c>
      <c r="E3" t="str">
        <f>_xll.BDP("912833PB Govt","MATURITY")</f>
        <v>11/15/2026</v>
      </c>
      <c r="F3" t="str">
        <f>_xll.BDP("912833PB Govt","MTY_TYP")</f>
        <v>NORMAL</v>
      </c>
      <c r="G3" t="str">
        <f>_xll.BDP("912833PB Govt","CRNCY")</f>
        <v>USD</v>
      </c>
      <c r="H3" t="str">
        <f>_xll.BDP("912833PB Govt","COUNTRY_FULL_NAME")</f>
        <v>UNITED STATES</v>
      </c>
      <c r="I3" t="str">
        <f>_xll.BDP("912833PB Govt","FIRST_CPN_DT")</f>
        <v>#N/A Field Not Applicable</v>
      </c>
      <c r="J3" t="str">
        <f>_xll.BDP("912833PB Govt","COUPON_FREQUENCY_DESCRIPTION")</f>
        <v>#N/A Field Not Applicable</v>
      </c>
      <c r="K3" t="str">
        <f>_xll.BDP("912833PB Govt","CPN_TYP")</f>
        <v>ZERO</v>
      </c>
      <c r="L3" t="str">
        <f>_xll.BDP("912833PB Govt","ID_ISIN")</f>
        <v>US912833PB09</v>
      </c>
      <c r="N3">
        <v>0</v>
      </c>
      <c r="O3" t="str">
        <f>_xll.BDP("912833PB Govt","ISSUE_DT")</f>
        <v>11/15/1996</v>
      </c>
      <c r="P3" t="str">
        <f>_xll.BDP("912833PB Govt","SECURITY_NAME")</f>
        <v>S 0 11/15/26</v>
      </c>
      <c r="Q3" t="str">
        <f>_xll.BDP("912833PB Govt","DAY_CNT_DES")</f>
        <v>ACT/ACT</v>
      </c>
      <c r="R3">
        <v>100</v>
      </c>
      <c r="S3" t="str">
        <f>_xll.BDP("912833PB Govt","ID_CUSIP")</f>
        <v>912833PB0</v>
      </c>
      <c r="T3" t="str">
        <f>_xll.BDP("912833PB Govt","IDX_RATIO")</f>
        <v>#N/A Field Not Applicable</v>
      </c>
    </row>
    <row r="4" spans="1:20" x14ac:dyDescent="0.25">
      <c r="A4" t="s">
        <v>14</v>
      </c>
      <c r="B4" t="str">
        <f>_xll.BDP("912833PA Govt","TICKER")</f>
        <v>S</v>
      </c>
      <c r="C4">
        <f>_xll.BDP("912833PA Govt","CPN")</f>
        <v>0</v>
      </c>
      <c r="D4">
        <f>_xll.BDP("912833PA Govt","YLD_YTM_BID")</f>
        <v>1.0699999999999932</v>
      </c>
      <c r="E4" t="str">
        <f>_xll.BDP("912833PA Govt","MATURITY")</f>
        <v>8/15/2026</v>
      </c>
      <c r="F4" t="str">
        <f>_xll.BDP("912833PA Govt","MTY_TYP")</f>
        <v>NORMAL</v>
      </c>
      <c r="G4" t="str">
        <f>_xll.BDP("912833PA Govt","CRNCY")</f>
        <v>USD</v>
      </c>
      <c r="H4" t="str">
        <f>_xll.BDP("912833PA Govt","COUNTRY_FULL_NAME")</f>
        <v>UNITED STATES</v>
      </c>
      <c r="I4" t="str">
        <f>_xll.BDP("912833PA Govt","FIRST_CPN_DT")</f>
        <v>#N/A Field Not Applicable</v>
      </c>
      <c r="J4" t="str">
        <f>_xll.BDP("912833PA Govt","COUPON_FREQUENCY_DESCRIPTION")</f>
        <v>#N/A Field Not Applicable</v>
      </c>
      <c r="K4" t="str">
        <f>_xll.BDP("912833PA Govt","CPN_TYP")</f>
        <v>ZERO</v>
      </c>
      <c r="L4" t="str">
        <f>_xll.BDP("912833PA Govt","ID_ISIN")</f>
        <v>US912833PA26</v>
      </c>
      <c r="N4">
        <v>0</v>
      </c>
      <c r="O4" t="str">
        <f>_xll.BDP("912833PA Govt","ISSUE_DT")</f>
        <v>8/15/1996</v>
      </c>
      <c r="P4" t="str">
        <f>_xll.BDP("912833PA Govt","SECURITY_NAME")</f>
        <v>S 0 08/15/26</v>
      </c>
      <c r="Q4" t="str">
        <f>_xll.BDP("912833PA Govt","DAY_CNT_DES")</f>
        <v>ACT/ACT</v>
      </c>
      <c r="R4">
        <v>100</v>
      </c>
      <c r="S4" t="str">
        <f>_xll.BDP("912833PA Govt","ID_CUSIP")</f>
        <v>912833PA2</v>
      </c>
      <c r="T4" t="str">
        <f>_xll.BDP("912833PA Govt","IDX_RATIO")</f>
        <v>#N/A Field Not Applicable</v>
      </c>
    </row>
    <row r="5" spans="1:20" x14ac:dyDescent="0.25">
      <c r="A5" t="s">
        <v>14</v>
      </c>
      <c r="B5" t="str">
        <f>_xll.BDP("9128334S Govt","TICKER")</f>
        <v>S</v>
      </c>
      <c r="C5">
        <f>_xll.BDP("9128334S Govt","CPN")</f>
        <v>0</v>
      </c>
      <c r="D5">
        <f>_xll.BDP("9128334S Govt","YLD_YTM_BID")</f>
        <v>1.7230000000000079</v>
      </c>
      <c r="E5" t="str">
        <f>_xll.BDP("9128334S Govt","MATURITY")</f>
        <v>8/15/2031</v>
      </c>
      <c r="F5" t="str">
        <f>_xll.BDP("9128334S Govt","MTY_TYP")</f>
        <v>NORMAL</v>
      </c>
      <c r="G5" t="str">
        <f>_xll.BDP("9128334S Govt","CRNCY")</f>
        <v>USD</v>
      </c>
      <c r="H5" t="str">
        <f>_xll.BDP("9128334S Govt","COUNTRY_FULL_NAME")</f>
        <v>UNITED STATES</v>
      </c>
      <c r="I5" t="str">
        <f>_xll.BDP("9128334S Govt","FIRST_CPN_DT")</f>
        <v>#N/A Field Not Applicable</v>
      </c>
      <c r="J5" t="str">
        <f>_xll.BDP("9128334S Govt","COUPON_FREQUENCY_DESCRIPTION")</f>
        <v>#N/A Field Not Applicable</v>
      </c>
      <c r="K5" t="str">
        <f>_xll.BDP("9128334S Govt","CPN_TYP")</f>
        <v>ZERO</v>
      </c>
      <c r="L5" t="str">
        <f>_xll.BDP("9128334S Govt","ID_ISIN")</f>
        <v>US9128334S60</v>
      </c>
      <c r="N5">
        <v>0</v>
      </c>
      <c r="O5" t="str">
        <f>_xll.BDP("9128334S Govt","ISSUE_DT")</f>
        <v>2/15/2006</v>
      </c>
      <c r="P5" t="str">
        <f>_xll.BDP("9128334S Govt","SECURITY_NAME")</f>
        <v>S 0 08/15/31</v>
      </c>
      <c r="Q5" t="str">
        <f>_xll.BDP("9128334S Govt","DAY_CNT_DES")</f>
        <v>ACT/ACT</v>
      </c>
      <c r="R5">
        <v>100</v>
      </c>
      <c r="S5" t="str">
        <f>_xll.BDP("9128334S Govt","ID_CUSIP")</f>
        <v>9128334S6</v>
      </c>
      <c r="T5" t="str">
        <f>_xll.BDP("9128334S Govt","IDX_RATIO")</f>
        <v>#N/A Field Not Applicable</v>
      </c>
    </row>
    <row r="6" spans="1:20" x14ac:dyDescent="0.25">
      <c r="A6" t="s">
        <v>14</v>
      </c>
      <c r="B6" t="str">
        <f>_xll.BDP("912834WZ Govt","TICKER")</f>
        <v>S</v>
      </c>
      <c r="C6">
        <f>_xll.BDP("912834WZ Govt","CPN")</f>
        <v>0</v>
      </c>
      <c r="D6">
        <f>_xll.BDP("912834WZ Govt","YLD_YTM_BID")</f>
        <v>2.1809999999999885</v>
      </c>
      <c r="E6" t="str">
        <f>_xll.BDP("912834WZ Govt","MATURITY")</f>
        <v>5/15/2051</v>
      </c>
      <c r="F6" t="str">
        <f>_xll.BDP("912834WZ Govt","MTY_TYP")</f>
        <v>NORMAL</v>
      </c>
      <c r="G6" t="str">
        <f>_xll.BDP("912834WZ Govt","CRNCY")</f>
        <v>USD</v>
      </c>
      <c r="H6" t="str">
        <f>_xll.BDP("912834WZ Govt","COUNTRY_FULL_NAME")</f>
        <v>UNITED STATES</v>
      </c>
      <c r="I6" t="str">
        <f>_xll.BDP("912834WZ Govt","FIRST_CPN_DT")</f>
        <v>#N/A Field Not Applicable</v>
      </c>
      <c r="J6" t="str">
        <f>_xll.BDP("912834WZ Govt","COUPON_FREQUENCY_DESCRIPTION")</f>
        <v>#N/A Field Not Applicable</v>
      </c>
      <c r="K6" t="str">
        <f>_xll.BDP("912834WZ Govt","CPN_TYP")</f>
        <v>ZERO</v>
      </c>
      <c r="L6" t="str">
        <f>_xll.BDP("912834WZ Govt","ID_ISIN")</f>
        <v>US912834WZ76</v>
      </c>
      <c r="N6">
        <v>0</v>
      </c>
      <c r="O6" t="str">
        <f>_xll.BDP("912834WZ Govt","ISSUE_DT")</f>
        <v>5/17/2021</v>
      </c>
      <c r="P6" t="str">
        <f>_xll.BDP("912834WZ Govt","SECURITY_NAME")</f>
        <v>S 0 05/15/51</v>
      </c>
      <c r="Q6" t="str">
        <f>_xll.BDP("912834WZ Govt","DAY_CNT_DES")</f>
        <v>ACT/ACT</v>
      </c>
      <c r="R6">
        <v>100</v>
      </c>
      <c r="S6" t="str">
        <f>_xll.BDP("912834WZ Govt","ID_CUSIP")</f>
        <v>912834WZ7</v>
      </c>
      <c r="T6" t="str">
        <f>_xll.BDP("912834WZ Govt","IDX_RATIO")</f>
        <v>#N/A Field Not Applicable</v>
      </c>
    </row>
    <row r="7" spans="1:20" x14ac:dyDescent="0.25">
      <c r="A7" t="s">
        <v>14</v>
      </c>
      <c r="B7" t="str">
        <f>_xll.BDP("912833LF Govt","TICKER")</f>
        <v>S</v>
      </c>
      <c r="C7">
        <f>_xll.BDP("912833LF Govt","CPN")</f>
        <v>0</v>
      </c>
      <c r="D7">
        <f>_xll.BDP("912833LF Govt","YLD_YTM_BID")</f>
        <v>8.1999999999728956E-2</v>
      </c>
      <c r="E7" t="str">
        <f>_xll.BDP("912833LF Govt","MATURITY")</f>
        <v>11/15/2021</v>
      </c>
      <c r="F7" t="str">
        <f>_xll.BDP("912833LF Govt","MTY_TYP")</f>
        <v>NORMAL</v>
      </c>
      <c r="G7" t="str">
        <f>_xll.BDP("912833LF Govt","CRNCY")</f>
        <v>USD</v>
      </c>
      <c r="H7" t="str">
        <f>_xll.BDP("912833LF Govt","COUNTRY_FULL_NAME")</f>
        <v>UNITED STATES</v>
      </c>
      <c r="I7" t="str">
        <f>_xll.BDP("912833LF Govt","FIRST_CPN_DT")</f>
        <v>#N/A Field Not Applicable</v>
      </c>
      <c r="J7" t="str">
        <f>_xll.BDP("912833LF Govt","COUPON_FREQUENCY_DESCRIPTION")</f>
        <v>#N/A Field Not Applicable</v>
      </c>
      <c r="K7" t="str">
        <f>_xll.BDP("912833LF Govt","CPN_TYP")</f>
        <v>ZERO</v>
      </c>
      <c r="L7" t="str">
        <f>_xll.BDP("912833LF Govt","ID_ISIN")</f>
        <v>US912833LF58</v>
      </c>
      <c r="N7">
        <v>0</v>
      </c>
      <c r="O7" t="str">
        <f>_xll.BDP("912833LF Govt","ISSUE_DT")</f>
        <v>11/15/1991</v>
      </c>
      <c r="P7" t="str">
        <f>_xll.BDP("912833LF Govt","SECURITY_NAME")</f>
        <v>S 0 11/15/21</v>
      </c>
      <c r="Q7" t="str">
        <f>_xll.BDP("912833LF Govt","DAY_CNT_DES")</f>
        <v>ACT/ACT</v>
      </c>
      <c r="R7">
        <v>100</v>
      </c>
      <c r="S7" t="str">
        <f>_xll.BDP("912833LF Govt","ID_CUSIP")</f>
        <v>912833LF5</v>
      </c>
      <c r="T7" t="str">
        <f>_xll.BDP("912833LF Govt","IDX_RATIO")</f>
        <v>#N/A Field Not Applicable</v>
      </c>
    </row>
    <row r="8" spans="1:20" x14ac:dyDescent="0.25">
      <c r="A8" t="s">
        <v>14</v>
      </c>
      <c r="B8" t="str">
        <f>_xll.BDP("912834KP Govt","TICKER")</f>
        <v>S</v>
      </c>
      <c r="C8">
        <f>_xll.BDP("912834KP Govt","CPN")</f>
        <v>0</v>
      </c>
      <c r="D8">
        <f>_xll.BDP("912834KP Govt","YLD_YTM_BID")</f>
        <v>2.2079999999999878</v>
      </c>
      <c r="E8" t="str">
        <f>_xll.BDP("912834KP Govt","MATURITY")</f>
        <v>8/15/2041</v>
      </c>
      <c r="F8" t="str">
        <f>_xll.BDP("912834KP Govt","MTY_TYP")</f>
        <v>NORMAL</v>
      </c>
      <c r="G8" t="str">
        <f>_xll.BDP("912834KP Govt","CRNCY")</f>
        <v>USD</v>
      </c>
      <c r="H8" t="str">
        <f>_xll.BDP("912834KP Govt","COUNTRY_FULL_NAME")</f>
        <v>UNITED STATES</v>
      </c>
      <c r="I8" t="str">
        <f>_xll.BDP("912834KP Govt","FIRST_CPN_DT")</f>
        <v>#N/A Field Not Applicable</v>
      </c>
      <c r="J8" t="str">
        <f>_xll.BDP("912834KP Govt","COUPON_FREQUENCY_DESCRIPTION")</f>
        <v>#N/A Field Not Applicable</v>
      </c>
      <c r="K8" t="str">
        <f>_xll.BDP("912834KP Govt","CPN_TYP")</f>
        <v>ZERO</v>
      </c>
      <c r="L8" t="str">
        <f>_xll.BDP("912834KP Govt","ID_ISIN")</f>
        <v>US912834KP23</v>
      </c>
      <c r="N8">
        <v>0</v>
      </c>
      <c r="O8" t="str">
        <f>_xll.BDP("912834KP Govt","ISSUE_DT")</f>
        <v>8/15/2011</v>
      </c>
      <c r="P8" t="str">
        <f>_xll.BDP("912834KP Govt","SECURITY_NAME")</f>
        <v>S 0 08/15/41</v>
      </c>
      <c r="Q8" t="str">
        <f>_xll.BDP("912834KP Govt","DAY_CNT_DES")</f>
        <v>ACT/ACT</v>
      </c>
      <c r="R8">
        <v>100</v>
      </c>
      <c r="S8" t="str">
        <f>_xll.BDP("912834KP Govt","ID_CUSIP")</f>
        <v>912834KP2</v>
      </c>
      <c r="T8" t="str">
        <f>_xll.BDP("912834KP Govt","IDX_RATIO")</f>
        <v>#N/A Field Not Applicable</v>
      </c>
    </row>
    <row r="9" spans="1:20" x14ac:dyDescent="0.25">
      <c r="A9" t="s">
        <v>14</v>
      </c>
      <c r="B9" t="str">
        <f>_xll.BDP("912833LZ Govt","TICKER")</f>
        <v>S</v>
      </c>
      <c r="C9">
        <f>_xll.BDP("912833LZ Govt","CPN")</f>
        <v>0</v>
      </c>
      <c r="D9">
        <f>_xll.BDP("912833LZ Govt","YLD_YTM_BID")</f>
        <v>1.0180000000000078</v>
      </c>
      <c r="E9" t="str">
        <f>_xll.BDP("912833LZ Govt","MATURITY")</f>
        <v>5/15/2026</v>
      </c>
      <c r="F9" t="str">
        <f>_xll.BDP("912833LZ Govt","MTY_TYP")</f>
        <v>NORMAL</v>
      </c>
      <c r="G9" t="str">
        <f>_xll.BDP("912833LZ Govt","CRNCY")</f>
        <v>USD</v>
      </c>
      <c r="H9" t="str">
        <f>_xll.BDP("912833LZ Govt","COUNTRY_FULL_NAME")</f>
        <v>UNITED STATES</v>
      </c>
      <c r="I9" t="str">
        <f>_xll.BDP("912833LZ Govt","FIRST_CPN_DT")</f>
        <v>#N/A Field Not Applicable</v>
      </c>
      <c r="J9" t="str">
        <f>_xll.BDP("912833LZ Govt","COUPON_FREQUENCY_DESCRIPTION")</f>
        <v>#N/A Field Not Applicable</v>
      </c>
      <c r="K9" t="str">
        <f>_xll.BDP("912833LZ Govt","CPN_TYP")</f>
        <v>ZERO</v>
      </c>
      <c r="L9" t="str">
        <f>_xll.BDP("912833LZ Govt","ID_ISIN")</f>
        <v>US912833LZ13</v>
      </c>
      <c r="N9">
        <v>0</v>
      </c>
      <c r="O9" t="str">
        <f>_xll.BDP("912833LZ Govt","ISSUE_DT")</f>
        <v>11/15/1996</v>
      </c>
      <c r="P9" t="str">
        <f>_xll.BDP("912833LZ Govt","SECURITY_NAME")</f>
        <v>S 0 05/15/26</v>
      </c>
      <c r="Q9" t="str">
        <f>_xll.BDP("912833LZ Govt","DAY_CNT_DES")</f>
        <v>ACT/ACT</v>
      </c>
      <c r="R9">
        <v>100</v>
      </c>
      <c r="S9" t="str">
        <f>_xll.BDP("912833LZ Govt","ID_CUSIP")</f>
        <v>912833LZ1</v>
      </c>
      <c r="T9" t="str">
        <f>_xll.BDP("912833LZ Govt","IDX_RATIO")</f>
        <v>#N/A Field Not Applicable</v>
      </c>
    </row>
    <row r="10" spans="1:20" x14ac:dyDescent="0.25">
      <c r="A10" t="s">
        <v>14</v>
      </c>
      <c r="B10" t="str">
        <f>_xll.BDP("912833LX Govt","TICKER")</f>
        <v>S</v>
      </c>
      <c r="C10">
        <f>_xll.BDP("912833LX Govt","CPN")</f>
        <v>0</v>
      </c>
      <c r="D10">
        <f>_xll.BDP("912833LX Govt","YLD_YTM_BID")</f>
        <v>0.86699999999999555</v>
      </c>
      <c r="E10" t="str">
        <f>_xll.BDP("912833LX Govt","MATURITY")</f>
        <v>11/15/2025</v>
      </c>
      <c r="F10" t="str">
        <f>_xll.BDP("912833LX Govt","MTY_TYP")</f>
        <v>NORMAL</v>
      </c>
      <c r="G10" t="str">
        <f>_xll.BDP("912833LX Govt","CRNCY")</f>
        <v>USD</v>
      </c>
      <c r="H10" t="str">
        <f>_xll.BDP("912833LX Govt","COUNTRY_FULL_NAME")</f>
        <v>UNITED STATES</v>
      </c>
      <c r="I10" t="str">
        <f>_xll.BDP("912833LX Govt","FIRST_CPN_DT")</f>
        <v>#N/A Field Not Applicable</v>
      </c>
      <c r="J10" t="str">
        <f>_xll.BDP("912833LX Govt","COUPON_FREQUENCY_DESCRIPTION")</f>
        <v>#N/A Field Not Applicable</v>
      </c>
      <c r="K10" t="str">
        <f>_xll.BDP("912833LX Govt","CPN_TYP")</f>
        <v>ZERO</v>
      </c>
      <c r="L10" t="str">
        <f>_xll.BDP("912833LX Govt","ID_ISIN")</f>
        <v>US912833LX64</v>
      </c>
      <c r="N10">
        <v>0</v>
      </c>
      <c r="O10" t="str">
        <f>_xll.BDP("912833LX Govt","ISSUE_DT")</f>
        <v>11/15/1996</v>
      </c>
      <c r="P10" t="str">
        <f>_xll.BDP("912833LX Govt","SECURITY_NAME")</f>
        <v>S 0 11/15/25</v>
      </c>
      <c r="Q10" t="str">
        <f>_xll.BDP("912833LX Govt","DAY_CNT_DES")</f>
        <v>ACT/ACT</v>
      </c>
      <c r="R10">
        <v>100</v>
      </c>
      <c r="S10" t="str">
        <f>_xll.BDP("912833LX Govt","ID_CUSIP")</f>
        <v>912833LX6</v>
      </c>
      <c r="T10" t="str">
        <f>_xll.BDP("912833LX Govt","IDX_RATIO")</f>
        <v>#N/A Field Not Applicable</v>
      </c>
    </row>
    <row r="11" spans="1:20" x14ac:dyDescent="0.25">
      <c r="A11" t="s">
        <v>14</v>
      </c>
      <c r="B11" t="str">
        <f>_xll.BDP("912833LT Govt","TICKER")</f>
        <v>S</v>
      </c>
      <c r="C11">
        <f>_xll.BDP("912833LT Govt","CPN")</f>
        <v>0</v>
      </c>
      <c r="D11">
        <f>_xll.BDP("912833LT Govt","YLD_YTM_BID")</f>
        <v>0.64400000000000013</v>
      </c>
      <c r="E11" t="str">
        <f>_xll.BDP("912833LT Govt","MATURITY")</f>
        <v>11/15/2024</v>
      </c>
      <c r="F11" t="str">
        <f>_xll.BDP("912833LT Govt","MTY_TYP")</f>
        <v>NORMAL</v>
      </c>
      <c r="G11" t="str">
        <f>_xll.BDP("912833LT Govt","CRNCY")</f>
        <v>USD</v>
      </c>
      <c r="H11" t="str">
        <f>_xll.BDP("912833LT Govt","COUNTRY_FULL_NAME")</f>
        <v>UNITED STATES</v>
      </c>
      <c r="I11" t="str">
        <f>_xll.BDP("912833LT Govt","FIRST_CPN_DT")</f>
        <v>#N/A Field Not Applicable</v>
      </c>
      <c r="J11" t="str">
        <f>_xll.BDP("912833LT Govt","COUPON_FREQUENCY_DESCRIPTION")</f>
        <v>#N/A Field Not Applicable</v>
      </c>
      <c r="K11" t="str">
        <f>_xll.BDP("912833LT Govt","CPN_TYP")</f>
        <v>ZERO</v>
      </c>
      <c r="L11" t="str">
        <f>_xll.BDP("912833LT Govt","ID_ISIN")</f>
        <v>US912833LT52</v>
      </c>
      <c r="N11">
        <v>0</v>
      </c>
      <c r="O11" t="str">
        <f>_xll.BDP("912833LT Govt","ISSUE_DT")</f>
        <v>8/15/1994</v>
      </c>
      <c r="P11" t="str">
        <f>_xll.BDP("912833LT Govt","SECURITY_NAME")</f>
        <v>S 0 11/15/24</v>
      </c>
      <c r="Q11" t="str">
        <f>_xll.BDP("912833LT Govt","DAY_CNT_DES")</f>
        <v>ACT/ACT</v>
      </c>
      <c r="R11">
        <v>100</v>
      </c>
      <c r="S11" t="str">
        <f>_xll.BDP("912833LT Govt","ID_CUSIP")</f>
        <v>912833LT5</v>
      </c>
      <c r="T11" t="str">
        <f>_xll.BDP("912833LT Govt","IDX_RATIO")</f>
        <v>#N/A Field Not Applicable</v>
      </c>
    </row>
    <row r="12" spans="1:20" x14ac:dyDescent="0.25">
      <c r="A12" t="s">
        <v>14</v>
      </c>
      <c r="B12" t="str">
        <f>_xll.BDP("912833LP Govt","TICKER")</f>
        <v>S</v>
      </c>
      <c r="C12">
        <f>_xll.BDP("912833LP Govt","CPN")</f>
        <v>0</v>
      </c>
      <c r="D12">
        <f>_xll.BDP("912833LP Govt","YLD_YTM_BID")</f>
        <v>0.34499999999999531</v>
      </c>
      <c r="E12" t="str">
        <f>_xll.BDP("912833LP Govt","MATURITY")</f>
        <v>11/15/2023</v>
      </c>
      <c r="F12" t="str">
        <f>_xll.BDP("912833LP Govt","MTY_TYP")</f>
        <v>NORMAL</v>
      </c>
      <c r="G12" t="str">
        <f>_xll.BDP("912833LP Govt","CRNCY")</f>
        <v>USD</v>
      </c>
      <c r="H12" t="str">
        <f>_xll.BDP("912833LP Govt","COUNTRY_FULL_NAME")</f>
        <v>UNITED STATES</v>
      </c>
      <c r="I12" t="str">
        <f>_xll.BDP("912833LP Govt","FIRST_CPN_DT")</f>
        <v>#N/A Field Not Applicable</v>
      </c>
      <c r="J12" t="str">
        <f>_xll.BDP("912833LP Govt","COUPON_FREQUENCY_DESCRIPTION")</f>
        <v>#N/A Field Not Applicable</v>
      </c>
      <c r="K12" t="str">
        <f>_xll.BDP("912833LP Govt","CPN_TYP")</f>
        <v>ZERO</v>
      </c>
      <c r="L12" t="str">
        <f>_xll.BDP("912833LP Govt","ID_ISIN")</f>
        <v>US912833LP31</v>
      </c>
      <c r="N12">
        <v>0</v>
      </c>
      <c r="O12" t="str">
        <f>_xll.BDP("912833LP Govt","ISSUE_DT")</f>
        <v>8/15/1994</v>
      </c>
      <c r="P12" t="str">
        <f>_xll.BDP("912833LP Govt","SECURITY_NAME")</f>
        <v>S 0 11/15/23</v>
      </c>
      <c r="Q12" t="str">
        <f>_xll.BDP("912833LP Govt","DAY_CNT_DES")</f>
        <v>ACT/ACT</v>
      </c>
      <c r="R12">
        <v>100</v>
      </c>
      <c r="S12" t="str">
        <f>_xll.BDP("912833LP Govt","ID_CUSIP")</f>
        <v>912833LP3</v>
      </c>
      <c r="T12" t="str">
        <f>_xll.BDP("912833LP Govt","IDX_RATIO")</f>
        <v>#N/A Field Not Applicable</v>
      </c>
    </row>
    <row r="13" spans="1:20" x14ac:dyDescent="0.25">
      <c r="A13" t="s">
        <v>14</v>
      </c>
      <c r="B13" t="str">
        <f>_xll.BDP("912833PD Govt","TICKER")</f>
        <v>S</v>
      </c>
      <c r="C13">
        <f>_xll.BDP("912833PD Govt","CPN")</f>
        <v>0</v>
      </c>
      <c r="D13">
        <f>_xll.BDP("912833PD Govt","YLD_YTM_BID")</f>
        <v>1.1950000000000127</v>
      </c>
      <c r="E13" t="str">
        <f>_xll.BDP("912833PD Govt","MATURITY")</f>
        <v>5/15/2027</v>
      </c>
      <c r="F13" t="str">
        <f>_xll.BDP("912833PD Govt","MTY_TYP")</f>
        <v>NORMAL</v>
      </c>
      <c r="G13" t="str">
        <f>_xll.BDP("912833PD Govt","CRNCY")</f>
        <v>USD</v>
      </c>
      <c r="H13" t="str">
        <f>_xll.BDP("912833PD Govt","COUNTRY_FULL_NAME")</f>
        <v>UNITED STATES</v>
      </c>
      <c r="I13" t="str">
        <f>_xll.BDP("912833PD Govt","FIRST_CPN_DT")</f>
        <v>#N/A Field Not Applicable</v>
      </c>
      <c r="J13" t="str">
        <f>_xll.BDP("912833PD Govt","COUPON_FREQUENCY_DESCRIPTION")</f>
        <v>#N/A Field Not Applicable</v>
      </c>
      <c r="K13" t="str">
        <f>_xll.BDP("912833PD Govt","CPN_TYP")</f>
        <v>ZERO</v>
      </c>
      <c r="L13" t="str">
        <f>_xll.BDP("912833PD Govt","ID_ISIN")</f>
        <v>US912833PD64</v>
      </c>
      <c r="N13">
        <v>0</v>
      </c>
      <c r="O13" t="str">
        <f>_xll.BDP("912833PD Govt","ISSUE_DT")</f>
        <v>11/15/1997</v>
      </c>
      <c r="P13" t="str">
        <f>_xll.BDP("912833PD Govt","SECURITY_NAME")</f>
        <v>S 0 05/15/27</v>
      </c>
      <c r="Q13" t="str">
        <f>_xll.BDP("912833PD Govt","DAY_CNT_DES")</f>
        <v>ACT/ACT</v>
      </c>
      <c r="R13">
        <v>100</v>
      </c>
      <c r="S13" t="str">
        <f>_xll.BDP("912833PD Govt","ID_CUSIP")</f>
        <v>912833PD6</v>
      </c>
      <c r="T13" t="str">
        <f>_xll.BDP("912833PD Govt","IDX_RATIO")</f>
        <v>#N/A Field Not Applicable</v>
      </c>
    </row>
    <row r="14" spans="1:20" x14ac:dyDescent="0.25">
      <c r="A14" t="s">
        <v>14</v>
      </c>
      <c r="B14" t="str">
        <f>_xll.BDP("912833PC Govt","TICKER")</f>
        <v>S</v>
      </c>
      <c r="C14">
        <f>_xll.BDP("912833PC Govt","CPN")</f>
        <v>0</v>
      </c>
      <c r="D14">
        <f>_xll.BDP("912833PC Govt","YLD_YTM_BID")</f>
        <v>1.1550000000000171</v>
      </c>
      <c r="E14" t="str">
        <f>_xll.BDP("912833PC Govt","MATURITY")</f>
        <v>2/15/2027</v>
      </c>
      <c r="F14" t="str">
        <f>_xll.BDP("912833PC Govt","MTY_TYP")</f>
        <v>NORMAL</v>
      </c>
      <c r="G14" t="str">
        <f>_xll.BDP("912833PC Govt","CRNCY")</f>
        <v>USD</v>
      </c>
      <c r="H14" t="str">
        <f>_xll.BDP("912833PC Govt","COUNTRY_FULL_NAME")</f>
        <v>UNITED STATES</v>
      </c>
      <c r="I14" t="str">
        <f>_xll.BDP("912833PC Govt","FIRST_CPN_DT")</f>
        <v>#N/A Field Not Applicable</v>
      </c>
      <c r="J14" t="str">
        <f>_xll.BDP("912833PC Govt","COUPON_FREQUENCY_DESCRIPTION")</f>
        <v>#N/A Field Not Applicable</v>
      </c>
      <c r="K14" t="str">
        <f>_xll.BDP("912833PC Govt","CPN_TYP")</f>
        <v>ZERO</v>
      </c>
      <c r="L14" t="str">
        <f>_xll.BDP("912833PC Govt","ID_ISIN")</f>
        <v>US912833PC81</v>
      </c>
      <c r="N14">
        <v>0</v>
      </c>
      <c r="O14" t="str">
        <f>_xll.BDP("912833PC Govt","ISSUE_DT")</f>
        <v>2/15/1997</v>
      </c>
      <c r="P14" t="str">
        <f>_xll.BDP("912833PC Govt","SECURITY_NAME")</f>
        <v>S 0 02/15/27</v>
      </c>
      <c r="Q14" t="str">
        <f>_xll.BDP("912833PC Govt","DAY_CNT_DES")</f>
        <v>ACT/ACT</v>
      </c>
      <c r="R14">
        <v>100</v>
      </c>
      <c r="S14" t="str">
        <f>_xll.BDP("912833PC Govt","ID_CUSIP")</f>
        <v>912833PC8</v>
      </c>
      <c r="T14" t="str">
        <f>_xll.BDP("912833PC Govt","IDX_RATIO")</f>
        <v>#N/A Field Not Applicable</v>
      </c>
    </row>
    <row r="15" spans="1:20" x14ac:dyDescent="0.25">
      <c r="A15" t="s">
        <v>14</v>
      </c>
      <c r="B15" t="str">
        <f>_xll.BDP("912833PE Govt","TICKER")</f>
        <v>S</v>
      </c>
      <c r="C15">
        <f>_xll.BDP("912833PE Govt","CPN")</f>
        <v>0</v>
      </c>
      <c r="D15">
        <f>_xll.BDP("912833PE Govt","YLD_YTM_BID")</f>
        <v>1.2649999999999828</v>
      </c>
      <c r="E15" t="str">
        <f>_xll.BDP("912833PE Govt","MATURITY")</f>
        <v>8/15/2027</v>
      </c>
      <c r="F15" t="str">
        <f>_xll.BDP("912833PE Govt","MTY_TYP")</f>
        <v>NORMAL</v>
      </c>
      <c r="G15" t="str">
        <f>_xll.BDP("912833PE Govt","CRNCY")</f>
        <v>USD</v>
      </c>
      <c r="H15" t="str">
        <f>_xll.BDP("912833PE Govt","COUNTRY_FULL_NAME")</f>
        <v>UNITED STATES</v>
      </c>
      <c r="I15" t="str">
        <f>_xll.BDP("912833PE Govt","FIRST_CPN_DT")</f>
        <v>#N/A Field Not Applicable</v>
      </c>
      <c r="J15" t="str">
        <f>_xll.BDP("912833PE Govt","COUPON_FREQUENCY_DESCRIPTION")</f>
        <v>#N/A Field Not Applicable</v>
      </c>
      <c r="K15" t="str">
        <f>_xll.BDP("912833PE Govt","CPN_TYP")</f>
        <v>ZERO</v>
      </c>
      <c r="L15" t="str">
        <f>_xll.BDP("912833PE Govt","ID_ISIN")</f>
        <v>US912833PE48</v>
      </c>
      <c r="N15">
        <v>0</v>
      </c>
      <c r="O15" t="str">
        <f>_xll.BDP("912833PE Govt","ISSUE_DT")</f>
        <v>8/15/1997</v>
      </c>
      <c r="P15" t="str">
        <f>_xll.BDP("912833PE Govt","SECURITY_NAME")</f>
        <v>S 0 08/15/27</v>
      </c>
      <c r="Q15" t="str">
        <f>_xll.BDP("912833PE Govt","DAY_CNT_DES")</f>
        <v>ACT/ACT</v>
      </c>
      <c r="R15">
        <v>100</v>
      </c>
      <c r="S15" t="str">
        <f>_xll.BDP("912833PE Govt","ID_CUSIP")</f>
        <v>912833PE4</v>
      </c>
      <c r="T15" t="str">
        <f>_xll.BDP("912833PE Govt","IDX_RATIO")</f>
        <v>#N/A Field Not Applicable</v>
      </c>
    </row>
    <row r="16" spans="1:20" x14ac:dyDescent="0.25">
      <c r="A16" t="s">
        <v>14</v>
      </c>
      <c r="B16" t="str">
        <f>_xll.BDP("912833LY Govt","TICKER")</f>
        <v>S</v>
      </c>
      <c r="C16">
        <f>_xll.BDP("912833LY Govt","CPN")</f>
        <v>0</v>
      </c>
      <c r="D16">
        <f>_xll.BDP("912833LY Govt","YLD_YTM_BID")</f>
        <v>0.94699999999998674</v>
      </c>
      <c r="E16" t="str">
        <f>_xll.BDP("912833LY Govt","MATURITY")</f>
        <v>2/15/2026</v>
      </c>
      <c r="F16" t="str">
        <f>_xll.BDP("912833LY Govt","MTY_TYP")</f>
        <v>NORMAL</v>
      </c>
      <c r="G16" t="str">
        <f>_xll.BDP("912833LY Govt","CRNCY")</f>
        <v>USD</v>
      </c>
      <c r="H16" t="str">
        <f>_xll.BDP("912833LY Govt","COUNTRY_FULL_NAME")</f>
        <v>UNITED STATES</v>
      </c>
      <c r="I16" t="str">
        <f>_xll.BDP("912833LY Govt","FIRST_CPN_DT")</f>
        <v>#N/A Field Not Applicable</v>
      </c>
      <c r="J16" t="str">
        <f>_xll.BDP("912833LY Govt","COUPON_FREQUENCY_DESCRIPTION")</f>
        <v>#N/A Field Not Applicable</v>
      </c>
      <c r="K16" t="str">
        <f>_xll.BDP("912833LY Govt","CPN_TYP")</f>
        <v>ZERO</v>
      </c>
      <c r="L16" t="str">
        <f>_xll.BDP("912833LY Govt","ID_ISIN")</f>
        <v>US912833LY48</v>
      </c>
      <c r="N16">
        <v>0</v>
      </c>
      <c r="O16" t="str">
        <f>_xll.BDP("912833LY Govt","ISSUE_DT")</f>
        <v>2/15/1996</v>
      </c>
      <c r="P16" t="str">
        <f>_xll.BDP("912833LY Govt","SECURITY_NAME")</f>
        <v>S 0 02/15/26</v>
      </c>
      <c r="Q16" t="str">
        <f>_xll.BDP("912833LY Govt","DAY_CNT_DES")</f>
        <v>ACT/ACT</v>
      </c>
      <c r="R16">
        <v>100</v>
      </c>
      <c r="S16" t="str">
        <f>_xll.BDP("912833LY Govt","ID_CUSIP")</f>
        <v>912833LY4</v>
      </c>
      <c r="T16" t="str">
        <f>_xll.BDP("912833LY Govt","IDX_RATIO")</f>
        <v>#N/A Field Not Applicable</v>
      </c>
    </row>
    <row r="17" spans="1:20" x14ac:dyDescent="0.25">
      <c r="A17" t="s">
        <v>14</v>
      </c>
      <c r="B17" t="str">
        <f>_xll.BDP("912833LM Govt","TICKER")</f>
        <v>S</v>
      </c>
      <c r="C17">
        <f>_xll.BDP("912833LM Govt","CPN")</f>
        <v>0</v>
      </c>
      <c r="D17">
        <f>_xll.BDP("912833LM Govt","YLD_YTM_BID")</f>
        <v>0.26799999999997937</v>
      </c>
      <c r="E17" t="str">
        <f>_xll.BDP("912833LM Govt","MATURITY")</f>
        <v>8/15/2023</v>
      </c>
      <c r="F17" t="str">
        <f>_xll.BDP("912833LM Govt","MTY_TYP")</f>
        <v>NORMAL</v>
      </c>
      <c r="G17" t="str">
        <f>_xll.BDP("912833LM Govt","CRNCY")</f>
        <v>USD</v>
      </c>
      <c r="H17" t="str">
        <f>_xll.BDP("912833LM Govt","COUNTRY_FULL_NAME")</f>
        <v>UNITED STATES</v>
      </c>
      <c r="I17" t="str">
        <f>_xll.BDP("912833LM Govt","FIRST_CPN_DT")</f>
        <v>#N/A Field Not Applicable</v>
      </c>
      <c r="J17" t="str">
        <f>_xll.BDP("912833LM Govt","COUPON_FREQUENCY_DESCRIPTION")</f>
        <v>#N/A Field Not Applicable</v>
      </c>
      <c r="K17" t="str">
        <f>_xll.BDP("912833LM Govt","CPN_TYP")</f>
        <v>ZERO</v>
      </c>
      <c r="L17" t="str">
        <f>_xll.BDP("912833LM Govt","ID_ISIN")</f>
        <v>US912833LM00</v>
      </c>
      <c r="N17">
        <v>0</v>
      </c>
      <c r="O17" t="str">
        <f>_xll.BDP("912833LM Govt","ISSUE_DT")</f>
        <v>8/15/1993</v>
      </c>
      <c r="P17" t="str">
        <f>_xll.BDP("912833LM Govt","SECURITY_NAME")</f>
        <v>S 0 08/15/23</v>
      </c>
      <c r="Q17" t="str">
        <f>_xll.BDP("912833LM Govt","DAY_CNT_DES")</f>
        <v>ACT/ACT</v>
      </c>
      <c r="R17">
        <v>100</v>
      </c>
      <c r="S17" t="str">
        <f>_xll.BDP("912833LM Govt","ID_CUSIP")</f>
        <v>912833LM0</v>
      </c>
      <c r="T17" t="str">
        <f>_xll.BDP("912833LM Govt","IDX_RATIO")</f>
        <v>#N/A Field Not Applicable</v>
      </c>
    </row>
    <row r="18" spans="1:20" x14ac:dyDescent="0.25">
      <c r="A18" t="s">
        <v>14</v>
      </c>
      <c r="B18" t="str">
        <f>_xll.BDP("912833LJ Govt","TICKER")</f>
        <v>S</v>
      </c>
      <c r="C18">
        <f>_xll.BDP("912833LJ Govt","CPN")</f>
        <v>0</v>
      </c>
      <c r="D18">
        <f>_xll.BDP("912833LJ Govt","YLD_YTM_BID")</f>
        <v>0.11999999999998678</v>
      </c>
      <c r="E18" t="str">
        <f>_xll.BDP("912833LJ Govt","MATURITY")</f>
        <v>8/15/2022</v>
      </c>
      <c r="F18" t="str">
        <f>_xll.BDP("912833LJ Govt","MTY_TYP")</f>
        <v>NORMAL</v>
      </c>
      <c r="G18" t="str">
        <f>_xll.BDP("912833LJ Govt","CRNCY")</f>
        <v>USD</v>
      </c>
      <c r="H18" t="str">
        <f>_xll.BDP("912833LJ Govt","COUNTRY_FULL_NAME")</f>
        <v>UNITED STATES</v>
      </c>
      <c r="I18" t="str">
        <f>_xll.BDP("912833LJ Govt","FIRST_CPN_DT")</f>
        <v>#N/A Field Not Applicable</v>
      </c>
      <c r="J18" t="str">
        <f>_xll.BDP("912833LJ Govt","COUPON_FREQUENCY_DESCRIPTION")</f>
        <v>#N/A Field Not Applicable</v>
      </c>
      <c r="K18" t="str">
        <f>_xll.BDP("912833LJ Govt","CPN_TYP")</f>
        <v>ZERO</v>
      </c>
      <c r="L18" t="str">
        <f>_xll.BDP("912833LJ Govt","ID_ISIN")</f>
        <v>US912833LJ70</v>
      </c>
      <c r="N18">
        <v>0</v>
      </c>
      <c r="O18" t="str">
        <f>_xll.BDP("912833LJ Govt","ISSUE_DT")</f>
        <v>8/17/1992</v>
      </c>
      <c r="P18" t="str">
        <f>_xll.BDP("912833LJ Govt","SECURITY_NAME")</f>
        <v>S 0 08/15/22</v>
      </c>
      <c r="Q18" t="str">
        <f>_xll.BDP("912833LJ Govt","DAY_CNT_DES")</f>
        <v>ACT/ACT</v>
      </c>
      <c r="R18">
        <v>100</v>
      </c>
      <c r="S18" t="str">
        <f>_xll.BDP("912833LJ Govt","ID_CUSIP")</f>
        <v>912833LJ7</v>
      </c>
      <c r="T18" t="str">
        <f>_xll.BDP("912833LJ Govt","IDX_RATIO")</f>
        <v>#N/A Field Not Applicable</v>
      </c>
    </row>
    <row r="19" spans="1:20" x14ac:dyDescent="0.25">
      <c r="A19" t="s">
        <v>14</v>
      </c>
      <c r="B19" t="str">
        <f>_xll.BDP("912833LR Govt","TICKER")</f>
        <v>S</v>
      </c>
      <c r="C19">
        <f>_xll.BDP("912833LR Govt","CPN")</f>
        <v>0</v>
      </c>
      <c r="D19">
        <f>_xll.BDP("912833LR Govt","YLD_YTM_BID")</f>
        <v>0.49199999999998134</v>
      </c>
      <c r="E19" t="str">
        <f>_xll.BDP("912833LR Govt","MATURITY")</f>
        <v>5/15/2024</v>
      </c>
      <c r="F19" t="str">
        <f>_xll.BDP("912833LR Govt","MTY_TYP")</f>
        <v>NORMAL</v>
      </c>
      <c r="G19" t="str">
        <f>_xll.BDP("912833LR Govt","CRNCY")</f>
        <v>USD</v>
      </c>
      <c r="H19" t="str">
        <f>_xll.BDP("912833LR Govt","COUNTRY_FULL_NAME")</f>
        <v>UNITED STATES</v>
      </c>
      <c r="I19" t="str">
        <f>_xll.BDP("912833LR Govt","FIRST_CPN_DT")</f>
        <v>#N/A Field Not Applicable</v>
      </c>
      <c r="J19" t="str">
        <f>_xll.BDP("912833LR Govt","COUPON_FREQUENCY_DESCRIPTION")</f>
        <v>#N/A Field Not Applicable</v>
      </c>
      <c r="K19" t="str">
        <f>_xll.BDP("912833LR Govt","CPN_TYP")</f>
        <v>ZERO</v>
      </c>
      <c r="L19" t="str">
        <f>_xll.BDP("912833LR Govt","ID_ISIN")</f>
        <v>US912833LR96</v>
      </c>
      <c r="N19">
        <v>0</v>
      </c>
      <c r="O19" t="str">
        <f>_xll.BDP("912833LR Govt","ISSUE_DT")</f>
        <v>8/15/1994</v>
      </c>
      <c r="P19" t="str">
        <f>_xll.BDP("912833LR Govt","SECURITY_NAME")</f>
        <v>S 0 05/15/24</v>
      </c>
      <c r="Q19" t="str">
        <f>_xll.BDP("912833LR Govt","DAY_CNT_DES")</f>
        <v>ACT/ACT</v>
      </c>
      <c r="R19">
        <v>100</v>
      </c>
      <c r="S19" t="str">
        <f>_xll.BDP("912833LR Govt","ID_CUSIP")</f>
        <v>912833LR9</v>
      </c>
      <c r="T19" t="str">
        <f>_xll.BDP("912833LR Govt","IDX_RATIO")</f>
        <v>#N/A Field Not Applicable</v>
      </c>
    </row>
    <row r="20" spans="1:20" x14ac:dyDescent="0.25">
      <c r="A20" t="s">
        <v>14</v>
      </c>
      <c r="B20" t="str">
        <f>_xll.BDP("912833QB Govt","TICKER")</f>
        <v>S</v>
      </c>
      <c r="C20">
        <f>_xll.BDP("912833QB Govt","CPN")</f>
        <v>0</v>
      </c>
      <c r="D20">
        <f>_xll.BDP("912833QB Govt","YLD_YTM_BID")</f>
        <v>1.2900000000000134</v>
      </c>
      <c r="E20" t="str">
        <f>_xll.BDP("912833QB Govt","MATURITY")</f>
        <v>11/15/2027</v>
      </c>
      <c r="F20" t="str">
        <f>_xll.BDP("912833QB Govt","MTY_TYP")</f>
        <v>NORMAL</v>
      </c>
      <c r="G20" t="str">
        <f>_xll.BDP("912833QB Govt","CRNCY")</f>
        <v>USD</v>
      </c>
      <c r="H20" t="str">
        <f>_xll.BDP("912833QB Govt","COUNTRY_FULL_NAME")</f>
        <v>UNITED STATES</v>
      </c>
      <c r="I20" t="str">
        <f>_xll.BDP("912833QB Govt","FIRST_CPN_DT")</f>
        <v>#N/A Field Not Applicable</v>
      </c>
      <c r="J20" t="str">
        <f>_xll.BDP("912833QB Govt","COUPON_FREQUENCY_DESCRIPTION")</f>
        <v>#N/A Field Not Applicable</v>
      </c>
      <c r="K20" t="str">
        <f>_xll.BDP("912833QB Govt","CPN_TYP")</f>
        <v>ZERO</v>
      </c>
      <c r="L20" t="str">
        <f>_xll.BDP("912833QB Govt","ID_ISIN")</f>
        <v>US912833QB99</v>
      </c>
      <c r="N20">
        <v>0</v>
      </c>
      <c r="O20" t="str">
        <f>_xll.BDP("912833QB Govt","ISSUE_DT")</f>
        <v>11/17/1997</v>
      </c>
      <c r="P20" t="str">
        <f>_xll.BDP("912833QB Govt","SECURITY_NAME")</f>
        <v>S 0 11/15/27</v>
      </c>
      <c r="Q20" t="str">
        <f>_xll.BDP("912833QB Govt","DAY_CNT_DES")</f>
        <v>ACT/ACT</v>
      </c>
      <c r="R20">
        <v>100</v>
      </c>
      <c r="S20" t="str">
        <f>_xll.BDP("912833QB Govt","ID_CUSIP")</f>
        <v>912833QB9</v>
      </c>
      <c r="T20" t="str">
        <f>_xll.BDP("912833QB Govt","IDX_RATIO")</f>
        <v>#N/A Field Not Applicable</v>
      </c>
    </row>
    <row r="21" spans="1:20" x14ac:dyDescent="0.25">
      <c r="A21" t="s">
        <v>14</v>
      </c>
      <c r="B21" t="str">
        <f>_xll.BDP("912833LK Govt","TICKER")</f>
        <v>S</v>
      </c>
      <c r="C21">
        <f>_xll.BDP("912833LK Govt","CPN")</f>
        <v>0</v>
      </c>
      <c r="D21">
        <f>_xll.BDP("912833LK Govt","YLD_YTM_BID")</f>
        <v>0.16699999999998383</v>
      </c>
      <c r="E21" t="str">
        <f>_xll.BDP("912833LK Govt","MATURITY")</f>
        <v>11/15/2022</v>
      </c>
      <c r="F21" t="str">
        <f>_xll.BDP("912833LK Govt","MTY_TYP")</f>
        <v>NORMAL</v>
      </c>
      <c r="G21" t="str">
        <f>_xll.BDP("912833LK Govt","CRNCY")</f>
        <v>USD</v>
      </c>
      <c r="H21" t="str">
        <f>_xll.BDP("912833LK Govt","COUNTRY_FULL_NAME")</f>
        <v>UNITED STATES</v>
      </c>
      <c r="I21" t="str">
        <f>_xll.BDP("912833LK Govt","FIRST_CPN_DT")</f>
        <v>#N/A Field Not Applicable</v>
      </c>
      <c r="J21" t="str">
        <f>_xll.BDP("912833LK Govt","COUPON_FREQUENCY_DESCRIPTION")</f>
        <v>#N/A Field Not Applicable</v>
      </c>
      <c r="K21" t="str">
        <f>_xll.BDP("912833LK Govt","CPN_TYP")</f>
        <v>ZERO</v>
      </c>
      <c r="L21" t="str">
        <f>_xll.BDP("912833LK Govt","ID_ISIN")</f>
        <v>US912833LK44</v>
      </c>
      <c r="N21">
        <v>0</v>
      </c>
      <c r="O21" t="str">
        <f>_xll.BDP("912833LK Govt","ISSUE_DT")</f>
        <v>11/16/1992</v>
      </c>
      <c r="P21" t="str">
        <f>_xll.BDP("912833LK Govt","SECURITY_NAME")</f>
        <v>S 0 11/15/22</v>
      </c>
      <c r="Q21" t="str">
        <f>_xll.BDP("912833LK Govt","DAY_CNT_DES")</f>
        <v>ACT/ACT</v>
      </c>
      <c r="R21">
        <v>100</v>
      </c>
      <c r="S21" t="str">
        <f>_xll.BDP("912833LK Govt","ID_CUSIP")</f>
        <v>912833LK4</v>
      </c>
      <c r="T21" t="str">
        <f>_xll.BDP("912833LK Govt","IDX_RATIO")</f>
        <v>#N/A Field Not Applicable</v>
      </c>
    </row>
    <row r="22" spans="1:20" x14ac:dyDescent="0.25">
      <c r="A22" t="s">
        <v>14</v>
      </c>
      <c r="B22" t="str">
        <f>_xll.BDP("912833LU Govt","TICKER")</f>
        <v>S</v>
      </c>
      <c r="C22">
        <f>_xll.BDP("912833LU Govt","CPN")</f>
        <v>0</v>
      </c>
      <c r="D22">
        <f>_xll.BDP("912833LU Govt","YLD_YTM_BID")</f>
        <v>0.67800000000000082</v>
      </c>
      <c r="E22" t="str">
        <f>_xll.BDP("912833LU Govt","MATURITY")</f>
        <v>2/15/2025</v>
      </c>
      <c r="F22" t="str">
        <f>_xll.BDP("912833LU Govt","MTY_TYP")</f>
        <v>NORMAL</v>
      </c>
      <c r="G22" t="str">
        <f>_xll.BDP("912833LU Govt","CRNCY")</f>
        <v>USD</v>
      </c>
      <c r="H22" t="str">
        <f>_xll.BDP("912833LU Govt","COUNTRY_FULL_NAME")</f>
        <v>UNITED STATES</v>
      </c>
      <c r="I22" t="str">
        <f>_xll.BDP("912833LU Govt","FIRST_CPN_DT")</f>
        <v>#N/A Field Not Applicable</v>
      </c>
      <c r="J22" t="str">
        <f>_xll.BDP("912833LU Govt","COUPON_FREQUENCY_DESCRIPTION")</f>
        <v>#N/A Field Not Applicable</v>
      </c>
      <c r="K22" t="str">
        <f>_xll.BDP("912833LU Govt","CPN_TYP")</f>
        <v>ZERO</v>
      </c>
      <c r="L22" t="str">
        <f>_xll.BDP("912833LU Govt","ID_ISIN")</f>
        <v>US912833LU26</v>
      </c>
      <c r="N22">
        <v>0</v>
      </c>
      <c r="O22" t="str">
        <f>_xll.BDP("912833LU Govt","ISSUE_DT")</f>
        <v>2/15/1995</v>
      </c>
      <c r="P22" t="str">
        <f>_xll.BDP("912833LU Govt","SECURITY_NAME")</f>
        <v>S 0 02/15/25</v>
      </c>
      <c r="Q22" t="str">
        <f>_xll.BDP("912833LU Govt","DAY_CNT_DES")</f>
        <v>ACT/ACT</v>
      </c>
      <c r="R22">
        <v>100</v>
      </c>
      <c r="S22" t="str">
        <f>_xll.BDP("912833LU Govt","ID_CUSIP")</f>
        <v>912833LU2</v>
      </c>
      <c r="T22" t="str">
        <f>_xll.BDP("912833LU Govt","IDX_RATIO")</f>
        <v>#N/A Field Not Applicable</v>
      </c>
    </row>
    <row r="23" spans="1:20" x14ac:dyDescent="0.25">
      <c r="A23" t="s">
        <v>14</v>
      </c>
      <c r="B23" t="str">
        <f>_xll.BDP("9128337E Govt","TICKER")</f>
        <v>S</v>
      </c>
      <c r="C23">
        <f>_xll.BDP("9128337E Govt","CPN")</f>
        <v>0</v>
      </c>
      <c r="D23">
        <f>_xll.BDP("9128337E Govt","YLD_YTM_BID")</f>
        <v>1.980000000000004</v>
      </c>
      <c r="E23" t="str">
        <f>_xll.BDP("9128337E Govt","MATURITY")</f>
        <v>8/15/2036</v>
      </c>
      <c r="F23" t="str">
        <f>_xll.BDP("9128337E Govt","MTY_TYP")</f>
        <v>NORMAL</v>
      </c>
      <c r="G23" t="str">
        <f>_xll.BDP("9128337E Govt","CRNCY")</f>
        <v>USD</v>
      </c>
      <c r="H23" t="str">
        <f>_xll.BDP("9128337E Govt","COUNTRY_FULL_NAME")</f>
        <v>UNITED STATES</v>
      </c>
      <c r="I23" t="str">
        <f>_xll.BDP("9128337E Govt","FIRST_CPN_DT")</f>
        <v>#N/A Field Not Applicable</v>
      </c>
      <c r="J23" t="str">
        <f>_xll.BDP("9128337E Govt","COUPON_FREQUENCY_DESCRIPTION")</f>
        <v>#N/A Field Not Applicable</v>
      </c>
      <c r="K23" t="str">
        <f>_xll.BDP("9128337E Govt","CPN_TYP")</f>
        <v>ZERO</v>
      </c>
      <c r="L23" t="str">
        <f>_xll.BDP("9128337E Govt","ID_ISIN")</f>
        <v>US9128337E48</v>
      </c>
      <c r="N23">
        <v>0</v>
      </c>
      <c r="O23" t="str">
        <f>_xll.BDP("9128337E Govt","ISSUE_DT")</f>
        <v>2/15/2007</v>
      </c>
      <c r="P23" t="str">
        <f>_xll.BDP("9128337E Govt","SECURITY_NAME")</f>
        <v>S 0 08/15/36</v>
      </c>
      <c r="Q23" t="str">
        <f>_xll.BDP("9128337E Govt","DAY_CNT_DES")</f>
        <v>ACT/ACT</v>
      </c>
      <c r="R23">
        <v>100</v>
      </c>
      <c r="S23" t="str">
        <f>_xll.BDP("9128337E Govt","ID_CUSIP")</f>
        <v>9128337E4</v>
      </c>
      <c r="T23" t="str">
        <f>_xll.BDP("9128337E Govt","IDX_RATIO")</f>
        <v>#N/A Field Not Applicable</v>
      </c>
    </row>
    <row r="24" spans="1:20" x14ac:dyDescent="0.25">
      <c r="A24" t="s">
        <v>14</v>
      </c>
      <c r="B24" t="str">
        <f>_xll.BDP("912833WQ Govt","TICKER")</f>
        <v>S</v>
      </c>
      <c r="C24">
        <f>_xll.BDP("912833WQ Govt","CPN")</f>
        <v>0</v>
      </c>
      <c r="D24">
        <f>_xll.BDP("912833WQ Govt","YLD_YTM_BID")</f>
        <v>1.3980000000000103</v>
      </c>
      <c r="E24" t="str">
        <f>_xll.BDP("912833WQ Govt","MATURITY")</f>
        <v>5/15/2028</v>
      </c>
      <c r="F24" t="str">
        <f>_xll.BDP("912833WQ Govt","MTY_TYP")</f>
        <v>NORMAL</v>
      </c>
      <c r="G24" t="str">
        <f>_xll.BDP("912833WQ Govt","CRNCY")</f>
        <v>USD</v>
      </c>
      <c r="H24" t="str">
        <f>_xll.BDP("912833WQ Govt","COUNTRY_FULL_NAME")</f>
        <v>UNITED STATES</v>
      </c>
      <c r="I24" t="str">
        <f>_xll.BDP("912833WQ Govt","FIRST_CPN_DT")</f>
        <v>#N/A Field Not Applicable</v>
      </c>
      <c r="J24" t="str">
        <f>_xll.BDP("912833WQ Govt","COUPON_FREQUENCY_DESCRIPTION")</f>
        <v>#N/A Field Not Applicable</v>
      </c>
      <c r="K24" t="str">
        <f>_xll.BDP("912833WQ Govt","CPN_TYP")</f>
        <v>ZERO</v>
      </c>
      <c r="L24" t="str">
        <f>_xll.BDP("912833WQ Govt","ID_ISIN")</f>
        <v>US912833WQ94</v>
      </c>
      <c r="N24">
        <v>0</v>
      </c>
      <c r="O24" t="str">
        <f>_xll.BDP("912833WQ Govt","ISSUE_DT")</f>
        <v>11/16/1998</v>
      </c>
      <c r="P24" t="str">
        <f>_xll.BDP("912833WQ Govt","SECURITY_NAME")</f>
        <v>S 0 05/15/28</v>
      </c>
      <c r="Q24" t="str">
        <f>_xll.BDP("912833WQ Govt","DAY_CNT_DES")</f>
        <v>ACT/ACT</v>
      </c>
      <c r="R24">
        <v>100</v>
      </c>
      <c r="S24" t="str">
        <f>_xll.BDP("912833WQ Govt","ID_CUSIP")</f>
        <v>912833WQ9</v>
      </c>
      <c r="T24" t="str">
        <f>_xll.BDP("912833WQ Govt","IDX_RATIO")</f>
        <v>#N/A Field Not Applicable</v>
      </c>
    </row>
    <row r="25" spans="1:20" x14ac:dyDescent="0.25">
      <c r="A25" t="s">
        <v>14</v>
      </c>
      <c r="B25" t="str">
        <f>_xll.BDP("9128337P Govt","TICKER")</f>
        <v>S</v>
      </c>
      <c r="C25">
        <f>_xll.BDP("9128337P Govt","CPN")</f>
        <v>0</v>
      </c>
      <c r="D25">
        <f>_xll.BDP("9128337P Govt","YLD_YTM_BID")</f>
        <v>1.709000000000005</v>
      </c>
      <c r="E25" t="str">
        <f>_xll.BDP("9128337P Govt","MATURITY")</f>
        <v>5/15/2031</v>
      </c>
      <c r="F25" t="str">
        <f>_xll.BDP("9128337P Govt","MTY_TYP")</f>
        <v>NORMAL</v>
      </c>
      <c r="G25" t="str">
        <f>_xll.BDP("9128337P Govt","CRNCY")</f>
        <v>USD</v>
      </c>
      <c r="H25" t="str">
        <f>_xll.BDP("9128337P Govt","COUNTRY_FULL_NAME")</f>
        <v>UNITED STATES</v>
      </c>
      <c r="I25" t="str">
        <f>_xll.BDP("9128337P Govt","FIRST_CPN_DT")</f>
        <v>#N/A Field Not Applicable</v>
      </c>
      <c r="J25" t="str">
        <f>_xll.BDP("9128337P Govt","COUPON_FREQUENCY_DESCRIPTION")</f>
        <v>#N/A Field Not Applicable</v>
      </c>
      <c r="K25" t="str">
        <f>_xll.BDP("9128337P Govt","CPN_TYP")</f>
        <v>ZERO</v>
      </c>
      <c r="L25" t="str">
        <f>_xll.BDP("9128337P Govt","ID_ISIN")</f>
        <v>US9128337P94</v>
      </c>
      <c r="N25">
        <v>0</v>
      </c>
      <c r="O25" t="str">
        <f>_xll.BDP("9128337P Govt","ISSUE_DT")</f>
        <v>8/15/2007</v>
      </c>
      <c r="P25" t="str">
        <f>_xll.BDP("9128337P Govt","SECURITY_NAME")</f>
        <v>S 0 05/15/31</v>
      </c>
      <c r="Q25" t="str">
        <f>_xll.BDP("9128337P Govt","DAY_CNT_DES")</f>
        <v>ACT/ACT</v>
      </c>
      <c r="R25">
        <v>100</v>
      </c>
      <c r="S25" t="str">
        <f>_xll.BDP("9128337P Govt","ID_CUSIP")</f>
        <v>9128337P9</v>
      </c>
      <c r="T25" t="str">
        <f>_xll.BDP("9128337P Govt","IDX_RATIO")</f>
        <v>#N/A Field Not Applicable</v>
      </c>
    </row>
    <row r="26" spans="1:20" x14ac:dyDescent="0.25">
      <c r="A26" t="s">
        <v>14</v>
      </c>
      <c r="B26" t="str">
        <f>_xll.BDP("912833RZ Govt","TICKER")</f>
        <v>S</v>
      </c>
      <c r="C26">
        <f>_xll.BDP("912833RZ Govt","CPN")</f>
        <v>0</v>
      </c>
      <c r="D26">
        <f>_xll.BDP("912833RZ Govt","YLD_YTM_BID")</f>
        <v>1.4149999999999885</v>
      </c>
      <c r="E26" t="str">
        <f>_xll.BDP("912833RZ Govt","MATURITY")</f>
        <v>8/15/2028</v>
      </c>
      <c r="F26" t="str">
        <f>_xll.BDP("912833RZ Govt","MTY_TYP")</f>
        <v>NORMAL</v>
      </c>
      <c r="G26" t="str">
        <f>_xll.BDP("912833RZ Govt","CRNCY")</f>
        <v>USD</v>
      </c>
      <c r="H26" t="str">
        <f>_xll.BDP("912833RZ Govt","COUNTRY_FULL_NAME")</f>
        <v>UNITED STATES</v>
      </c>
      <c r="I26" t="str">
        <f>_xll.BDP("912833RZ Govt","FIRST_CPN_DT")</f>
        <v>#N/A Field Not Applicable</v>
      </c>
      <c r="J26" t="str">
        <f>_xll.BDP("912833RZ Govt","COUPON_FREQUENCY_DESCRIPTION")</f>
        <v>#N/A Field Not Applicable</v>
      </c>
      <c r="K26" t="str">
        <f>_xll.BDP("912833RZ Govt","CPN_TYP")</f>
        <v>ZERO</v>
      </c>
      <c r="L26" t="str">
        <f>_xll.BDP("912833RZ Govt","ID_ISIN")</f>
        <v>US912833RZ58</v>
      </c>
      <c r="N26">
        <v>0</v>
      </c>
      <c r="O26" t="str">
        <f>_xll.BDP("912833RZ Govt","ISSUE_DT")</f>
        <v>8/17/1998</v>
      </c>
      <c r="P26" t="str">
        <f>_xll.BDP("912833RZ Govt","SECURITY_NAME")</f>
        <v>S 0 08/15/28</v>
      </c>
      <c r="Q26" t="str">
        <f>_xll.BDP("912833RZ Govt","DAY_CNT_DES")</f>
        <v>ACT/ACT</v>
      </c>
      <c r="R26">
        <v>100</v>
      </c>
      <c r="S26" t="str">
        <f>_xll.BDP("912833RZ Govt","ID_CUSIP")</f>
        <v>912833RZ5</v>
      </c>
      <c r="T26" t="str">
        <f>_xll.BDP("912833RZ Govt","IDX_RATIO")</f>
        <v>#N/A Field Not Applicable</v>
      </c>
    </row>
    <row r="27" spans="1:20" x14ac:dyDescent="0.25">
      <c r="A27" t="s">
        <v>14</v>
      </c>
      <c r="B27" t="str">
        <f>_xll.BDP("912833Y2 Govt","TICKER")</f>
        <v>S</v>
      </c>
      <c r="C27">
        <f>_xll.BDP("912833Y2 Govt","CPN")</f>
        <v>0</v>
      </c>
      <c r="D27">
        <f>_xll.BDP("912833Y2 Govt","YLD_YTM_BID")</f>
        <v>1.9680000000000142</v>
      </c>
      <c r="E27" t="str">
        <f>_xll.BDP("912833Y2 Govt","MATURITY")</f>
        <v>5/15/2036</v>
      </c>
      <c r="F27" t="str">
        <f>_xll.BDP("912833Y2 Govt","MTY_TYP")</f>
        <v>NORMAL</v>
      </c>
      <c r="G27" t="str">
        <f>_xll.BDP("912833Y2 Govt","CRNCY")</f>
        <v>USD</v>
      </c>
      <c r="H27" t="str">
        <f>_xll.BDP("912833Y2 Govt","COUNTRY_FULL_NAME")</f>
        <v>UNITED STATES</v>
      </c>
      <c r="I27" t="str">
        <f>_xll.BDP("912833Y2 Govt","FIRST_CPN_DT")</f>
        <v>#N/A Field Not Applicable</v>
      </c>
      <c r="J27" t="str">
        <f>_xll.BDP("912833Y2 Govt","COUPON_FREQUENCY_DESCRIPTION")</f>
        <v>#N/A Field Not Applicable</v>
      </c>
      <c r="K27" t="str">
        <f>_xll.BDP("912833Y2 Govt","CPN_TYP")</f>
        <v>ZERO</v>
      </c>
      <c r="L27" t="str">
        <f>_xll.BDP("912833Y2 Govt","ID_ISIN")</f>
        <v>US912833Y206</v>
      </c>
      <c r="N27">
        <v>0</v>
      </c>
      <c r="O27" t="str">
        <f>_xll.BDP("912833Y2 Govt","ISSUE_DT")</f>
        <v>8/15/2007</v>
      </c>
      <c r="P27" t="str">
        <f>_xll.BDP("912833Y2 Govt","SECURITY_NAME")</f>
        <v>S 0 05/15/36</v>
      </c>
      <c r="Q27" t="str">
        <f>_xll.BDP("912833Y2 Govt","DAY_CNT_DES")</f>
        <v>ACT/ACT</v>
      </c>
      <c r="R27">
        <v>100</v>
      </c>
      <c r="S27" t="str">
        <f>_xll.BDP("912833Y2 Govt","ID_CUSIP")</f>
        <v>912833Y20</v>
      </c>
      <c r="T27" t="str">
        <f>_xll.BDP("912833Y2 Govt","IDX_RATIO")</f>
        <v>#N/A Field Not Applicable</v>
      </c>
    </row>
    <row r="28" spans="1:20" x14ac:dyDescent="0.25">
      <c r="A28" t="s">
        <v>14</v>
      </c>
      <c r="B28" t="str">
        <f>_xll.BDP("912833RY Govt","TICKER")</f>
        <v>S</v>
      </c>
      <c r="C28">
        <f>_xll.BDP("912833RY Govt","CPN")</f>
        <v>0</v>
      </c>
      <c r="D28">
        <f>_xll.BDP("912833RY Govt","YLD_YTM_BID")</f>
        <v>1.3500000000000068</v>
      </c>
      <c r="E28" t="str">
        <f>_xll.BDP("912833RY Govt","MATURITY")</f>
        <v>2/15/2028</v>
      </c>
      <c r="F28" t="str">
        <f>_xll.BDP("912833RY Govt","MTY_TYP")</f>
        <v>NORMAL</v>
      </c>
      <c r="G28" t="str">
        <f>_xll.BDP("912833RY Govt","CRNCY")</f>
        <v>USD</v>
      </c>
      <c r="H28" t="str">
        <f>_xll.BDP("912833RY Govt","COUNTRY_FULL_NAME")</f>
        <v>UNITED STATES</v>
      </c>
      <c r="I28" t="str">
        <f>_xll.BDP("912833RY Govt","FIRST_CPN_DT")</f>
        <v>#N/A Field Not Applicable</v>
      </c>
      <c r="J28" t="str">
        <f>_xll.BDP("912833RY Govt","COUPON_FREQUENCY_DESCRIPTION")</f>
        <v>#N/A Field Not Applicable</v>
      </c>
      <c r="K28" t="str">
        <f>_xll.BDP("912833RY Govt","CPN_TYP")</f>
        <v>ZERO</v>
      </c>
      <c r="L28" t="str">
        <f>_xll.BDP("912833RY Govt","ID_ISIN")</f>
        <v>US912833RY83</v>
      </c>
      <c r="N28">
        <v>0</v>
      </c>
      <c r="O28" t="str">
        <f>_xll.BDP("912833RY Govt","ISSUE_DT")</f>
        <v>8/17/1998</v>
      </c>
      <c r="P28" t="str">
        <f>_xll.BDP("912833RY Govt","SECURITY_NAME")</f>
        <v>S 0 02/15/28</v>
      </c>
      <c r="Q28" t="str">
        <f>_xll.BDP("912833RY Govt","DAY_CNT_DES")</f>
        <v>ACT/ACT</v>
      </c>
      <c r="R28">
        <v>100</v>
      </c>
      <c r="S28" t="str">
        <f>_xll.BDP("912833RY Govt","ID_CUSIP")</f>
        <v>912833RY8</v>
      </c>
      <c r="T28" t="str">
        <f>_xll.BDP("912833RY Govt","IDX_RATIO")</f>
        <v>#N/A Field Not Applicable</v>
      </c>
    </row>
    <row r="29" spans="1:20" x14ac:dyDescent="0.25">
      <c r="A29" t="s">
        <v>14</v>
      </c>
      <c r="B29" t="str">
        <f>_xll.BDP("9128337Q Govt","TICKER")</f>
        <v>S</v>
      </c>
      <c r="C29">
        <f>_xll.BDP("9128337Q Govt","CPN")</f>
        <v>0</v>
      </c>
      <c r="D29">
        <f>_xll.BDP("9128337Q Govt","YLD_YTM_BID")</f>
        <v>1.7459999999999809</v>
      </c>
      <c r="E29" t="str">
        <f>_xll.BDP("9128337Q Govt","MATURITY")</f>
        <v>11/15/2031</v>
      </c>
      <c r="F29" t="str">
        <f>_xll.BDP("9128337Q Govt","MTY_TYP")</f>
        <v>NORMAL</v>
      </c>
      <c r="G29" t="str">
        <f>_xll.BDP("9128337Q Govt","CRNCY")</f>
        <v>USD</v>
      </c>
      <c r="H29" t="str">
        <f>_xll.BDP("9128337Q Govt","COUNTRY_FULL_NAME")</f>
        <v>UNITED STATES</v>
      </c>
      <c r="I29" t="str">
        <f>_xll.BDP("9128337Q Govt","FIRST_CPN_DT")</f>
        <v>#N/A Field Not Applicable</v>
      </c>
      <c r="J29" t="str">
        <f>_xll.BDP("9128337Q Govt","COUPON_FREQUENCY_DESCRIPTION")</f>
        <v>#N/A Field Not Applicable</v>
      </c>
      <c r="K29" t="str">
        <f>_xll.BDP("9128337Q Govt","CPN_TYP")</f>
        <v>ZERO</v>
      </c>
      <c r="L29" t="str">
        <f>_xll.BDP("9128337Q Govt","ID_ISIN")</f>
        <v>US9128337Q77</v>
      </c>
      <c r="N29">
        <v>0</v>
      </c>
      <c r="O29" t="str">
        <f>_xll.BDP("9128337Q Govt","ISSUE_DT")</f>
        <v>8/15/2007</v>
      </c>
      <c r="P29" t="str">
        <f>_xll.BDP("9128337Q Govt","SECURITY_NAME")</f>
        <v>S 0 11/15/31</v>
      </c>
      <c r="Q29" t="str">
        <f>_xll.BDP("9128337Q Govt","DAY_CNT_DES")</f>
        <v>ACT/ACT</v>
      </c>
      <c r="R29">
        <v>100</v>
      </c>
      <c r="S29" t="str">
        <f>_xll.BDP("9128337Q Govt","ID_CUSIP")</f>
        <v>9128337Q7</v>
      </c>
      <c r="T29" t="str">
        <f>_xll.BDP("9128337Q Govt","IDX_RATIO")</f>
        <v>#N/A Field Not Applicable</v>
      </c>
    </row>
    <row r="30" spans="1:20" x14ac:dyDescent="0.25">
      <c r="A30" t="s">
        <v>14</v>
      </c>
      <c r="B30" t="str">
        <f>_xll.BDP("912833XU Govt","TICKER")</f>
        <v>S</v>
      </c>
      <c r="C30">
        <f>_xll.BDP("912833XU Govt","CPN")</f>
        <v>0</v>
      </c>
      <c r="D30">
        <f>_xll.BDP("912833XU Govt","YLD_YTM_BID")</f>
        <v>1.6230000000000189</v>
      </c>
      <c r="E30" t="str">
        <f>_xll.BDP("912833XU Govt","MATURITY")</f>
        <v>5/15/2030</v>
      </c>
      <c r="F30" t="str">
        <f>_xll.BDP("912833XU Govt","MTY_TYP")</f>
        <v>NORMAL</v>
      </c>
      <c r="G30" t="str">
        <f>_xll.BDP("912833XU Govt","CRNCY")</f>
        <v>USD</v>
      </c>
      <c r="H30" t="str">
        <f>_xll.BDP("912833XU Govt","COUNTRY_FULL_NAME")</f>
        <v>UNITED STATES</v>
      </c>
      <c r="I30" t="str">
        <f>_xll.BDP("912833XU Govt","FIRST_CPN_DT")</f>
        <v>#N/A Field Not Applicable</v>
      </c>
      <c r="J30" t="str">
        <f>_xll.BDP("912833XU Govt","COUPON_FREQUENCY_DESCRIPTION")</f>
        <v>#N/A Field Not Applicable</v>
      </c>
      <c r="K30" t="str">
        <f>_xll.BDP("912833XU Govt","CPN_TYP")</f>
        <v>ZERO</v>
      </c>
      <c r="L30" t="str">
        <f>_xll.BDP("912833XU Govt","ID_ISIN")</f>
        <v>US912833XU97</v>
      </c>
      <c r="N30">
        <v>0</v>
      </c>
      <c r="O30" t="str">
        <f>_xll.BDP("912833XU Govt","ISSUE_DT")</f>
        <v>2/15/2000</v>
      </c>
      <c r="P30" t="str">
        <f>_xll.BDP("912833XU Govt","SECURITY_NAME")</f>
        <v>S 0 05/15/30</v>
      </c>
      <c r="Q30" t="str">
        <f>_xll.BDP("912833XU Govt","DAY_CNT_DES")</f>
        <v>ACT/ACT</v>
      </c>
      <c r="R30">
        <v>100</v>
      </c>
      <c r="S30" t="str">
        <f>_xll.BDP("912833XU Govt","ID_CUSIP")</f>
        <v>912833XU9</v>
      </c>
      <c r="T30" t="str">
        <f>_xll.BDP("912833XU Govt","IDX_RATIO")</f>
        <v>#N/A Field Not Applicable</v>
      </c>
    </row>
    <row r="31" spans="1:20" x14ac:dyDescent="0.25">
      <c r="A31" t="s">
        <v>14</v>
      </c>
      <c r="B31" t="str">
        <f>_xll.BDP("912833XZ Govt","TICKER")</f>
        <v>S</v>
      </c>
      <c r="C31">
        <f>_xll.BDP("912833XZ Govt","CPN")</f>
        <v>0</v>
      </c>
      <c r="D31">
        <f>_xll.BDP("912833XZ Govt","YLD_YTM_BID")</f>
        <v>1.6910000000000203</v>
      </c>
      <c r="E31" t="str">
        <f>_xll.BDP("912833XZ Govt","MATURITY")</f>
        <v>2/15/2031</v>
      </c>
      <c r="F31" t="str">
        <f>_xll.BDP("912833XZ Govt","MTY_TYP")</f>
        <v>NORMAL</v>
      </c>
      <c r="G31" t="str">
        <f>_xll.BDP("912833XZ Govt","CRNCY")</f>
        <v>USD</v>
      </c>
      <c r="H31" t="str">
        <f>_xll.BDP("912833XZ Govt","COUNTRY_FULL_NAME")</f>
        <v>UNITED STATES</v>
      </c>
      <c r="I31" t="str">
        <f>_xll.BDP("912833XZ Govt","FIRST_CPN_DT")</f>
        <v>#N/A Field Not Applicable</v>
      </c>
      <c r="J31" t="str">
        <f>_xll.BDP("912833XZ Govt","COUPON_FREQUENCY_DESCRIPTION")</f>
        <v>#N/A Field Not Applicable</v>
      </c>
      <c r="K31" t="str">
        <f>_xll.BDP("912833XZ Govt","CPN_TYP")</f>
        <v>ZERO</v>
      </c>
      <c r="L31" t="str">
        <f>_xll.BDP("912833XZ Govt","ID_ISIN")</f>
        <v>US912833XZ84</v>
      </c>
      <c r="N31">
        <v>0</v>
      </c>
      <c r="O31" t="str">
        <f>_xll.BDP("912833XZ Govt","ISSUE_DT")</f>
        <v>2/15/2001</v>
      </c>
      <c r="P31" t="str">
        <f>_xll.BDP("912833XZ Govt","SECURITY_NAME")</f>
        <v>S 0 02/15/31</v>
      </c>
      <c r="Q31" t="str">
        <f>_xll.BDP("912833XZ Govt","DAY_CNT_DES")</f>
        <v>ACT/ACT</v>
      </c>
      <c r="R31">
        <v>100</v>
      </c>
      <c r="S31" t="str">
        <f>_xll.BDP("912833XZ Govt","ID_CUSIP")</f>
        <v>912833XZ8</v>
      </c>
      <c r="T31" t="str">
        <f>_xll.BDP("912833XZ Govt","IDX_RATIO")</f>
        <v>#N/A Field Not Applicable</v>
      </c>
    </row>
    <row r="32" spans="1:20" x14ac:dyDescent="0.25">
      <c r="A32" t="s">
        <v>14</v>
      </c>
      <c r="B32" t="str">
        <f>_xll.BDP("912834XG Govt","TICKER")</f>
        <v>S</v>
      </c>
      <c r="C32">
        <f>_xll.BDP("912834XG Govt","CPN")</f>
        <v>0</v>
      </c>
      <c r="D32">
        <f>_xll.BDP("912834XG Govt","YLD_YTM_BID")</f>
        <v>2.1640000000000104</v>
      </c>
      <c r="E32" t="str">
        <f>_xll.BDP("912834XG Govt","MATURITY")</f>
        <v>8/15/2051</v>
      </c>
      <c r="F32" t="str">
        <f>_xll.BDP("912834XG Govt","MTY_TYP")</f>
        <v>NORMAL</v>
      </c>
      <c r="G32" t="str">
        <f>_xll.BDP("912834XG Govt","CRNCY")</f>
        <v>USD</v>
      </c>
      <c r="H32" t="str">
        <f>_xll.BDP("912834XG Govt","COUNTRY_FULL_NAME")</f>
        <v>UNITED STATES</v>
      </c>
      <c r="I32" t="str">
        <f>_xll.BDP("912834XG Govt","FIRST_CPN_DT")</f>
        <v>#N/A Field Not Applicable</v>
      </c>
      <c r="J32" t="str">
        <f>_xll.BDP("912834XG Govt","COUPON_FREQUENCY_DESCRIPTION")</f>
        <v>#N/A Field Not Applicable</v>
      </c>
      <c r="K32" t="str">
        <f>_xll.BDP("912834XG Govt","CPN_TYP")</f>
        <v>ZERO</v>
      </c>
      <c r="L32" t="str">
        <f>_xll.BDP("912834XG Govt","ID_ISIN")</f>
        <v>US912834XG86</v>
      </c>
      <c r="N32">
        <v>0</v>
      </c>
      <c r="O32" t="str">
        <f>_xll.BDP("912834XG Govt","ISSUE_DT")</f>
        <v>8/16/2021</v>
      </c>
      <c r="P32" t="str">
        <f>_xll.BDP("912834XG Govt","SECURITY_NAME")</f>
        <v>S 0 08/15/51</v>
      </c>
      <c r="Q32" t="str">
        <f>_xll.BDP("912834XG Govt","DAY_CNT_DES")</f>
        <v>ACT/ACT</v>
      </c>
      <c r="R32">
        <v>100</v>
      </c>
      <c r="S32" t="str">
        <f>_xll.BDP("912834XG Govt","ID_CUSIP")</f>
        <v>912834XG8</v>
      </c>
      <c r="T32" t="str">
        <f>_xll.BDP("912834XG Govt","IDX_RATIO")</f>
        <v>#N/A Field Not Applicable</v>
      </c>
    </row>
    <row r="33" spans="1:20" x14ac:dyDescent="0.25">
      <c r="A33" t="s">
        <v>14</v>
      </c>
      <c r="B33" t="str">
        <f>_xll.BDP("912833LG Govt","TICKER")</f>
        <v>S</v>
      </c>
      <c r="C33">
        <f>_xll.BDP("912833LG Govt","CPN")</f>
        <v>0</v>
      </c>
      <c r="D33">
        <f>_xll.BDP("912833LG Govt","YLD_YTM_BID")</f>
        <v>7.4000000000019162E-2</v>
      </c>
      <c r="E33" t="str">
        <f>_xll.BDP("912833LG Govt","MATURITY")</f>
        <v>2/15/2022</v>
      </c>
      <c r="F33" t="str">
        <f>_xll.BDP("912833LG Govt","MTY_TYP")</f>
        <v>NORMAL</v>
      </c>
      <c r="G33" t="str">
        <f>_xll.BDP("912833LG Govt","CRNCY")</f>
        <v>USD</v>
      </c>
      <c r="H33" t="str">
        <f>_xll.BDP("912833LG Govt","COUNTRY_FULL_NAME")</f>
        <v>UNITED STATES</v>
      </c>
      <c r="I33" t="str">
        <f>_xll.BDP("912833LG Govt","FIRST_CPN_DT")</f>
        <v>#N/A Field Not Applicable</v>
      </c>
      <c r="J33" t="str">
        <f>_xll.BDP("912833LG Govt","COUPON_FREQUENCY_DESCRIPTION")</f>
        <v>#N/A Field Not Applicable</v>
      </c>
      <c r="K33" t="str">
        <f>_xll.BDP("912833LG Govt","CPN_TYP")</f>
        <v>ZERO</v>
      </c>
      <c r="L33" t="str">
        <f>_xll.BDP("912833LG Govt","ID_ISIN")</f>
        <v>US912833LG32</v>
      </c>
      <c r="N33">
        <v>0</v>
      </c>
      <c r="O33" t="str">
        <f>_xll.BDP("912833LG Govt","ISSUE_DT")</f>
        <v>8/17/1992</v>
      </c>
      <c r="P33" t="str">
        <f>_xll.BDP("912833LG Govt","SECURITY_NAME")</f>
        <v>S 0 02/15/22</v>
      </c>
      <c r="Q33" t="str">
        <f>_xll.BDP("912833LG Govt","DAY_CNT_DES")</f>
        <v>ACT/ACT</v>
      </c>
      <c r="R33">
        <v>100</v>
      </c>
      <c r="S33" t="str">
        <f>_xll.BDP("912833LG Govt","ID_CUSIP")</f>
        <v>912833LG3</v>
      </c>
      <c r="T33" t="str">
        <f>_xll.BDP("912833LG Govt","IDX_RATIO")</f>
        <v>#N/A Field Not Applicable</v>
      </c>
    </row>
    <row r="34" spans="1:20" x14ac:dyDescent="0.25">
      <c r="A34" t="s">
        <v>14</v>
      </c>
      <c r="B34" t="str">
        <f>_xll.BDP("912834JP Govt","TICKER")</f>
        <v>S</v>
      </c>
      <c r="C34">
        <f>_xll.BDP("912834JP Govt","CPN")</f>
        <v>0</v>
      </c>
      <c r="D34">
        <f>_xll.BDP("912834JP Govt","YLD_YTM_BID")</f>
        <v>2.1850000000000147</v>
      </c>
      <c r="E34" t="str">
        <f>_xll.BDP("912834JP Govt","MATURITY")</f>
        <v>2/15/2041</v>
      </c>
      <c r="F34" t="str">
        <f>_xll.BDP("912834JP Govt","MTY_TYP")</f>
        <v>NORMAL</v>
      </c>
      <c r="G34" t="str">
        <f>_xll.BDP("912834JP Govt","CRNCY")</f>
        <v>USD</v>
      </c>
      <c r="H34" t="str">
        <f>_xll.BDP("912834JP Govt","COUNTRY_FULL_NAME")</f>
        <v>UNITED STATES</v>
      </c>
      <c r="I34" t="str">
        <f>_xll.BDP("912834JP Govt","FIRST_CPN_DT")</f>
        <v>#N/A Field Not Applicable</v>
      </c>
      <c r="J34" t="str">
        <f>_xll.BDP("912834JP Govt","COUPON_FREQUENCY_DESCRIPTION")</f>
        <v>#N/A Field Not Applicable</v>
      </c>
      <c r="K34" t="str">
        <f>_xll.BDP("912834JP Govt","CPN_TYP")</f>
        <v>ZERO</v>
      </c>
      <c r="L34" t="str">
        <f>_xll.BDP("912834JP Govt","ID_ISIN")</f>
        <v>US912834JP42</v>
      </c>
      <c r="N34">
        <v>0</v>
      </c>
      <c r="O34" t="str">
        <f>_xll.BDP("912834JP Govt","ISSUE_DT")</f>
        <v>2/15/2011</v>
      </c>
      <c r="P34" t="str">
        <f>_xll.BDP("912834JP Govt","SECURITY_NAME")</f>
        <v>S 0 02/15/41</v>
      </c>
      <c r="Q34" t="str">
        <f>_xll.BDP("912834JP Govt","DAY_CNT_DES")</f>
        <v>ACT/ACT</v>
      </c>
      <c r="R34">
        <v>100</v>
      </c>
      <c r="S34" t="str">
        <f>_xll.BDP("912834JP Govt","ID_CUSIP")</f>
        <v>912834JP4</v>
      </c>
      <c r="T34" t="str">
        <f>_xll.BDP("912834JP Govt","IDX_RATIO")</f>
        <v>#N/A Field Not Applicable</v>
      </c>
    </row>
    <row r="35" spans="1:20" x14ac:dyDescent="0.25">
      <c r="A35" t="s">
        <v>14</v>
      </c>
      <c r="B35" t="str">
        <f>_xll.BDP("9128337S Govt","TICKER")</f>
        <v>S</v>
      </c>
      <c r="C35">
        <f>_xll.BDP("9128337S Govt","CPN")</f>
        <v>0</v>
      </c>
      <c r="D35">
        <f>_xll.BDP("9128337S Govt","YLD_YTM_BID")</f>
        <v>1.8149999999999888</v>
      </c>
      <c r="E35" t="str">
        <f>_xll.BDP("9128337S Govt","MATURITY")</f>
        <v>11/15/2032</v>
      </c>
      <c r="F35" t="str">
        <f>_xll.BDP("9128337S Govt","MTY_TYP")</f>
        <v>NORMAL</v>
      </c>
      <c r="G35" t="str">
        <f>_xll.BDP("9128337S Govt","CRNCY")</f>
        <v>USD</v>
      </c>
      <c r="H35" t="str">
        <f>_xll.BDP("9128337S Govt","COUNTRY_FULL_NAME")</f>
        <v>UNITED STATES</v>
      </c>
      <c r="I35" t="str">
        <f>_xll.BDP("9128337S Govt","FIRST_CPN_DT")</f>
        <v>#N/A Field Not Applicable</v>
      </c>
      <c r="J35" t="str">
        <f>_xll.BDP("9128337S Govt","COUPON_FREQUENCY_DESCRIPTION")</f>
        <v>#N/A Field Not Applicable</v>
      </c>
      <c r="K35" t="str">
        <f>_xll.BDP("9128337S Govt","CPN_TYP")</f>
        <v>ZERO</v>
      </c>
      <c r="L35" t="str">
        <f>_xll.BDP("9128337S Govt","ID_ISIN")</f>
        <v>US9128337S34</v>
      </c>
      <c r="N35">
        <v>0</v>
      </c>
      <c r="O35" t="str">
        <f>_xll.BDP("9128337S Govt","ISSUE_DT")</f>
        <v>8/15/2007</v>
      </c>
      <c r="P35" t="str">
        <f>_xll.BDP("9128337S Govt","SECURITY_NAME")</f>
        <v>S 0 11/15/32</v>
      </c>
      <c r="Q35" t="str">
        <f>_xll.BDP("9128337S Govt","DAY_CNT_DES")</f>
        <v>ACT/ACT</v>
      </c>
      <c r="R35">
        <v>100</v>
      </c>
      <c r="S35" t="str">
        <f>_xll.BDP("9128337S Govt","ID_CUSIP")</f>
        <v>9128337S3</v>
      </c>
      <c r="T35" t="str">
        <f>_xll.BDP("9128337S Govt","IDX_RATIO")</f>
        <v>#N/A Field Not Applicable</v>
      </c>
    </row>
    <row r="36" spans="1:20" x14ac:dyDescent="0.25">
      <c r="A36" t="s">
        <v>14</v>
      </c>
      <c r="B36" t="str">
        <f>_xll.BDP("912833LL Govt","TICKER")</f>
        <v>S</v>
      </c>
      <c r="C36">
        <f>_xll.BDP("912833LL Govt","CPN")</f>
        <v>0</v>
      </c>
      <c r="D36">
        <f>_xll.BDP("912833LL Govt","YLD_YTM_BID")</f>
        <v>0.17399999999998528</v>
      </c>
      <c r="E36" t="str">
        <f>_xll.BDP("912833LL Govt","MATURITY")</f>
        <v>2/15/2023</v>
      </c>
      <c r="F36" t="str">
        <f>_xll.BDP("912833LL Govt","MTY_TYP")</f>
        <v>NORMAL</v>
      </c>
      <c r="G36" t="str">
        <f>_xll.BDP("912833LL Govt","CRNCY")</f>
        <v>USD</v>
      </c>
      <c r="H36" t="str">
        <f>_xll.BDP("912833LL Govt","COUNTRY_FULL_NAME")</f>
        <v>UNITED STATES</v>
      </c>
      <c r="I36" t="str">
        <f>_xll.BDP("912833LL Govt","FIRST_CPN_DT")</f>
        <v>#N/A Field Not Applicable</v>
      </c>
      <c r="J36" t="str">
        <f>_xll.BDP("912833LL Govt","COUPON_FREQUENCY_DESCRIPTION")</f>
        <v>#N/A Field Not Applicable</v>
      </c>
      <c r="K36" t="str">
        <f>_xll.BDP("912833LL Govt","CPN_TYP")</f>
        <v>ZERO</v>
      </c>
      <c r="L36" t="str">
        <f>_xll.BDP("912833LL Govt","ID_ISIN")</f>
        <v>US912833LL27</v>
      </c>
      <c r="N36">
        <v>0</v>
      </c>
      <c r="O36" t="str">
        <f>_xll.BDP("912833LL Govt","ISSUE_DT")</f>
        <v>2/15/1993</v>
      </c>
      <c r="P36" t="str">
        <f>_xll.BDP("912833LL Govt","SECURITY_NAME")</f>
        <v>S 0 02/15/23</v>
      </c>
      <c r="Q36" t="str">
        <f>_xll.BDP("912833LL Govt","DAY_CNT_DES")</f>
        <v>ACT/ACT</v>
      </c>
      <c r="R36">
        <v>100</v>
      </c>
      <c r="S36" t="str">
        <f>_xll.BDP("912833LL Govt","ID_CUSIP")</f>
        <v>912833LL2</v>
      </c>
      <c r="T36" t="str">
        <f>_xll.BDP("912833LL Govt","IDX_RATIO")</f>
        <v>#N/A Field Not Applicable</v>
      </c>
    </row>
    <row r="37" spans="1:20" x14ac:dyDescent="0.25">
      <c r="A37" t="s">
        <v>14</v>
      </c>
      <c r="B37" t="str">
        <f>_xll.BDP("912833LS Govt","TICKER")</f>
        <v>S</v>
      </c>
      <c r="C37">
        <f>_xll.BDP("912833LS Govt","CPN")</f>
        <v>0</v>
      </c>
      <c r="D37">
        <f>_xll.BDP("912833LS Govt","YLD_YTM_BID")</f>
        <v>0.55900000000002059</v>
      </c>
      <c r="E37" t="str">
        <f>_xll.BDP("912833LS Govt","MATURITY")</f>
        <v>8/15/2024</v>
      </c>
      <c r="F37" t="str">
        <f>_xll.BDP("912833LS Govt","MTY_TYP")</f>
        <v>NORMAL</v>
      </c>
      <c r="G37" t="str">
        <f>_xll.BDP("912833LS Govt","CRNCY")</f>
        <v>USD</v>
      </c>
      <c r="H37" t="str">
        <f>_xll.BDP("912833LS Govt","COUNTRY_FULL_NAME")</f>
        <v>UNITED STATES</v>
      </c>
      <c r="I37" t="str">
        <f>_xll.BDP("912833LS Govt","FIRST_CPN_DT")</f>
        <v>#N/A Field Not Applicable</v>
      </c>
      <c r="J37" t="str">
        <f>_xll.BDP("912833LS Govt","COUPON_FREQUENCY_DESCRIPTION")</f>
        <v>#N/A Field Not Applicable</v>
      </c>
      <c r="K37" t="str">
        <f>_xll.BDP("912833LS Govt","CPN_TYP")</f>
        <v>ZERO</v>
      </c>
      <c r="L37" t="str">
        <f>_xll.BDP("912833LS Govt","ID_ISIN")</f>
        <v>US912833LS79</v>
      </c>
      <c r="N37">
        <v>0</v>
      </c>
      <c r="O37" t="str">
        <f>_xll.BDP("912833LS Govt","ISSUE_DT")</f>
        <v>2/15/1995</v>
      </c>
      <c r="P37" t="str">
        <f>_xll.BDP("912833LS Govt","SECURITY_NAME")</f>
        <v>S 0 08/15/24</v>
      </c>
      <c r="Q37" t="str">
        <f>_xll.BDP("912833LS Govt","DAY_CNT_DES")</f>
        <v>ACT/ACT</v>
      </c>
      <c r="R37">
        <v>100</v>
      </c>
      <c r="S37" t="str">
        <f>_xll.BDP("912833LS Govt","ID_CUSIP")</f>
        <v>912833LS7</v>
      </c>
      <c r="T37" t="str">
        <f>_xll.BDP("912833LS Govt","IDX_RATIO")</f>
        <v>#N/A Field Not Applicable</v>
      </c>
    </row>
    <row r="38" spans="1:20" x14ac:dyDescent="0.25">
      <c r="A38" t="s">
        <v>14</v>
      </c>
      <c r="B38" t="str">
        <f>_xll.BDP("912833LQ Govt","TICKER")</f>
        <v>S</v>
      </c>
      <c r="C38">
        <f>_xll.BDP("912833LQ Govt","CPN")</f>
        <v>0</v>
      </c>
      <c r="D38">
        <f>_xll.BDP("912833LQ Govt","YLD_YTM_BID")</f>
        <v>0.4129999999999967</v>
      </c>
      <c r="E38" t="str">
        <f>_xll.BDP("912833LQ Govt","MATURITY")</f>
        <v>2/15/2024</v>
      </c>
      <c r="F38" t="str">
        <f>_xll.BDP("912833LQ Govt","MTY_TYP")</f>
        <v>NORMAL</v>
      </c>
      <c r="G38" t="str">
        <f>_xll.BDP("912833LQ Govt","CRNCY")</f>
        <v>USD</v>
      </c>
      <c r="H38" t="str">
        <f>_xll.BDP("912833LQ Govt","COUNTRY_FULL_NAME")</f>
        <v>UNITED STATES</v>
      </c>
      <c r="I38" t="str">
        <f>_xll.BDP("912833LQ Govt","FIRST_CPN_DT")</f>
        <v>#N/A Field Not Applicable</v>
      </c>
      <c r="J38" t="str">
        <f>_xll.BDP("912833LQ Govt","COUPON_FREQUENCY_DESCRIPTION")</f>
        <v>#N/A Field Not Applicable</v>
      </c>
      <c r="K38" t="str">
        <f>_xll.BDP("912833LQ Govt","CPN_TYP")</f>
        <v>ZERO</v>
      </c>
      <c r="L38" t="str">
        <f>_xll.BDP("912833LQ Govt","ID_ISIN")</f>
        <v>US912833LQ14</v>
      </c>
      <c r="N38">
        <v>0</v>
      </c>
      <c r="O38" t="str">
        <f>_xll.BDP("912833LQ Govt","ISSUE_DT")</f>
        <v>2/15/1995</v>
      </c>
      <c r="P38" t="str">
        <f>_xll.BDP("912833LQ Govt","SECURITY_NAME")</f>
        <v>S 0 02/15/24</v>
      </c>
      <c r="Q38" t="str">
        <f>_xll.BDP("912833LQ Govt","DAY_CNT_DES")</f>
        <v>ACT/ACT</v>
      </c>
      <c r="R38">
        <v>100</v>
      </c>
      <c r="S38" t="str">
        <f>_xll.BDP("912833LQ Govt","ID_CUSIP")</f>
        <v>912833LQ1</v>
      </c>
      <c r="T38" t="str">
        <f>_xll.BDP("912833LQ Govt","IDX_RATIO")</f>
        <v>#N/A Field Not Applicable</v>
      </c>
    </row>
    <row r="39" spans="1:20" x14ac:dyDescent="0.25">
      <c r="A39" t="s">
        <v>14</v>
      </c>
      <c r="B39" t="str">
        <f>_xll.BDP("912833LV Govt","TICKER")</f>
        <v>S</v>
      </c>
      <c r="C39">
        <f>_xll.BDP("912833LV Govt","CPN")</f>
        <v>0</v>
      </c>
      <c r="D39">
        <f>_xll.BDP("912833LV Govt","YLD_YTM_BID")</f>
        <v>0.74499999999999567</v>
      </c>
      <c r="E39" t="str">
        <f>_xll.BDP("912833LV Govt","MATURITY")</f>
        <v>5/15/2025</v>
      </c>
      <c r="F39" t="str">
        <f>_xll.BDP("912833LV Govt","MTY_TYP")</f>
        <v>NORMAL</v>
      </c>
      <c r="G39" t="str">
        <f>_xll.BDP("912833LV Govt","CRNCY")</f>
        <v>USD</v>
      </c>
      <c r="H39" t="str">
        <f>_xll.BDP("912833LV Govt","COUNTRY_FULL_NAME")</f>
        <v>UNITED STATES</v>
      </c>
      <c r="I39" t="str">
        <f>_xll.BDP("912833LV Govt","FIRST_CPN_DT")</f>
        <v>#N/A Field Not Applicable</v>
      </c>
      <c r="J39" t="str">
        <f>_xll.BDP("912833LV Govt","COUPON_FREQUENCY_DESCRIPTION")</f>
        <v>#N/A Field Not Applicable</v>
      </c>
      <c r="K39" t="str">
        <f>_xll.BDP("912833LV Govt","CPN_TYP")</f>
        <v>ZERO</v>
      </c>
      <c r="L39" t="str">
        <f>_xll.BDP("912833LV Govt","ID_ISIN")</f>
        <v>US912833LV09</v>
      </c>
      <c r="N39">
        <v>0</v>
      </c>
      <c r="O39" t="str">
        <f>_xll.BDP("912833LV Govt","ISSUE_DT")</f>
        <v>11/15/1996</v>
      </c>
      <c r="P39" t="str">
        <f>_xll.BDP("912833LV Govt","SECURITY_NAME")</f>
        <v>S 0 05/15/25</v>
      </c>
      <c r="Q39" t="str">
        <f>_xll.BDP("912833LV Govt","DAY_CNT_DES")</f>
        <v>ACT/ACT</v>
      </c>
      <c r="R39">
        <v>100</v>
      </c>
      <c r="S39" t="str">
        <f>_xll.BDP("912833LV Govt","ID_CUSIP")</f>
        <v>912833LV0</v>
      </c>
      <c r="T39" t="str">
        <f>_xll.BDP("912833LV Govt","IDX_RATIO")</f>
        <v>#N/A Field Not Applicable</v>
      </c>
    </row>
    <row r="40" spans="1:20" x14ac:dyDescent="0.25">
      <c r="A40" t="s">
        <v>14</v>
      </c>
      <c r="B40" t="str">
        <f>_xll.BDP("912833LH Govt","TICKER")</f>
        <v>S</v>
      </c>
      <c r="C40">
        <f>_xll.BDP("912833LH Govt","CPN")</f>
        <v>0</v>
      </c>
      <c r="D40">
        <f>_xll.BDP("912833LH Govt","YLD_YTM_BID")</f>
        <v>8.099999999999774E-2</v>
      </c>
      <c r="E40" t="str">
        <f>_xll.BDP("912833LH Govt","MATURITY")</f>
        <v>5/15/2022</v>
      </c>
      <c r="F40" t="str">
        <f>_xll.BDP("912833LH Govt","MTY_TYP")</f>
        <v>NORMAL</v>
      </c>
      <c r="G40" t="str">
        <f>_xll.BDP("912833LH Govt","CRNCY")</f>
        <v>USD</v>
      </c>
      <c r="H40" t="str">
        <f>_xll.BDP("912833LH Govt","COUNTRY_FULL_NAME")</f>
        <v>UNITED STATES</v>
      </c>
      <c r="I40" t="str">
        <f>_xll.BDP("912833LH Govt","FIRST_CPN_DT")</f>
        <v>#N/A Field Not Applicable</v>
      </c>
      <c r="J40" t="str">
        <f>_xll.BDP("912833LH Govt","COUPON_FREQUENCY_DESCRIPTION")</f>
        <v>#N/A Field Not Applicable</v>
      </c>
      <c r="K40" t="str">
        <f>_xll.BDP("912833LH Govt","CPN_TYP")</f>
        <v>ZERO</v>
      </c>
      <c r="L40" t="str">
        <f>_xll.BDP("912833LH Govt","ID_ISIN")</f>
        <v>US912833LH15</v>
      </c>
      <c r="N40">
        <v>0</v>
      </c>
      <c r="O40" t="str">
        <f>_xll.BDP("912833LH Govt","ISSUE_DT")</f>
        <v>11/16/1992</v>
      </c>
      <c r="P40" t="str">
        <f>_xll.BDP("912833LH Govt","SECURITY_NAME")</f>
        <v>S 0 05/15/22</v>
      </c>
      <c r="Q40" t="str">
        <f>_xll.BDP("912833LH Govt","DAY_CNT_DES")</f>
        <v>ACT/ACT</v>
      </c>
      <c r="R40">
        <v>100</v>
      </c>
      <c r="S40" t="str">
        <f>_xll.BDP("912833LH Govt","ID_CUSIP")</f>
        <v>912833LH1</v>
      </c>
      <c r="T40" t="str">
        <f>_xll.BDP("912833LH Govt","IDX_RATIO")</f>
        <v>#N/A Field Not Applicable</v>
      </c>
    </row>
    <row r="41" spans="1:20" x14ac:dyDescent="0.25">
      <c r="A41" t="s">
        <v>14</v>
      </c>
      <c r="B41" t="str">
        <f>_xll.BDP("912834MT Govt","TICKER")</f>
        <v>S</v>
      </c>
      <c r="C41">
        <f>_xll.BDP("912834MT Govt","CPN")</f>
        <v>0</v>
      </c>
      <c r="D41">
        <f>_xll.BDP("912834MT Govt","YLD_YTM_BID")</f>
        <v>2.2520000000000095</v>
      </c>
      <c r="E41" t="str">
        <f>_xll.BDP("912834MT Govt","MATURITY")</f>
        <v>8/15/2043</v>
      </c>
      <c r="F41" t="str">
        <f>_xll.BDP("912834MT Govt","MTY_TYP")</f>
        <v>NORMAL</v>
      </c>
      <c r="G41" t="str">
        <f>_xll.BDP("912834MT Govt","CRNCY")</f>
        <v>USD</v>
      </c>
      <c r="H41" t="str">
        <f>_xll.BDP("912834MT Govt","COUNTRY_FULL_NAME")</f>
        <v>UNITED STATES</v>
      </c>
      <c r="I41" t="str">
        <f>_xll.BDP("912834MT Govt","FIRST_CPN_DT")</f>
        <v>#N/A Field Not Applicable</v>
      </c>
      <c r="J41" t="str">
        <f>_xll.BDP("912834MT Govt","COUPON_FREQUENCY_DESCRIPTION")</f>
        <v>#N/A Field Not Applicable</v>
      </c>
      <c r="K41" t="str">
        <f>_xll.BDP("912834MT Govt","CPN_TYP")</f>
        <v>ZERO</v>
      </c>
      <c r="L41" t="str">
        <f>_xll.BDP("912834MT Govt","ID_ISIN")</f>
        <v>US912834MT27</v>
      </c>
      <c r="N41">
        <v>0</v>
      </c>
      <c r="O41" t="str">
        <f>_xll.BDP("912834MT Govt","ISSUE_DT")</f>
        <v>8/15/2013</v>
      </c>
      <c r="P41" t="str">
        <f>_xll.BDP("912834MT Govt","SECURITY_NAME")</f>
        <v>S 0 08/15/43</v>
      </c>
      <c r="Q41" t="str">
        <f>_xll.BDP("912834MT Govt","DAY_CNT_DES")</f>
        <v>ACT/ACT</v>
      </c>
      <c r="R41">
        <v>100</v>
      </c>
      <c r="S41" t="str">
        <f>_xll.BDP("912834MT Govt","ID_CUSIP")</f>
        <v>912834MT2</v>
      </c>
      <c r="T41" t="str">
        <f>_xll.BDP("912834MT Govt","IDX_RATIO")</f>
        <v>#N/A Field Not Applicable</v>
      </c>
    </row>
    <row r="42" spans="1:20" x14ac:dyDescent="0.25">
      <c r="A42" t="s">
        <v>14</v>
      </c>
      <c r="B42" t="str">
        <f>_xll.BDP("9128335A Govt","TICKER")</f>
        <v>S</v>
      </c>
      <c r="C42">
        <f>_xll.BDP("9128335A Govt","CPN")</f>
        <v>0</v>
      </c>
      <c r="D42">
        <f>_xll.BDP("9128335A Govt","YLD_YTM_BID")</f>
        <v>1.9429999999999836</v>
      </c>
      <c r="E42" t="str">
        <f>_xll.BDP("9128335A Govt","MATURITY")</f>
        <v>8/15/2035</v>
      </c>
      <c r="F42" t="str">
        <f>_xll.BDP("9128335A Govt","MTY_TYP")</f>
        <v>NORMAL</v>
      </c>
      <c r="G42" t="str">
        <f>_xll.BDP("9128335A Govt","CRNCY")</f>
        <v>USD</v>
      </c>
      <c r="H42" t="str">
        <f>_xll.BDP("9128335A Govt","COUNTRY_FULL_NAME")</f>
        <v>UNITED STATES</v>
      </c>
      <c r="I42" t="str">
        <f>_xll.BDP("9128335A Govt","FIRST_CPN_DT")</f>
        <v>#N/A Field Not Applicable</v>
      </c>
      <c r="J42" t="str">
        <f>_xll.BDP("9128335A Govt","COUPON_FREQUENCY_DESCRIPTION")</f>
        <v>#N/A Field Not Applicable</v>
      </c>
      <c r="K42" t="str">
        <f>_xll.BDP("9128335A Govt","CPN_TYP")</f>
        <v>ZERO</v>
      </c>
      <c r="L42" t="str">
        <f>_xll.BDP("9128335A Govt","ID_ISIN")</f>
        <v>US9128335A44</v>
      </c>
      <c r="N42">
        <v>0</v>
      </c>
      <c r="O42" t="str">
        <f>_xll.BDP("9128335A Govt","ISSUE_DT")</f>
        <v>2/15/2006</v>
      </c>
      <c r="P42" t="str">
        <f>_xll.BDP("9128335A Govt","SECURITY_NAME")</f>
        <v>S 0 08/15/35</v>
      </c>
      <c r="Q42" t="str">
        <f>_xll.BDP("9128335A Govt","DAY_CNT_DES")</f>
        <v>ACT/ACT</v>
      </c>
      <c r="R42">
        <v>100</v>
      </c>
      <c r="S42" t="str">
        <f>_xll.BDP("9128335A Govt","ID_CUSIP")</f>
        <v>9128335A4</v>
      </c>
      <c r="T42" t="str">
        <f>_xll.BDP("9128335A Govt","IDX_RATIO")</f>
        <v>#N/A Field Not Applicable</v>
      </c>
    </row>
    <row r="43" spans="1:20" x14ac:dyDescent="0.25">
      <c r="A43" t="s">
        <v>14</v>
      </c>
      <c r="B43" t="str">
        <f>_xll.BDP("9128335B Govt","TICKER")</f>
        <v>S</v>
      </c>
      <c r="C43">
        <f>_xll.BDP("9128335B Govt","CPN")</f>
        <v>0</v>
      </c>
      <c r="D43">
        <f>_xll.BDP("9128335B Govt","YLD_YTM_BID")</f>
        <v>1.9569999999999865</v>
      </c>
      <c r="E43" t="str">
        <f>_xll.BDP("9128335B Govt","MATURITY")</f>
        <v>2/15/2036</v>
      </c>
      <c r="F43" t="str">
        <f>_xll.BDP("9128335B Govt","MTY_TYP")</f>
        <v>NORMAL</v>
      </c>
      <c r="G43" t="str">
        <f>_xll.BDP("9128335B Govt","CRNCY")</f>
        <v>USD</v>
      </c>
      <c r="H43" t="str">
        <f>_xll.BDP("9128335B Govt","COUNTRY_FULL_NAME")</f>
        <v>UNITED STATES</v>
      </c>
      <c r="I43" t="str">
        <f>_xll.BDP("9128335B Govt","FIRST_CPN_DT")</f>
        <v>#N/A Field Not Applicable</v>
      </c>
      <c r="J43" t="str">
        <f>_xll.BDP("9128335B Govt","COUPON_FREQUENCY_DESCRIPTION")</f>
        <v>#N/A Field Not Applicable</v>
      </c>
      <c r="K43" t="str">
        <f>_xll.BDP("9128335B Govt","CPN_TYP")</f>
        <v>ZERO</v>
      </c>
      <c r="L43" t="str">
        <f>_xll.BDP("9128335B Govt","ID_ISIN")</f>
        <v>US9128335B27</v>
      </c>
      <c r="N43">
        <v>0</v>
      </c>
      <c r="O43" t="str">
        <f>_xll.BDP("9128335B Govt","ISSUE_DT")</f>
        <v>2/15/2006</v>
      </c>
      <c r="P43" t="str">
        <f>_xll.BDP("9128335B Govt","SECURITY_NAME")</f>
        <v>S 0 02/15/36</v>
      </c>
      <c r="Q43" t="str">
        <f>_xll.BDP("9128335B Govt","DAY_CNT_DES")</f>
        <v>ACT/ACT</v>
      </c>
      <c r="R43">
        <v>100</v>
      </c>
      <c r="S43" t="str">
        <f>_xll.BDP("9128335B Govt","ID_CUSIP")</f>
        <v>9128335B2</v>
      </c>
      <c r="T43" t="str">
        <f>_xll.BDP("9128335B Govt","IDX_RATIO")</f>
        <v>#N/A Field Not Applicable</v>
      </c>
    </row>
    <row r="44" spans="1:20" x14ac:dyDescent="0.25">
      <c r="A44" t="s">
        <v>14</v>
      </c>
      <c r="B44" t="str">
        <f>_xll.BDP("912833XP Govt","TICKER")</f>
        <v>S</v>
      </c>
      <c r="C44">
        <f>_xll.BDP("912833XP Govt","CPN")</f>
        <v>0</v>
      </c>
      <c r="D44">
        <f>_xll.BDP("912833XP Govt","YLD_YTM_BID")</f>
        <v>1.5420000000000211</v>
      </c>
      <c r="E44" t="str">
        <f>_xll.BDP("912833XP Govt","MATURITY")</f>
        <v>8/15/2029</v>
      </c>
      <c r="F44" t="str">
        <f>_xll.BDP("912833XP Govt","MTY_TYP")</f>
        <v>NORMAL</v>
      </c>
      <c r="G44" t="str">
        <f>_xll.BDP("912833XP Govt","CRNCY")</f>
        <v>USD</v>
      </c>
      <c r="H44" t="str">
        <f>_xll.BDP("912833XP Govt","COUNTRY_FULL_NAME")</f>
        <v>UNITED STATES</v>
      </c>
      <c r="I44" t="str">
        <f>_xll.BDP("912833XP Govt","FIRST_CPN_DT")</f>
        <v>#N/A Field Not Applicable</v>
      </c>
      <c r="J44" t="str">
        <f>_xll.BDP("912833XP Govt","COUPON_FREQUENCY_DESCRIPTION")</f>
        <v>#N/A Field Not Applicable</v>
      </c>
      <c r="K44" t="str">
        <f>_xll.BDP("912833XP Govt","CPN_TYP")</f>
        <v>ZERO</v>
      </c>
      <c r="L44" t="str">
        <f>_xll.BDP("912833XP Govt","ID_ISIN")</f>
        <v>US912833XP03</v>
      </c>
      <c r="N44">
        <v>0</v>
      </c>
      <c r="O44" t="str">
        <f>_xll.BDP("912833XP Govt","ISSUE_DT")</f>
        <v>8/16/1999</v>
      </c>
      <c r="P44" t="str">
        <f>_xll.BDP("912833XP Govt","SECURITY_NAME")</f>
        <v>S 0 08/15/29</v>
      </c>
      <c r="Q44" t="str">
        <f>_xll.BDP("912833XP Govt","DAY_CNT_DES")</f>
        <v>ACT/ACT</v>
      </c>
      <c r="R44">
        <v>100</v>
      </c>
      <c r="S44" t="str">
        <f>_xll.BDP("912833XP Govt","ID_CUSIP")</f>
        <v>912833XP0</v>
      </c>
      <c r="T44" t="str">
        <f>_xll.BDP("912833XP Govt","IDX_RATIO")</f>
        <v>#N/A Field Not Applicable</v>
      </c>
    </row>
    <row r="45" spans="1:20" x14ac:dyDescent="0.25">
      <c r="A45" t="s">
        <v>14</v>
      </c>
      <c r="B45" t="str">
        <f>_xll.BDP("9128334Z Govt","TICKER")</f>
        <v>S</v>
      </c>
      <c r="C45">
        <f>_xll.BDP("9128334Z Govt","CPN")</f>
        <v>0</v>
      </c>
      <c r="D45">
        <f>_xll.BDP("9128334Z Govt","YLD_YTM_BID")</f>
        <v>1.9200000000000106</v>
      </c>
      <c r="E45" t="str">
        <f>_xll.BDP("9128334Z Govt","MATURITY")</f>
        <v>2/15/2035</v>
      </c>
      <c r="F45" t="str">
        <f>_xll.BDP("9128334Z Govt","MTY_TYP")</f>
        <v>NORMAL</v>
      </c>
      <c r="G45" t="str">
        <f>_xll.BDP("9128334Z Govt","CRNCY")</f>
        <v>USD</v>
      </c>
      <c r="H45" t="str">
        <f>_xll.BDP("9128334Z Govt","COUNTRY_FULL_NAME")</f>
        <v>UNITED STATES</v>
      </c>
      <c r="I45" t="str">
        <f>_xll.BDP("9128334Z Govt","FIRST_CPN_DT")</f>
        <v>#N/A Field Not Applicable</v>
      </c>
      <c r="J45" t="str">
        <f>_xll.BDP("9128334Z Govt","COUPON_FREQUENCY_DESCRIPTION")</f>
        <v>#N/A Field Not Applicable</v>
      </c>
      <c r="K45" t="str">
        <f>_xll.BDP("9128334Z Govt","CPN_TYP")</f>
        <v>ZERO</v>
      </c>
      <c r="L45" t="str">
        <f>_xll.BDP("9128334Z Govt","ID_ISIN")</f>
        <v>US9128334Z04</v>
      </c>
      <c r="N45">
        <v>0</v>
      </c>
      <c r="O45" t="str">
        <f>_xll.BDP("9128334Z Govt","ISSUE_DT")</f>
        <v>2/15/2006</v>
      </c>
      <c r="P45" t="str">
        <f>_xll.BDP("9128334Z Govt","SECURITY_NAME")</f>
        <v>S 0 02/15/35</v>
      </c>
      <c r="Q45" t="str">
        <f>_xll.BDP("9128334Z Govt","DAY_CNT_DES")</f>
        <v>ACT/ACT</v>
      </c>
      <c r="R45">
        <v>100</v>
      </c>
      <c r="S45" t="str">
        <f>_xll.BDP("9128334Z Govt","ID_CUSIP")</f>
        <v>9128334Z0</v>
      </c>
      <c r="T45" t="str">
        <f>_xll.BDP("9128334Z Govt","IDX_RATIO")</f>
        <v>#N/A Field Not Applicable</v>
      </c>
    </row>
    <row r="46" spans="1:20" x14ac:dyDescent="0.25">
      <c r="A46" t="s">
        <v>14</v>
      </c>
      <c r="B46" t="str">
        <f>_xll.BDP("9128337U Govt","TICKER")</f>
        <v>S</v>
      </c>
      <c r="C46">
        <f>_xll.BDP("9128337U Govt","CPN")</f>
        <v>0</v>
      </c>
      <c r="D46">
        <f>_xll.BDP("9128337U Govt","YLD_YTM_BID")</f>
        <v>1.8580000000000041</v>
      </c>
      <c r="E46" t="str">
        <f>_xll.BDP("9128337U Govt","MATURITY")</f>
        <v>11/15/2033</v>
      </c>
      <c r="F46" t="str">
        <f>_xll.BDP("9128337U Govt","MTY_TYP")</f>
        <v>NORMAL</v>
      </c>
      <c r="G46" t="str">
        <f>_xll.BDP("9128337U Govt","CRNCY")</f>
        <v>USD</v>
      </c>
      <c r="H46" t="str">
        <f>_xll.BDP("9128337U Govt","COUNTRY_FULL_NAME")</f>
        <v>UNITED STATES</v>
      </c>
      <c r="I46" t="str">
        <f>_xll.BDP("9128337U Govt","FIRST_CPN_DT")</f>
        <v>#N/A Field Not Applicable</v>
      </c>
      <c r="J46" t="str">
        <f>_xll.BDP("9128337U Govt","COUPON_FREQUENCY_DESCRIPTION")</f>
        <v>#N/A Field Not Applicable</v>
      </c>
      <c r="K46" t="str">
        <f>_xll.BDP("9128337U Govt","CPN_TYP")</f>
        <v>ZERO</v>
      </c>
      <c r="L46" t="str">
        <f>_xll.BDP("9128337U Govt","ID_ISIN")</f>
        <v>US9128337U89</v>
      </c>
      <c r="N46">
        <v>0</v>
      </c>
      <c r="O46" t="str">
        <f>_xll.BDP("9128337U Govt","ISSUE_DT")</f>
        <v>8/15/2007</v>
      </c>
      <c r="P46" t="str">
        <f>_xll.BDP("9128337U Govt","SECURITY_NAME")</f>
        <v>S 0 11/15/33</v>
      </c>
      <c r="Q46" t="str">
        <f>_xll.BDP("9128337U Govt","DAY_CNT_DES")</f>
        <v>ACT/ACT</v>
      </c>
      <c r="R46">
        <v>100</v>
      </c>
      <c r="S46" t="str">
        <f>_xll.BDP("9128337U Govt","ID_CUSIP")</f>
        <v>9128337U8</v>
      </c>
      <c r="T46" t="str">
        <f>_xll.BDP("9128337U Govt","IDX_RATIO")</f>
        <v>#N/A Field Not Applicable</v>
      </c>
    </row>
    <row r="47" spans="1:20" x14ac:dyDescent="0.25">
      <c r="A47" t="s">
        <v>14</v>
      </c>
      <c r="B47" t="str">
        <f>_xll.BDP("912833XS Govt","TICKER")</f>
        <v>S</v>
      </c>
      <c r="C47">
        <f>_xll.BDP("912833XS Govt","CPN")</f>
        <v>0</v>
      </c>
      <c r="D47">
        <f>_xll.BDP("912833XS Govt","YLD_YTM_BID")</f>
        <v>1.5150000000000219</v>
      </c>
      <c r="E47" t="str">
        <f>_xll.BDP("912833XS Govt","MATURITY")</f>
        <v>5/15/2029</v>
      </c>
      <c r="F47" t="str">
        <f>_xll.BDP("912833XS Govt","MTY_TYP")</f>
        <v>NORMAL</v>
      </c>
      <c r="G47" t="str">
        <f>_xll.BDP("912833XS Govt","CRNCY")</f>
        <v>USD</v>
      </c>
      <c r="H47" t="str">
        <f>_xll.BDP("912833XS Govt","COUNTRY_FULL_NAME")</f>
        <v>UNITED STATES</v>
      </c>
      <c r="I47" t="str">
        <f>_xll.BDP("912833XS Govt","FIRST_CPN_DT")</f>
        <v>#N/A Field Not Applicable</v>
      </c>
      <c r="J47" t="str">
        <f>_xll.BDP("912833XS Govt","COUPON_FREQUENCY_DESCRIPTION")</f>
        <v>#N/A Field Not Applicable</v>
      </c>
      <c r="K47" t="str">
        <f>_xll.BDP("912833XS Govt","CPN_TYP")</f>
        <v>ZERO</v>
      </c>
      <c r="L47" t="str">
        <f>_xll.BDP("912833XS Govt","ID_ISIN")</f>
        <v>US912833XS42</v>
      </c>
      <c r="N47">
        <v>0</v>
      </c>
      <c r="O47" t="str">
        <f>_xll.BDP("912833XS Govt","ISSUE_DT")</f>
        <v>2/15/2000</v>
      </c>
      <c r="P47" t="str">
        <f>_xll.BDP("912833XS Govt","SECURITY_NAME")</f>
        <v>S 0 05/15/29</v>
      </c>
      <c r="Q47" t="str">
        <f>_xll.BDP("912833XS Govt","DAY_CNT_DES")</f>
        <v>ACT/ACT</v>
      </c>
      <c r="R47">
        <v>100</v>
      </c>
      <c r="S47" t="str">
        <f>_xll.BDP("912833XS Govt","ID_CUSIP")</f>
        <v>912833XS4</v>
      </c>
      <c r="T47" t="str">
        <f>_xll.BDP("912833XS Govt","IDX_RATIO")</f>
        <v>#N/A Field Not Applicable</v>
      </c>
    </row>
    <row r="48" spans="1:20" x14ac:dyDescent="0.25">
      <c r="A48" t="s">
        <v>14</v>
      </c>
      <c r="B48" t="str">
        <f>_xll.BDP("9128334T Govt","TICKER")</f>
        <v>S</v>
      </c>
      <c r="C48">
        <f>_xll.BDP("9128334T Govt","CPN")</f>
        <v>0</v>
      </c>
      <c r="D48">
        <f>_xll.BDP("9128334T Govt","YLD_YTM_BID")</f>
        <v>1.756000000000002</v>
      </c>
      <c r="E48" t="str">
        <f>_xll.BDP("9128334T Govt","MATURITY")</f>
        <v>2/15/2032</v>
      </c>
      <c r="F48" t="str">
        <f>_xll.BDP("9128334T Govt","MTY_TYP")</f>
        <v>NORMAL</v>
      </c>
      <c r="G48" t="str">
        <f>_xll.BDP("9128334T Govt","CRNCY")</f>
        <v>USD</v>
      </c>
      <c r="H48" t="str">
        <f>_xll.BDP("9128334T Govt","COUNTRY_FULL_NAME")</f>
        <v>UNITED STATES</v>
      </c>
      <c r="I48" t="str">
        <f>_xll.BDP("9128334T Govt","FIRST_CPN_DT")</f>
        <v>#N/A Field Not Applicable</v>
      </c>
      <c r="J48" t="str">
        <f>_xll.BDP("9128334T Govt","COUPON_FREQUENCY_DESCRIPTION")</f>
        <v>#N/A Field Not Applicable</v>
      </c>
      <c r="K48" t="str">
        <f>_xll.BDP("9128334T Govt","CPN_TYP")</f>
        <v>ZERO</v>
      </c>
      <c r="L48" t="str">
        <f>_xll.BDP("9128334T Govt","ID_ISIN")</f>
        <v>US9128334T44</v>
      </c>
      <c r="N48">
        <v>0</v>
      </c>
      <c r="O48" t="str">
        <f>_xll.BDP("9128334T Govt","ISSUE_DT")</f>
        <v>2/15/2006</v>
      </c>
      <c r="P48" t="str">
        <f>_xll.BDP("9128334T Govt","SECURITY_NAME")</f>
        <v>S 0 02/15/32</v>
      </c>
      <c r="Q48" t="str">
        <f>_xll.BDP("9128334T Govt","DAY_CNT_DES")</f>
        <v>ACT/ACT</v>
      </c>
      <c r="R48">
        <v>100</v>
      </c>
      <c r="S48" t="str">
        <f>_xll.BDP("9128334T Govt","ID_CUSIP")</f>
        <v>9128334T4</v>
      </c>
      <c r="T48" t="str">
        <f>_xll.BDP("9128334T Govt","IDX_RATIO")</f>
        <v>#N/A Field Not Applicable</v>
      </c>
    </row>
    <row r="49" spans="1:20" x14ac:dyDescent="0.25">
      <c r="A49" t="s">
        <v>14</v>
      </c>
      <c r="B49" t="str">
        <f>_xll.BDP("9128337N Govt","TICKER")</f>
        <v>S</v>
      </c>
      <c r="C49">
        <f>_xll.BDP("9128337N Govt","CPN")</f>
        <v>0</v>
      </c>
      <c r="D49">
        <f>_xll.BDP("9128337N Govt","YLD_YTM_BID")</f>
        <v>1.6659999999999897</v>
      </c>
      <c r="E49" t="str">
        <f>_xll.BDP("9128337N Govt","MATURITY")</f>
        <v>11/15/2030</v>
      </c>
      <c r="F49" t="str">
        <f>_xll.BDP("9128337N Govt","MTY_TYP")</f>
        <v>NORMAL</v>
      </c>
      <c r="G49" t="str">
        <f>_xll.BDP("9128337N Govt","CRNCY")</f>
        <v>USD</v>
      </c>
      <c r="H49" t="str">
        <f>_xll.BDP("9128337N Govt","COUNTRY_FULL_NAME")</f>
        <v>UNITED STATES</v>
      </c>
      <c r="I49" t="str">
        <f>_xll.BDP("9128337N Govt","FIRST_CPN_DT")</f>
        <v>#N/A Field Not Applicable</v>
      </c>
      <c r="J49" t="str">
        <f>_xll.BDP("9128337N Govt","COUPON_FREQUENCY_DESCRIPTION")</f>
        <v>#N/A Field Not Applicable</v>
      </c>
      <c r="K49" t="str">
        <f>_xll.BDP("9128337N Govt","CPN_TYP")</f>
        <v>ZERO</v>
      </c>
      <c r="L49" t="str">
        <f>_xll.BDP("9128337N Govt","ID_ISIN")</f>
        <v>US9128337N47</v>
      </c>
      <c r="N49">
        <v>0</v>
      </c>
      <c r="O49" t="str">
        <f>_xll.BDP("9128337N Govt","ISSUE_DT")</f>
        <v>8/15/2007</v>
      </c>
      <c r="P49" t="str">
        <f>_xll.BDP("9128337N Govt","SECURITY_NAME")</f>
        <v>S 0 11/15/30</v>
      </c>
      <c r="Q49" t="str">
        <f>_xll.BDP("9128337N Govt","DAY_CNT_DES")</f>
        <v>ACT/ACT</v>
      </c>
      <c r="R49">
        <v>100</v>
      </c>
      <c r="S49" t="str">
        <f>_xll.BDP("9128337N Govt","ID_CUSIP")</f>
        <v>9128337N4</v>
      </c>
      <c r="T49" t="str">
        <f>_xll.BDP("9128337N Govt","IDX_RATIO")</f>
        <v>#N/A Field Not Applicable</v>
      </c>
    </row>
    <row r="50" spans="1:20" x14ac:dyDescent="0.25">
      <c r="A50" t="s">
        <v>14</v>
      </c>
      <c r="B50" t="str">
        <f>_xll.BDP("912833XY Govt","TICKER")</f>
        <v>S</v>
      </c>
      <c r="C50">
        <f>_xll.BDP("912833XY Govt","CPN")</f>
        <v>0</v>
      </c>
      <c r="D50">
        <f>_xll.BDP("912833XY Govt","YLD_YTM_BID")</f>
        <v>1.6449999999999854</v>
      </c>
      <c r="E50" t="str">
        <f>_xll.BDP("912833XY Govt","MATURITY")</f>
        <v>8/15/2030</v>
      </c>
      <c r="F50" t="str">
        <f>_xll.BDP("912833XY Govt","MTY_TYP")</f>
        <v>NORMAL</v>
      </c>
      <c r="G50" t="str">
        <f>_xll.BDP("912833XY Govt","CRNCY")</f>
        <v>USD</v>
      </c>
      <c r="H50" t="str">
        <f>_xll.BDP("912833XY Govt","COUNTRY_FULL_NAME")</f>
        <v>UNITED STATES</v>
      </c>
      <c r="I50" t="str">
        <f>_xll.BDP("912833XY Govt","FIRST_CPN_DT")</f>
        <v>#N/A Field Not Applicable</v>
      </c>
      <c r="J50" t="str">
        <f>_xll.BDP("912833XY Govt","COUPON_FREQUENCY_DESCRIPTION")</f>
        <v>#N/A Field Not Applicable</v>
      </c>
      <c r="K50" t="str">
        <f>_xll.BDP("912833XY Govt","CPN_TYP")</f>
        <v>ZERO</v>
      </c>
      <c r="L50" t="str">
        <f>_xll.BDP("912833XY Govt","ID_ISIN")</f>
        <v>US912833XY10</v>
      </c>
      <c r="N50">
        <v>0</v>
      </c>
      <c r="O50" t="str">
        <f>_xll.BDP("912833XY Govt","ISSUE_DT")</f>
        <v>2/15/2001</v>
      </c>
      <c r="P50" t="str">
        <f>_xll.BDP("912833XY Govt","SECURITY_NAME")</f>
        <v>S 0 08/15/30</v>
      </c>
      <c r="Q50" t="str">
        <f>_xll.BDP("912833XY Govt","DAY_CNT_DES")</f>
        <v>ACT/ACT</v>
      </c>
      <c r="R50">
        <v>100</v>
      </c>
      <c r="S50" t="str">
        <f>_xll.BDP("912833XY Govt","ID_CUSIP")</f>
        <v>912833XY1</v>
      </c>
      <c r="T50" t="str">
        <f>_xll.BDP("912833XY Govt","IDX_RATIO")</f>
        <v>#N/A Field Not Applicable</v>
      </c>
    </row>
    <row r="51" spans="1:20" x14ac:dyDescent="0.25">
      <c r="A51" t="s">
        <v>14</v>
      </c>
      <c r="B51" t="str">
        <f>_xll.BDP("912834VV Govt","TICKER")</f>
        <v>S</v>
      </c>
      <c r="C51">
        <f>_xll.BDP("912834VV Govt","CPN")</f>
        <v>0</v>
      </c>
      <c r="D51">
        <f>_xll.BDP("912834VV Govt","YLD_YTM_BID")</f>
        <v>2.2050000000000125</v>
      </c>
      <c r="E51" t="str">
        <f>_xll.BDP("912834VV Govt","MATURITY")</f>
        <v>5/15/2050</v>
      </c>
      <c r="F51" t="str">
        <f>_xll.BDP("912834VV Govt","MTY_TYP")</f>
        <v>NORMAL</v>
      </c>
      <c r="G51" t="str">
        <f>_xll.BDP("912834VV Govt","CRNCY")</f>
        <v>USD</v>
      </c>
      <c r="H51" t="str">
        <f>_xll.BDP("912834VV Govt","COUNTRY_FULL_NAME")</f>
        <v>UNITED STATES</v>
      </c>
      <c r="I51" t="str">
        <f>_xll.BDP("912834VV Govt","FIRST_CPN_DT")</f>
        <v>#N/A Field Not Applicable</v>
      </c>
      <c r="J51" t="str">
        <f>_xll.BDP("912834VV Govt","COUPON_FREQUENCY_DESCRIPTION")</f>
        <v>#N/A Field Not Applicable</v>
      </c>
      <c r="K51" t="str">
        <f>_xll.BDP("912834VV Govt","CPN_TYP")</f>
        <v>ZERO</v>
      </c>
      <c r="L51" t="str">
        <f>_xll.BDP("912834VV Govt","ID_ISIN")</f>
        <v>US912834VV71</v>
      </c>
      <c r="N51">
        <v>0</v>
      </c>
      <c r="O51" t="str">
        <f>_xll.BDP("912834VV Govt","ISSUE_DT")</f>
        <v>5/15/2020</v>
      </c>
      <c r="P51" t="str">
        <f>_xll.BDP("912834VV Govt","SECURITY_NAME")</f>
        <v>S 0 05/15/50</v>
      </c>
      <c r="Q51" t="str">
        <f>_xll.BDP("912834VV Govt","DAY_CNT_DES")</f>
        <v>ACT/ACT</v>
      </c>
      <c r="R51">
        <v>100</v>
      </c>
      <c r="S51" t="str">
        <f>_xll.BDP("912834VV Govt","ID_CUSIP")</f>
        <v>912834VV7</v>
      </c>
      <c r="T51" t="str">
        <f>_xll.BDP("912834VV Govt","IDX_RATIO")</f>
        <v>#N/A Field Not Applicable</v>
      </c>
    </row>
    <row r="52" spans="1:20" x14ac:dyDescent="0.25">
      <c r="A52" t="s">
        <v>14</v>
      </c>
      <c r="B52" t="str">
        <f>_xll.BDP("912833WR Govt","TICKER")</f>
        <v>S</v>
      </c>
      <c r="C52">
        <f>_xll.BDP("912833WR Govt","CPN")</f>
        <v>0</v>
      </c>
      <c r="D52">
        <f>_xll.BDP("912833WR Govt","YLD_YTM_BID")</f>
        <v>1.4310000000000045</v>
      </c>
      <c r="E52" t="str">
        <f>_xll.BDP("912833WR Govt","MATURITY")</f>
        <v>11/15/2028</v>
      </c>
      <c r="F52" t="str">
        <f>_xll.BDP("912833WR Govt","MTY_TYP")</f>
        <v>NORMAL</v>
      </c>
      <c r="G52" t="str">
        <f>_xll.BDP("912833WR Govt","CRNCY")</f>
        <v>USD</v>
      </c>
      <c r="H52" t="str">
        <f>_xll.BDP("912833WR Govt","COUNTRY_FULL_NAME")</f>
        <v>UNITED STATES</v>
      </c>
      <c r="I52" t="str">
        <f>_xll.BDP("912833WR Govt","FIRST_CPN_DT")</f>
        <v>#N/A Field Not Applicable</v>
      </c>
      <c r="J52" t="str">
        <f>_xll.BDP("912833WR Govt","COUPON_FREQUENCY_DESCRIPTION")</f>
        <v>#N/A Field Not Applicable</v>
      </c>
      <c r="K52" t="str">
        <f>_xll.BDP("912833WR Govt","CPN_TYP")</f>
        <v>ZERO</v>
      </c>
      <c r="L52" t="str">
        <f>_xll.BDP("912833WR Govt","ID_ISIN")</f>
        <v>US912833WR77</v>
      </c>
      <c r="N52">
        <v>0</v>
      </c>
      <c r="O52" t="str">
        <f>_xll.BDP("912833WR Govt","ISSUE_DT")</f>
        <v>11/16/1998</v>
      </c>
      <c r="P52" t="str">
        <f>_xll.BDP("912833WR Govt","SECURITY_NAME")</f>
        <v>S 0 11/15/28</v>
      </c>
      <c r="Q52" t="str">
        <f>_xll.BDP("912833WR Govt","DAY_CNT_DES")</f>
        <v>ACT/ACT</v>
      </c>
      <c r="R52">
        <v>100</v>
      </c>
      <c r="S52" t="str">
        <f>_xll.BDP("912833WR Govt","ID_CUSIP")</f>
        <v>912833WR7</v>
      </c>
      <c r="T52" t="str">
        <f>_xll.BDP("912833WR Govt","IDX_RATIO")</f>
        <v>#N/A Field Not Applicable</v>
      </c>
    </row>
    <row r="53" spans="1:20" x14ac:dyDescent="0.25">
      <c r="A53" t="s">
        <v>14</v>
      </c>
      <c r="B53" t="str">
        <f>_xll.BDP("912834LK Govt","TICKER")</f>
        <v>S</v>
      </c>
      <c r="C53">
        <f>_xll.BDP("912834LK Govt","CPN")</f>
        <v>0</v>
      </c>
      <c r="D53">
        <f>_xll.BDP("912834LK Govt","YLD_YTM_BID")</f>
        <v>2.2299999999999986</v>
      </c>
      <c r="E53" t="str">
        <f>_xll.BDP("912834LK Govt","MATURITY")</f>
        <v>5/15/2042</v>
      </c>
      <c r="F53" t="str">
        <f>_xll.BDP("912834LK Govt","MTY_TYP")</f>
        <v>NORMAL</v>
      </c>
      <c r="G53" t="str">
        <f>_xll.BDP("912834LK Govt","CRNCY")</f>
        <v>USD</v>
      </c>
      <c r="H53" t="str">
        <f>_xll.BDP("912834LK Govt","COUNTRY_FULL_NAME")</f>
        <v>UNITED STATES</v>
      </c>
      <c r="I53" t="str">
        <f>_xll.BDP("912834LK Govt","FIRST_CPN_DT")</f>
        <v>#N/A Field Not Applicable</v>
      </c>
      <c r="J53" t="str">
        <f>_xll.BDP("912834LK Govt","COUPON_FREQUENCY_DESCRIPTION")</f>
        <v>#N/A Field Not Applicable</v>
      </c>
      <c r="K53" t="str">
        <f>_xll.BDP("912834LK Govt","CPN_TYP")</f>
        <v>ZERO</v>
      </c>
      <c r="L53" t="str">
        <f>_xll.BDP("912834LK Govt","ID_ISIN")</f>
        <v>US912834LK27</v>
      </c>
      <c r="N53">
        <v>0</v>
      </c>
      <c r="O53" t="str">
        <f>_xll.BDP("912834LK Govt","ISSUE_DT")</f>
        <v>5/15/2012</v>
      </c>
      <c r="P53" t="str">
        <f>_xll.BDP("912834LK Govt","SECURITY_NAME")</f>
        <v>S 0 05/15/42</v>
      </c>
      <c r="Q53" t="str">
        <f>_xll.BDP("912834LK Govt","DAY_CNT_DES")</f>
        <v>ACT/ACT</v>
      </c>
      <c r="R53">
        <v>100</v>
      </c>
      <c r="S53" t="str">
        <f>_xll.BDP("912834LK Govt","ID_CUSIP")</f>
        <v>912834LK2</v>
      </c>
      <c r="T53" t="str">
        <f>_xll.BDP("912834LK Govt","IDX_RATIO")</f>
        <v>#N/A Field Not Applicable</v>
      </c>
    </row>
    <row r="54" spans="1:20" x14ac:dyDescent="0.25">
      <c r="A54" t="s">
        <v>14</v>
      </c>
      <c r="B54" t="str">
        <f>_xll.BDP("912834WR Govt","TICKER")</f>
        <v>S</v>
      </c>
      <c r="C54">
        <f>_xll.BDP("912834WR Govt","CPN")</f>
        <v>0</v>
      </c>
      <c r="D54">
        <f>_xll.BDP("912834WR Govt","YLD_YTM_BID")</f>
        <v>2.18799999999999</v>
      </c>
      <c r="E54" t="str">
        <f>_xll.BDP("912834WR Govt","MATURITY")</f>
        <v>2/15/2051</v>
      </c>
      <c r="F54" t="str">
        <f>_xll.BDP("912834WR Govt","MTY_TYP")</f>
        <v>NORMAL</v>
      </c>
      <c r="G54" t="str">
        <f>_xll.BDP("912834WR Govt","CRNCY")</f>
        <v>USD</v>
      </c>
      <c r="H54" t="str">
        <f>_xll.BDP("912834WR Govt","COUNTRY_FULL_NAME")</f>
        <v>UNITED STATES</v>
      </c>
      <c r="I54" t="str">
        <f>_xll.BDP("912834WR Govt","FIRST_CPN_DT")</f>
        <v>#N/A Field Not Applicable</v>
      </c>
      <c r="J54" t="str">
        <f>_xll.BDP("912834WR Govt","COUPON_FREQUENCY_DESCRIPTION")</f>
        <v>#N/A Field Not Applicable</v>
      </c>
      <c r="K54" t="str">
        <f>_xll.BDP("912834WR Govt","CPN_TYP")</f>
        <v>ZERO</v>
      </c>
      <c r="L54" t="str">
        <f>_xll.BDP("912834WR Govt","ID_ISIN")</f>
        <v>US912834WR50</v>
      </c>
      <c r="N54">
        <v>0</v>
      </c>
      <c r="O54" t="str">
        <f>_xll.BDP("912834WR Govt","ISSUE_DT")</f>
        <v>2/16/2021</v>
      </c>
      <c r="P54" t="str">
        <f>_xll.BDP("912834WR Govt","SECURITY_NAME")</f>
        <v>S 0 02/15/51</v>
      </c>
      <c r="Q54" t="str">
        <f>_xll.BDP("912834WR Govt","DAY_CNT_DES")</f>
        <v>ACT/ACT</v>
      </c>
      <c r="R54">
        <v>100</v>
      </c>
      <c r="S54" t="str">
        <f>_xll.BDP("912834WR Govt","ID_CUSIP")</f>
        <v>912834WR5</v>
      </c>
      <c r="T54" t="str">
        <f>_xll.BDP("912834WR Govt","IDX_RATIO")</f>
        <v>#N/A Field Not Applicable</v>
      </c>
    </row>
    <row r="55" spans="1:20" x14ac:dyDescent="0.25">
      <c r="A55" t="s">
        <v>14</v>
      </c>
      <c r="B55" t="str">
        <f>_xll.BDP("912833XT Govt","TICKER")</f>
        <v>S</v>
      </c>
      <c r="C55">
        <f>_xll.BDP("912833XT Govt","CPN")</f>
        <v>0</v>
      </c>
      <c r="D55">
        <f>_xll.BDP("912833XT Govt","YLD_YTM_BID")</f>
        <v>1.5699999999999825</v>
      </c>
      <c r="E55" t="str">
        <f>_xll.BDP("912833XT Govt","MATURITY")</f>
        <v>11/15/2029</v>
      </c>
      <c r="F55" t="str">
        <f>_xll.BDP("912833XT Govt","MTY_TYP")</f>
        <v>NORMAL</v>
      </c>
      <c r="G55" t="str">
        <f>_xll.BDP("912833XT Govt","CRNCY")</f>
        <v>USD</v>
      </c>
      <c r="H55" t="str">
        <f>_xll.BDP("912833XT Govt","COUNTRY_FULL_NAME")</f>
        <v>UNITED STATES</v>
      </c>
      <c r="I55" t="str">
        <f>_xll.BDP("912833XT Govt","FIRST_CPN_DT")</f>
        <v>#N/A Field Not Applicable</v>
      </c>
      <c r="J55" t="str">
        <f>_xll.BDP("912833XT Govt","COUPON_FREQUENCY_DESCRIPTION")</f>
        <v>#N/A Field Not Applicable</v>
      </c>
      <c r="K55" t="str">
        <f>_xll.BDP("912833XT Govt","CPN_TYP")</f>
        <v>ZERO</v>
      </c>
      <c r="L55" t="str">
        <f>_xll.BDP("912833XT Govt","ID_ISIN")</f>
        <v>US912833XT25</v>
      </c>
      <c r="N55">
        <v>0</v>
      </c>
      <c r="O55" t="str">
        <f>_xll.BDP("912833XT Govt","ISSUE_DT")</f>
        <v>2/15/2000</v>
      </c>
      <c r="P55" t="str">
        <f>_xll.BDP("912833XT Govt","SECURITY_NAME")</f>
        <v>S 0 11/15/29</v>
      </c>
      <c r="Q55" t="str">
        <f>_xll.BDP("912833XT Govt","DAY_CNT_DES")</f>
        <v>ACT/ACT</v>
      </c>
      <c r="R55">
        <v>100</v>
      </c>
      <c r="S55" t="str">
        <f>_xll.BDP("912833XT Govt","ID_CUSIP")</f>
        <v>912833XT2</v>
      </c>
      <c r="T55" t="str">
        <f>_xll.BDP("912833XT Govt","IDX_RATIO")</f>
        <v>#N/A Field Not Applicable</v>
      </c>
    </row>
    <row r="56" spans="1:20" x14ac:dyDescent="0.25">
      <c r="A56" t="s">
        <v>14</v>
      </c>
      <c r="B56" t="str">
        <f>_xll.BDP("912834KH Govt","TICKER")</f>
        <v>S</v>
      </c>
      <c r="C56">
        <f>_xll.BDP("912834KH Govt","CPN")</f>
        <v>0</v>
      </c>
      <c r="D56">
        <f>_xll.BDP("912834KH Govt","YLD_YTM_BID")</f>
        <v>2.1929999999999783</v>
      </c>
      <c r="E56" t="str">
        <f>_xll.BDP("912834KH Govt","MATURITY")</f>
        <v>5/15/2041</v>
      </c>
      <c r="F56" t="str">
        <f>_xll.BDP("912834KH Govt","MTY_TYP")</f>
        <v>NORMAL</v>
      </c>
      <c r="G56" t="str">
        <f>_xll.BDP("912834KH Govt","CRNCY")</f>
        <v>USD</v>
      </c>
      <c r="H56" t="str">
        <f>_xll.BDP("912834KH Govt","COUNTRY_FULL_NAME")</f>
        <v>UNITED STATES</v>
      </c>
      <c r="I56" t="str">
        <f>_xll.BDP("912834KH Govt","FIRST_CPN_DT")</f>
        <v>#N/A Field Not Applicable</v>
      </c>
      <c r="J56" t="str">
        <f>_xll.BDP("912834KH Govt","COUPON_FREQUENCY_DESCRIPTION")</f>
        <v>#N/A Field Not Applicable</v>
      </c>
      <c r="K56" t="str">
        <f>_xll.BDP("912834KH Govt","CPN_TYP")</f>
        <v>ZERO</v>
      </c>
      <c r="L56" t="str">
        <f>_xll.BDP("912834KH Govt","ID_ISIN")</f>
        <v>US912834KH07</v>
      </c>
      <c r="N56">
        <v>0</v>
      </c>
      <c r="O56" t="str">
        <f>_xll.BDP("912834KH Govt","ISSUE_DT")</f>
        <v>5/16/2011</v>
      </c>
      <c r="P56" t="str">
        <f>_xll.BDP("912834KH Govt","SECURITY_NAME")</f>
        <v>S 0 05/15/41</v>
      </c>
      <c r="Q56" t="str">
        <f>_xll.BDP("912834KH Govt","DAY_CNT_DES")</f>
        <v>ACT/ACT</v>
      </c>
      <c r="R56">
        <v>100</v>
      </c>
      <c r="S56" t="str">
        <f>_xll.BDP("912834KH Govt","ID_CUSIP")</f>
        <v>912834KH0</v>
      </c>
      <c r="T56" t="str">
        <f>_xll.BDP("912834KH Govt","IDX_RATIO")</f>
        <v>#N/A Field Not Applicable</v>
      </c>
    </row>
    <row r="57" spans="1:20" x14ac:dyDescent="0.25">
      <c r="A57" t="s">
        <v>14</v>
      </c>
      <c r="B57" t="str">
        <f>_xll.BDP("912834KV Govt","TICKER")</f>
        <v>S</v>
      </c>
      <c r="C57">
        <f>_xll.BDP("912834KV Govt","CPN")</f>
        <v>0</v>
      </c>
      <c r="D57">
        <f>_xll.BDP("912834KV Govt","YLD_YTM_BID")</f>
        <v>2.220000000000022</v>
      </c>
      <c r="E57" t="str">
        <f>_xll.BDP("912834KV Govt","MATURITY")</f>
        <v>11/15/2041</v>
      </c>
      <c r="F57" t="str">
        <f>_xll.BDP("912834KV Govt","MTY_TYP")</f>
        <v>NORMAL</v>
      </c>
      <c r="G57" t="str">
        <f>_xll.BDP("912834KV Govt","CRNCY")</f>
        <v>USD</v>
      </c>
      <c r="H57" t="str">
        <f>_xll.BDP("912834KV Govt","COUNTRY_FULL_NAME")</f>
        <v>UNITED STATES</v>
      </c>
      <c r="I57" t="str">
        <f>_xll.BDP("912834KV Govt","FIRST_CPN_DT")</f>
        <v>#N/A Field Not Applicable</v>
      </c>
      <c r="J57" t="str">
        <f>_xll.BDP("912834KV Govt","COUPON_FREQUENCY_DESCRIPTION")</f>
        <v>#N/A Field Not Applicable</v>
      </c>
      <c r="K57" t="str">
        <f>_xll.BDP("912834KV Govt","CPN_TYP")</f>
        <v>ZERO</v>
      </c>
      <c r="L57" t="str">
        <f>_xll.BDP("912834KV Govt","ID_ISIN")</f>
        <v>US912834KV90</v>
      </c>
      <c r="N57">
        <v>0</v>
      </c>
      <c r="O57" t="str">
        <f>_xll.BDP("912834KV Govt","ISSUE_DT")</f>
        <v>11/15/2011</v>
      </c>
      <c r="P57" t="str">
        <f>_xll.BDP("912834KV Govt","SECURITY_NAME")</f>
        <v>S 0 11/15/41</v>
      </c>
      <c r="Q57" t="str">
        <f>_xll.BDP("912834KV Govt","DAY_CNT_DES")</f>
        <v>ACT/ACT</v>
      </c>
      <c r="R57">
        <v>100</v>
      </c>
      <c r="S57" t="str">
        <f>_xll.BDP("912834KV Govt","ID_CUSIP")</f>
        <v>912834KV9</v>
      </c>
      <c r="T57" t="str">
        <f>_xll.BDP("912834KV Govt","IDX_RATIO")</f>
        <v>#N/A Field Not Applicable</v>
      </c>
    </row>
    <row r="58" spans="1:20" x14ac:dyDescent="0.25">
      <c r="A58" t="s">
        <v>14</v>
      </c>
      <c r="B58" t="str">
        <f>_xll.BDP("912834NF Govt","TICKER")</f>
        <v>S</v>
      </c>
      <c r="C58">
        <f>_xll.BDP("912834NF Govt","CPN")</f>
        <v>0</v>
      </c>
      <c r="D58">
        <f>_xll.BDP("912834NF Govt","YLD_YTM_BID")</f>
        <v>2.2499999999999964</v>
      </c>
      <c r="E58" t="str">
        <f>_xll.BDP("912834NF Govt","MATURITY")</f>
        <v>2/15/2044</v>
      </c>
      <c r="F58" t="str">
        <f>_xll.BDP("912834NF Govt","MTY_TYP")</f>
        <v>NORMAL</v>
      </c>
      <c r="G58" t="str">
        <f>_xll.BDP("912834NF Govt","CRNCY")</f>
        <v>USD</v>
      </c>
      <c r="H58" t="str">
        <f>_xll.BDP("912834NF Govt","COUNTRY_FULL_NAME")</f>
        <v>UNITED STATES</v>
      </c>
      <c r="I58" t="str">
        <f>_xll.BDP("912834NF Govt","FIRST_CPN_DT")</f>
        <v>#N/A Field Not Applicable</v>
      </c>
      <c r="J58" t="str">
        <f>_xll.BDP("912834NF Govt","COUPON_FREQUENCY_DESCRIPTION")</f>
        <v>#N/A Field Not Applicable</v>
      </c>
      <c r="K58" t="str">
        <f>_xll.BDP("912834NF Govt","CPN_TYP")</f>
        <v>ZERO</v>
      </c>
      <c r="L58" t="str">
        <f>_xll.BDP("912834NF Govt","ID_ISIN")</f>
        <v>US912834NF14</v>
      </c>
      <c r="N58">
        <v>0</v>
      </c>
      <c r="O58" t="str">
        <f>_xll.BDP("912834NF Govt","ISSUE_DT")</f>
        <v>2/18/2014</v>
      </c>
      <c r="P58" t="str">
        <f>_xll.BDP("912834NF Govt","SECURITY_NAME")</f>
        <v>S 0 02/15/44</v>
      </c>
      <c r="Q58" t="str">
        <f>_xll.BDP("912834NF Govt","DAY_CNT_DES")</f>
        <v>ACT/ACT</v>
      </c>
      <c r="R58">
        <v>100</v>
      </c>
      <c r="S58" t="str">
        <f>_xll.BDP("912834NF Govt","ID_CUSIP")</f>
        <v>912834NF1</v>
      </c>
      <c r="T58" t="str">
        <f>_xll.BDP("912834NF Govt","IDX_RATIO")</f>
        <v>#N/A Field Not Applicable</v>
      </c>
    </row>
    <row r="59" spans="1:20" x14ac:dyDescent="0.25">
      <c r="A59" t="s">
        <v>14</v>
      </c>
      <c r="B59" t="str">
        <f>_xll.BDP("912833X9 Govt","TICKER")</f>
        <v>S</v>
      </c>
      <c r="C59">
        <f>_xll.BDP("912833X9 Govt","CPN")</f>
        <v>0</v>
      </c>
      <c r="D59">
        <f>_xll.BDP("912833X9 Govt","YLD_YTM_BID")</f>
        <v>1.9509999999999916</v>
      </c>
      <c r="E59" t="str">
        <f>_xll.BDP("912833X9 Govt","MATURITY")</f>
        <v>11/15/2035</v>
      </c>
      <c r="F59" t="str">
        <f>_xll.BDP("912833X9 Govt","MTY_TYP")</f>
        <v>NORMAL</v>
      </c>
      <c r="G59" t="str">
        <f>_xll.BDP("912833X9 Govt","CRNCY")</f>
        <v>USD</v>
      </c>
      <c r="H59" t="str">
        <f>_xll.BDP("912833X9 Govt","COUNTRY_FULL_NAME")</f>
        <v>UNITED STATES</v>
      </c>
      <c r="I59" t="str">
        <f>_xll.BDP("912833X9 Govt","FIRST_CPN_DT")</f>
        <v>#N/A Field Not Applicable</v>
      </c>
      <c r="J59" t="str">
        <f>_xll.BDP("912833X9 Govt","COUPON_FREQUENCY_DESCRIPTION")</f>
        <v>#N/A Field Not Applicable</v>
      </c>
      <c r="K59" t="str">
        <f>_xll.BDP("912833X9 Govt","CPN_TYP")</f>
        <v>ZERO</v>
      </c>
      <c r="L59" t="str">
        <f>_xll.BDP("912833X9 Govt","ID_ISIN")</f>
        <v>US912833X968</v>
      </c>
      <c r="N59">
        <v>0</v>
      </c>
      <c r="O59" t="str">
        <f>_xll.BDP("912833X9 Govt","ISSUE_DT")</f>
        <v>8/15/2007</v>
      </c>
      <c r="P59" t="str">
        <f>_xll.BDP("912833X9 Govt","SECURITY_NAME")</f>
        <v>S 0 11/15/35</v>
      </c>
      <c r="Q59" t="str">
        <f>_xll.BDP("912833X9 Govt","DAY_CNT_DES")</f>
        <v>ACT/ACT</v>
      </c>
      <c r="R59">
        <v>100</v>
      </c>
      <c r="S59" t="str">
        <f>_xll.BDP("912833X9 Govt","ID_CUSIP")</f>
        <v>912833X96</v>
      </c>
      <c r="T59" t="str">
        <f>_xll.BDP("912833X9 Govt","IDX_RATIO")</f>
        <v>#N/A Field Not Applicable</v>
      </c>
    </row>
    <row r="60" spans="1:20" x14ac:dyDescent="0.25">
      <c r="A60" t="s">
        <v>14</v>
      </c>
      <c r="B60" t="str">
        <f>_xll.BDP("912833Y4 Govt","TICKER")</f>
        <v>S</v>
      </c>
      <c r="C60">
        <f>_xll.BDP("912833Y4 Govt","CPN")</f>
        <v>0</v>
      </c>
      <c r="D60">
        <f>_xll.BDP("912833Y4 Govt","YLD_YTM_BID")</f>
        <v>2.0389999999999908</v>
      </c>
      <c r="E60" t="str">
        <f>_xll.BDP("912833Y4 Govt","MATURITY")</f>
        <v>5/15/2037</v>
      </c>
      <c r="F60" t="str">
        <f>_xll.BDP("912833Y4 Govt","MTY_TYP")</f>
        <v>NORMAL</v>
      </c>
      <c r="G60" t="str">
        <f>_xll.BDP("912833Y4 Govt","CRNCY")</f>
        <v>USD</v>
      </c>
      <c r="H60" t="str">
        <f>_xll.BDP("912833Y4 Govt","COUNTRY_FULL_NAME")</f>
        <v>UNITED STATES</v>
      </c>
      <c r="I60" t="str">
        <f>_xll.BDP("912833Y4 Govt","FIRST_CPN_DT")</f>
        <v>#N/A Field Not Applicable</v>
      </c>
      <c r="J60" t="str">
        <f>_xll.BDP("912833Y4 Govt","COUPON_FREQUENCY_DESCRIPTION")</f>
        <v>#N/A Field Not Applicable</v>
      </c>
      <c r="K60" t="str">
        <f>_xll.BDP("912833Y4 Govt","CPN_TYP")</f>
        <v>ZERO</v>
      </c>
      <c r="L60" t="str">
        <f>_xll.BDP("912833Y4 Govt","ID_ISIN")</f>
        <v>US912833Y461</v>
      </c>
      <c r="N60">
        <v>0</v>
      </c>
      <c r="O60" t="str">
        <f>_xll.BDP("912833Y4 Govt","ISSUE_DT")</f>
        <v>8/15/2007</v>
      </c>
      <c r="P60" t="str">
        <f>_xll.BDP("912833Y4 Govt","SECURITY_NAME")</f>
        <v>S 0 05/15/37</v>
      </c>
      <c r="Q60" t="str">
        <f>_xll.BDP("912833Y4 Govt","DAY_CNT_DES")</f>
        <v>ACT/ACT</v>
      </c>
      <c r="R60">
        <v>100</v>
      </c>
      <c r="S60" t="str">
        <f>_xll.BDP("912833Y4 Govt","ID_CUSIP")</f>
        <v>912833Y46</v>
      </c>
      <c r="T60" t="str">
        <f>_xll.BDP("912833Y4 Govt","IDX_RATIO")</f>
        <v>#N/A Field Not Applicable</v>
      </c>
    </row>
    <row r="61" spans="1:20" x14ac:dyDescent="0.25">
      <c r="A61" t="s">
        <v>14</v>
      </c>
      <c r="B61" t="str">
        <f>_xll.BDP("9128334W Govt","TICKER")</f>
        <v>S</v>
      </c>
      <c r="C61">
        <f>_xll.BDP("9128334W Govt","CPN")</f>
        <v>0</v>
      </c>
      <c r="D61">
        <f>_xll.BDP("9128334W Govt","YLD_YTM_BID")</f>
        <v>1.8470000000000208</v>
      </c>
      <c r="E61" t="str">
        <f>_xll.BDP("9128334W Govt","MATURITY")</f>
        <v>8/15/2033</v>
      </c>
      <c r="F61" t="str">
        <f>_xll.BDP("9128334W Govt","MTY_TYP")</f>
        <v>NORMAL</v>
      </c>
      <c r="G61" t="str">
        <f>_xll.BDP("9128334W Govt","CRNCY")</f>
        <v>USD</v>
      </c>
      <c r="H61" t="str">
        <f>_xll.BDP("9128334W Govt","COUNTRY_FULL_NAME")</f>
        <v>UNITED STATES</v>
      </c>
      <c r="I61" t="str">
        <f>_xll.BDP("9128334W Govt","FIRST_CPN_DT")</f>
        <v>#N/A Field Not Applicable</v>
      </c>
      <c r="J61" t="str">
        <f>_xll.BDP("9128334W Govt","COUPON_FREQUENCY_DESCRIPTION")</f>
        <v>#N/A Field Not Applicable</v>
      </c>
      <c r="K61" t="str">
        <f>_xll.BDP("9128334W Govt","CPN_TYP")</f>
        <v>ZERO</v>
      </c>
      <c r="L61" t="str">
        <f>_xll.BDP("9128334W Govt","ID_ISIN")</f>
        <v>US9128334W72</v>
      </c>
      <c r="N61">
        <v>0</v>
      </c>
      <c r="O61" t="str">
        <f>_xll.BDP("9128334W Govt","ISSUE_DT")</f>
        <v>2/15/2006</v>
      </c>
      <c r="P61" t="str">
        <f>_xll.BDP("9128334W Govt","SECURITY_NAME")</f>
        <v>S 0 08/15/33</v>
      </c>
      <c r="Q61" t="str">
        <f>_xll.BDP("9128334W Govt","DAY_CNT_DES")</f>
        <v>ACT/ACT</v>
      </c>
      <c r="R61">
        <v>100</v>
      </c>
      <c r="S61" t="str">
        <f>_xll.BDP("9128334W Govt","ID_CUSIP")</f>
        <v>9128334W7</v>
      </c>
      <c r="T61" t="str">
        <f>_xll.BDP("9128334W Govt","IDX_RATIO")</f>
        <v>#N/A Field Not Applicable</v>
      </c>
    </row>
    <row r="62" spans="1:20" x14ac:dyDescent="0.25">
      <c r="A62" t="s">
        <v>14</v>
      </c>
      <c r="B62" t="str">
        <f>_xll.BDP("912833XX Govt","TICKER")</f>
        <v>S</v>
      </c>
      <c r="C62">
        <f>_xll.BDP("912833XX Govt","CPN")</f>
        <v>0</v>
      </c>
      <c r="D62">
        <f>_xll.BDP("912833XX Govt","YLD_YTM_BID")</f>
        <v>1.601000000000008</v>
      </c>
      <c r="E62" t="str">
        <f>_xll.BDP("912833XX Govt","MATURITY")</f>
        <v>2/15/2030</v>
      </c>
      <c r="F62" t="str">
        <f>_xll.BDP("912833XX Govt","MTY_TYP")</f>
        <v>NORMAL</v>
      </c>
      <c r="G62" t="str">
        <f>_xll.BDP("912833XX Govt","CRNCY")</f>
        <v>USD</v>
      </c>
      <c r="H62" t="str">
        <f>_xll.BDP("912833XX Govt","COUNTRY_FULL_NAME")</f>
        <v>UNITED STATES</v>
      </c>
      <c r="I62" t="str">
        <f>_xll.BDP("912833XX Govt","FIRST_CPN_DT")</f>
        <v>#N/A Field Not Applicable</v>
      </c>
      <c r="J62" t="str">
        <f>_xll.BDP("912833XX Govt","COUPON_FREQUENCY_DESCRIPTION")</f>
        <v>#N/A Field Not Applicable</v>
      </c>
      <c r="K62" t="str">
        <f>_xll.BDP("912833XX Govt","CPN_TYP")</f>
        <v>ZERO</v>
      </c>
      <c r="L62" t="str">
        <f>_xll.BDP("912833XX Govt","ID_ISIN")</f>
        <v>US912833XX37</v>
      </c>
      <c r="N62">
        <v>0</v>
      </c>
      <c r="O62" t="str">
        <f>_xll.BDP("912833XX Govt","ISSUE_DT")</f>
        <v>2/15/2001</v>
      </c>
      <c r="P62" t="str">
        <f>_xll.BDP("912833XX Govt","SECURITY_NAME")</f>
        <v>S 0 02/15/30</v>
      </c>
      <c r="Q62" t="str">
        <f>_xll.BDP("912833XX Govt","DAY_CNT_DES")</f>
        <v>ACT/ACT</v>
      </c>
      <c r="R62">
        <v>100</v>
      </c>
      <c r="S62" t="str">
        <f>_xll.BDP("912833XX Govt","ID_CUSIP")</f>
        <v>912833XX3</v>
      </c>
      <c r="T62" t="str">
        <f>_xll.BDP("912833XX Govt","IDX_RATIO")</f>
        <v>#N/A Field Not Applicable</v>
      </c>
    </row>
    <row r="63" spans="1:20" x14ac:dyDescent="0.25">
      <c r="A63" t="s">
        <v>14</v>
      </c>
      <c r="B63" t="str">
        <f>_xll.BDP("912833LN Govt","TICKER")</f>
        <v>S</v>
      </c>
      <c r="C63">
        <f>_xll.BDP("912833LN Govt","CPN")</f>
        <v>0</v>
      </c>
      <c r="D63">
        <f>_xll.BDP("912833LN Govt","YLD_YTM_BID")</f>
        <v>0.20799999999998597</v>
      </c>
      <c r="E63" t="str">
        <f>_xll.BDP("912833LN Govt","MATURITY")</f>
        <v>5/15/2023</v>
      </c>
      <c r="F63" t="str">
        <f>_xll.BDP("912833LN Govt","MTY_TYP")</f>
        <v>NORMAL</v>
      </c>
      <c r="G63" t="str">
        <f>_xll.BDP("912833LN Govt","CRNCY")</f>
        <v>USD</v>
      </c>
      <c r="H63" t="str">
        <f>_xll.BDP("912833LN Govt","COUNTRY_FULL_NAME")</f>
        <v>UNITED STATES</v>
      </c>
      <c r="I63" t="str">
        <f>_xll.BDP("912833LN Govt","FIRST_CPN_DT")</f>
        <v>#N/A Field Not Applicable</v>
      </c>
      <c r="J63" t="str">
        <f>_xll.BDP("912833LN Govt","COUPON_FREQUENCY_DESCRIPTION")</f>
        <v>#N/A Field Not Applicable</v>
      </c>
      <c r="K63" t="str">
        <f>_xll.BDP("912833LN Govt","CPN_TYP")</f>
        <v>ZERO</v>
      </c>
      <c r="L63" t="str">
        <f>_xll.BDP("912833LN Govt","ID_ISIN")</f>
        <v>US912833LN82</v>
      </c>
      <c r="N63">
        <v>0</v>
      </c>
      <c r="O63" t="str">
        <f>_xll.BDP("912833LN Govt","ISSUE_DT")</f>
        <v>8/15/1994</v>
      </c>
      <c r="P63" t="str">
        <f>_xll.BDP("912833LN Govt","SECURITY_NAME")</f>
        <v>S 0 05/15/23</v>
      </c>
      <c r="Q63" t="str">
        <f>_xll.BDP("912833LN Govt","DAY_CNT_DES")</f>
        <v>ACT/ACT</v>
      </c>
      <c r="R63">
        <v>100</v>
      </c>
      <c r="S63" t="str">
        <f>_xll.BDP("912833LN Govt","ID_CUSIP")</f>
        <v>912833LN8</v>
      </c>
      <c r="T63" t="str">
        <f>_xll.BDP("912833LN Govt","IDX_RATIO")</f>
        <v>#N/A Field Not Applicable</v>
      </c>
    </row>
    <row r="64" spans="1:20" x14ac:dyDescent="0.25">
      <c r="A64" t="s">
        <v>14</v>
      </c>
      <c r="B64" t="str">
        <f>_xll.BDP("912834JY Govt","TICKER")</f>
        <v>S</v>
      </c>
      <c r="C64">
        <f>_xll.BDP("912834JY Govt","CPN")</f>
        <v>0</v>
      </c>
      <c r="D64">
        <f>_xll.BDP("912834JY Govt","YLD_YTM_BID")</f>
        <v>0.11300000000003076</v>
      </c>
      <c r="E64" t="str">
        <f>_xll.BDP("912834JY Govt","MATURITY")</f>
        <v>3/31/2022</v>
      </c>
      <c r="F64" t="str">
        <f>_xll.BDP("912834JY Govt","MTY_TYP")</f>
        <v>NORMAL</v>
      </c>
      <c r="G64" t="str">
        <f>_xll.BDP("912834JY Govt","CRNCY")</f>
        <v>USD</v>
      </c>
      <c r="H64" t="str">
        <f>_xll.BDP("912834JY Govt","COUNTRY_FULL_NAME")</f>
        <v>UNITED STATES</v>
      </c>
      <c r="I64" t="str">
        <f>_xll.BDP("912834JY Govt","FIRST_CPN_DT")</f>
        <v>#N/A Field Not Applicable</v>
      </c>
      <c r="J64" t="str">
        <f>_xll.BDP("912834JY Govt","COUPON_FREQUENCY_DESCRIPTION")</f>
        <v>#N/A Field Not Applicable</v>
      </c>
      <c r="K64" t="str">
        <f>_xll.BDP("912834JY Govt","CPN_TYP")</f>
        <v>ZERO</v>
      </c>
      <c r="L64" t="str">
        <f>_xll.BDP("912834JY Govt","ID_ISIN")</f>
        <v>US912834JY58</v>
      </c>
      <c r="N64">
        <v>0</v>
      </c>
      <c r="O64" t="str">
        <f>_xll.BDP("912834JY Govt","ISSUE_DT")</f>
        <v>3/31/2015</v>
      </c>
      <c r="P64" t="str">
        <f>_xll.BDP("912834JY Govt","SECURITY_NAME")</f>
        <v>S 0 03/31/22</v>
      </c>
      <c r="Q64" t="str">
        <f>_xll.BDP("912834JY Govt","DAY_CNT_DES")</f>
        <v>ACT/ACT</v>
      </c>
      <c r="R64">
        <v>100</v>
      </c>
      <c r="S64" t="str">
        <f>_xll.BDP("912834JY Govt","ID_CUSIP")</f>
        <v>912834JY5</v>
      </c>
      <c r="T64" t="str">
        <f>_xll.BDP("912834JY Govt","IDX_RATIO")</f>
        <v>#N/A Field Not Applicable</v>
      </c>
    </row>
    <row r="65" spans="1:20" x14ac:dyDescent="0.25">
      <c r="A65" t="s">
        <v>14</v>
      </c>
      <c r="B65" t="str">
        <f>_xll.BDP("912834UR Govt","TICKER")</f>
        <v>S</v>
      </c>
      <c r="C65">
        <f>_xll.BDP("912834UR Govt","CPN")</f>
        <v>0</v>
      </c>
      <c r="D65">
        <f>_xll.BDP("912834UR Govt","YLD_YTM_BID")</f>
        <v>2.2409999999999819</v>
      </c>
      <c r="E65" t="str">
        <f>_xll.BDP("912834UR Govt","MATURITY")</f>
        <v>5/15/2049</v>
      </c>
      <c r="F65" t="str">
        <f>_xll.BDP("912834UR Govt","MTY_TYP")</f>
        <v>NORMAL</v>
      </c>
      <c r="G65" t="str">
        <f>_xll.BDP("912834UR Govt","CRNCY")</f>
        <v>USD</v>
      </c>
      <c r="H65" t="str">
        <f>_xll.BDP("912834UR Govt","COUNTRY_FULL_NAME")</f>
        <v>UNITED STATES</v>
      </c>
      <c r="I65" t="str">
        <f>_xll.BDP("912834UR Govt","FIRST_CPN_DT")</f>
        <v>#N/A Field Not Applicable</v>
      </c>
      <c r="J65" t="str">
        <f>_xll.BDP("912834UR Govt","COUPON_FREQUENCY_DESCRIPTION")</f>
        <v>#N/A Field Not Applicable</v>
      </c>
      <c r="K65" t="str">
        <f>_xll.BDP("912834UR Govt","CPN_TYP")</f>
        <v>ZERO</v>
      </c>
      <c r="L65" t="str">
        <f>_xll.BDP("912834UR Govt","ID_ISIN")</f>
        <v>US912834UR78</v>
      </c>
      <c r="N65">
        <v>0</v>
      </c>
      <c r="O65" t="str">
        <f>_xll.BDP("912834UR Govt","ISSUE_DT")</f>
        <v>5/15/2019</v>
      </c>
      <c r="P65" t="str">
        <f>_xll.BDP("912834UR Govt","SECURITY_NAME")</f>
        <v>S 0 05/15/49</v>
      </c>
      <c r="Q65" t="str">
        <f>_xll.BDP("912834UR Govt","DAY_CNT_DES")</f>
        <v>ACT/ACT</v>
      </c>
      <c r="R65">
        <v>100</v>
      </c>
      <c r="S65" t="str">
        <f>_xll.BDP("912834UR Govt","ID_CUSIP")</f>
        <v>912834UR7</v>
      </c>
      <c r="T65" t="str">
        <f>_xll.BDP("912834UR Govt","IDX_RATIO")</f>
        <v>#N/A Field Not Applicable</v>
      </c>
    </row>
    <row r="66" spans="1:20" x14ac:dyDescent="0.25">
      <c r="A66" t="s">
        <v>14</v>
      </c>
      <c r="B66" t="str">
        <f>_xll.BDP("912833X8 Govt","TICKER")</f>
        <v>S</v>
      </c>
      <c r="C66">
        <f>_xll.BDP("912833X8 Govt","CPN")</f>
        <v>0</v>
      </c>
      <c r="D66">
        <f>_xll.BDP("912833X8 Govt","YLD_YTM_BID")</f>
        <v>1.9280000000000186</v>
      </c>
      <c r="E66" t="str">
        <f>_xll.BDP("912833X8 Govt","MATURITY")</f>
        <v>5/15/2035</v>
      </c>
      <c r="F66" t="str">
        <f>_xll.BDP("912833X8 Govt","MTY_TYP")</f>
        <v>NORMAL</v>
      </c>
      <c r="G66" t="str">
        <f>_xll.BDP("912833X8 Govt","CRNCY")</f>
        <v>USD</v>
      </c>
      <c r="H66" t="str">
        <f>_xll.BDP("912833X8 Govt","COUNTRY_FULL_NAME")</f>
        <v>UNITED STATES</v>
      </c>
      <c r="I66" t="str">
        <f>_xll.BDP("912833X8 Govt","FIRST_CPN_DT")</f>
        <v>#N/A Field Not Applicable</v>
      </c>
      <c r="J66" t="str">
        <f>_xll.BDP("912833X8 Govt","COUPON_FREQUENCY_DESCRIPTION")</f>
        <v>#N/A Field Not Applicable</v>
      </c>
      <c r="K66" t="str">
        <f>_xll.BDP("912833X8 Govt","CPN_TYP")</f>
        <v>ZERO</v>
      </c>
      <c r="L66" t="str">
        <f>_xll.BDP("912833X8 Govt","ID_ISIN")</f>
        <v>US912833X885</v>
      </c>
      <c r="N66">
        <v>0</v>
      </c>
      <c r="O66" t="str">
        <f>_xll.BDP("912833X8 Govt","ISSUE_DT")</f>
        <v>8/15/2007</v>
      </c>
      <c r="P66" t="str">
        <f>_xll.BDP("912833X8 Govt","SECURITY_NAME")</f>
        <v>S 0 05/15/35</v>
      </c>
      <c r="Q66" t="str">
        <f>_xll.BDP("912833X8 Govt","DAY_CNT_DES")</f>
        <v>ACT/ACT</v>
      </c>
      <c r="R66">
        <v>100</v>
      </c>
      <c r="S66" t="str">
        <f>_xll.BDP("912833X8 Govt","ID_CUSIP")</f>
        <v>912833X88</v>
      </c>
      <c r="T66" t="str">
        <f>_xll.BDP("912833X8 Govt","IDX_RATIO")</f>
        <v>#N/A Field Not Applicable</v>
      </c>
    </row>
    <row r="67" spans="1:20" x14ac:dyDescent="0.25">
      <c r="A67" t="s">
        <v>14</v>
      </c>
      <c r="B67" t="str">
        <f>_xll.BDP("9128334Y Govt","TICKER")</f>
        <v>S</v>
      </c>
      <c r="C67">
        <f>_xll.BDP("9128334Y Govt","CPN")</f>
        <v>0</v>
      </c>
      <c r="D67">
        <f>_xll.BDP("9128334Y Govt","YLD_YTM_BID")</f>
        <v>1.902999999999988</v>
      </c>
      <c r="E67" t="str">
        <f>_xll.BDP("9128334Y Govt","MATURITY")</f>
        <v>8/15/2034</v>
      </c>
      <c r="F67" t="str">
        <f>_xll.BDP("9128334Y Govt","MTY_TYP")</f>
        <v>NORMAL</v>
      </c>
      <c r="G67" t="str">
        <f>_xll.BDP("9128334Y Govt","CRNCY")</f>
        <v>USD</v>
      </c>
      <c r="H67" t="str">
        <f>_xll.BDP("9128334Y Govt","COUNTRY_FULL_NAME")</f>
        <v>UNITED STATES</v>
      </c>
      <c r="I67" t="str">
        <f>_xll.BDP("9128334Y Govt","FIRST_CPN_DT")</f>
        <v>#N/A Field Not Applicable</v>
      </c>
      <c r="J67" t="str">
        <f>_xll.BDP("9128334Y Govt","COUPON_FREQUENCY_DESCRIPTION")</f>
        <v>#N/A Field Not Applicable</v>
      </c>
      <c r="K67" t="str">
        <f>_xll.BDP("9128334Y Govt","CPN_TYP")</f>
        <v>ZERO</v>
      </c>
      <c r="L67" t="str">
        <f>_xll.BDP("9128334Y Govt","ID_ISIN")</f>
        <v>US9128334Y39</v>
      </c>
      <c r="N67">
        <v>0</v>
      </c>
      <c r="O67" t="str">
        <f>_xll.BDP("9128334Y Govt","ISSUE_DT")</f>
        <v>2/15/2006</v>
      </c>
      <c r="P67" t="str">
        <f>_xll.BDP("9128334Y Govt","SECURITY_NAME")</f>
        <v>S 0 08/15/34</v>
      </c>
      <c r="Q67" t="str">
        <f>_xll.BDP("9128334Y Govt","DAY_CNT_DES")</f>
        <v>ACT/ACT</v>
      </c>
      <c r="R67">
        <v>100</v>
      </c>
      <c r="S67" t="str">
        <f>_xll.BDP("9128334Y Govt","ID_CUSIP")</f>
        <v>9128334Y3</v>
      </c>
      <c r="T67" t="str">
        <f>_xll.BDP("9128334Y Govt","IDX_RATIO")</f>
        <v>#N/A Field Not Applicable</v>
      </c>
    </row>
    <row r="68" spans="1:20" x14ac:dyDescent="0.25">
      <c r="A68" t="s">
        <v>14</v>
      </c>
      <c r="B68" t="str">
        <f>_xll.BDP("912834JH Govt","TICKER")</f>
        <v>S</v>
      </c>
      <c r="C68">
        <f>_xll.BDP("912834JH Govt","CPN")</f>
        <v>0</v>
      </c>
      <c r="D68">
        <f>_xll.BDP("912834JH Govt","YLD_YTM_BID")</f>
        <v>2.179999999999982</v>
      </c>
      <c r="E68" t="str">
        <f>_xll.BDP("912834JH Govt","MATURITY")</f>
        <v>11/15/2040</v>
      </c>
      <c r="F68" t="str">
        <f>_xll.BDP("912834JH Govt","MTY_TYP")</f>
        <v>NORMAL</v>
      </c>
      <c r="G68" t="str">
        <f>_xll.BDP("912834JH Govt","CRNCY")</f>
        <v>USD</v>
      </c>
      <c r="H68" t="str">
        <f>_xll.BDP("912834JH Govt","COUNTRY_FULL_NAME")</f>
        <v>UNITED STATES</v>
      </c>
      <c r="I68" t="str">
        <f>_xll.BDP("912834JH Govt","FIRST_CPN_DT")</f>
        <v>#N/A Field Not Applicable</v>
      </c>
      <c r="J68" t="str">
        <f>_xll.BDP("912834JH Govt","COUPON_FREQUENCY_DESCRIPTION")</f>
        <v>#N/A Field Not Applicable</v>
      </c>
      <c r="K68" t="str">
        <f>_xll.BDP("912834JH Govt","CPN_TYP")</f>
        <v>ZERO</v>
      </c>
      <c r="L68" t="str">
        <f>_xll.BDP("912834JH Govt","ID_ISIN")</f>
        <v>US912834JH26</v>
      </c>
      <c r="N68">
        <v>0</v>
      </c>
      <c r="O68" t="str">
        <f>_xll.BDP("912834JH Govt","ISSUE_DT")</f>
        <v>11/15/2010</v>
      </c>
      <c r="P68" t="str">
        <f>_xll.BDP("912834JH Govt","SECURITY_NAME")</f>
        <v>S 0 11/15/40</v>
      </c>
      <c r="Q68" t="str">
        <f>_xll.BDP("912834JH Govt","DAY_CNT_DES")</f>
        <v>ACT/ACT</v>
      </c>
      <c r="R68">
        <v>100</v>
      </c>
      <c r="S68" t="str">
        <f>_xll.BDP("912834JH Govt","ID_CUSIP")</f>
        <v>912834JH2</v>
      </c>
      <c r="T68" t="str">
        <f>_xll.BDP("912834JH Govt","IDX_RATIO")</f>
        <v>#N/A Field Not Applicable</v>
      </c>
    </row>
    <row r="69" spans="1:20" x14ac:dyDescent="0.25">
      <c r="A69" t="s">
        <v>14</v>
      </c>
      <c r="B69" t="str">
        <f>_xll.BDP("9128334V Govt","TICKER")</f>
        <v>S</v>
      </c>
      <c r="C69">
        <f>_xll.BDP("9128334V Govt","CPN")</f>
        <v>0</v>
      </c>
      <c r="D69">
        <f>_xll.BDP("9128334V Govt","YLD_YTM_BID")</f>
        <v>1.8330000000000179</v>
      </c>
      <c r="E69" t="str">
        <f>_xll.BDP("9128334V Govt","MATURITY")</f>
        <v>2/15/2033</v>
      </c>
      <c r="F69" t="str">
        <f>_xll.BDP("9128334V Govt","MTY_TYP")</f>
        <v>NORMAL</v>
      </c>
      <c r="G69" t="str">
        <f>_xll.BDP("9128334V Govt","CRNCY")</f>
        <v>USD</v>
      </c>
      <c r="H69" t="str">
        <f>_xll.BDP("9128334V Govt","COUNTRY_FULL_NAME")</f>
        <v>UNITED STATES</v>
      </c>
      <c r="I69" t="str">
        <f>_xll.BDP("9128334V Govt","FIRST_CPN_DT")</f>
        <v>#N/A Field Not Applicable</v>
      </c>
      <c r="J69" t="str">
        <f>_xll.BDP("9128334V Govt","COUPON_FREQUENCY_DESCRIPTION")</f>
        <v>#N/A Field Not Applicable</v>
      </c>
      <c r="K69" t="str">
        <f>_xll.BDP("9128334V Govt","CPN_TYP")</f>
        <v>ZERO</v>
      </c>
      <c r="L69" t="str">
        <f>_xll.BDP("9128334V Govt","ID_ISIN")</f>
        <v>US9128334V99</v>
      </c>
      <c r="N69">
        <v>0</v>
      </c>
      <c r="O69" t="str">
        <f>_xll.BDP("9128334V Govt","ISSUE_DT")</f>
        <v>2/15/2006</v>
      </c>
      <c r="P69" t="str">
        <f>_xll.BDP("9128334V Govt","SECURITY_NAME")</f>
        <v>S 0 02/15/33</v>
      </c>
      <c r="Q69" t="str">
        <f>_xll.BDP("9128334V Govt","DAY_CNT_DES")</f>
        <v>ACT/ACT</v>
      </c>
      <c r="R69">
        <v>100</v>
      </c>
      <c r="S69" t="str">
        <f>_xll.BDP("9128334V Govt","ID_CUSIP")</f>
        <v>9128334V9</v>
      </c>
      <c r="T69" t="str">
        <f>_xll.BDP("9128334V Govt","IDX_RATIO")</f>
        <v>#N/A Field Not Applicable</v>
      </c>
    </row>
    <row r="70" spans="1:20" x14ac:dyDescent="0.25">
      <c r="A70" t="s">
        <v>14</v>
      </c>
      <c r="B70" t="str">
        <f>_xll.BDP("912834HV Govt","TICKER")</f>
        <v>S</v>
      </c>
      <c r="C70">
        <f>_xll.BDP("912834HV Govt","CPN")</f>
        <v>0</v>
      </c>
      <c r="D70">
        <f>_xll.BDP("912834HV Govt","YLD_YTM_BID")</f>
        <v>2.1529999999999827</v>
      </c>
      <c r="E70" t="str">
        <f>_xll.BDP("912834HV Govt","MATURITY")</f>
        <v>5/15/2040</v>
      </c>
      <c r="F70" t="str">
        <f>_xll.BDP("912834HV Govt","MTY_TYP")</f>
        <v>NORMAL</v>
      </c>
      <c r="G70" t="str">
        <f>_xll.BDP("912834HV Govt","CRNCY")</f>
        <v>USD</v>
      </c>
      <c r="H70" t="str">
        <f>_xll.BDP("912834HV Govt","COUNTRY_FULL_NAME")</f>
        <v>UNITED STATES</v>
      </c>
      <c r="I70" t="str">
        <f>_xll.BDP("912834HV Govt","FIRST_CPN_DT")</f>
        <v>#N/A Field Not Applicable</v>
      </c>
      <c r="J70" t="str">
        <f>_xll.BDP("912834HV Govt","COUPON_FREQUENCY_DESCRIPTION")</f>
        <v>#N/A Field Not Applicable</v>
      </c>
      <c r="K70" t="str">
        <f>_xll.BDP("912834HV Govt","CPN_TYP")</f>
        <v>ZERO</v>
      </c>
      <c r="L70" t="str">
        <f>_xll.BDP("912834HV Govt","ID_ISIN")</f>
        <v>US912834HV38</v>
      </c>
      <c r="N70">
        <v>0</v>
      </c>
      <c r="O70" t="str">
        <f>_xll.BDP("912834HV Govt","ISSUE_DT")</f>
        <v>5/17/2010</v>
      </c>
      <c r="P70" t="str">
        <f>_xll.BDP("912834HV Govt","SECURITY_NAME")</f>
        <v>S 0 05/15/40</v>
      </c>
      <c r="Q70" t="str">
        <f>_xll.BDP("912834HV Govt","DAY_CNT_DES")</f>
        <v>ACT/ACT</v>
      </c>
      <c r="R70">
        <v>100</v>
      </c>
      <c r="S70" t="str">
        <f>_xll.BDP("912834HV Govt","ID_CUSIP")</f>
        <v>912834HV3</v>
      </c>
      <c r="T70" t="str">
        <f>_xll.BDP("912834HV Govt","IDX_RATIO")</f>
        <v>#N/A Field Not Applicable</v>
      </c>
    </row>
    <row r="71" spans="1:20" x14ac:dyDescent="0.25">
      <c r="A71" t="s">
        <v>14</v>
      </c>
      <c r="B71" t="str">
        <f>_xll.BDP("912834MZ Govt","TICKER")</f>
        <v>S</v>
      </c>
      <c r="C71">
        <f>_xll.BDP("912834MZ Govt","CPN")</f>
        <v>0</v>
      </c>
      <c r="D71">
        <f>_xll.BDP("912834MZ Govt","YLD_YTM_BID")</f>
        <v>2.2530000000000161</v>
      </c>
      <c r="E71" t="str">
        <f>_xll.BDP("912834MZ Govt","MATURITY")</f>
        <v>11/15/2043</v>
      </c>
      <c r="F71" t="str">
        <f>_xll.BDP("912834MZ Govt","MTY_TYP")</f>
        <v>NORMAL</v>
      </c>
      <c r="G71" t="str">
        <f>_xll.BDP("912834MZ Govt","CRNCY")</f>
        <v>USD</v>
      </c>
      <c r="H71" t="str">
        <f>_xll.BDP("912834MZ Govt","COUNTRY_FULL_NAME")</f>
        <v>UNITED STATES</v>
      </c>
      <c r="I71" t="str">
        <f>_xll.BDP("912834MZ Govt","FIRST_CPN_DT")</f>
        <v>#N/A Field Not Applicable</v>
      </c>
      <c r="J71" t="str">
        <f>_xll.BDP("912834MZ Govt","COUPON_FREQUENCY_DESCRIPTION")</f>
        <v>#N/A Field Not Applicable</v>
      </c>
      <c r="K71" t="str">
        <f>_xll.BDP("912834MZ Govt","CPN_TYP")</f>
        <v>ZERO</v>
      </c>
      <c r="L71" t="str">
        <f>_xll.BDP("912834MZ Govt","ID_ISIN")</f>
        <v>US912834MZ86</v>
      </c>
      <c r="N71">
        <v>0</v>
      </c>
      <c r="O71" t="str">
        <f>_xll.BDP("912834MZ Govt","ISSUE_DT")</f>
        <v>11/15/2013</v>
      </c>
      <c r="P71" t="str">
        <f>_xll.BDP("912834MZ Govt","SECURITY_NAME")</f>
        <v>S 0 11/15/43</v>
      </c>
      <c r="Q71" t="str">
        <f>_xll.BDP("912834MZ Govt","DAY_CNT_DES")</f>
        <v>ACT/ACT</v>
      </c>
      <c r="R71">
        <v>100</v>
      </c>
      <c r="S71" t="str">
        <f>_xll.BDP("912834MZ Govt","ID_CUSIP")</f>
        <v>912834MZ8</v>
      </c>
      <c r="T71" t="str">
        <f>_xll.BDP("912834MZ Govt","IDX_RATIO")</f>
        <v>#N/A Field Not Applicable</v>
      </c>
    </row>
    <row r="72" spans="1:20" x14ac:dyDescent="0.25">
      <c r="A72" t="s">
        <v>14</v>
      </c>
      <c r="B72" t="str">
        <f>_xll.BDP("912834MD Govt","TICKER")</f>
        <v>S</v>
      </c>
      <c r="C72">
        <f>_xll.BDP("912834MD Govt","CPN")</f>
        <v>0</v>
      </c>
      <c r="D72">
        <f>_xll.BDP("912834MD Govt","YLD_YTM_BID")</f>
        <v>2.2569999999999979</v>
      </c>
      <c r="E72" t="str">
        <f>_xll.BDP("912834MD Govt","MATURITY")</f>
        <v>2/15/2043</v>
      </c>
      <c r="F72" t="str">
        <f>_xll.BDP("912834MD Govt","MTY_TYP")</f>
        <v>NORMAL</v>
      </c>
      <c r="G72" t="str">
        <f>_xll.BDP("912834MD Govt","CRNCY")</f>
        <v>USD</v>
      </c>
      <c r="H72" t="str">
        <f>_xll.BDP("912834MD Govt","COUNTRY_FULL_NAME")</f>
        <v>UNITED STATES</v>
      </c>
      <c r="I72" t="str">
        <f>_xll.BDP("912834MD Govt","FIRST_CPN_DT")</f>
        <v>#N/A Field Not Applicable</v>
      </c>
      <c r="J72" t="str">
        <f>_xll.BDP("912834MD Govt","COUPON_FREQUENCY_DESCRIPTION")</f>
        <v>#N/A Field Not Applicable</v>
      </c>
      <c r="K72" t="str">
        <f>_xll.BDP("912834MD Govt","CPN_TYP")</f>
        <v>ZERO</v>
      </c>
      <c r="L72" t="str">
        <f>_xll.BDP("912834MD Govt","ID_ISIN")</f>
        <v>US912834MD74</v>
      </c>
      <c r="N72">
        <v>0</v>
      </c>
      <c r="O72" t="str">
        <f>_xll.BDP("912834MD Govt","ISSUE_DT")</f>
        <v>2/15/2013</v>
      </c>
      <c r="P72" t="str">
        <f>_xll.BDP("912834MD Govt","SECURITY_NAME")</f>
        <v>S 0 02/15/43</v>
      </c>
      <c r="Q72" t="str">
        <f>_xll.BDP("912834MD Govt","DAY_CNT_DES")</f>
        <v>ACT/ACT</v>
      </c>
      <c r="R72">
        <v>100</v>
      </c>
      <c r="S72" t="str">
        <f>_xll.BDP("912834MD Govt","ID_CUSIP")</f>
        <v>912834MD7</v>
      </c>
      <c r="T72" t="str">
        <f>_xll.BDP("912834MD Govt","IDX_RATIO")</f>
        <v>#N/A Field Not Applicable</v>
      </c>
    </row>
    <row r="73" spans="1:20" x14ac:dyDescent="0.25">
      <c r="A73" t="s">
        <v>14</v>
      </c>
      <c r="B73" t="str">
        <f>_xll.BDP("912834LB Govt","TICKER")</f>
        <v>S</v>
      </c>
      <c r="C73">
        <f>_xll.BDP("912834LB Govt","CPN")</f>
        <v>0</v>
      </c>
      <c r="D73">
        <f>_xll.BDP("912834LB Govt","YLD_YTM_BID")</f>
        <v>2.2149999999999892</v>
      </c>
      <c r="E73" t="str">
        <f>_xll.BDP("912834LB Govt","MATURITY")</f>
        <v>2/15/2042</v>
      </c>
      <c r="F73" t="str">
        <f>_xll.BDP("912834LB Govt","MTY_TYP")</f>
        <v>NORMAL</v>
      </c>
      <c r="G73" t="str">
        <f>_xll.BDP("912834LB Govt","CRNCY")</f>
        <v>USD</v>
      </c>
      <c r="H73" t="str">
        <f>_xll.BDP("912834LB Govt","COUNTRY_FULL_NAME")</f>
        <v>UNITED STATES</v>
      </c>
      <c r="I73" t="str">
        <f>_xll.BDP("912834LB Govt","FIRST_CPN_DT")</f>
        <v>#N/A Field Not Applicable</v>
      </c>
      <c r="J73" t="str">
        <f>_xll.BDP("912834LB Govt","COUPON_FREQUENCY_DESCRIPTION")</f>
        <v>#N/A Field Not Applicable</v>
      </c>
      <c r="K73" t="str">
        <f>_xll.BDP("912834LB Govt","CPN_TYP")</f>
        <v>ZERO</v>
      </c>
      <c r="L73" t="str">
        <f>_xll.BDP("912834LB Govt","ID_ISIN")</f>
        <v>US912834LB28</v>
      </c>
      <c r="N73">
        <v>0</v>
      </c>
      <c r="O73" t="str">
        <f>_xll.BDP("912834LB Govt","ISSUE_DT")</f>
        <v>2/15/2012</v>
      </c>
      <c r="P73" t="str">
        <f>_xll.BDP("912834LB Govt","SECURITY_NAME")</f>
        <v>S 0 02/15/42</v>
      </c>
      <c r="Q73" t="str">
        <f>_xll.BDP("912834LB Govt","DAY_CNT_DES")</f>
        <v>ACT/ACT</v>
      </c>
      <c r="R73">
        <v>100</v>
      </c>
      <c r="S73" t="str">
        <f>_xll.BDP("912834LB Govt","ID_CUSIP")</f>
        <v>912834LB2</v>
      </c>
      <c r="T73" t="str">
        <f>_xll.BDP("912834LB Govt","IDX_RATIO")</f>
        <v>#N/A Field Not Applicable</v>
      </c>
    </row>
    <row r="74" spans="1:20" x14ac:dyDescent="0.25">
      <c r="A74" t="s">
        <v>14</v>
      </c>
      <c r="B74" t="str">
        <f>_xll.BDP("912833Z5 Govt","TICKER")</f>
        <v>S</v>
      </c>
      <c r="C74">
        <f>_xll.BDP("912833Z5 Govt","CPN")</f>
        <v>0</v>
      </c>
      <c r="D74">
        <f>_xll.BDP("912833Z5 Govt","YLD_YTM_BID")</f>
        <v>2.0500000000000185</v>
      </c>
      <c r="E74" t="str">
        <f>_xll.BDP("912833Z5 Govt","MATURITY")</f>
        <v>8/15/2037</v>
      </c>
      <c r="F74" t="str">
        <f>_xll.BDP("912833Z5 Govt","MTY_TYP")</f>
        <v>NORMAL</v>
      </c>
      <c r="G74" t="str">
        <f>_xll.BDP("912833Z5 Govt","CRNCY")</f>
        <v>USD</v>
      </c>
      <c r="H74" t="str">
        <f>_xll.BDP("912833Z5 Govt","COUNTRY_FULL_NAME")</f>
        <v>UNITED STATES</v>
      </c>
      <c r="I74" t="str">
        <f>_xll.BDP("912833Z5 Govt","FIRST_CPN_DT")</f>
        <v>#N/A Field Not Applicable</v>
      </c>
      <c r="J74" t="str">
        <f>_xll.BDP("912833Z5 Govt","COUPON_FREQUENCY_DESCRIPTION")</f>
        <v>#N/A Field Not Applicable</v>
      </c>
      <c r="K74" t="str">
        <f>_xll.BDP("912833Z5 Govt","CPN_TYP")</f>
        <v>ZERO</v>
      </c>
      <c r="L74" t="str">
        <f>_xll.BDP("912833Z5 Govt","ID_ISIN")</f>
        <v>US912833Z526</v>
      </c>
      <c r="N74">
        <v>0</v>
      </c>
      <c r="O74" t="str">
        <f>_xll.BDP("912833Z5 Govt","ISSUE_DT")</f>
        <v>2/15/2008</v>
      </c>
      <c r="P74" t="str">
        <f>_xll.BDP("912833Z5 Govt","SECURITY_NAME")</f>
        <v>S 0 08/15/37</v>
      </c>
      <c r="Q74" t="str">
        <f>_xll.BDP("912833Z5 Govt","DAY_CNT_DES")</f>
        <v>ACT/ACT</v>
      </c>
      <c r="R74">
        <v>100</v>
      </c>
      <c r="S74" t="str">
        <f>_xll.BDP("912833Z5 Govt","ID_CUSIP")</f>
        <v>912833Z52</v>
      </c>
      <c r="T74" t="str">
        <f>_xll.BDP("912833Z5 Govt","IDX_RATIO")</f>
        <v>#N/A Field Not Applicable</v>
      </c>
    </row>
    <row r="75" spans="1:20" x14ac:dyDescent="0.25">
      <c r="A75" t="s">
        <v>14</v>
      </c>
      <c r="B75" t="str">
        <f>_xll.BDP("912834UY Govt","TICKER")</f>
        <v>S</v>
      </c>
      <c r="C75">
        <f>_xll.BDP("912834UY Govt","CPN")</f>
        <v>0</v>
      </c>
      <c r="D75">
        <f>_xll.BDP("912834UY Govt","YLD_YTM_BID")</f>
        <v>2.2359999999999935</v>
      </c>
      <c r="E75" t="str">
        <f>_xll.BDP("912834UY Govt","MATURITY")</f>
        <v>8/15/2049</v>
      </c>
      <c r="F75" t="str">
        <f>_xll.BDP("912834UY Govt","MTY_TYP")</f>
        <v>NORMAL</v>
      </c>
      <c r="G75" t="str">
        <f>_xll.BDP("912834UY Govt","CRNCY")</f>
        <v>USD</v>
      </c>
      <c r="H75" t="str">
        <f>_xll.BDP("912834UY Govt","COUNTRY_FULL_NAME")</f>
        <v>UNITED STATES</v>
      </c>
      <c r="I75" t="str">
        <f>_xll.BDP("912834UY Govt","FIRST_CPN_DT")</f>
        <v>#N/A Field Not Applicable</v>
      </c>
      <c r="J75" t="str">
        <f>_xll.BDP("912834UY Govt","COUPON_FREQUENCY_DESCRIPTION")</f>
        <v>#N/A Field Not Applicable</v>
      </c>
      <c r="K75" t="str">
        <f>_xll.BDP("912834UY Govt","CPN_TYP")</f>
        <v>ZERO</v>
      </c>
      <c r="L75" t="str">
        <f>_xll.BDP("912834UY Govt","ID_ISIN")</f>
        <v>US912834UY20</v>
      </c>
      <c r="N75">
        <v>0</v>
      </c>
      <c r="O75" t="str">
        <f>_xll.BDP("912834UY Govt","ISSUE_DT")</f>
        <v>8/15/2019</v>
      </c>
      <c r="P75" t="str">
        <f>_xll.BDP("912834UY Govt","SECURITY_NAME")</f>
        <v>S 0 08/15/49</v>
      </c>
      <c r="Q75" t="str">
        <f>_xll.BDP("912834UY Govt","DAY_CNT_DES")</f>
        <v>ACT/ACT</v>
      </c>
      <c r="R75">
        <v>100</v>
      </c>
      <c r="S75" t="str">
        <f>_xll.BDP("912834UY Govt","ID_CUSIP")</f>
        <v>912834UY2</v>
      </c>
      <c r="T75" t="str">
        <f>_xll.BDP("912834UY Govt","IDX_RATIO")</f>
        <v>#N/A Field Not Applicable</v>
      </c>
    </row>
    <row r="76" spans="1:20" x14ac:dyDescent="0.25">
      <c r="A76" t="s">
        <v>14</v>
      </c>
      <c r="B76" t="str">
        <f>_xll.BDP("912834AT Govt","TICKER")</f>
        <v>S</v>
      </c>
      <c r="C76">
        <f>_xll.BDP("912834AT Govt","CPN")</f>
        <v>0</v>
      </c>
      <c r="D76">
        <f>_xll.BDP("912834AT Govt","YLD_YTM_BID")</f>
        <v>2.0950000000000024</v>
      </c>
      <c r="E76" t="str">
        <f>_xll.BDP("912834AT Govt","MATURITY")</f>
        <v>8/15/2038</v>
      </c>
      <c r="F76" t="str">
        <f>_xll.BDP("912834AT Govt","MTY_TYP")</f>
        <v>NORMAL</v>
      </c>
      <c r="G76" t="str">
        <f>_xll.BDP("912834AT Govt","CRNCY")</f>
        <v>USD</v>
      </c>
      <c r="H76" t="str">
        <f>_xll.BDP("912834AT Govt","COUNTRY_FULL_NAME")</f>
        <v>UNITED STATES</v>
      </c>
      <c r="I76" t="str">
        <f>_xll.BDP("912834AT Govt","FIRST_CPN_DT")</f>
        <v>#N/A Field Not Applicable</v>
      </c>
      <c r="J76" t="str">
        <f>_xll.BDP("912834AT Govt","COUPON_FREQUENCY_DESCRIPTION")</f>
        <v>#N/A Field Not Applicable</v>
      </c>
      <c r="K76" t="str">
        <f>_xll.BDP("912834AT Govt","CPN_TYP")</f>
        <v>ZERO</v>
      </c>
      <c r="L76" t="str">
        <f>_xll.BDP("912834AT Govt","ID_ISIN")</f>
        <v>US912834AT54</v>
      </c>
      <c r="N76">
        <v>0</v>
      </c>
      <c r="O76" t="str">
        <f>_xll.BDP("912834AT Govt","ISSUE_DT")</f>
        <v>2/17/2009</v>
      </c>
      <c r="P76" t="str">
        <f>_xll.BDP("912834AT Govt","SECURITY_NAME")</f>
        <v>S 0 08/15/38</v>
      </c>
      <c r="Q76" t="str">
        <f>_xll.BDP("912834AT Govt","DAY_CNT_DES")</f>
        <v>ACT/ACT</v>
      </c>
      <c r="R76">
        <v>100</v>
      </c>
      <c r="S76" t="str">
        <f>_xll.BDP("912834AT Govt","ID_CUSIP")</f>
        <v>912834AT5</v>
      </c>
      <c r="T76" t="str">
        <f>_xll.BDP("912834AT Govt","IDX_RATIO")</f>
        <v>#N/A Field Not Applicable</v>
      </c>
    </row>
    <row r="77" spans="1:20" x14ac:dyDescent="0.25">
      <c r="A77" t="s">
        <v>14</v>
      </c>
      <c r="B77" t="str">
        <f>_xll.BDP("912834EP Govt","TICKER")</f>
        <v>S</v>
      </c>
      <c r="C77">
        <f>_xll.BDP("912834EP Govt","CPN")</f>
        <v>0</v>
      </c>
      <c r="D77">
        <f>_xll.BDP("912834EP Govt","YLD_YTM_BID")</f>
        <v>2.1310000000000162</v>
      </c>
      <c r="E77" t="str">
        <f>_xll.BDP("912834EP Govt","MATURITY")</f>
        <v>8/15/2039</v>
      </c>
      <c r="F77" t="str">
        <f>_xll.BDP("912834EP Govt","MTY_TYP")</f>
        <v>NORMAL</v>
      </c>
      <c r="G77" t="str">
        <f>_xll.BDP("912834EP Govt","CRNCY")</f>
        <v>USD</v>
      </c>
      <c r="H77" t="str">
        <f>_xll.BDP("912834EP Govt","COUNTRY_FULL_NAME")</f>
        <v>UNITED STATES</v>
      </c>
      <c r="I77" t="str">
        <f>_xll.BDP("912834EP Govt","FIRST_CPN_DT")</f>
        <v>#N/A Field Not Applicable</v>
      </c>
      <c r="J77" t="str">
        <f>_xll.BDP("912834EP Govt","COUPON_FREQUENCY_DESCRIPTION")</f>
        <v>#N/A Field Not Applicable</v>
      </c>
      <c r="K77" t="str">
        <f>_xll.BDP("912834EP Govt","CPN_TYP")</f>
        <v>ZERO</v>
      </c>
      <c r="L77" t="str">
        <f>_xll.BDP("912834EP Govt","ID_ISIN")</f>
        <v>US912834EP96</v>
      </c>
      <c r="N77">
        <v>0</v>
      </c>
      <c r="O77" t="str">
        <f>_xll.BDP("912834EP Govt","ISSUE_DT")</f>
        <v>8/17/2009</v>
      </c>
      <c r="P77" t="str">
        <f>_xll.BDP("912834EP Govt","SECURITY_NAME")</f>
        <v>S 0 08/15/39</v>
      </c>
      <c r="Q77" t="str">
        <f>_xll.BDP("912834EP Govt","DAY_CNT_DES")</f>
        <v>ACT/ACT</v>
      </c>
      <c r="R77">
        <v>100</v>
      </c>
      <c r="S77" t="str">
        <f>_xll.BDP("912834EP Govt","ID_CUSIP")</f>
        <v>912834EP9</v>
      </c>
      <c r="T77" t="str">
        <f>_xll.BDP("912834EP Govt","IDX_RATIO")</f>
        <v>#N/A Field Not Applicable</v>
      </c>
    </row>
    <row r="78" spans="1:20" x14ac:dyDescent="0.25">
      <c r="A78" t="s">
        <v>14</v>
      </c>
      <c r="B78" t="str">
        <f>_xll.BDP("912834WC Govt","TICKER")</f>
        <v>S</v>
      </c>
      <c r="C78">
        <f>_xll.BDP("912834WC Govt","CPN")</f>
        <v>0</v>
      </c>
      <c r="D78">
        <f>_xll.BDP("912834WC Govt","YLD_YTM_BID")</f>
        <v>2.1980000000000111</v>
      </c>
      <c r="E78" t="str">
        <f>_xll.BDP("912834WC Govt","MATURITY")</f>
        <v>8/15/2050</v>
      </c>
      <c r="F78" t="str">
        <f>_xll.BDP("912834WC Govt","MTY_TYP")</f>
        <v>NORMAL</v>
      </c>
      <c r="G78" t="str">
        <f>_xll.BDP("912834WC Govt","CRNCY")</f>
        <v>USD</v>
      </c>
      <c r="H78" t="str">
        <f>_xll.BDP("912834WC Govt","COUNTRY_FULL_NAME")</f>
        <v>UNITED STATES</v>
      </c>
      <c r="I78" t="str">
        <f>_xll.BDP("912834WC Govt","FIRST_CPN_DT")</f>
        <v>#N/A Field Not Applicable</v>
      </c>
      <c r="J78" t="str">
        <f>_xll.BDP("912834WC Govt","COUPON_FREQUENCY_DESCRIPTION")</f>
        <v>#N/A Field Not Applicable</v>
      </c>
      <c r="K78" t="str">
        <f>_xll.BDP("912834WC Govt","CPN_TYP")</f>
        <v>ZERO</v>
      </c>
      <c r="L78" t="str">
        <f>_xll.BDP("912834WC Govt","ID_ISIN")</f>
        <v>US912834WC81</v>
      </c>
      <c r="N78">
        <v>0</v>
      </c>
      <c r="O78" t="str">
        <f>_xll.BDP("912834WC Govt","ISSUE_DT")</f>
        <v>8/17/2020</v>
      </c>
      <c r="P78" t="str">
        <f>_xll.BDP("912834WC Govt","SECURITY_NAME")</f>
        <v>S 0 08/15/50</v>
      </c>
      <c r="Q78" t="str">
        <f>_xll.BDP("912834WC Govt","DAY_CNT_DES")</f>
        <v>ACT/ACT</v>
      </c>
      <c r="R78">
        <v>100</v>
      </c>
      <c r="S78" t="str">
        <f>_xll.BDP("912834WC Govt","ID_CUSIP")</f>
        <v>912834WC8</v>
      </c>
      <c r="T78" t="str">
        <f>_xll.BDP("912834WC Govt","IDX_RATIO")</f>
        <v>#N/A Field Not Applicable</v>
      </c>
    </row>
    <row r="79" spans="1:20" x14ac:dyDescent="0.25">
      <c r="A79" t="s">
        <v>14</v>
      </c>
      <c r="B79" t="str">
        <f>_xll.BDP("9128337W Govt","TICKER")</f>
        <v>S</v>
      </c>
      <c r="C79">
        <f>_xll.BDP("9128337W Govt","CPN")</f>
        <v>0</v>
      </c>
      <c r="D79">
        <f>_xll.BDP("9128337W Govt","YLD_YTM_BID")</f>
        <v>1.9099999999999895</v>
      </c>
      <c r="E79" t="str">
        <f>_xll.BDP("9128337W Govt","MATURITY")</f>
        <v>11/15/2034</v>
      </c>
      <c r="F79" t="str">
        <f>_xll.BDP("9128337W Govt","MTY_TYP")</f>
        <v>NORMAL</v>
      </c>
      <c r="G79" t="str">
        <f>_xll.BDP("9128337W Govt","CRNCY")</f>
        <v>USD</v>
      </c>
      <c r="H79" t="str">
        <f>_xll.BDP("9128337W Govt","COUNTRY_FULL_NAME")</f>
        <v>UNITED STATES</v>
      </c>
      <c r="I79" t="str">
        <f>_xll.BDP("9128337W Govt","FIRST_CPN_DT")</f>
        <v>#N/A Field Not Applicable</v>
      </c>
      <c r="J79" t="str">
        <f>_xll.BDP("9128337W Govt","COUPON_FREQUENCY_DESCRIPTION")</f>
        <v>#N/A Field Not Applicable</v>
      </c>
      <c r="K79" t="str">
        <f>_xll.BDP("9128337W Govt","CPN_TYP")</f>
        <v>ZERO</v>
      </c>
      <c r="L79" t="str">
        <f>_xll.BDP("9128337W Govt","ID_ISIN")</f>
        <v>US9128337W46</v>
      </c>
      <c r="N79">
        <v>0</v>
      </c>
      <c r="O79" t="str">
        <f>_xll.BDP("9128337W Govt","ISSUE_DT")</f>
        <v>8/15/2007</v>
      </c>
      <c r="P79" t="str">
        <f>_xll.BDP("9128337W Govt","SECURITY_NAME")</f>
        <v>S 0 11/15/34</v>
      </c>
      <c r="Q79" t="str">
        <f>_xll.BDP("9128337W Govt","DAY_CNT_DES")</f>
        <v>ACT/ACT</v>
      </c>
      <c r="R79">
        <v>100</v>
      </c>
      <c r="S79" t="str">
        <f>_xll.BDP("9128337W Govt","ID_CUSIP")</f>
        <v>9128337W4</v>
      </c>
      <c r="T79" t="str">
        <f>_xll.BDP("9128337W Govt","IDX_RATIO")</f>
        <v>#N/A Field Not Applicable</v>
      </c>
    </row>
    <row r="80" spans="1:20" x14ac:dyDescent="0.25">
      <c r="A80" t="s">
        <v>14</v>
      </c>
      <c r="B80" t="str">
        <f>_xll.BDP("912834MM Govt","TICKER")</f>
        <v>S</v>
      </c>
      <c r="C80">
        <f>_xll.BDP("912834MM Govt","CPN")</f>
        <v>0</v>
      </c>
      <c r="D80">
        <f>_xll.BDP("912834MM Govt","YLD_YTM_BID")</f>
        <v>2.2530000000000161</v>
      </c>
      <c r="E80" t="str">
        <f>_xll.BDP("912834MM Govt","MATURITY")</f>
        <v>5/15/2043</v>
      </c>
      <c r="F80" t="str">
        <f>_xll.BDP("912834MM Govt","MTY_TYP")</f>
        <v>NORMAL</v>
      </c>
      <c r="G80" t="str">
        <f>_xll.BDP("912834MM Govt","CRNCY")</f>
        <v>USD</v>
      </c>
      <c r="H80" t="str">
        <f>_xll.BDP("912834MM Govt","COUNTRY_FULL_NAME")</f>
        <v>UNITED STATES</v>
      </c>
      <c r="I80" t="str">
        <f>_xll.BDP("912834MM Govt","FIRST_CPN_DT")</f>
        <v>#N/A Field Not Applicable</v>
      </c>
      <c r="J80" t="str">
        <f>_xll.BDP("912834MM Govt","COUPON_FREQUENCY_DESCRIPTION")</f>
        <v>#N/A Field Not Applicable</v>
      </c>
      <c r="K80" t="str">
        <f>_xll.BDP("912834MM Govt","CPN_TYP")</f>
        <v>ZERO</v>
      </c>
      <c r="L80" t="str">
        <f>_xll.BDP("912834MM Govt","ID_ISIN")</f>
        <v>US912834MM73</v>
      </c>
      <c r="N80">
        <v>0</v>
      </c>
      <c r="O80" t="str">
        <f>_xll.BDP("912834MM Govt","ISSUE_DT")</f>
        <v>5/15/2013</v>
      </c>
      <c r="P80" t="str">
        <f>_xll.BDP("912834MM Govt","SECURITY_NAME")</f>
        <v>S 0 05/15/43</v>
      </c>
      <c r="Q80" t="str">
        <f>_xll.BDP("912834MM Govt","DAY_CNT_DES")</f>
        <v>ACT/ACT</v>
      </c>
      <c r="R80">
        <v>100</v>
      </c>
      <c r="S80" t="str">
        <f>_xll.BDP("912834MM Govt","ID_CUSIP")</f>
        <v>912834MM7</v>
      </c>
      <c r="T80" t="str">
        <f>_xll.BDP("912834MM Govt","IDX_RATIO")</f>
        <v>#N/A Field Not Applicable</v>
      </c>
    </row>
    <row r="81" spans="1:20" x14ac:dyDescent="0.25">
      <c r="A81" t="s">
        <v>14</v>
      </c>
      <c r="B81" t="str">
        <f>_xll.BDP("912834VM Govt","TICKER")</f>
        <v>S</v>
      </c>
      <c r="C81">
        <f>_xll.BDP("912834VM Govt","CPN")</f>
        <v>0</v>
      </c>
      <c r="D81">
        <f>_xll.BDP("912834VM Govt","YLD_YTM_BID")</f>
        <v>2.2079999999999878</v>
      </c>
      <c r="E81" t="str">
        <f>_xll.BDP("912834VM Govt","MATURITY")</f>
        <v>2/15/2050</v>
      </c>
      <c r="F81" t="str">
        <f>_xll.BDP("912834VM Govt","MTY_TYP")</f>
        <v>NORMAL</v>
      </c>
      <c r="G81" t="str">
        <f>_xll.BDP("912834VM Govt","CRNCY")</f>
        <v>USD</v>
      </c>
      <c r="H81" t="str">
        <f>_xll.BDP("912834VM Govt","COUNTRY_FULL_NAME")</f>
        <v>UNITED STATES</v>
      </c>
      <c r="I81" t="str">
        <f>_xll.BDP("912834VM Govt","FIRST_CPN_DT")</f>
        <v>#N/A Field Not Applicable</v>
      </c>
      <c r="J81" t="str">
        <f>_xll.BDP("912834VM Govt","COUPON_FREQUENCY_DESCRIPTION")</f>
        <v>#N/A Field Not Applicable</v>
      </c>
      <c r="K81" t="str">
        <f>_xll.BDP("912834VM Govt","CPN_TYP")</f>
        <v>ZERO</v>
      </c>
      <c r="L81" t="str">
        <f>_xll.BDP("912834VM Govt","ID_ISIN")</f>
        <v>US912834VM72</v>
      </c>
      <c r="N81">
        <v>0</v>
      </c>
      <c r="O81" t="str">
        <f>_xll.BDP("912834VM Govt","ISSUE_DT")</f>
        <v>2/18/2020</v>
      </c>
      <c r="P81" t="str">
        <f>_xll.BDP("912834VM Govt","SECURITY_NAME")</f>
        <v>S 0 02/15/50</v>
      </c>
      <c r="Q81" t="str">
        <f>_xll.BDP("912834VM Govt","DAY_CNT_DES")</f>
        <v>ACT/ACT</v>
      </c>
      <c r="R81">
        <v>100</v>
      </c>
      <c r="S81" t="str">
        <f>_xll.BDP("912834VM Govt","ID_CUSIP")</f>
        <v>912834VM7</v>
      </c>
      <c r="T81" t="str">
        <f>_xll.BDP("912834VM Govt","IDX_RATIO")</f>
        <v>#N/A Field Not Applicable</v>
      </c>
    </row>
    <row r="82" spans="1:20" x14ac:dyDescent="0.25">
      <c r="A82" t="s">
        <v>14</v>
      </c>
      <c r="B82" t="str">
        <f>_xll.BDP("912834JB Govt","TICKER")</f>
        <v>S</v>
      </c>
      <c r="C82">
        <f>_xll.BDP("912834JB Govt","CPN")</f>
        <v>0</v>
      </c>
      <c r="D82">
        <f>_xll.BDP("912834JB Govt","YLD_YTM_BID")</f>
        <v>2.1630000000000038</v>
      </c>
      <c r="E82" t="str">
        <f>_xll.BDP("912834JB Govt","MATURITY")</f>
        <v>8/15/2040</v>
      </c>
      <c r="F82" t="str">
        <f>_xll.BDP("912834JB Govt","MTY_TYP")</f>
        <v>NORMAL</v>
      </c>
      <c r="G82" t="str">
        <f>_xll.BDP("912834JB Govt","CRNCY")</f>
        <v>USD</v>
      </c>
      <c r="H82" t="str">
        <f>_xll.BDP("912834JB Govt","COUNTRY_FULL_NAME")</f>
        <v>UNITED STATES</v>
      </c>
      <c r="I82" t="str">
        <f>_xll.BDP("912834JB Govt","FIRST_CPN_DT")</f>
        <v>#N/A Field Not Applicable</v>
      </c>
      <c r="J82" t="str">
        <f>_xll.BDP("912834JB Govt","COUPON_FREQUENCY_DESCRIPTION")</f>
        <v>#N/A Field Not Applicable</v>
      </c>
      <c r="K82" t="str">
        <f>_xll.BDP("912834JB Govt","CPN_TYP")</f>
        <v>ZERO</v>
      </c>
      <c r="L82" t="str">
        <f>_xll.BDP("912834JB Govt","ID_ISIN")</f>
        <v>US912834JB55</v>
      </c>
      <c r="N82">
        <v>0</v>
      </c>
      <c r="O82" t="str">
        <f>_xll.BDP("912834JB Govt","ISSUE_DT")</f>
        <v>8/16/2010</v>
      </c>
      <c r="P82" t="str">
        <f>_xll.BDP("912834JB Govt","SECURITY_NAME")</f>
        <v>S 0 08/15/40</v>
      </c>
      <c r="Q82" t="str">
        <f>_xll.BDP("912834JB Govt","DAY_CNT_DES")</f>
        <v>ACT/ACT</v>
      </c>
      <c r="R82">
        <v>100</v>
      </c>
      <c r="S82" t="str">
        <f>_xll.BDP("912834JB Govt","ID_CUSIP")</f>
        <v>912834JB5</v>
      </c>
      <c r="T82" t="str">
        <f>_xll.BDP("912834JB Govt","IDX_RATIO")</f>
        <v>#N/A Field Not Applicable</v>
      </c>
    </row>
    <row r="83" spans="1:20" x14ac:dyDescent="0.25">
      <c r="A83" t="s">
        <v>14</v>
      </c>
      <c r="B83" t="str">
        <f>_xll.BDP("912834PG Govt","TICKER")</f>
        <v>S</v>
      </c>
      <c r="C83">
        <f>_xll.BDP("912834PG Govt","CPN")</f>
        <v>0</v>
      </c>
      <c r="D83">
        <f>_xll.BDP("912834PG Govt","YLD_YTM_BID")</f>
        <v>-2.4999999999988802E-2</v>
      </c>
      <c r="E83" t="str">
        <f>_xll.BDP("912834PG Govt","MATURITY")</f>
        <v>1/31/2022</v>
      </c>
      <c r="F83" t="str">
        <f>_xll.BDP("912834PG Govt","MTY_TYP")</f>
        <v>NORMAL</v>
      </c>
      <c r="G83" t="str">
        <f>_xll.BDP("912834PG Govt","CRNCY")</f>
        <v>USD</v>
      </c>
      <c r="H83" t="str">
        <f>_xll.BDP("912834PG Govt","COUNTRY_FULL_NAME")</f>
        <v>UNITED STATES</v>
      </c>
      <c r="I83" t="str">
        <f>_xll.BDP("912834PG Govt","FIRST_CPN_DT")</f>
        <v>#N/A Field Not Applicable</v>
      </c>
      <c r="J83" t="str">
        <f>_xll.BDP("912834PG Govt","COUPON_FREQUENCY_DESCRIPTION")</f>
        <v>#N/A Field Not Applicable</v>
      </c>
      <c r="K83" t="str">
        <f>_xll.BDP("912834PG Govt","CPN_TYP")</f>
        <v>ZERO</v>
      </c>
      <c r="L83" t="str">
        <f>_xll.BDP("912834PG Govt","ID_ISIN")</f>
        <v>US912834PG78</v>
      </c>
      <c r="N83">
        <v>0</v>
      </c>
      <c r="O83" t="str">
        <f>_xll.BDP("912834PG Govt","ISSUE_DT")</f>
        <v>2/2/2015</v>
      </c>
      <c r="P83" t="str">
        <f>_xll.BDP("912834PG Govt","SECURITY_NAME")</f>
        <v>S 0 01/31/22</v>
      </c>
      <c r="Q83" t="str">
        <f>_xll.BDP("912834PG Govt","DAY_CNT_DES")</f>
        <v>ACT/ACT</v>
      </c>
      <c r="R83">
        <v>100</v>
      </c>
      <c r="S83" t="str">
        <f>_xll.BDP("912834PG Govt","ID_CUSIP")</f>
        <v>912834PG7</v>
      </c>
      <c r="T83" t="str">
        <f>_xll.BDP("912834PG Govt","IDX_RATIO")</f>
        <v>#N/A Field Not Applicable</v>
      </c>
    </row>
    <row r="84" spans="1:20" x14ac:dyDescent="0.25">
      <c r="A84" t="s">
        <v>14</v>
      </c>
      <c r="B84" t="str">
        <f>_xll.BDP("912834PM Govt","TICKER")</f>
        <v>S</v>
      </c>
      <c r="C84">
        <f>_xll.BDP("912834PM Govt","CPN")</f>
        <v>0</v>
      </c>
      <c r="D84">
        <f>_xll.BDP("912834PM Govt","YLD_YTM_BID")</f>
        <v>2.2569999999999979</v>
      </c>
      <c r="E84" t="str">
        <f>_xll.BDP("912834PM Govt","MATURITY")</f>
        <v>8/15/2045</v>
      </c>
      <c r="F84" t="str">
        <f>_xll.BDP("912834PM Govt","MTY_TYP")</f>
        <v>NORMAL</v>
      </c>
      <c r="G84" t="str">
        <f>_xll.BDP("912834PM Govt","CRNCY")</f>
        <v>USD</v>
      </c>
      <c r="H84" t="str">
        <f>_xll.BDP("912834PM Govt","COUNTRY_FULL_NAME")</f>
        <v>UNITED STATES</v>
      </c>
      <c r="I84" t="str">
        <f>_xll.BDP("912834PM Govt","FIRST_CPN_DT")</f>
        <v>#N/A Field Not Applicable</v>
      </c>
      <c r="J84" t="str">
        <f>_xll.BDP("912834PM Govt","COUPON_FREQUENCY_DESCRIPTION")</f>
        <v>#N/A Field Not Applicable</v>
      </c>
      <c r="K84" t="str">
        <f>_xll.BDP("912834PM Govt","CPN_TYP")</f>
        <v>ZERO</v>
      </c>
      <c r="L84" t="str">
        <f>_xll.BDP("912834PM Govt","ID_ISIN")</f>
        <v>US912834PM47</v>
      </c>
      <c r="N84">
        <v>0</v>
      </c>
      <c r="O84" t="str">
        <f>_xll.BDP("912834PM Govt","ISSUE_DT")</f>
        <v>8/17/2015</v>
      </c>
      <c r="P84" t="str">
        <f>_xll.BDP("912834PM Govt","SECURITY_NAME")</f>
        <v>S 0 08/15/45</v>
      </c>
      <c r="Q84" t="str">
        <f>_xll.BDP("912834PM Govt","DAY_CNT_DES")</f>
        <v>ACT/ACT</v>
      </c>
      <c r="R84">
        <v>100</v>
      </c>
      <c r="S84" t="str">
        <f>_xll.BDP("912834PM Govt","ID_CUSIP")</f>
        <v>912834PM4</v>
      </c>
      <c r="T84" t="str">
        <f>_xll.BDP("912834PM Govt","IDX_RATIO")</f>
        <v>#N/A Field Not Applicable</v>
      </c>
    </row>
    <row r="85" spans="1:20" x14ac:dyDescent="0.25">
      <c r="A85" t="s">
        <v>14</v>
      </c>
      <c r="B85" t="str">
        <f>_xll.BDP("912833XN Govt","TICKER")</f>
        <v>S</v>
      </c>
      <c r="C85">
        <f>_xll.BDP("912833XN Govt","CPN")</f>
        <v>0</v>
      </c>
      <c r="D85">
        <f>_xll.BDP("912833XN Govt","YLD_YTM_BID")</f>
        <v>1.4879999999999782</v>
      </c>
      <c r="E85" t="str">
        <f>_xll.BDP("912833XN Govt","MATURITY")</f>
        <v>2/15/2029</v>
      </c>
      <c r="F85" t="str">
        <f>_xll.BDP("912833XN Govt","MTY_TYP")</f>
        <v>NORMAL</v>
      </c>
      <c r="G85" t="str">
        <f>_xll.BDP("912833XN Govt","CRNCY")</f>
        <v>USD</v>
      </c>
      <c r="H85" t="str">
        <f>_xll.BDP("912833XN Govt","COUNTRY_FULL_NAME")</f>
        <v>UNITED STATES</v>
      </c>
      <c r="I85" t="str">
        <f>_xll.BDP("912833XN Govt","FIRST_CPN_DT")</f>
        <v>#N/A Field Not Applicable</v>
      </c>
      <c r="J85" t="str">
        <f>_xll.BDP("912833XN Govt","COUPON_FREQUENCY_DESCRIPTION")</f>
        <v>#N/A Field Not Applicable</v>
      </c>
      <c r="K85" t="str">
        <f>_xll.BDP("912833XN Govt","CPN_TYP")</f>
        <v>ZERO</v>
      </c>
      <c r="L85" t="str">
        <f>_xll.BDP("912833XN Govt","ID_ISIN")</f>
        <v>US912833XN54</v>
      </c>
      <c r="N85">
        <v>0</v>
      </c>
      <c r="O85" t="str">
        <f>_xll.BDP("912833XN Govt","ISSUE_DT")</f>
        <v>2/16/1999</v>
      </c>
      <c r="P85" t="str">
        <f>_xll.BDP("912833XN Govt","SECURITY_NAME")</f>
        <v>S 0 02/15/29</v>
      </c>
      <c r="Q85" t="str">
        <f>_xll.BDP("912833XN Govt","DAY_CNT_DES")</f>
        <v>ACT/ACT</v>
      </c>
      <c r="R85">
        <v>100</v>
      </c>
      <c r="S85" t="str">
        <f>_xll.BDP("912833XN Govt","ID_CUSIP")</f>
        <v>912833XN5</v>
      </c>
      <c r="T85" t="str">
        <f>_xll.BDP("912833XN Govt","IDX_RATIO")</f>
        <v>#N/A Field Not Applicable</v>
      </c>
    </row>
    <row r="86" spans="1:20" x14ac:dyDescent="0.25">
      <c r="A86" t="s">
        <v>14</v>
      </c>
      <c r="B86" t="str">
        <f>_xll.BDP("912834RR Govt","TICKER")</f>
        <v>S</v>
      </c>
      <c r="C86">
        <f>_xll.BDP("912834RR Govt","CPN")</f>
        <v>0</v>
      </c>
      <c r="D86">
        <f>_xll.BDP("912834RR Govt","YLD_YTM_BID")</f>
        <v>2.2650000000000059</v>
      </c>
      <c r="E86" t="str">
        <f>_xll.BDP("912834RR Govt","MATURITY")</f>
        <v>8/15/2047</v>
      </c>
      <c r="F86" t="str">
        <f>_xll.BDP("912834RR Govt","MTY_TYP")</f>
        <v>NORMAL</v>
      </c>
      <c r="G86" t="str">
        <f>_xll.BDP("912834RR Govt","CRNCY")</f>
        <v>USD</v>
      </c>
      <c r="H86" t="str">
        <f>_xll.BDP("912834RR Govt","COUNTRY_FULL_NAME")</f>
        <v>UNITED STATES</v>
      </c>
      <c r="I86" t="str">
        <f>_xll.BDP("912834RR Govt","FIRST_CPN_DT")</f>
        <v>#N/A Field Not Applicable</v>
      </c>
      <c r="J86" t="str">
        <f>_xll.BDP("912834RR Govt","COUPON_FREQUENCY_DESCRIPTION")</f>
        <v>#N/A Field Not Applicable</v>
      </c>
      <c r="K86" t="str">
        <f>_xll.BDP("912834RR Govt","CPN_TYP")</f>
        <v>ZERO</v>
      </c>
      <c r="L86" t="str">
        <f>_xll.BDP("912834RR Govt","ID_ISIN")</f>
        <v>US912834RR16</v>
      </c>
      <c r="N86">
        <v>0</v>
      </c>
      <c r="O86" t="str">
        <f>_xll.BDP("912834RR Govt","ISSUE_DT")</f>
        <v>8/15/2017</v>
      </c>
      <c r="P86" t="str">
        <f>_xll.BDP("912834RR Govt","SECURITY_NAME")</f>
        <v>S 0 08/15/47</v>
      </c>
      <c r="Q86" t="str">
        <f>_xll.BDP("912834RR Govt","DAY_CNT_DES")</f>
        <v>ACT/ACT</v>
      </c>
      <c r="R86">
        <v>100</v>
      </c>
      <c r="S86" t="str">
        <f>_xll.BDP("912834RR Govt","ID_CUSIP")</f>
        <v>912834RR1</v>
      </c>
      <c r="T86" t="str">
        <f>_xll.BDP("912834RR Govt","IDX_RATIO")</f>
        <v>#N/A Field Not Applicable</v>
      </c>
    </row>
    <row r="87" spans="1:20" x14ac:dyDescent="0.25">
      <c r="A87" t="s">
        <v>14</v>
      </c>
      <c r="B87" t="str">
        <f>_xll.BDP("912834DU Govt","TICKER")</f>
        <v>S</v>
      </c>
      <c r="C87">
        <f>_xll.BDP("912834DU Govt","CPN")</f>
        <v>0</v>
      </c>
      <c r="D87">
        <f>_xll.BDP("912834DU Govt","YLD_YTM_BID")</f>
        <v>2.1110000000000184</v>
      </c>
      <c r="E87" t="str">
        <f>_xll.BDP("912834DU Govt","MATURITY")</f>
        <v>11/15/2038</v>
      </c>
      <c r="F87" t="str">
        <f>_xll.BDP("912834DU Govt","MTY_TYP")</f>
        <v>NORMAL</v>
      </c>
      <c r="G87" t="str">
        <f>_xll.BDP("912834DU Govt","CRNCY")</f>
        <v>USD</v>
      </c>
      <c r="H87" t="str">
        <f>_xll.BDP("912834DU Govt","COUNTRY_FULL_NAME")</f>
        <v>UNITED STATES</v>
      </c>
      <c r="I87" t="str">
        <f>_xll.BDP("912834DU Govt","FIRST_CPN_DT")</f>
        <v>#N/A Field Not Applicable</v>
      </c>
      <c r="J87" t="str">
        <f>_xll.BDP("912834DU Govt","COUPON_FREQUENCY_DESCRIPTION")</f>
        <v>#N/A Field Not Applicable</v>
      </c>
      <c r="K87" t="str">
        <f>_xll.BDP("912834DU Govt","CPN_TYP")</f>
        <v>ZERO</v>
      </c>
      <c r="L87" t="str">
        <f>_xll.BDP("912834DU Govt","ID_ISIN")</f>
        <v>US912834DU90</v>
      </c>
      <c r="N87">
        <v>0</v>
      </c>
      <c r="O87" t="str">
        <f>_xll.BDP("912834DU Govt","ISSUE_DT")</f>
        <v>5/15/2009</v>
      </c>
      <c r="P87" t="str">
        <f>_xll.BDP("912834DU Govt","SECURITY_NAME")</f>
        <v>S 0 11/15/38</v>
      </c>
      <c r="Q87" t="str">
        <f>_xll.BDP("912834DU Govt","DAY_CNT_DES")</f>
        <v>ACT/ACT</v>
      </c>
      <c r="R87">
        <v>100</v>
      </c>
      <c r="S87" t="str">
        <f>_xll.BDP("912834DU Govt","ID_CUSIP")</f>
        <v>912834DU9</v>
      </c>
      <c r="T87" t="str">
        <f>_xll.BDP("912834DU Govt","IDX_RATIO")</f>
        <v>#N/A Field Not Applicable</v>
      </c>
    </row>
    <row r="88" spans="1:20" x14ac:dyDescent="0.25">
      <c r="A88" t="s">
        <v>14</v>
      </c>
      <c r="B88" t="str">
        <f>_xll.BDP("912834UL Govt","TICKER")</f>
        <v>S</v>
      </c>
      <c r="C88">
        <f>_xll.BDP("912834UL Govt","CPN")</f>
        <v>0</v>
      </c>
      <c r="D88">
        <f>_xll.BDP("912834UL Govt","YLD_YTM_BID")</f>
        <v>0.93399999999999039</v>
      </c>
      <c r="E88" t="str">
        <f>_xll.BDP("912834UL Govt","MATURITY")</f>
        <v>2/28/2026</v>
      </c>
      <c r="F88" t="str">
        <f>_xll.BDP("912834UL Govt","MTY_TYP")</f>
        <v>NORMAL</v>
      </c>
      <c r="G88" t="str">
        <f>_xll.BDP("912834UL Govt","CRNCY")</f>
        <v>USD</v>
      </c>
      <c r="H88" t="str">
        <f>_xll.BDP("912834UL Govt","COUNTRY_FULL_NAME")</f>
        <v>UNITED STATES</v>
      </c>
      <c r="I88" t="str">
        <f>_xll.BDP("912834UL Govt","FIRST_CPN_DT")</f>
        <v>#N/A Field Not Applicable</v>
      </c>
      <c r="J88" t="str">
        <f>_xll.BDP("912834UL Govt","COUPON_FREQUENCY_DESCRIPTION")</f>
        <v>#N/A Field Not Applicable</v>
      </c>
      <c r="K88" t="str">
        <f>_xll.BDP("912834UL Govt","CPN_TYP")</f>
        <v>ZERO</v>
      </c>
      <c r="L88" t="str">
        <f>_xll.BDP("912834UL Govt","ID_ISIN")</f>
        <v>US912834UL09</v>
      </c>
      <c r="N88">
        <v>0</v>
      </c>
      <c r="O88" t="str">
        <f>_xll.BDP("912834UL Govt","ISSUE_DT")</f>
        <v>2/28/2019</v>
      </c>
      <c r="P88" t="str">
        <f>_xll.BDP("912834UL Govt","SECURITY_NAME")</f>
        <v>S 0 02/28/26</v>
      </c>
      <c r="Q88" t="str">
        <f>_xll.BDP("912834UL Govt","DAY_CNT_DES")</f>
        <v>ACT/ACT</v>
      </c>
      <c r="R88">
        <v>100</v>
      </c>
      <c r="S88" t="str">
        <f>_xll.BDP("912834UL Govt","ID_CUSIP")</f>
        <v>912834UL0</v>
      </c>
      <c r="T88" t="str">
        <f>_xll.BDP("912834UL Govt","IDX_RATIO")</f>
        <v>#N/A Field Not Applicable</v>
      </c>
    </row>
    <row r="89" spans="1:20" x14ac:dyDescent="0.25">
      <c r="A89" t="s">
        <v>14</v>
      </c>
      <c r="B89" t="str">
        <f>_xll.BDP("912834WJ Govt","TICKER")</f>
        <v>S</v>
      </c>
      <c r="C89">
        <f>_xll.BDP("912834WJ Govt","CPN")</f>
        <v>0</v>
      </c>
      <c r="D89">
        <f>_xll.BDP("912834WJ Govt","YLD_YTM_BID")</f>
        <v>2.1939999999999849</v>
      </c>
      <c r="E89" t="str">
        <f>_xll.BDP("912834WJ Govt","MATURITY")</f>
        <v>11/15/2050</v>
      </c>
      <c r="F89" t="str">
        <f>_xll.BDP("912834WJ Govt","MTY_TYP")</f>
        <v>NORMAL</v>
      </c>
      <c r="G89" t="str">
        <f>_xll.BDP("912834WJ Govt","CRNCY")</f>
        <v>USD</v>
      </c>
      <c r="H89" t="str">
        <f>_xll.BDP("912834WJ Govt","COUNTRY_FULL_NAME")</f>
        <v>UNITED STATES</v>
      </c>
      <c r="I89" t="str">
        <f>_xll.BDP("912834WJ Govt","FIRST_CPN_DT")</f>
        <v>#N/A Field Not Applicable</v>
      </c>
      <c r="J89" t="str">
        <f>_xll.BDP("912834WJ Govt","COUPON_FREQUENCY_DESCRIPTION")</f>
        <v>#N/A Field Not Applicable</v>
      </c>
      <c r="K89" t="str">
        <f>_xll.BDP("912834WJ Govt","CPN_TYP")</f>
        <v>ZERO</v>
      </c>
      <c r="L89" t="str">
        <f>_xll.BDP("912834WJ Govt","ID_ISIN")</f>
        <v>US912834WJ35</v>
      </c>
      <c r="N89">
        <v>0</v>
      </c>
      <c r="O89" t="str">
        <f>_xll.BDP("912834WJ Govt","ISSUE_DT")</f>
        <v>11/16/2020</v>
      </c>
      <c r="P89" t="str">
        <f>_xll.BDP("912834WJ Govt","SECURITY_NAME")</f>
        <v>S 0 11/15/50</v>
      </c>
      <c r="Q89" t="str">
        <f>_xll.BDP("912834WJ Govt","DAY_CNT_DES")</f>
        <v>ACT/ACT</v>
      </c>
      <c r="R89">
        <v>100</v>
      </c>
      <c r="S89" t="str">
        <f>_xll.BDP("912834WJ Govt","ID_CUSIP")</f>
        <v>912834WJ3</v>
      </c>
      <c r="T89" t="str">
        <f>_xll.BDP("912834WJ Govt","IDX_RATIO")</f>
        <v>#N/A Field Not Applicable</v>
      </c>
    </row>
    <row r="90" spans="1:20" x14ac:dyDescent="0.25">
      <c r="A90" t="s">
        <v>14</v>
      </c>
      <c r="B90" t="str">
        <f>_xll.BDP("912834TV Govt","TICKER")</f>
        <v>S</v>
      </c>
      <c r="C90">
        <f>_xll.BDP("912834TV Govt","CPN")</f>
        <v>0</v>
      </c>
      <c r="D90">
        <f>_xll.BDP("912834TV Govt","YLD_YTM_BID")</f>
        <v>2.2580000000000044</v>
      </c>
      <c r="E90" t="str">
        <f>_xll.BDP("912834TV Govt","MATURITY")</f>
        <v>8/15/2048</v>
      </c>
      <c r="F90" t="str">
        <f>_xll.BDP("912834TV Govt","MTY_TYP")</f>
        <v>NORMAL</v>
      </c>
      <c r="G90" t="str">
        <f>_xll.BDP("912834TV Govt","CRNCY")</f>
        <v>USD</v>
      </c>
      <c r="H90" t="str">
        <f>_xll.BDP("912834TV Govt","COUNTRY_FULL_NAME")</f>
        <v>UNITED STATES</v>
      </c>
      <c r="I90" t="str">
        <f>_xll.BDP("912834TV Govt","FIRST_CPN_DT")</f>
        <v>#N/A Field Not Applicable</v>
      </c>
      <c r="J90" t="str">
        <f>_xll.BDP("912834TV Govt","COUPON_FREQUENCY_DESCRIPTION")</f>
        <v>#N/A Field Not Applicable</v>
      </c>
      <c r="K90" t="str">
        <f>_xll.BDP("912834TV Govt","CPN_TYP")</f>
        <v>ZERO</v>
      </c>
      <c r="L90" t="str">
        <f>_xll.BDP("912834TV Govt","ID_ISIN")</f>
        <v>US912834TV00</v>
      </c>
      <c r="N90">
        <v>0</v>
      </c>
      <c r="O90" t="str">
        <f>_xll.BDP("912834TV Govt","ISSUE_DT")</f>
        <v>8/15/2018</v>
      </c>
      <c r="P90" t="str">
        <f>_xll.BDP("912834TV Govt","SECURITY_NAME")</f>
        <v>S 0 08/15/48</v>
      </c>
      <c r="Q90" t="str">
        <f>_xll.BDP("912834TV Govt","DAY_CNT_DES")</f>
        <v>ACT/ACT</v>
      </c>
      <c r="R90">
        <v>100</v>
      </c>
      <c r="S90" t="str">
        <f>_xll.BDP("912834TV Govt","ID_CUSIP")</f>
        <v>912834TV0</v>
      </c>
      <c r="T90" t="str">
        <f>_xll.BDP("912834TV Govt","IDX_RATIO")</f>
        <v>#N/A Field Not Applicable</v>
      </c>
    </row>
    <row r="91" spans="1:20" x14ac:dyDescent="0.25">
      <c r="A91" t="s">
        <v>14</v>
      </c>
      <c r="B91" t="str">
        <f>_xll.BDP("912834PH Govt","TICKER")</f>
        <v>S</v>
      </c>
      <c r="C91">
        <f>_xll.BDP("912834PH Govt","CPN")</f>
        <v>0</v>
      </c>
      <c r="D91">
        <f>_xll.BDP("912834PH Govt","YLD_YTM_BID")</f>
        <v>2.2499999999999964</v>
      </c>
      <c r="E91" t="str">
        <f>_xll.BDP("912834PH Govt","MATURITY")</f>
        <v>2/15/2045</v>
      </c>
      <c r="F91" t="str">
        <f>_xll.BDP("912834PH Govt","MTY_TYP")</f>
        <v>NORMAL</v>
      </c>
      <c r="G91" t="str">
        <f>_xll.BDP("912834PH Govt","CRNCY")</f>
        <v>USD</v>
      </c>
      <c r="H91" t="str">
        <f>_xll.BDP("912834PH Govt","COUNTRY_FULL_NAME")</f>
        <v>UNITED STATES</v>
      </c>
      <c r="I91" t="str">
        <f>_xll.BDP("912834PH Govt","FIRST_CPN_DT")</f>
        <v>#N/A Field Not Applicable</v>
      </c>
      <c r="J91" t="str">
        <f>_xll.BDP("912834PH Govt","COUPON_FREQUENCY_DESCRIPTION")</f>
        <v>#N/A Field Not Applicable</v>
      </c>
      <c r="K91" t="str">
        <f>_xll.BDP("912834PH Govt","CPN_TYP")</f>
        <v>ZERO</v>
      </c>
      <c r="L91" t="str">
        <f>_xll.BDP("912834PH Govt","ID_ISIN")</f>
        <v>US912834PH51</v>
      </c>
      <c r="N91">
        <v>0</v>
      </c>
      <c r="O91" t="str">
        <f>_xll.BDP("912834PH Govt","ISSUE_DT")</f>
        <v>2/17/2015</v>
      </c>
      <c r="P91" t="str">
        <f>_xll.BDP("912834PH Govt","SECURITY_NAME")</f>
        <v>S 0 02/15/45</v>
      </c>
      <c r="Q91" t="str">
        <f>_xll.BDP("912834PH Govt","DAY_CNT_DES")</f>
        <v>ACT/ACT</v>
      </c>
      <c r="R91">
        <v>100</v>
      </c>
      <c r="S91" t="str">
        <f>_xll.BDP("912834PH Govt","ID_CUSIP")</f>
        <v>912834PH5</v>
      </c>
      <c r="T91" t="str">
        <f>_xll.BDP("912834PH Govt","IDX_RATIO")</f>
        <v>#N/A Field Not Applicable</v>
      </c>
    </row>
    <row r="92" spans="1:20" x14ac:dyDescent="0.25">
      <c r="A92" t="s">
        <v>14</v>
      </c>
      <c r="B92" t="str">
        <f>_xll.BDP("912834AD Govt","TICKER")</f>
        <v>S</v>
      </c>
      <c r="C92">
        <f>_xll.BDP("912834AD Govt","CPN")</f>
        <v>0</v>
      </c>
      <c r="D92">
        <f>_xll.BDP("912834AD Govt","YLD_YTM_BID")</f>
        <v>2.0630000000000148</v>
      </c>
      <c r="E92" t="str">
        <f>_xll.BDP("912834AD Govt","MATURITY")</f>
        <v>11/15/2037</v>
      </c>
      <c r="F92" t="str">
        <f>_xll.BDP("912834AD Govt","MTY_TYP")</f>
        <v>NORMAL</v>
      </c>
      <c r="G92" t="str">
        <f>_xll.BDP("912834AD Govt","CRNCY")</f>
        <v>USD</v>
      </c>
      <c r="H92" t="str">
        <f>_xll.BDP("912834AD Govt","COUNTRY_FULL_NAME")</f>
        <v>UNITED STATES</v>
      </c>
      <c r="I92" t="str">
        <f>_xll.BDP("912834AD Govt","FIRST_CPN_DT")</f>
        <v>#N/A Field Not Applicable</v>
      </c>
      <c r="J92" t="str">
        <f>_xll.BDP("912834AD Govt","COUPON_FREQUENCY_DESCRIPTION")</f>
        <v>#N/A Field Not Applicable</v>
      </c>
      <c r="K92" t="str">
        <f>_xll.BDP("912834AD Govt","CPN_TYP")</f>
        <v>ZERO</v>
      </c>
      <c r="L92" t="str">
        <f>_xll.BDP("912834AD Govt","ID_ISIN")</f>
        <v>US912834AD03</v>
      </c>
      <c r="N92">
        <v>0</v>
      </c>
      <c r="O92" t="str">
        <f>_xll.BDP("912834AD Govt","ISSUE_DT")</f>
        <v>8/15/2008</v>
      </c>
      <c r="P92" t="str">
        <f>_xll.BDP("912834AD Govt","SECURITY_NAME")</f>
        <v>S 0 11/15/37</v>
      </c>
      <c r="Q92" t="str">
        <f>_xll.BDP("912834AD Govt","DAY_CNT_DES")</f>
        <v>ACT/ACT</v>
      </c>
      <c r="R92">
        <v>100</v>
      </c>
      <c r="S92" t="str">
        <f>_xll.BDP("912834AD Govt","ID_CUSIP")</f>
        <v>912834AD0</v>
      </c>
      <c r="T92" t="str">
        <f>_xll.BDP("912834AD Govt","IDX_RATIO")</f>
        <v>#N/A Field Not Applicable</v>
      </c>
    </row>
    <row r="93" spans="1:20" x14ac:dyDescent="0.25">
      <c r="A93" t="s">
        <v>14</v>
      </c>
      <c r="B93" t="str">
        <f>_xll.BDP("912834LX Govt","TICKER")</f>
        <v>S</v>
      </c>
      <c r="C93">
        <f>_xll.BDP("912834LX Govt","CPN")</f>
        <v>0</v>
      </c>
      <c r="D93">
        <f>_xll.BDP("912834LX Govt","YLD_YTM_BID")</f>
        <v>2.2489999999999899</v>
      </c>
      <c r="E93" t="str">
        <f>_xll.BDP("912834LX Govt","MATURITY")</f>
        <v>11/15/2042</v>
      </c>
      <c r="F93" t="str">
        <f>_xll.BDP("912834LX Govt","MTY_TYP")</f>
        <v>NORMAL</v>
      </c>
      <c r="G93" t="str">
        <f>_xll.BDP("912834LX Govt","CRNCY")</f>
        <v>USD</v>
      </c>
      <c r="H93" t="str">
        <f>_xll.BDP("912834LX Govt","COUNTRY_FULL_NAME")</f>
        <v>UNITED STATES</v>
      </c>
      <c r="I93" t="str">
        <f>_xll.BDP("912834LX Govt","FIRST_CPN_DT")</f>
        <v>#N/A Field Not Applicable</v>
      </c>
      <c r="J93" t="str">
        <f>_xll.BDP("912834LX Govt","COUPON_FREQUENCY_DESCRIPTION")</f>
        <v>#N/A Field Not Applicable</v>
      </c>
      <c r="K93" t="str">
        <f>_xll.BDP("912834LX Govt","CPN_TYP")</f>
        <v>ZERO</v>
      </c>
      <c r="L93" t="str">
        <f>_xll.BDP("912834LX Govt","ID_ISIN")</f>
        <v>US912834LX48</v>
      </c>
      <c r="N93">
        <v>0</v>
      </c>
      <c r="O93" t="str">
        <f>_xll.BDP("912834LX Govt","ISSUE_DT")</f>
        <v>11/15/2012</v>
      </c>
      <c r="P93" t="str">
        <f>_xll.BDP("912834LX Govt","SECURITY_NAME")</f>
        <v>S 0 11/15/42</v>
      </c>
      <c r="Q93" t="str">
        <f>_xll.BDP("912834LX Govt","DAY_CNT_DES")</f>
        <v>ACT/ACT</v>
      </c>
      <c r="R93">
        <v>100</v>
      </c>
      <c r="S93" t="str">
        <f>_xll.BDP("912834LX Govt","ID_CUSIP")</f>
        <v>912834LX4</v>
      </c>
      <c r="T93" t="str">
        <f>_xll.BDP("912834LX Govt","IDX_RATIO")</f>
        <v>#N/A Field Not Applicable</v>
      </c>
    </row>
    <row r="94" spans="1:20" x14ac:dyDescent="0.25">
      <c r="A94" t="s">
        <v>14</v>
      </c>
      <c r="B94" t="str">
        <f>_xll.BDP("912834SZ Govt","TICKER")</f>
        <v>S</v>
      </c>
      <c r="C94">
        <f>_xll.BDP("912834SZ Govt","CPN")</f>
        <v>0</v>
      </c>
      <c r="D94">
        <f>_xll.BDP("912834SZ Govt","YLD_YTM_BID")</f>
        <v>2.2650000000000059</v>
      </c>
      <c r="E94" t="str">
        <f>_xll.BDP("912834SZ Govt","MATURITY")</f>
        <v>11/15/2047</v>
      </c>
      <c r="F94" t="str">
        <f>_xll.BDP("912834SZ Govt","MTY_TYP")</f>
        <v>NORMAL</v>
      </c>
      <c r="G94" t="str">
        <f>_xll.BDP("912834SZ Govt","CRNCY")</f>
        <v>USD</v>
      </c>
      <c r="H94" t="str">
        <f>_xll.BDP("912834SZ Govt","COUNTRY_FULL_NAME")</f>
        <v>UNITED STATES</v>
      </c>
      <c r="I94" t="str">
        <f>_xll.BDP("912834SZ Govt","FIRST_CPN_DT")</f>
        <v>#N/A Field Not Applicable</v>
      </c>
      <c r="J94" t="str">
        <f>_xll.BDP("912834SZ Govt","COUPON_FREQUENCY_DESCRIPTION")</f>
        <v>#N/A Field Not Applicable</v>
      </c>
      <c r="K94" t="str">
        <f>_xll.BDP("912834SZ Govt","CPN_TYP")</f>
        <v>ZERO</v>
      </c>
      <c r="L94" t="str">
        <f>_xll.BDP("912834SZ Govt","ID_ISIN")</f>
        <v>US912834SZ23</v>
      </c>
      <c r="N94">
        <v>0</v>
      </c>
      <c r="O94" t="str">
        <f>_xll.BDP("912834SZ Govt","ISSUE_DT")</f>
        <v>11/15/2017</v>
      </c>
      <c r="P94" t="str">
        <f>_xll.BDP("912834SZ Govt","SECURITY_NAME")</f>
        <v>S 0 11/15/47</v>
      </c>
      <c r="Q94" t="str">
        <f>_xll.BDP("912834SZ Govt","DAY_CNT_DES")</f>
        <v>ACT/ACT</v>
      </c>
      <c r="R94">
        <v>100</v>
      </c>
      <c r="S94" t="str">
        <f>_xll.BDP("912834SZ Govt","ID_CUSIP")</f>
        <v>912834SZ2</v>
      </c>
      <c r="T94" t="str">
        <f>_xll.BDP("912834SZ Govt","IDX_RATIO")</f>
        <v>#N/A Field Not Applicable</v>
      </c>
    </row>
    <row r="95" spans="1:20" x14ac:dyDescent="0.25">
      <c r="A95" t="s">
        <v>14</v>
      </c>
      <c r="B95" t="str">
        <f>_xll.BDP("912834LR Govt","TICKER")</f>
        <v>S</v>
      </c>
      <c r="C95">
        <f>_xll.BDP("912834LR Govt","CPN")</f>
        <v>0</v>
      </c>
      <c r="D95">
        <f>_xll.BDP("912834LR Govt","YLD_YTM_BID")</f>
        <v>2.2419999999999884</v>
      </c>
      <c r="E95" t="str">
        <f>_xll.BDP("912834LR Govt","MATURITY")</f>
        <v>8/15/2042</v>
      </c>
      <c r="F95" t="str">
        <f>_xll.BDP("912834LR Govt","MTY_TYP")</f>
        <v>NORMAL</v>
      </c>
      <c r="G95" t="str">
        <f>_xll.BDP("912834LR Govt","CRNCY")</f>
        <v>USD</v>
      </c>
      <c r="H95" t="str">
        <f>_xll.BDP("912834LR Govt","COUNTRY_FULL_NAME")</f>
        <v>UNITED STATES</v>
      </c>
      <c r="I95" t="str">
        <f>_xll.BDP("912834LR Govt","FIRST_CPN_DT")</f>
        <v>#N/A Field Not Applicable</v>
      </c>
      <c r="J95" t="str">
        <f>_xll.BDP("912834LR Govt","COUPON_FREQUENCY_DESCRIPTION")</f>
        <v>#N/A Field Not Applicable</v>
      </c>
      <c r="K95" t="str">
        <f>_xll.BDP("912834LR Govt","CPN_TYP")</f>
        <v>ZERO</v>
      </c>
      <c r="L95" t="str">
        <f>_xll.BDP("912834LR Govt","ID_ISIN")</f>
        <v>US912834LR79</v>
      </c>
      <c r="N95">
        <v>0</v>
      </c>
      <c r="O95" t="str">
        <f>_xll.BDP("912834LR Govt","ISSUE_DT")</f>
        <v>8/15/2012</v>
      </c>
      <c r="P95" t="str">
        <f>_xll.BDP("912834LR Govt","SECURITY_NAME")</f>
        <v>S 0 08/15/42</v>
      </c>
      <c r="Q95" t="str">
        <f>_xll.BDP("912834LR Govt","DAY_CNT_DES")</f>
        <v>ACT/ACT</v>
      </c>
      <c r="R95">
        <v>100</v>
      </c>
      <c r="S95" t="str">
        <f>_xll.BDP("912834LR Govt","ID_CUSIP")</f>
        <v>912834LR7</v>
      </c>
      <c r="T95" t="str">
        <f>_xll.BDP("912834LR Govt","IDX_RATIO")</f>
        <v>#N/A Field Not Applicable</v>
      </c>
    </row>
    <row r="96" spans="1:20" x14ac:dyDescent="0.25">
      <c r="A96" t="s">
        <v>14</v>
      </c>
      <c r="B96" t="str">
        <f>_xll.BDP("912834QH Govt","TICKER")</f>
        <v>S</v>
      </c>
      <c r="C96">
        <f>_xll.BDP("912834QH Govt","CPN")</f>
        <v>0</v>
      </c>
      <c r="D96">
        <f>_xll.BDP("912834QH Govt","YLD_YTM_BID")</f>
        <v>2.259000000000011</v>
      </c>
      <c r="E96" t="str">
        <f>_xll.BDP("912834QH Govt","MATURITY")</f>
        <v>5/15/2046</v>
      </c>
      <c r="F96" t="str">
        <f>_xll.BDP("912834QH Govt","MTY_TYP")</f>
        <v>NORMAL</v>
      </c>
      <c r="G96" t="str">
        <f>_xll.BDP("912834QH Govt","CRNCY")</f>
        <v>USD</v>
      </c>
      <c r="H96" t="str">
        <f>_xll.BDP("912834QH Govt","COUNTRY_FULL_NAME")</f>
        <v>UNITED STATES</v>
      </c>
      <c r="I96" t="str">
        <f>_xll.BDP("912834QH Govt","FIRST_CPN_DT")</f>
        <v>#N/A Field Not Applicable</v>
      </c>
      <c r="J96" t="str">
        <f>_xll.BDP("912834QH Govt","COUPON_FREQUENCY_DESCRIPTION")</f>
        <v>#N/A Field Not Applicable</v>
      </c>
      <c r="K96" t="str">
        <f>_xll.BDP("912834QH Govt","CPN_TYP")</f>
        <v>ZERO</v>
      </c>
      <c r="L96" t="str">
        <f>_xll.BDP("912834QH Govt","ID_ISIN")</f>
        <v>US912834QH43</v>
      </c>
      <c r="N96">
        <v>0</v>
      </c>
      <c r="O96" t="str">
        <f>_xll.BDP("912834QH Govt","ISSUE_DT")</f>
        <v>5/16/2016</v>
      </c>
      <c r="P96" t="str">
        <f>_xll.BDP("912834QH Govt","SECURITY_NAME")</f>
        <v>S 0 05/15/46</v>
      </c>
      <c r="Q96" t="str">
        <f>_xll.BDP("912834QH Govt","DAY_CNT_DES")</f>
        <v>ACT/ACT</v>
      </c>
      <c r="R96">
        <v>100</v>
      </c>
      <c r="S96" t="str">
        <f>_xll.BDP("912834QH Govt","ID_CUSIP")</f>
        <v>912834QH4</v>
      </c>
      <c r="T96" t="str">
        <f>_xll.BDP("912834QH Govt","IDX_RATIO")</f>
        <v>#N/A Field Not Applicable</v>
      </c>
    </row>
    <row r="97" spans="1:20" x14ac:dyDescent="0.25">
      <c r="A97" t="s">
        <v>14</v>
      </c>
      <c r="B97" t="str">
        <f>_xll.BDP("912834UQ Govt","TICKER")</f>
        <v>S</v>
      </c>
      <c r="C97">
        <f>_xll.BDP("912834UQ Govt","CPN")</f>
        <v>0</v>
      </c>
      <c r="D97">
        <f>_xll.BDP("912834UQ Govt","YLD_YTM_BID")</f>
        <v>0.97499999999999254</v>
      </c>
      <c r="E97" t="str">
        <f>_xll.BDP("912834UQ Govt","MATURITY")</f>
        <v>4/30/2026</v>
      </c>
      <c r="F97" t="str">
        <f>_xll.BDP("912834UQ Govt","MTY_TYP")</f>
        <v>NORMAL</v>
      </c>
      <c r="G97" t="str">
        <f>_xll.BDP("912834UQ Govt","CRNCY")</f>
        <v>USD</v>
      </c>
      <c r="H97" t="str">
        <f>_xll.BDP("912834UQ Govt","COUNTRY_FULL_NAME")</f>
        <v>UNITED STATES</v>
      </c>
      <c r="I97" t="str">
        <f>_xll.BDP("912834UQ Govt","FIRST_CPN_DT")</f>
        <v>#N/A Field Not Applicable</v>
      </c>
      <c r="J97" t="str">
        <f>_xll.BDP("912834UQ Govt","COUPON_FREQUENCY_DESCRIPTION")</f>
        <v>#N/A Field Not Applicable</v>
      </c>
      <c r="K97" t="str">
        <f>_xll.BDP("912834UQ Govt","CPN_TYP")</f>
        <v>ZERO</v>
      </c>
      <c r="L97" t="str">
        <f>_xll.BDP("912834UQ Govt","ID_ISIN")</f>
        <v>US912834UQ95</v>
      </c>
      <c r="N97">
        <v>0</v>
      </c>
      <c r="O97" t="str">
        <f>_xll.BDP("912834UQ Govt","ISSUE_DT")</f>
        <v>4/30/2019</v>
      </c>
      <c r="P97" t="str">
        <f>_xll.BDP("912834UQ Govt","SECURITY_NAME")</f>
        <v>S 0 04/30/26</v>
      </c>
      <c r="Q97" t="str">
        <f>_xll.BDP("912834UQ Govt","DAY_CNT_DES")</f>
        <v>ACT/ACT</v>
      </c>
      <c r="R97">
        <v>100</v>
      </c>
      <c r="S97" t="str">
        <f>_xll.BDP("912834UQ Govt","ID_CUSIP")</f>
        <v>912834UQ9</v>
      </c>
      <c r="T97" t="str">
        <f>_xll.BDP("912834UQ Govt","IDX_RATIO")</f>
        <v>#N/A Field Not Applicable</v>
      </c>
    </row>
    <row r="98" spans="1:20" x14ac:dyDescent="0.25">
      <c r="A98" t="s">
        <v>14</v>
      </c>
      <c r="B98" t="str">
        <f>_xll.BDP("912834TF Govt","TICKER")</f>
        <v>S</v>
      </c>
      <c r="C98">
        <f>_xll.BDP("912834TF Govt","CPN")</f>
        <v>0</v>
      </c>
      <c r="D98">
        <f>_xll.BDP("912834TF Govt","YLD_YTM_BID")</f>
        <v>2.2619999999999862</v>
      </c>
      <c r="E98" t="str">
        <f>_xll.BDP("912834TF Govt","MATURITY")</f>
        <v>2/15/2048</v>
      </c>
      <c r="F98" t="str">
        <f>_xll.BDP("912834TF Govt","MTY_TYP")</f>
        <v>NORMAL</v>
      </c>
      <c r="G98" t="str">
        <f>_xll.BDP("912834TF Govt","CRNCY")</f>
        <v>USD</v>
      </c>
      <c r="H98" t="str">
        <f>_xll.BDP("912834TF Govt","COUNTRY_FULL_NAME")</f>
        <v>UNITED STATES</v>
      </c>
      <c r="I98" t="str">
        <f>_xll.BDP("912834TF Govt","FIRST_CPN_DT")</f>
        <v>#N/A Field Not Applicable</v>
      </c>
      <c r="J98" t="str">
        <f>_xll.BDP("912834TF Govt","COUPON_FREQUENCY_DESCRIPTION")</f>
        <v>#N/A Field Not Applicable</v>
      </c>
      <c r="K98" t="str">
        <f>_xll.BDP("912834TF Govt","CPN_TYP")</f>
        <v>ZERO</v>
      </c>
      <c r="L98" t="str">
        <f>_xll.BDP("912834TF Govt","ID_ISIN")</f>
        <v>US912834TF59</v>
      </c>
      <c r="N98">
        <v>0</v>
      </c>
      <c r="O98" t="str">
        <f>_xll.BDP("912834TF Govt","ISSUE_DT")</f>
        <v>2/15/2018</v>
      </c>
      <c r="P98" t="str">
        <f>_xll.BDP("912834TF Govt","SECURITY_NAME")</f>
        <v>S 0 02/15/48</v>
      </c>
      <c r="Q98" t="str">
        <f>_xll.BDP("912834TF Govt","DAY_CNT_DES")</f>
        <v>ACT/ACT</v>
      </c>
      <c r="R98">
        <v>100</v>
      </c>
      <c r="S98" t="str">
        <f>_xll.BDP("912834TF Govt","ID_CUSIP")</f>
        <v>912834TF5</v>
      </c>
      <c r="T98" t="str">
        <f>_xll.BDP("912834TF Govt","IDX_RATIO")</f>
        <v>#N/A Field Not Applicable</v>
      </c>
    </row>
    <row r="99" spans="1:20" x14ac:dyDescent="0.25">
      <c r="A99" t="s">
        <v>14</v>
      </c>
      <c r="B99" t="str">
        <f>_xll.BDP("9128337F Govt","TICKER")</f>
        <v>S</v>
      </c>
      <c r="C99">
        <f>_xll.BDP("9128337F Govt","CPN")</f>
        <v>0</v>
      </c>
      <c r="D99">
        <f>_xll.BDP("9128337F Govt","YLD_YTM_BID")</f>
        <v>2.010999999999985</v>
      </c>
      <c r="E99" t="str">
        <f>_xll.BDP("9128337F Govt","MATURITY")</f>
        <v>2/15/2037</v>
      </c>
      <c r="F99" t="str">
        <f>_xll.BDP("9128337F Govt","MTY_TYP")</f>
        <v>NORMAL</v>
      </c>
      <c r="G99" t="str">
        <f>_xll.BDP("9128337F Govt","CRNCY")</f>
        <v>USD</v>
      </c>
      <c r="H99" t="str">
        <f>_xll.BDP("9128337F Govt","COUNTRY_FULL_NAME")</f>
        <v>UNITED STATES</v>
      </c>
      <c r="I99" t="str">
        <f>_xll.BDP("9128337F Govt","FIRST_CPN_DT")</f>
        <v>#N/A Field Not Applicable</v>
      </c>
      <c r="J99" t="str">
        <f>_xll.BDP("9128337F Govt","COUPON_FREQUENCY_DESCRIPTION")</f>
        <v>#N/A Field Not Applicable</v>
      </c>
      <c r="K99" t="str">
        <f>_xll.BDP("9128337F Govt","CPN_TYP")</f>
        <v>ZERO</v>
      </c>
      <c r="L99" t="str">
        <f>_xll.BDP("9128337F Govt","ID_ISIN")</f>
        <v>US9128337F13</v>
      </c>
      <c r="N99">
        <v>0</v>
      </c>
      <c r="O99" t="str">
        <f>_xll.BDP("9128337F Govt","ISSUE_DT")</f>
        <v>2/15/2007</v>
      </c>
      <c r="P99" t="str">
        <f>_xll.BDP("9128337F Govt","SECURITY_NAME")</f>
        <v>S 0 02/15/37</v>
      </c>
      <c r="Q99" t="str">
        <f>_xll.BDP("9128337F Govt","DAY_CNT_DES")</f>
        <v>ACT/ACT</v>
      </c>
      <c r="R99">
        <v>100</v>
      </c>
      <c r="S99" t="str">
        <f>_xll.BDP("9128337F Govt","ID_CUSIP")</f>
        <v>9128337F1</v>
      </c>
      <c r="T99" t="str">
        <f>_xll.BDP("9128337F Govt","IDX_RATIO")</f>
        <v>#N/A Field Not Applicable</v>
      </c>
    </row>
    <row r="100" spans="1:20" x14ac:dyDescent="0.25">
      <c r="A100" t="s">
        <v>14</v>
      </c>
      <c r="B100" t="str">
        <f>_xll.BDP("9128337V Govt","TICKER")</f>
        <v>S</v>
      </c>
      <c r="C100">
        <f>_xll.BDP("9128337V Govt","CPN")</f>
        <v>0</v>
      </c>
      <c r="D100">
        <f>_xll.BDP("9128337V Govt","YLD_YTM_BID")</f>
        <v>1.8819999999999837</v>
      </c>
      <c r="E100" t="str">
        <f>_xll.BDP("9128337V Govt","MATURITY")</f>
        <v>5/15/2034</v>
      </c>
      <c r="F100" t="str">
        <f>_xll.BDP("9128337V Govt","MTY_TYP")</f>
        <v>NORMAL</v>
      </c>
      <c r="G100" t="str">
        <f>_xll.BDP("9128337V Govt","CRNCY")</f>
        <v>USD</v>
      </c>
      <c r="H100" t="str">
        <f>_xll.BDP("9128337V Govt","COUNTRY_FULL_NAME")</f>
        <v>UNITED STATES</v>
      </c>
      <c r="I100" t="str">
        <f>_xll.BDP("9128337V Govt","FIRST_CPN_DT")</f>
        <v>#N/A Field Not Applicable</v>
      </c>
      <c r="J100" t="str">
        <f>_xll.BDP("9128337V Govt","COUPON_FREQUENCY_DESCRIPTION")</f>
        <v>#N/A Field Not Applicable</v>
      </c>
      <c r="K100" t="str">
        <f>_xll.BDP("9128337V Govt","CPN_TYP")</f>
        <v>ZERO</v>
      </c>
      <c r="L100" t="str">
        <f>_xll.BDP("9128337V Govt","ID_ISIN")</f>
        <v>US9128337V62</v>
      </c>
      <c r="N100">
        <v>0</v>
      </c>
      <c r="O100" t="str">
        <f>_xll.BDP("9128337V Govt","ISSUE_DT")</f>
        <v>8/15/2007</v>
      </c>
      <c r="P100" t="str">
        <f>_xll.BDP("9128337V Govt","SECURITY_NAME")</f>
        <v>S 0 05/15/34</v>
      </c>
      <c r="Q100" t="str">
        <f>_xll.BDP("9128337V Govt","DAY_CNT_DES")</f>
        <v>ACT/ACT</v>
      </c>
      <c r="R100">
        <v>100</v>
      </c>
      <c r="S100" t="str">
        <f>_xll.BDP("9128337V Govt","ID_CUSIP")</f>
        <v>9128337V6</v>
      </c>
      <c r="T100" t="str">
        <f>_xll.BDP("9128337V Govt","IDX_RATIO")</f>
        <v>#N/A Field Not Applicable</v>
      </c>
    </row>
    <row r="101" spans="1:20" x14ac:dyDescent="0.25">
      <c r="A101" t="s">
        <v>14</v>
      </c>
      <c r="B101" t="str">
        <f>_xll.BDP("912834EV Govt","TICKER")</f>
        <v>S</v>
      </c>
      <c r="C101">
        <f>_xll.BDP("912834EV Govt","CPN")</f>
        <v>0</v>
      </c>
      <c r="D101">
        <f>_xll.BDP("912834EV Govt","YLD_YTM_BID")</f>
        <v>2.1469999999999878</v>
      </c>
      <c r="E101" t="str">
        <f>_xll.BDP("912834EV Govt","MATURITY")</f>
        <v>11/15/2039</v>
      </c>
      <c r="F101" t="str">
        <f>_xll.BDP("912834EV Govt","MTY_TYP")</f>
        <v>NORMAL</v>
      </c>
      <c r="G101" t="str">
        <f>_xll.BDP("912834EV Govt","CRNCY")</f>
        <v>USD</v>
      </c>
      <c r="H101" t="str">
        <f>_xll.BDP("912834EV Govt","COUNTRY_FULL_NAME")</f>
        <v>UNITED STATES</v>
      </c>
      <c r="I101" t="str">
        <f>_xll.BDP("912834EV Govt","FIRST_CPN_DT")</f>
        <v>#N/A Field Not Applicable</v>
      </c>
      <c r="J101" t="str">
        <f>_xll.BDP("912834EV Govt","COUPON_FREQUENCY_DESCRIPTION")</f>
        <v>#N/A Field Not Applicable</v>
      </c>
      <c r="K101" t="str">
        <f>_xll.BDP("912834EV Govt","CPN_TYP")</f>
        <v>ZERO</v>
      </c>
      <c r="L101" t="str">
        <f>_xll.BDP("912834EV Govt","ID_ISIN")</f>
        <v>US912834EV64</v>
      </c>
      <c r="N101">
        <v>0</v>
      </c>
      <c r="O101" t="str">
        <f>_xll.BDP("912834EV Govt","ISSUE_DT")</f>
        <v>11/16/2009</v>
      </c>
      <c r="P101" t="str">
        <f>_xll.BDP("912834EV Govt","SECURITY_NAME")</f>
        <v>S 0 11/15/39</v>
      </c>
      <c r="Q101" t="str">
        <f>_xll.BDP("912834EV Govt","DAY_CNT_DES")</f>
        <v>ACT/ACT</v>
      </c>
      <c r="R101">
        <v>100</v>
      </c>
      <c r="S101" t="str">
        <f>_xll.BDP("912834EV Govt","ID_CUSIP")</f>
        <v>912834EV6</v>
      </c>
      <c r="T101" t="str">
        <f>_xll.BDP("912834EV Govt","IDX_RATIO")</f>
        <v>#N/A Field Not Applicable</v>
      </c>
    </row>
    <row r="102" spans="1:20" x14ac:dyDescent="0.25">
      <c r="A102" t="s">
        <v>14</v>
      </c>
      <c r="B102" t="str">
        <f>_xll.BDP("9128334U Govt","TICKER")</f>
        <v>S</v>
      </c>
      <c r="C102">
        <f>_xll.BDP("9128334U Govt","CPN")</f>
        <v>0</v>
      </c>
      <c r="D102">
        <f>_xll.BDP("9128334U Govt","YLD_YTM_BID")</f>
        <v>1.8009999999999859</v>
      </c>
      <c r="E102" t="str">
        <f>_xll.BDP("9128334U Govt","MATURITY")</f>
        <v>8/15/2032</v>
      </c>
      <c r="F102" t="str">
        <f>_xll.BDP("9128334U Govt","MTY_TYP")</f>
        <v>NORMAL</v>
      </c>
      <c r="G102" t="str">
        <f>_xll.BDP("9128334U Govt","CRNCY")</f>
        <v>USD</v>
      </c>
      <c r="H102" t="str">
        <f>_xll.BDP("9128334U Govt","COUNTRY_FULL_NAME")</f>
        <v>UNITED STATES</v>
      </c>
      <c r="I102" t="str">
        <f>_xll.BDP("9128334U Govt","FIRST_CPN_DT")</f>
        <v>#N/A Field Not Applicable</v>
      </c>
      <c r="J102" t="str">
        <f>_xll.BDP("9128334U Govt","COUPON_FREQUENCY_DESCRIPTION")</f>
        <v>#N/A Field Not Applicable</v>
      </c>
      <c r="K102" t="str">
        <f>_xll.BDP("9128334U Govt","CPN_TYP")</f>
        <v>ZERO</v>
      </c>
      <c r="L102" t="str">
        <f>_xll.BDP("9128334U Govt","ID_ISIN")</f>
        <v>US9128334U17</v>
      </c>
      <c r="N102">
        <v>0</v>
      </c>
      <c r="O102" t="str">
        <f>_xll.BDP("9128334U Govt","ISSUE_DT")</f>
        <v>2/15/2006</v>
      </c>
      <c r="P102" t="str">
        <f>_xll.BDP("9128334U Govt","SECURITY_NAME")</f>
        <v>S 0 08/15/32</v>
      </c>
      <c r="Q102" t="str">
        <f>_xll.BDP("9128334U Govt","DAY_CNT_DES")</f>
        <v>ACT/ACT</v>
      </c>
      <c r="R102">
        <v>100</v>
      </c>
      <c r="S102" t="str">
        <f>_xll.BDP("9128334U Govt","ID_CUSIP")</f>
        <v>9128334U1</v>
      </c>
      <c r="T102" t="str">
        <f>_xll.BDP("9128334U Govt","IDX_RATIO")</f>
        <v>#N/A Field Not Applicable</v>
      </c>
    </row>
    <row r="103" spans="1:20" x14ac:dyDescent="0.25">
      <c r="A103" t="s">
        <v>14</v>
      </c>
      <c r="B103" t="str">
        <f>_xll.BDP("912833Y3 Govt","TICKER")</f>
        <v>S</v>
      </c>
      <c r="C103">
        <f>_xll.BDP("912833Y3 Govt","CPN")</f>
        <v>0</v>
      </c>
      <c r="D103">
        <f>_xll.BDP("912833Y3 Govt","YLD_YTM_BID")</f>
        <v>1.9979999999999887</v>
      </c>
      <c r="E103" t="str">
        <f>_xll.BDP("912833Y3 Govt","MATURITY")</f>
        <v>11/15/2036</v>
      </c>
      <c r="F103" t="str">
        <f>_xll.BDP("912833Y3 Govt","MTY_TYP")</f>
        <v>NORMAL</v>
      </c>
      <c r="G103" t="str">
        <f>_xll.BDP("912833Y3 Govt","CRNCY")</f>
        <v>USD</v>
      </c>
      <c r="H103" t="str">
        <f>_xll.BDP("912833Y3 Govt","COUNTRY_FULL_NAME")</f>
        <v>UNITED STATES</v>
      </c>
      <c r="I103" t="str">
        <f>_xll.BDP("912833Y3 Govt","FIRST_CPN_DT")</f>
        <v>#N/A Field Not Applicable</v>
      </c>
      <c r="J103" t="str">
        <f>_xll.BDP("912833Y3 Govt","COUPON_FREQUENCY_DESCRIPTION")</f>
        <v>#N/A Field Not Applicable</v>
      </c>
      <c r="K103" t="str">
        <f>_xll.BDP("912833Y3 Govt","CPN_TYP")</f>
        <v>ZERO</v>
      </c>
      <c r="L103" t="str">
        <f>_xll.BDP("912833Y3 Govt","ID_ISIN")</f>
        <v>US912833Y388</v>
      </c>
      <c r="N103">
        <v>0</v>
      </c>
      <c r="O103" t="str">
        <f>_xll.BDP("912833Y3 Govt","ISSUE_DT")</f>
        <v>8/15/2007</v>
      </c>
      <c r="P103" t="str">
        <f>_xll.BDP("912833Y3 Govt","SECURITY_NAME")</f>
        <v>S 0 11/15/36</v>
      </c>
      <c r="Q103" t="str">
        <f>_xll.BDP("912833Y3 Govt","DAY_CNT_DES")</f>
        <v>ACT/ACT</v>
      </c>
      <c r="R103">
        <v>100</v>
      </c>
      <c r="S103" t="str">
        <f>_xll.BDP("912833Y3 Govt","ID_CUSIP")</f>
        <v>912833Y38</v>
      </c>
      <c r="T103" t="str">
        <f>_xll.BDP("912833Y3 Govt","IDX_RATIO")</f>
        <v>#N/A Field Not Applicable</v>
      </c>
    </row>
    <row r="104" spans="1:20" x14ac:dyDescent="0.25">
      <c r="A104" t="s">
        <v>14</v>
      </c>
      <c r="B104" t="str">
        <f>_xll.BDP("912834QV Govt","TICKER")</f>
        <v>S</v>
      </c>
      <c r="C104">
        <f>_xll.BDP("912834QV Govt","CPN")</f>
        <v>0</v>
      </c>
      <c r="D104">
        <f>_xll.BDP("912834QV Govt","YLD_YTM_BID")</f>
        <v>2.2639999999999993</v>
      </c>
      <c r="E104" t="str">
        <f>_xll.BDP("912834QV Govt","MATURITY")</f>
        <v>11/15/2046</v>
      </c>
      <c r="F104" t="str">
        <f>_xll.BDP("912834QV Govt","MTY_TYP")</f>
        <v>NORMAL</v>
      </c>
      <c r="G104" t="str">
        <f>_xll.BDP("912834QV Govt","CRNCY")</f>
        <v>USD</v>
      </c>
      <c r="H104" t="str">
        <f>_xll.BDP("912834QV Govt","COUNTRY_FULL_NAME")</f>
        <v>UNITED STATES</v>
      </c>
      <c r="I104" t="str">
        <f>_xll.BDP("912834QV Govt","FIRST_CPN_DT")</f>
        <v>#N/A Field Not Applicable</v>
      </c>
      <c r="J104" t="str">
        <f>_xll.BDP("912834QV Govt","COUPON_FREQUENCY_DESCRIPTION")</f>
        <v>#N/A Field Not Applicable</v>
      </c>
      <c r="K104" t="str">
        <f>_xll.BDP("912834QV Govt","CPN_TYP")</f>
        <v>ZERO</v>
      </c>
      <c r="L104" t="str">
        <f>_xll.BDP("912834QV Govt","ID_ISIN")</f>
        <v>US912834QV37</v>
      </c>
      <c r="N104">
        <v>0</v>
      </c>
      <c r="O104" t="str">
        <f>_xll.BDP("912834QV Govt","ISSUE_DT")</f>
        <v>11/15/2016</v>
      </c>
      <c r="P104" t="str">
        <f>_xll.BDP("912834QV Govt","SECURITY_NAME")</f>
        <v>S 0 11/15/46</v>
      </c>
      <c r="Q104" t="str">
        <f>_xll.BDP("912834QV Govt","DAY_CNT_DES")</f>
        <v>ACT/ACT</v>
      </c>
      <c r="R104">
        <v>100</v>
      </c>
      <c r="S104" t="str">
        <f>_xll.BDP("912834QV Govt","ID_CUSIP")</f>
        <v>912834QV3</v>
      </c>
      <c r="T104" t="str">
        <f>_xll.BDP("912834QV Govt","IDX_RATIO")</f>
        <v>#N/A Field Not Applicable</v>
      </c>
    </row>
    <row r="105" spans="1:20" x14ac:dyDescent="0.25">
      <c r="A105" t="s">
        <v>14</v>
      </c>
      <c r="B105" t="str">
        <f>_xll.BDP("912834UH Govt","TICKER")</f>
        <v>S</v>
      </c>
      <c r="C105">
        <f>_xll.BDP("912834UH Govt","CPN")</f>
        <v>0</v>
      </c>
      <c r="D105">
        <f>_xll.BDP("912834UH Govt","YLD_YTM_BID")</f>
        <v>2.2419999999999884</v>
      </c>
      <c r="E105" t="str">
        <f>_xll.BDP("912834UH Govt","MATURITY")</f>
        <v>2/15/2049</v>
      </c>
      <c r="F105" t="str">
        <f>_xll.BDP("912834UH Govt","MTY_TYP")</f>
        <v>NORMAL</v>
      </c>
      <c r="G105" t="str">
        <f>_xll.BDP("912834UH Govt","CRNCY")</f>
        <v>USD</v>
      </c>
      <c r="H105" t="str">
        <f>_xll.BDP("912834UH Govt","COUNTRY_FULL_NAME")</f>
        <v>UNITED STATES</v>
      </c>
      <c r="I105" t="str">
        <f>_xll.BDP("912834UH Govt","FIRST_CPN_DT")</f>
        <v>#N/A Field Not Applicable</v>
      </c>
      <c r="J105" t="str">
        <f>_xll.BDP("912834UH Govt","COUPON_FREQUENCY_DESCRIPTION")</f>
        <v>#N/A Field Not Applicable</v>
      </c>
      <c r="K105" t="str">
        <f>_xll.BDP("912834UH Govt","CPN_TYP")</f>
        <v>ZERO</v>
      </c>
      <c r="L105" t="str">
        <f>_xll.BDP("912834UH Govt","ID_ISIN")</f>
        <v>US912834UH96</v>
      </c>
      <c r="N105">
        <v>0</v>
      </c>
      <c r="O105" t="str">
        <f>_xll.BDP("912834UH Govt","ISSUE_DT")</f>
        <v>2/15/2019</v>
      </c>
      <c r="P105" t="str">
        <f>_xll.BDP("912834UH Govt","SECURITY_NAME")</f>
        <v>S 0 02/15/49</v>
      </c>
      <c r="Q105" t="str">
        <f>_xll.BDP("912834UH Govt","DAY_CNT_DES")</f>
        <v>ACT/ACT</v>
      </c>
      <c r="R105">
        <v>100</v>
      </c>
      <c r="S105" t="str">
        <f>_xll.BDP("912834UH Govt","ID_CUSIP")</f>
        <v>912834UH9</v>
      </c>
      <c r="T105" t="str">
        <f>_xll.BDP("912834UH Govt","IDX_RATIO")</f>
        <v>#N/A Field Not Applicable</v>
      </c>
    </row>
    <row r="106" spans="1:20" x14ac:dyDescent="0.25">
      <c r="A106" t="s">
        <v>14</v>
      </c>
      <c r="B106" t="str">
        <f>_xll.BDP("912834PT Govt","TICKER")</f>
        <v>S</v>
      </c>
      <c r="C106">
        <f>_xll.BDP("912834PT Govt","CPN")</f>
        <v>0</v>
      </c>
      <c r="D106">
        <f>_xll.BDP("912834PT Govt","YLD_YTM_BID")</f>
        <v>2.2629999999999928</v>
      </c>
      <c r="E106" t="str">
        <f>_xll.BDP("912834PT Govt","MATURITY")</f>
        <v>11/15/2045</v>
      </c>
      <c r="F106" t="str">
        <f>_xll.BDP("912834PT Govt","MTY_TYP")</f>
        <v>NORMAL</v>
      </c>
      <c r="G106" t="str">
        <f>_xll.BDP("912834PT Govt","CRNCY")</f>
        <v>USD</v>
      </c>
      <c r="H106" t="str">
        <f>_xll.BDP("912834PT Govt","COUNTRY_FULL_NAME")</f>
        <v>UNITED STATES</v>
      </c>
      <c r="I106" t="str">
        <f>_xll.BDP("912834PT Govt","FIRST_CPN_DT")</f>
        <v>#N/A Field Not Applicable</v>
      </c>
      <c r="J106" t="str">
        <f>_xll.BDP("912834PT Govt","COUPON_FREQUENCY_DESCRIPTION")</f>
        <v>#N/A Field Not Applicable</v>
      </c>
      <c r="K106" t="str">
        <f>_xll.BDP("912834PT Govt","CPN_TYP")</f>
        <v>ZERO</v>
      </c>
      <c r="L106" t="str">
        <f>_xll.BDP("912834PT Govt","ID_ISIN")</f>
        <v>US912834PT99</v>
      </c>
      <c r="N106">
        <v>0</v>
      </c>
      <c r="O106" t="str">
        <f>_xll.BDP("912834PT Govt","ISSUE_DT")</f>
        <v>11/16/2015</v>
      </c>
      <c r="P106" t="str">
        <f>_xll.BDP("912834PT Govt","SECURITY_NAME")</f>
        <v>S 0 11/15/45</v>
      </c>
      <c r="Q106" t="str">
        <f>_xll.BDP("912834PT Govt","DAY_CNT_DES")</f>
        <v>ACT/ACT</v>
      </c>
      <c r="R106">
        <v>100</v>
      </c>
      <c r="S106" t="str">
        <f>_xll.BDP("912834PT Govt","ID_CUSIP")</f>
        <v>912834PT9</v>
      </c>
      <c r="T106" t="str">
        <f>_xll.BDP("912834PT Govt","IDX_RATIO")</f>
        <v>#N/A Field Not Applicable</v>
      </c>
    </row>
    <row r="107" spans="1:20" x14ac:dyDescent="0.25">
      <c r="A107" t="s">
        <v>14</v>
      </c>
      <c r="B107" t="str">
        <f>_xll.BDP("9128334X Govt","TICKER")</f>
        <v>S</v>
      </c>
      <c r="C107">
        <f>_xll.BDP("9128334X Govt","CPN")</f>
        <v>0</v>
      </c>
      <c r="D107">
        <f>_xll.BDP("9128334X Govt","YLD_YTM_BID")</f>
        <v>1.872000000000007</v>
      </c>
      <c r="E107" t="str">
        <f>_xll.BDP("9128334X Govt","MATURITY")</f>
        <v>2/15/2034</v>
      </c>
      <c r="F107" t="str">
        <f>_xll.BDP("9128334X Govt","MTY_TYP")</f>
        <v>NORMAL</v>
      </c>
      <c r="G107" t="str">
        <f>_xll.BDP("9128334X Govt","CRNCY")</f>
        <v>USD</v>
      </c>
      <c r="H107" t="str">
        <f>_xll.BDP("9128334X Govt","COUNTRY_FULL_NAME")</f>
        <v>UNITED STATES</v>
      </c>
      <c r="I107" t="str">
        <f>_xll.BDP("9128334X Govt","FIRST_CPN_DT")</f>
        <v>#N/A Field Not Applicable</v>
      </c>
      <c r="J107" t="str">
        <f>_xll.BDP("9128334X Govt","COUPON_FREQUENCY_DESCRIPTION")</f>
        <v>#N/A Field Not Applicable</v>
      </c>
      <c r="K107" t="str">
        <f>_xll.BDP("9128334X Govt","CPN_TYP")</f>
        <v>ZERO</v>
      </c>
      <c r="L107" t="str">
        <f>_xll.BDP("9128334X Govt","ID_ISIN")</f>
        <v>US9128334X55</v>
      </c>
      <c r="N107">
        <v>0</v>
      </c>
      <c r="O107" t="str">
        <f>_xll.BDP("9128334X Govt","ISSUE_DT")</f>
        <v>2/15/2006</v>
      </c>
      <c r="P107" t="str">
        <f>_xll.BDP("9128334X Govt","SECURITY_NAME")</f>
        <v>S 0 02/15/34</v>
      </c>
      <c r="Q107" t="str">
        <f>_xll.BDP("9128334X Govt","DAY_CNT_DES")</f>
        <v>ACT/ACT</v>
      </c>
      <c r="R107">
        <v>100</v>
      </c>
      <c r="S107" t="str">
        <f>_xll.BDP("9128334X Govt","ID_CUSIP")</f>
        <v>9128334X5</v>
      </c>
      <c r="T107" t="str">
        <f>_xll.BDP("9128334X Govt","IDX_RATIO")</f>
        <v>#N/A Field Not Applicable</v>
      </c>
    </row>
    <row r="108" spans="1:20" x14ac:dyDescent="0.25">
      <c r="A108" t="s">
        <v>14</v>
      </c>
      <c r="B108" t="str">
        <f>_xll.BDP("912834QP Govt","TICKER")</f>
        <v>S</v>
      </c>
      <c r="C108">
        <f>_xll.BDP("912834QP Govt","CPN")</f>
        <v>0</v>
      </c>
      <c r="D108">
        <f>_xll.BDP("912834QP Govt","YLD_YTM_BID")</f>
        <v>2.2629999999999928</v>
      </c>
      <c r="E108" t="str">
        <f>_xll.BDP("912834QP Govt","MATURITY")</f>
        <v>8/15/2046</v>
      </c>
      <c r="F108" t="str">
        <f>_xll.BDP("912834QP Govt","MTY_TYP")</f>
        <v>NORMAL</v>
      </c>
      <c r="G108" t="str">
        <f>_xll.BDP("912834QP Govt","CRNCY")</f>
        <v>USD</v>
      </c>
      <c r="H108" t="str">
        <f>_xll.BDP("912834QP Govt","COUNTRY_FULL_NAME")</f>
        <v>UNITED STATES</v>
      </c>
      <c r="I108" t="str">
        <f>_xll.BDP("912834QP Govt","FIRST_CPN_DT")</f>
        <v>#N/A Field Not Applicable</v>
      </c>
      <c r="J108" t="str">
        <f>_xll.BDP("912834QP Govt","COUPON_FREQUENCY_DESCRIPTION")</f>
        <v>#N/A Field Not Applicable</v>
      </c>
      <c r="K108" t="str">
        <f>_xll.BDP("912834QP Govt","CPN_TYP")</f>
        <v>ZERO</v>
      </c>
      <c r="L108" t="str">
        <f>_xll.BDP("912834QP Govt","ID_ISIN")</f>
        <v>US912834QP68</v>
      </c>
      <c r="N108">
        <v>0</v>
      </c>
      <c r="O108" t="str">
        <f>_xll.BDP("912834QP Govt","ISSUE_DT")</f>
        <v>8/15/2016</v>
      </c>
      <c r="P108" t="str">
        <f>_xll.BDP("912834QP Govt","SECURITY_NAME")</f>
        <v>S 0 08/15/46</v>
      </c>
      <c r="Q108" t="str">
        <f>_xll.BDP("912834QP Govt","DAY_CNT_DES")</f>
        <v>ACT/ACT</v>
      </c>
      <c r="R108">
        <v>100</v>
      </c>
      <c r="S108" t="str">
        <f>_xll.BDP("912834QP Govt","ID_CUSIP")</f>
        <v>912834QP6</v>
      </c>
      <c r="T108" t="str">
        <f>_xll.BDP("912834QP Govt","IDX_RATIO")</f>
        <v>#N/A Field Not Applicable</v>
      </c>
    </row>
    <row r="109" spans="1:20" x14ac:dyDescent="0.25">
      <c r="A109" t="s">
        <v>14</v>
      </c>
      <c r="B109" t="str">
        <f>_xll.BDP("912834PB Govt","TICKER")</f>
        <v>S</v>
      </c>
      <c r="C109">
        <f>_xll.BDP("912834PB Govt","CPN")</f>
        <v>0</v>
      </c>
      <c r="D109">
        <f>_xll.BDP("912834PB Govt","YLD_YTM_BID")</f>
        <v>2.2470000000000212</v>
      </c>
      <c r="E109" t="str">
        <f>_xll.BDP("912834PB Govt","MATURITY")</f>
        <v>11/15/2044</v>
      </c>
      <c r="F109" t="str">
        <f>_xll.BDP("912834PB Govt","MTY_TYP")</f>
        <v>NORMAL</v>
      </c>
      <c r="G109" t="str">
        <f>_xll.BDP("912834PB Govt","CRNCY")</f>
        <v>USD</v>
      </c>
      <c r="H109" t="str">
        <f>_xll.BDP("912834PB Govt","COUNTRY_FULL_NAME")</f>
        <v>UNITED STATES</v>
      </c>
      <c r="I109" t="str">
        <f>_xll.BDP("912834PB Govt","FIRST_CPN_DT")</f>
        <v>#N/A Field Not Applicable</v>
      </c>
      <c r="J109" t="str">
        <f>_xll.BDP("912834PB Govt","COUPON_FREQUENCY_DESCRIPTION")</f>
        <v>#N/A Field Not Applicable</v>
      </c>
      <c r="K109" t="str">
        <f>_xll.BDP("912834PB Govt","CPN_TYP")</f>
        <v>ZERO</v>
      </c>
      <c r="L109" t="str">
        <f>_xll.BDP("912834PB Govt","ID_ISIN")</f>
        <v>US912834PB81</v>
      </c>
      <c r="N109">
        <v>0</v>
      </c>
      <c r="O109" t="str">
        <f>_xll.BDP("912834PB Govt","ISSUE_DT")</f>
        <v>11/17/2014</v>
      </c>
      <c r="P109" t="str">
        <f>_xll.BDP("912834PB Govt","SECURITY_NAME")</f>
        <v>S 0 11/15/44</v>
      </c>
      <c r="Q109" t="str">
        <f>_xll.BDP("912834PB Govt","DAY_CNT_DES")</f>
        <v>ACT/ACT</v>
      </c>
      <c r="R109">
        <v>100</v>
      </c>
      <c r="S109" t="str">
        <f>_xll.BDP("912834PB Govt","ID_CUSIP")</f>
        <v>912834PB8</v>
      </c>
      <c r="T109" t="str">
        <f>_xll.BDP("912834PB Govt","IDX_RATIO")</f>
        <v>#N/A Field Not Applicable</v>
      </c>
    </row>
    <row r="110" spans="1:20" x14ac:dyDescent="0.25">
      <c r="A110" t="s">
        <v>14</v>
      </c>
      <c r="B110" t="str">
        <f>_xll.BDP("912834KB Govt","TICKER")</f>
        <v>S</v>
      </c>
      <c r="C110">
        <f>_xll.BDP("912834KB Govt","CPN")</f>
        <v>0</v>
      </c>
      <c r="D110">
        <f>_xll.BDP("912834KB Govt","YLD_YTM_BID")</f>
        <v>2.2450000000000081</v>
      </c>
      <c r="E110" t="str">
        <f>_xll.BDP("912834KB Govt","MATURITY")</f>
        <v>5/15/2045</v>
      </c>
      <c r="F110" t="str">
        <f>_xll.BDP("912834KB Govt","MTY_TYP")</f>
        <v>NORMAL</v>
      </c>
      <c r="G110" t="str">
        <f>_xll.BDP("912834KB Govt","CRNCY")</f>
        <v>USD</v>
      </c>
      <c r="H110" t="str">
        <f>_xll.BDP("912834KB Govt","COUNTRY_FULL_NAME")</f>
        <v>UNITED STATES</v>
      </c>
      <c r="I110" t="str">
        <f>_xll.BDP("912834KB Govt","FIRST_CPN_DT")</f>
        <v>#N/A Field Not Applicable</v>
      </c>
      <c r="J110" t="str">
        <f>_xll.BDP("912834KB Govt","COUPON_FREQUENCY_DESCRIPTION")</f>
        <v>#N/A Field Not Applicable</v>
      </c>
      <c r="K110" t="str">
        <f>_xll.BDP("912834KB Govt","CPN_TYP")</f>
        <v>ZERO</v>
      </c>
      <c r="L110" t="str">
        <f>_xll.BDP("912834KB Govt","ID_ISIN")</f>
        <v>US912834KB37</v>
      </c>
      <c r="N110">
        <v>0</v>
      </c>
      <c r="O110" t="str">
        <f>_xll.BDP("912834KB Govt","ISSUE_DT")</f>
        <v>5/15/2015</v>
      </c>
      <c r="P110" t="str">
        <f>_xll.BDP("912834KB Govt","SECURITY_NAME")</f>
        <v>S 0 05/15/45</v>
      </c>
      <c r="Q110" t="str">
        <f>_xll.BDP("912834KB Govt","DAY_CNT_DES")</f>
        <v>ACT/ACT</v>
      </c>
      <c r="R110">
        <v>100</v>
      </c>
      <c r="S110" t="str">
        <f>_xll.BDP("912834KB Govt","ID_CUSIP")</f>
        <v>912834KB3</v>
      </c>
      <c r="T110" t="str">
        <f>_xll.BDP("912834KB Govt","IDX_RATIO")</f>
        <v>#N/A Field Not Applicable</v>
      </c>
    </row>
    <row r="111" spans="1:20" x14ac:dyDescent="0.25">
      <c r="A111" t="s">
        <v>14</v>
      </c>
      <c r="B111" t="str">
        <f>_xll.BDP("912833Z6 Govt","TICKER")</f>
        <v>S</v>
      </c>
      <c r="C111">
        <f>_xll.BDP("912833Z6 Govt","CPN")</f>
        <v>0</v>
      </c>
      <c r="D111">
        <f>_xll.BDP("912833Z6 Govt","YLD_YTM_BID")</f>
        <v>2.0760000000000112</v>
      </c>
      <c r="E111" t="str">
        <f>_xll.BDP("912833Z6 Govt","MATURITY")</f>
        <v>2/15/2038</v>
      </c>
      <c r="F111" t="str">
        <f>_xll.BDP("912833Z6 Govt","MTY_TYP")</f>
        <v>NORMAL</v>
      </c>
      <c r="G111" t="str">
        <f>_xll.BDP("912833Z6 Govt","CRNCY")</f>
        <v>USD</v>
      </c>
      <c r="H111" t="str">
        <f>_xll.BDP("912833Z6 Govt","COUNTRY_FULL_NAME")</f>
        <v>UNITED STATES</v>
      </c>
      <c r="I111" t="str">
        <f>_xll.BDP("912833Z6 Govt","FIRST_CPN_DT")</f>
        <v>#N/A Field Not Applicable</v>
      </c>
      <c r="J111" t="str">
        <f>_xll.BDP("912833Z6 Govt","COUPON_FREQUENCY_DESCRIPTION")</f>
        <v>#N/A Field Not Applicable</v>
      </c>
      <c r="K111" t="str">
        <f>_xll.BDP("912833Z6 Govt","CPN_TYP")</f>
        <v>ZERO</v>
      </c>
      <c r="L111" t="str">
        <f>_xll.BDP("912833Z6 Govt","ID_ISIN")</f>
        <v>US912833Z609</v>
      </c>
      <c r="N111">
        <v>0</v>
      </c>
      <c r="O111" t="str">
        <f>_xll.BDP("912833Z6 Govt","ISSUE_DT")</f>
        <v>2/15/2008</v>
      </c>
      <c r="P111" t="str">
        <f>_xll.BDP("912833Z6 Govt","SECURITY_NAME")</f>
        <v>S 0 02/15/38</v>
      </c>
      <c r="Q111" t="str">
        <f>_xll.BDP("912833Z6 Govt","DAY_CNT_DES")</f>
        <v>ACT/ACT</v>
      </c>
      <c r="R111">
        <v>100</v>
      </c>
      <c r="S111" t="str">
        <f>_xll.BDP("912833Z6 Govt","ID_CUSIP")</f>
        <v>912833Z60</v>
      </c>
      <c r="T111" t="str">
        <f>_xll.BDP("912833Z6 Govt","IDX_RATIO")</f>
        <v>#N/A Field Not Applicable</v>
      </c>
    </row>
    <row r="112" spans="1:20" x14ac:dyDescent="0.25">
      <c r="A112" t="s">
        <v>14</v>
      </c>
      <c r="B112" t="str">
        <f>_xll.BDP("912834RB Govt","TICKER")</f>
        <v>S</v>
      </c>
      <c r="C112">
        <f>_xll.BDP("912834RB Govt","CPN")</f>
        <v>0</v>
      </c>
      <c r="D112">
        <f>_xll.BDP("912834RB Govt","YLD_YTM_BID")</f>
        <v>2.2619999999999862</v>
      </c>
      <c r="E112" t="str">
        <f>_xll.BDP("912834RB Govt","MATURITY")</f>
        <v>2/15/2047</v>
      </c>
      <c r="F112" t="str">
        <f>_xll.BDP("912834RB Govt","MTY_TYP")</f>
        <v>NORMAL</v>
      </c>
      <c r="G112" t="str">
        <f>_xll.BDP("912834RB Govt","CRNCY")</f>
        <v>USD</v>
      </c>
      <c r="H112" t="str">
        <f>_xll.BDP("912834RB Govt","COUNTRY_FULL_NAME")</f>
        <v>UNITED STATES</v>
      </c>
      <c r="I112" t="str">
        <f>_xll.BDP("912834RB Govt","FIRST_CPN_DT")</f>
        <v>#N/A Field Not Applicable</v>
      </c>
      <c r="J112" t="str">
        <f>_xll.BDP("912834RB Govt","COUPON_FREQUENCY_DESCRIPTION")</f>
        <v>#N/A Field Not Applicable</v>
      </c>
      <c r="K112" t="str">
        <f>_xll.BDP("912834RB Govt","CPN_TYP")</f>
        <v>ZERO</v>
      </c>
      <c r="L112" t="str">
        <f>_xll.BDP("912834RB Govt","ID_ISIN")</f>
        <v>US912834RB63</v>
      </c>
      <c r="N112">
        <v>0</v>
      </c>
      <c r="O112" t="str">
        <f>_xll.BDP("912834RB Govt","ISSUE_DT")</f>
        <v>2/15/2017</v>
      </c>
      <c r="P112" t="str">
        <f>_xll.BDP("912834RB Govt","SECURITY_NAME")</f>
        <v>S 0 02/15/47</v>
      </c>
      <c r="Q112" t="str">
        <f>_xll.BDP("912834RB Govt","DAY_CNT_DES")</f>
        <v>ACT/ACT</v>
      </c>
      <c r="R112">
        <v>100</v>
      </c>
      <c r="S112" t="str">
        <f>_xll.BDP("912834RB Govt","ID_CUSIP")</f>
        <v>912834RB6</v>
      </c>
      <c r="T112" t="str">
        <f>_xll.BDP("912834RB Govt","IDX_RATIO")</f>
        <v>#N/A Field Not Applicable</v>
      </c>
    </row>
    <row r="113" spans="1:20" x14ac:dyDescent="0.25">
      <c r="A113" t="s">
        <v>14</v>
      </c>
      <c r="B113" t="str">
        <f>_xll.BDP("912834UB Govt","TICKER")</f>
        <v>S</v>
      </c>
      <c r="C113">
        <f>_xll.BDP("912834UB Govt","CPN")</f>
        <v>0</v>
      </c>
      <c r="D113">
        <f>_xll.BDP("912834UB Govt","YLD_YTM_BID")</f>
        <v>2.2460000000000147</v>
      </c>
      <c r="E113" t="str">
        <f>_xll.BDP("912834UB Govt","MATURITY")</f>
        <v>11/15/2048</v>
      </c>
      <c r="F113" t="str">
        <f>_xll.BDP("912834UB Govt","MTY_TYP")</f>
        <v>NORMAL</v>
      </c>
      <c r="G113" t="str">
        <f>_xll.BDP("912834UB Govt","CRNCY")</f>
        <v>USD</v>
      </c>
      <c r="H113" t="str">
        <f>_xll.BDP("912834UB Govt","COUNTRY_FULL_NAME")</f>
        <v>UNITED STATES</v>
      </c>
      <c r="I113" t="str">
        <f>_xll.BDP("912834UB Govt","FIRST_CPN_DT")</f>
        <v>#N/A Field Not Applicable</v>
      </c>
      <c r="J113" t="str">
        <f>_xll.BDP("912834UB Govt","COUPON_FREQUENCY_DESCRIPTION")</f>
        <v>#N/A Field Not Applicable</v>
      </c>
      <c r="K113" t="str">
        <f>_xll.BDP("912834UB Govt","CPN_TYP")</f>
        <v>ZERO</v>
      </c>
      <c r="L113" t="str">
        <f>_xll.BDP("912834UB Govt","ID_ISIN")</f>
        <v>US912834UB27</v>
      </c>
      <c r="N113">
        <v>0</v>
      </c>
      <c r="O113" t="str">
        <f>_xll.BDP("912834UB Govt","ISSUE_DT")</f>
        <v>11/15/2018</v>
      </c>
      <c r="P113" t="str">
        <f>_xll.BDP("912834UB Govt","SECURITY_NAME")</f>
        <v>S 0 11/15/48</v>
      </c>
      <c r="Q113" t="str">
        <f>_xll.BDP("912834UB Govt","DAY_CNT_DES")</f>
        <v>ACT/ACT</v>
      </c>
      <c r="R113">
        <v>100</v>
      </c>
      <c r="S113" t="str">
        <f>_xll.BDP("912834UB Govt","ID_CUSIP")</f>
        <v>912834UB2</v>
      </c>
      <c r="T113" t="str">
        <f>_xll.BDP("912834UB Govt","IDX_RATIO")</f>
        <v>#N/A Field Not Applicable</v>
      </c>
    </row>
    <row r="114" spans="1:20" x14ac:dyDescent="0.25">
      <c r="A114" t="s">
        <v>14</v>
      </c>
      <c r="B114" t="str">
        <f>_xll.BDP("9128337R Govt","TICKER")</f>
        <v>S</v>
      </c>
      <c r="C114">
        <f>_xll.BDP("9128337R Govt","CPN")</f>
        <v>0</v>
      </c>
      <c r="D114">
        <f>_xll.BDP("9128337R Govt","YLD_YTM_BID")</f>
        <v>1.7840000000000078</v>
      </c>
      <c r="E114" t="str">
        <f>_xll.BDP("9128337R Govt","MATURITY")</f>
        <v>5/15/2032</v>
      </c>
      <c r="F114" t="str">
        <f>_xll.BDP("9128337R Govt","MTY_TYP")</f>
        <v>NORMAL</v>
      </c>
      <c r="G114" t="str">
        <f>_xll.BDP("9128337R Govt","CRNCY")</f>
        <v>USD</v>
      </c>
      <c r="H114" t="str">
        <f>_xll.BDP("9128337R Govt","COUNTRY_FULL_NAME")</f>
        <v>UNITED STATES</v>
      </c>
      <c r="I114" t="str">
        <f>_xll.BDP("9128337R Govt","FIRST_CPN_DT")</f>
        <v>#N/A Field Not Applicable</v>
      </c>
      <c r="J114" t="str">
        <f>_xll.BDP("9128337R Govt","COUPON_FREQUENCY_DESCRIPTION")</f>
        <v>#N/A Field Not Applicable</v>
      </c>
      <c r="K114" t="str">
        <f>_xll.BDP("9128337R Govt","CPN_TYP")</f>
        <v>ZERO</v>
      </c>
      <c r="L114" t="str">
        <f>_xll.BDP("9128337R Govt","ID_ISIN")</f>
        <v>US9128337R50</v>
      </c>
      <c r="N114">
        <v>0</v>
      </c>
      <c r="O114" t="str">
        <f>_xll.BDP("9128337R Govt","ISSUE_DT")</f>
        <v>8/15/2007</v>
      </c>
      <c r="P114" t="str">
        <f>_xll.BDP("9128337R Govt","SECURITY_NAME")</f>
        <v>S 0 05/15/32</v>
      </c>
      <c r="Q114" t="str">
        <f>_xll.BDP("9128337R Govt","DAY_CNT_DES")</f>
        <v>ACT/ACT</v>
      </c>
      <c r="R114">
        <v>100</v>
      </c>
      <c r="S114" t="str">
        <f>_xll.BDP("9128337R Govt","ID_CUSIP")</f>
        <v>9128337R5</v>
      </c>
      <c r="T114" t="str">
        <f>_xll.BDP("9128337R Govt","IDX_RATIO")</f>
        <v>#N/A Field Not Applicable</v>
      </c>
    </row>
    <row r="115" spans="1:20" x14ac:dyDescent="0.25">
      <c r="A115" t="s">
        <v>14</v>
      </c>
      <c r="B115" t="str">
        <f>_xll.BDP("912834NV Govt","TICKER")</f>
        <v>S</v>
      </c>
      <c r="C115">
        <f>_xll.BDP("912834NV Govt","CPN")</f>
        <v>0</v>
      </c>
      <c r="D115">
        <f>_xll.BDP("912834NV Govt","YLD_YTM_BID")</f>
        <v>2.2470000000000212</v>
      </c>
      <c r="E115" t="str">
        <f>_xll.BDP("912834NV Govt","MATURITY")</f>
        <v>8/15/2044</v>
      </c>
      <c r="F115" t="str">
        <f>_xll.BDP("912834NV Govt","MTY_TYP")</f>
        <v>NORMAL</v>
      </c>
      <c r="G115" t="str">
        <f>_xll.BDP("912834NV Govt","CRNCY")</f>
        <v>USD</v>
      </c>
      <c r="H115" t="str">
        <f>_xll.BDP("912834NV Govt","COUNTRY_FULL_NAME")</f>
        <v>UNITED STATES</v>
      </c>
      <c r="I115" t="str">
        <f>_xll.BDP("912834NV Govt","FIRST_CPN_DT")</f>
        <v>#N/A Field Not Applicable</v>
      </c>
      <c r="J115" t="str">
        <f>_xll.BDP("912834NV Govt","COUPON_FREQUENCY_DESCRIPTION")</f>
        <v>#N/A Field Not Applicable</v>
      </c>
      <c r="K115" t="str">
        <f>_xll.BDP("912834NV Govt","CPN_TYP")</f>
        <v>ZERO</v>
      </c>
      <c r="L115" t="str">
        <f>_xll.BDP("912834NV Govt","ID_ISIN")</f>
        <v>US912834NV63</v>
      </c>
      <c r="N115">
        <v>0</v>
      </c>
      <c r="O115" t="str">
        <f>_xll.BDP("912834NV Govt","ISSUE_DT")</f>
        <v>8/15/2014</v>
      </c>
      <c r="P115" t="str">
        <f>_xll.BDP("912834NV Govt","SECURITY_NAME")</f>
        <v>S 0 08/15/44</v>
      </c>
      <c r="Q115" t="str">
        <f>_xll.BDP("912834NV Govt","DAY_CNT_DES")</f>
        <v>ACT/ACT</v>
      </c>
      <c r="R115">
        <v>100</v>
      </c>
      <c r="S115" t="str">
        <f>_xll.BDP("912834NV Govt","ID_CUSIP")</f>
        <v>912834NV6</v>
      </c>
      <c r="T115" t="str">
        <f>_xll.BDP("912834NV Govt","IDX_RATIO")</f>
        <v>#N/A Field Not Applicable</v>
      </c>
    </row>
    <row r="116" spans="1:20" x14ac:dyDescent="0.25">
      <c r="A116" t="s">
        <v>14</v>
      </c>
      <c r="B116" t="str">
        <f>_xll.BDP("912834VE Govt","TICKER")</f>
        <v>S</v>
      </c>
      <c r="C116">
        <f>_xll.BDP("912834VE Govt","CPN")</f>
        <v>0</v>
      </c>
      <c r="D116">
        <f>_xll.BDP("912834VE Govt","YLD_YTM_BID")</f>
        <v>2.2219999999999906</v>
      </c>
      <c r="E116" t="str">
        <f>_xll.BDP("912834VE Govt","MATURITY")</f>
        <v>11/15/2049</v>
      </c>
      <c r="F116" t="str">
        <f>_xll.BDP("912834VE Govt","MTY_TYP")</f>
        <v>NORMAL</v>
      </c>
      <c r="G116" t="str">
        <f>_xll.BDP("912834VE Govt","CRNCY")</f>
        <v>USD</v>
      </c>
      <c r="H116" t="str">
        <f>_xll.BDP("912834VE Govt","COUNTRY_FULL_NAME")</f>
        <v>UNITED STATES</v>
      </c>
      <c r="I116" t="str">
        <f>_xll.BDP("912834VE Govt","FIRST_CPN_DT")</f>
        <v>#N/A Field Not Applicable</v>
      </c>
      <c r="J116" t="str">
        <f>_xll.BDP("912834VE Govt","COUPON_FREQUENCY_DESCRIPTION")</f>
        <v>#N/A Field Not Applicable</v>
      </c>
      <c r="K116" t="str">
        <f>_xll.BDP("912834VE Govt","CPN_TYP")</f>
        <v>ZERO</v>
      </c>
      <c r="L116" t="str">
        <f>_xll.BDP("912834VE Govt","ID_ISIN")</f>
        <v>US912834VE56</v>
      </c>
      <c r="N116">
        <v>0</v>
      </c>
      <c r="O116" t="str">
        <f>_xll.BDP("912834VE Govt","ISSUE_DT")</f>
        <v>11/15/2019</v>
      </c>
      <c r="P116" t="str">
        <f>_xll.BDP("912834VE Govt","SECURITY_NAME")</f>
        <v>S 0 11/15/49</v>
      </c>
      <c r="Q116" t="str">
        <f>_xll.BDP("912834VE Govt","DAY_CNT_DES")</f>
        <v>ACT/ACT</v>
      </c>
      <c r="R116">
        <v>100</v>
      </c>
      <c r="S116" t="str">
        <f>_xll.BDP("912834VE Govt","ID_CUSIP")</f>
        <v>912834VE5</v>
      </c>
      <c r="T116" t="str">
        <f>_xll.BDP("912834VE Govt","IDX_RATIO")</f>
        <v>#N/A Field Not Applicable</v>
      </c>
    </row>
    <row r="117" spans="1:20" x14ac:dyDescent="0.25">
      <c r="A117" t="s">
        <v>14</v>
      </c>
      <c r="B117" t="str">
        <f>_xll.BDP("912834TP Govt","TICKER")</f>
        <v>S</v>
      </c>
      <c r="C117">
        <f>_xll.BDP("912834TP Govt","CPN")</f>
        <v>0</v>
      </c>
      <c r="D117">
        <f>_xll.BDP("912834TP Govt","YLD_YTM_BID")</f>
        <v>2.2600000000000176</v>
      </c>
      <c r="E117" t="str">
        <f>_xll.BDP("912834TP Govt","MATURITY")</f>
        <v>5/15/2048</v>
      </c>
      <c r="F117" t="str">
        <f>_xll.BDP("912834TP Govt","MTY_TYP")</f>
        <v>NORMAL</v>
      </c>
      <c r="G117" t="str">
        <f>_xll.BDP("912834TP Govt","CRNCY")</f>
        <v>USD</v>
      </c>
      <c r="H117" t="str">
        <f>_xll.BDP("912834TP Govt","COUNTRY_FULL_NAME")</f>
        <v>UNITED STATES</v>
      </c>
      <c r="I117" t="str">
        <f>_xll.BDP("912834TP Govt","FIRST_CPN_DT")</f>
        <v>#N/A Field Not Applicable</v>
      </c>
      <c r="J117" t="str">
        <f>_xll.BDP("912834TP Govt","COUPON_FREQUENCY_DESCRIPTION")</f>
        <v>#N/A Field Not Applicable</v>
      </c>
      <c r="K117" t="str">
        <f>_xll.BDP("912834TP Govt","CPN_TYP")</f>
        <v>ZERO</v>
      </c>
      <c r="L117" t="str">
        <f>_xll.BDP("912834TP Govt","ID_ISIN")</f>
        <v>US912834TP32</v>
      </c>
      <c r="N117">
        <v>0</v>
      </c>
      <c r="O117" t="str">
        <f>_xll.BDP("912834TP Govt","ISSUE_DT")</f>
        <v>5/15/2018</v>
      </c>
      <c r="P117" t="str">
        <f>_xll.BDP("912834TP Govt","SECURITY_NAME")</f>
        <v>S 0 05/15/48</v>
      </c>
      <c r="Q117" t="str">
        <f>_xll.BDP("912834TP Govt","DAY_CNT_DES")</f>
        <v>ACT/ACT</v>
      </c>
      <c r="R117">
        <v>100</v>
      </c>
      <c r="S117" t="str">
        <f>_xll.BDP("912834TP Govt","ID_CUSIP")</f>
        <v>912834TP3</v>
      </c>
      <c r="T117" t="str">
        <f>_xll.BDP("912834TP Govt","IDX_RATIO")</f>
        <v>#N/A Field Not Applicable</v>
      </c>
    </row>
    <row r="118" spans="1:20" x14ac:dyDescent="0.25">
      <c r="A118" t="s">
        <v>14</v>
      </c>
      <c r="B118" t="str">
        <f>_xll.BDP("912834AE Govt","TICKER")</f>
        <v>S</v>
      </c>
      <c r="C118">
        <f>_xll.BDP("912834AE Govt","CPN")</f>
        <v>0</v>
      </c>
      <c r="D118">
        <f>_xll.BDP("912834AE Govt","YLD_YTM_BID")</f>
        <v>2.0820000000000061</v>
      </c>
      <c r="E118" t="str">
        <f>_xll.BDP("912834AE Govt","MATURITY")</f>
        <v>5/15/2038</v>
      </c>
      <c r="F118" t="str">
        <f>_xll.BDP("912834AE Govt","MTY_TYP")</f>
        <v>NORMAL</v>
      </c>
      <c r="G118" t="str">
        <f>_xll.BDP("912834AE Govt","CRNCY")</f>
        <v>USD</v>
      </c>
      <c r="H118" t="str">
        <f>_xll.BDP("912834AE Govt","COUNTRY_FULL_NAME")</f>
        <v>UNITED STATES</v>
      </c>
      <c r="I118" t="str">
        <f>_xll.BDP("912834AE Govt","FIRST_CPN_DT")</f>
        <v>#N/A Field Not Applicable</v>
      </c>
      <c r="J118" t="str">
        <f>_xll.BDP("912834AE Govt","COUPON_FREQUENCY_DESCRIPTION")</f>
        <v>#N/A Field Not Applicable</v>
      </c>
      <c r="K118" t="str">
        <f>_xll.BDP("912834AE Govt","CPN_TYP")</f>
        <v>ZERO</v>
      </c>
      <c r="L118" t="str">
        <f>_xll.BDP("912834AE Govt","ID_ISIN")</f>
        <v>US912834AE85</v>
      </c>
      <c r="N118">
        <v>0</v>
      </c>
      <c r="O118" t="str">
        <f>_xll.BDP("912834AE Govt","ISSUE_DT")</f>
        <v>8/15/2008</v>
      </c>
      <c r="P118" t="str">
        <f>_xll.BDP("912834AE Govt","SECURITY_NAME")</f>
        <v>S 0 05/15/38</v>
      </c>
      <c r="Q118" t="str">
        <f>_xll.BDP("912834AE Govt","DAY_CNT_DES")</f>
        <v>ACT/ACT</v>
      </c>
      <c r="R118">
        <v>100</v>
      </c>
      <c r="S118" t="str">
        <f>_xll.BDP("912834AE Govt","ID_CUSIP")</f>
        <v>912834AE8</v>
      </c>
      <c r="T118" t="str">
        <f>_xll.BDP("912834AE Govt","IDX_RATIO")</f>
        <v>#N/A Field Not Applicable</v>
      </c>
    </row>
    <row r="119" spans="1:20" x14ac:dyDescent="0.25">
      <c r="A119" t="s">
        <v>14</v>
      </c>
      <c r="B119" t="str">
        <f>_xll.BDP("912834A3 Govt","TICKER")</f>
        <v>S</v>
      </c>
      <c r="C119">
        <f>_xll.BDP("912834A3 Govt","CPN")</f>
        <v>0</v>
      </c>
      <c r="D119">
        <f>_xll.BDP("912834A3 Govt","YLD_YTM_BID")</f>
        <v>1.4250000000000096</v>
      </c>
      <c r="E119" t="str">
        <f>_xll.BDP("912834A3 Govt","MATURITY")</f>
        <v>9/30/2028</v>
      </c>
      <c r="F119" t="str">
        <f>_xll.BDP("912834A3 Govt","MTY_TYP")</f>
        <v>NORMAL</v>
      </c>
      <c r="G119" t="str">
        <f>_xll.BDP("912834A3 Govt","CRNCY")</f>
        <v>USD</v>
      </c>
      <c r="H119" t="str">
        <f>_xll.BDP("912834A3 Govt","COUNTRY_FULL_NAME")</f>
        <v>UNITED STATES</v>
      </c>
      <c r="I119" t="str">
        <f>_xll.BDP("912834A3 Govt","FIRST_CPN_DT")</f>
        <v>#N/A Field Not Applicable</v>
      </c>
      <c r="J119" t="str">
        <f>_xll.BDP("912834A3 Govt","COUPON_FREQUENCY_DESCRIPTION")</f>
        <v>#N/A Field Not Applicable</v>
      </c>
      <c r="K119" t="str">
        <f>_xll.BDP("912834A3 Govt","CPN_TYP")</f>
        <v>ZERO</v>
      </c>
      <c r="L119" t="str">
        <f>_xll.BDP("912834A3 Govt","ID_ISIN")</f>
        <v>US912834A329</v>
      </c>
      <c r="N119">
        <v>0</v>
      </c>
      <c r="O119" t="str">
        <f>_xll.BDP("912834A3 Govt","ISSUE_DT")</f>
        <v>9/30/2021</v>
      </c>
      <c r="P119" t="str">
        <f>_xll.BDP("912834A3 Govt","SECURITY_NAME")</f>
        <v>S 0 09/30/28</v>
      </c>
      <c r="Q119" t="str">
        <f>_xll.BDP("912834A3 Govt","DAY_CNT_DES")</f>
        <v>ACT/ACT</v>
      </c>
      <c r="R119">
        <v>100</v>
      </c>
      <c r="S119" t="str">
        <f>_xll.BDP("912834A3 Govt","ID_CUSIP")</f>
        <v>912834A32</v>
      </c>
      <c r="T119" t="str">
        <f>_xll.BDP("912834A3 Govt","IDX_RATIO")</f>
        <v>#N/A Field Not Applicable</v>
      </c>
    </row>
    <row r="120" spans="1:20" x14ac:dyDescent="0.25">
      <c r="A120" t="s">
        <v>14</v>
      </c>
      <c r="B120" t="str">
        <f>_xll.BDP("912834FB Govt","TICKER")</f>
        <v>S</v>
      </c>
      <c r="C120">
        <f>_xll.BDP("912834FB Govt","CPN")</f>
        <v>0</v>
      </c>
      <c r="D120">
        <f>_xll.BDP("912834FB Govt","YLD_YTM_BID")</f>
        <v>2.1409999999999929</v>
      </c>
      <c r="E120" t="str">
        <f>_xll.BDP("912834FB Govt","MATURITY")</f>
        <v>2/15/2040</v>
      </c>
      <c r="F120" t="str">
        <f>_xll.BDP("912834FB Govt","MTY_TYP")</f>
        <v>NORMAL</v>
      </c>
      <c r="G120" t="str">
        <f>_xll.BDP("912834FB Govt","CRNCY")</f>
        <v>USD</v>
      </c>
      <c r="H120" t="str">
        <f>_xll.BDP("912834FB Govt","COUNTRY_FULL_NAME")</f>
        <v>UNITED STATES</v>
      </c>
      <c r="I120" t="str">
        <f>_xll.BDP("912834FB Govt","FIRST_CPN_DT")</f>
        <v>#N/A Field Not Applicable</v>
      </c>
      <c r="J120" t="str">
        <f>_xll.BDP("912834FB Govt","COUPON_FREQUENCY_DESCRIPTION")</f>
        <v>#N/A Field Not Applicable</v>
      </c>
      <c r="K120" t="str">
        <f>_xll.BDP("912834FB Govt","CPN_TYP")</f>
        <v>ZERO</v>
      </c>
      <c r="L120" t="str">
        <f>_xll.BDP("912834FB Govt","ID_ISIN")</f>
        <v>US912834FB91</v>
      </c>
      <c r="N120">
        <v>0</v>
      </c>
      <c r="O120" t="str">
        <f>_xll.BDP("912834FB Govt","ISSUE_DT")</f>
        <v>2/16/2010</v>
      </c>
      <c r="P120" t="str">
        <f>_xll.BDP("912834FB Govt","SECURITY_NAME")</f>
        <v>S 0 02/15/40</v>
      </c>
      <c r="Q120" t="str">
        <f>_xll.BDP("912834FB Govt","DAY_CNT_DES")</f>
        <v>ACT/ACT</v>
      </c>
      <c r="R120">
        <v>100</v>
      </c>
      <c r="S120" t="str">
        <f>_xll.BDP("912834FB Govt","ID_CUSIP")</f>
        <v>912834FB9</v>
      </c>
      <c r="T120" t="str">
        <f>_xll.BDP("912834FB Govt","IDX_RATIO")</f>
        <v>#N/A Field Not Applicable</v>
      </c>
    </row>
    <row r="121" spans="1:20" x14ac:dyDescent="0.25">
      <c r="A121" t="s">
        <v>14</v>
      </c>
      <c r="B121" t="str">
        <f>_xll.BDP("9128337T Govt","TICKER")</f>
        <v>S</v>
      </c>
      <c r="C121">
        <f>_xll.BDP("9128337T Govt","CPN")</f>
        <v>0</v>
      </c>
      <c r="D121">
        <f>_xll.BDP("9128337T Govt","YLD_YTM_BID")</f>
        <v>1.8450000000000077</v>
      </c>
      <c r="E121" t="str">
        <f>_xll.BDP("9128337T Govt","MATURITY")</f>
        <v>5/15/2033</v>
      </c>
      <c r="F121" t="str">
        <f>_xll.BDP("9128337T Govt","MTY_TYP")</f>
        <v>NORMAL</v>
      </c>
      <c r="G121" t="str">
        <f>_xll.BDP("9128337T Govt","CRNCY")</f>
        <v>USD</v>
      </c>
      <c r="H121" t="str">
        <f>_xll.BDP("9128337T Govt","COUNTRY_FULL_NAME")</f>
        <v>UNITED STATES</v>
      </c>
      <c r="I121" t="str">
        <f>_xll.BDP("9128337T Govt","FIRST_CPN_DT")</f>
        <v>#N/A Field Not Applicable</v>
      </c>
      <c r="J121" t="str">
        <f>_xll.BDP("9128337T Govt","COUPON_FREQUENCY_DESCRIPTION")</f>
        <v>#N/A Field Not Applicable</v>
      </c>
      <c r="K121" t="str">
        <f>_xll.BDP("9128337T Govt","CPN_TYP")</f>
        <v>ZERO</v>
      </c>
      <c r="L121" t="str">
        <f>_xll.BDP("9128337T Govt","ID_ISIN")</f>
        <v>US9128337T17</v>
      </c>
      <c r="N121">
        <v>0</v>
      </c>
      <c r="O121" t="str">
        <f>_xll.BDP("9128337T Govt","ISSUE_DT")</f>
        <v>8/15/2007</v>
      </c>
      <c r="P121" t="str">
        <f>_xll.BDP("9128337T Govt","SECURITY_NAME")</f>
        <v>S 0 05/15/33</v>
      </c>
      <c r="Q121" t="str">
        <f>_xll.BDP("9128337T Govt","DAY_CNT_DES")</f>
        <v>ACT/ACT</v>
      </c>
      <c r="R121">
        <v>100</v>
      </c>
      <c r="S121" t="str">
        <f>_xll.BDP("9128337T Govt","ID_CUSIP")</f>
        <v>9128337T1</v>
      </c>
      <c r="T121" t="str">
        <f>_xll.BDP("9128337T Govt","IDX_RATIO")</f>
        <v>#N/A Field Not Applicable</v>
      </c>
    </row>
    <row r="122" spans="1:20" x14ac:dyDescent="0.25">
      <c r="A122" t="s">
        <v>14</v>
      </c>
      <c r="B122" t="str">
        <f>_xll.BDP("912834A2 Govt","TICKER")</f>
        <v>S</v>
      </c>
      <c r="C122">
        <f>_xll.BDP("912834A2 Govt","CPN")</f>
        <v>0</v>
      </c>
      <c r="D122">
        <f>_xll.BDP("912834A2 Govt","YLD_YTM_BID")</f>
        <v>0.57399999999998563</v>
      </c>
      <c r="E122" t="str">
        <f>_xll.BDP("912834A2 Govt","MATURITY")</f>
        <v>9/15/2024</v>
      </c>
      <c r="F122" t="str">
        <f>_xll.BDP("912834A2 Govt","MTY_TYP")</f>
        <v>NORMAL</v>
      </c>
      <c r="G122" t="str">
        <f>_xll.BDP("912834A2 Govt","CRNCY")</f>
        <v>USD</v>
      </c>
      <c r="H122" t="str">
        <f>_xll.BDP("912834A2 Govt","COUNTRY_FULL_NAME")</f>
        <v>UNITED STATES</v>
      </c>
      <c r="I122" t="str">
        <f>_xll.BDP("912834A2 Govt","FIRST_CPN_DT")</f>
        <v>#N/A Field Not Applicable</v>
      </c>
      <c r="J122" t="str">
        <f>_xll.BDP("912834A2 Govt","COUPON_FREQUENCY_DESCRIPTION")</f>
        <v>#N/A Field Not Applicable</v>
      </c>
      <c r="K122" t="str">
        <f>_xll.BDP("912834A2 Govt","CPN_TYP")</f>
        <v>ZERO</v>
      </c>
      <c r="L122" t="str">
        <f>_xll.BDP("912834A2 Govt","ID_ISIN")</f>
        <v>US912834A246</v>
      </c>
      <c r="N122">
        <v>0</v>
      </c>
      <c r="O122" t="str">
        <f>_xll.BDP("912834A2 Govt","ISSUE_DT")</f>
        <v>9/15/2021</v>
      </c>
      <c r="P122" t="str">
        <f>_xll.BDP("912834A2 Govt","SECURITY_NAME")</f>
        <v>S 0 09/15/24</v>
      </c>
      <c r="Q122" t="str">
        <f>_xll.BDP("912834A2 Govt","DAY_CNT_DES")</f>
        <v>ACT/ACT</v>
      </c>
      <c r="R122">
        <v>100</v>
      </c>
      <c r="S122" t="str">
        <f>_xll.BDP("912834A2 Govt","ID_CUSIP")</f>
        <v>912834A24</v>
      </c>
      <c r="T122" t="str">
        <f>_xll.BDP("912834A2 Govt","IDX_RATIO")</f>
        <v>#N/A Field Not Applicable</v>
      </c>
    </row>
    <row r="123" spans="1:20" x14ac:dyDescent="0.25">
      <c r="A123" t="s">
        <v>14</v>
      </c>
      <c r="B123" t="str">
        <f>_xll.BDP("912834PA Govt","TICKER")</f>
        <v>S</v>
      </c>
      <c r="C123">
        <f>_xll.BDP("912834PA Govt","CPN")</f>
        <v>0</v>
      </c>
      <c r="D123">
        <f>_xll.BDP("912834PA Govt","YLD_YTM_BID")</f>
        <v>2.8000000000076852E-2</v>
      </c>
      <c r="E123" t="str">
        <f>_xll.BDP("912834PA Govt","MATURITY")</f>
        <v>10/31/2021</v>
      </c>
      <c r="F123" t="str">
        <f>_xll.BDP("912834PA Govt","MTY_TYP")</f>
        <v>NORMAL</v>
      </c>
      <c r="G123" t="str">
        <f>_xll.BDP("912834PA Govt","CRNCY")</f>
        <v>USD</v>
      </c>
      <c r="H123" t="str">
        <f>_xll.BDP("912834PA Govt","COUNTRY_FULL_NAME")</f>
        <v>UNITED STATES</v>
      </c>
      <c r="I123" t="str">
        <f>_xll.BDP("912834PA Govt","FIRST_CPN_DT")</f>
        <v>#N/A Field Not Applicable</v>
      </c>
      <c r="J123" t="str">
        <f>_xll.BDP("912834PA Govt","COUPON_FREQUENCY_DESCRIPTION")</f>
        <v>#N/A Field Not Applicable</v>
      </c>
      <c r="K123" t="str">
        <f>_xll.BDP("912834PA Govt","CPN_TYP")</f>
        <v>ZERO</v>
      </c>
      <c r="L123" t="str">
        <f>_xll.BDP("912834PA Govt","ID_ISIN")</f>
        <v>US912834PA09</v>
      </c>
      <c r="N123">
        <v>0</v>
      </c>
      <c r="O123" t="str">
        <f>_xll.BDP("912834PA Govt","ISSUE_DT")</f>
        <v>10/31/2014</v>
      </c>
      <c r="P123" t="str">
        <f>_xll.BDP("912834PA Govt","SECURITY_NAME")</f>
        <v>S 0 10/31/21</v>
      </c>
      <c r="Q123" t="str">
        <f>_xll.BDP("912834PA Govt","DAY_CNT_DES")</f>
        <v>ACT/ACT</v>
      </c>
      <c r="R123">
        <v>100</v>
      </c>
      <c r="S123" t="str">
        <f>_xll.BDP("912834PA Govt","ID_CUSIP")</f>
        <v>912834PA0</v>
      </c>
      <c r="T123" t="str">
        <f>_xll.BDP("912834PA Govt","IDX_RATIO")</f>
        <v>#N/A Field Not Applicable</v>
      </c>
    </row>
    <row r="124" spans="1:20" x14ac:dyDescent="0.25">
      <c r="A124" t="s">
        <v>14</v>
      </c>
      <c r="B124" t="str">
        <f>_xll.BDP("912834RK Govt","TICKER")</f>
        <v>S</v>
      </c>
      <c r="C124">
        <f>_xll.BDP("912834RK Govt","CPN")</f>
        <v>0</v>
      </c>
      <c r="D124">
        <f>_xll.BDP("912834RK Govt","YLD_YTM_BID")</f>
        <v>2.2609999999999797</v>
      </c>
      <c r="E124" t="str">
        <f>_xll.BDP("912834RK Govt","MATURITY")</f>
        <v>5/15/2047</v>
      </c>
      <c r="F124" t="str">
        <f>_xll.BDP("912834RK Govt","MTY_TYP")</f>
        <v>NORMAL</v>
      </c>
      <c r="G124" t="str">
        <f>_xll.BDP("912834RK Govt","CRNCY")</f>
        <v>USD</v>
      </c>
      <c r="H124" t="str">
        <f>_xll.BDP("912834RK Govt","COUNTRY_FULL_NAME")</f>
        <v>UNITED STATES</v>
      </c>
      <c r="I124" t="str">
        <f>_xll.BDP("912834RK Govt","FIRST_CPN_DT")</f>
        <v>#N/A Field Not Applicable</v>
      </c>
      <c r="J124" t="str">
        <f>_xll.BDP("912834RK Govt","COUPON_FREQUENCY_DESCRIPTION")</f>
        <v>#N/A Field Not Applicable</v>
      </c>
      <c r="K124" t="str">
        <f>_xll.BDP("912834RK Govt","CPN_TYP")</f>
        <v>ZERO</v>
      </c>
      <c r="L124" t="str">
        <f>_xll.BDP("912834RK Govt","ID_ISIN")</f>
        <v>US912834RK62</v>
      </c>
      <c r="N124">
        <v>0</v>
      </c>
      <c r="O124" t="str">
        <f>_xll.BDP("912834RK Govt","ISSUE_DT")</f>
        <v>5/15/2017</v>
      </c>
      <c r="P124" t="str">
        <f>_xll.BDP("912834RK Govt","SECURITY_NAME")</f>
        <v>S 0 05/15/47</v>
      </c>
      <c r="Q124" t="str">
        <f>_xll.BDP("912834RK Govt","DAY_CNT_DES")</f>
        <v>ACT/ACT</v>
      </c>
      <c r="R124">
        <v>100</v>
      </c>
      <c r="S124" t="str">
        <f>_xll.BDP("912834RK Govt","ID_CUSIP")</f>
        <v>912834RK6</v>
      </c>
      <c r="T124" t="str">
        <f>_xll.BDP("912834RK Govt","IDX_RATIO")</f>
        <v>#N/A Field Not Applicable</v>
      </c>
    </row>
    <row r="125" spans="1:20" x14ac:dyDescent="0.25">
      <c r="A125" t="s">
        <v>14</v>
      </c>
      <c r="B125" t="str">
        <f>_xll.BDP("912834AU Govt","TICKER")</f>
        <v>S</v>
      </c>
      <c r="C125">
        <f>_xll.BDP("912834AU Govt","CPN")</f>
        <v>0</v>
      </c>
      <c r="D125">
        <f>_xll.BDP("912834AU Govt","YLD_YTM_BID")</f>
        <v>2.1180000000000199</v>
      </c>
      <c r="E125" t="str">
        <f>_xll.BDP("912834AU Govt","MATURITY")</f>
        <v>2/15/2039</v>
      </c>
      <c r="F125" t="str">
        <f>_xll.BDP("912834AU Govt","MTY_TYP")</f>
        <v>NORMAL</v>
      </c>
      <c r="G125" t="str">
        <f>_xll.BDP("912834AU Govt","CRNCY")</f>
        <v>USD</v>
      </c>
      <c r="H125" t="str">
        <f>_xll.BDP("912834AU Govt","COUNTRY_FULL_NAME")</f>
        <v>UNITED STATES</v>
      </c>
      <c r="I125" t="str">
        <f>_xll.BDP("912834AU Govt","FIRST_CPN_DT")</f>
        <v>#N/A Field Not Applicable</v>
      </c>
      <c r="J125" t="str">
        <f>_xll.BDP("912834AU Govt","COUPON_FREQUENCY_DESCRIPTION")</f>
        <v>#N/A Field Not Applicable</v>
      </c>
      <c r="K125" t="str">
        <f>_xll.BDP("912834AU Govt","CPN_TYP")</f>
        <v>ZERO</v>
      </c>
      <c r="L125" t="str">
        <f>_xll.BDP("912834AU Govt","ID_ISIN")</f>
        <v>US912834AU28</v>
      </c>
      <c r="N125">
        <v>0</v>
      </c>
      <c r="O125" t="str">
        <f>_xll.BDP("912834AU Govt","ISSUE_DT")</f>
        <v>2/17/2009</v>
      </c>
      <c r="P125" t="str">
        <f>_xll.BDP("912834AU Govt","SECURITY_NAME")</f>
        <v>S 0 02/15/39</v>
      </c>
      <c r="Q125" t="str">
        <f>_xll.BDP("912834AU Govt","DAY_CNT_DES")</f>
        <v>ACT/ACT</v>
      </c>
      <c r="R125">
        <v>100</v>
      </c>
      <c r="S125" t="str">
        <f>_xll.BDP("912834AU Govt","ID_CUSIP")</f>
        <v>912834AU2</v>
      </c>
      <c r="T125" t="str">
        <f>_xll.BDP("912834AU Govt","IDX_RATIO")</f>
        <v>#N/A Field Not Applicable</v>
      </c>
    </row>
    <row r="126" spans="1:20" x14ac:dyDescent="0.25">
      <c r="A126" t="s">
        <v>14</v>
      </c>
      <c r="B126" t="str">
        <f>_xll.BDP("912834PZ Govt","TICKER")</f>
        <v>S</v>
      </c>
      <c r="C126">
        <f>_xll.BDP("912834PZ Govt","CPN")</f>
        <v>0</v>
      </c>
      <c r="D126">
        <f>_xll.BDP("912834PZ Govt","YLD_YTM_BID")</f>
        <v>2.2600000000000176</v>
      </c>
      <c r="E126" t="str">
        <f>_xll.BDP("912834PZ Govt","MATURITY")</f>
        <v>2/15/2046</v>
      </c>
      <c r="F126" t="str">
        <f>_xll.BDP("912834PZ Govt","MTY_TYP")</f>
        <v>NORMAL</v>
      </c>
      <c r="G126" t="str">
        <f>_xll.BDP("912834PZ Govt","CRNCY")</f>
        <v>USD</v>
      </c>
      <c r="H126" t="str">
        <f>_xll.BDP("912834PZ Govt","COUNTRY_FULL_NAME")</f>
        <v>UNITED STATES</v>
      </c>
      <c r="I126" t="str">
        <f>_xll.BDP("912834PZ Govt","FIRST_CPN_DT")</f>
        <v>#N/A Field Not Applicable</v>
      </c>
      <c r="J126" t="str">
        <f>_xll.BDP("912834PZ Govt","COUPON_FREQUENCY_DESCRIPTION")</f>
        <v>#N/A Field Not Applicable</v>
      </c>
      <c r="K126" t="str">
        <f>_xll.BDP("912834PZ Govt","CPN_TYP")</f>
        <v>ZERO</v>
      </c>
      <c r="L126" t="str">
        <f>_xll.BDP("912834PZ Govt","ID_ISIN")</f>
        <v>US912834PZ59</v>
      </c>
      <c r="N126">
        <v>0</v>
      </c>
      <c r="O126" t="str">
        <f>_xll.BDP("912834PZ Govt","ISSUE_DT")</f>
        <v>2/16/2016</v>
      </c>
      <c r="P126" t="str">
        <f>_xll.BDP("912834PZ Govt","SECURITY_NAME")</f>
        <v>S 0 02/15/46</v>
      </c>
      <c r="Q126" t="str">
        <f>_xll.BDP("912834PZ Govt","DAY_CNT_DES")</f>
        <v>ACT/ACT</v>
      </c>
      <c r="R126">
        <v>100</v>
      </c>
      <c r="S126" t="str">
        <f>_xll.BDP("912834PZ Govt","ID_CUSIP")</f>
        <v>912834PZ5</v>
      </c>
      <c r="T126" t="str">
        <f>_xll.BDP("912834PZ Govt","IDX_RATIO")</f>
        <v>#N/A Field Not Applicable</v>
      </c>
    </row>
    <row r="127" spans="1:20" x14ac:dyDescent="0.25">
      <c r="A127" t="s">
        <v>14</v>
      </c>
      <c r="B127" t="str">
        <f>_xll.BDP("912834DV Govt","TICKER")</f>
        <v>S</v>
      </c>
      <c r="C127">
        <f>_xll.BDP("912834DV Govt","CPN")</f>
        <v>0</v>
      </c>
      <c r="D127">
        <f>_xll.BDP("912834DV Govt","YLD_YTM_BID")</f>
        <v>2.1259999999999835</v>
      </c>
      <c r="E127" t="str">
        <f>_xll.BDP("912834DV Govt","MATURITY")</f>
        <v>5/15/2039</v>
      </c>
      <c r="F127" t="str">
        <f>_xll.BDP("912834DV Govt","MTY_TYP")</f>
        <v>NORMAL</v>
      </c>
      <c r="G127" t="str">
        <f>_xll.BDP("912834DV Govt","CRNCY")</f>
        <v>USD</v>
      </c>
      <c r="H127" t="str">
        <f>_xll.BDP("912834DV Govt","COUNTRY_FULL_NAME")</f>
        <v>UNITED STATES</v>
      </c>
      <c r="I127" t="str">
        <f>_xll.BDP("912834DV Govt","FIRST_CPN_DT")</f>
        <v>#N/A Field Not Applicable</v>
      </c>
      <c r="J127" t="str">
        <f>_xll.BDP("912834DV Govt","COUPON_FREQUENCY_DESCRIPTION")</f>
        <v>#N/A Field Not Applicable</v>
      </c>
      <c r="K127" t="str">
        <f>_xll.BDP("912834DV Govt","CPN_TYP")</f>
        <v>ZERO</v>
      </c>
      <c r="L127" t="str">
        <f>_xll.BDP("912834DV Govt","ID_ISIN")</f>
        <v>US912834DV73</v>
      </c>
      <c r="N127">
        <v>0</v>
      </c>
      <c r="O127" t="str">
        <f>_xll.BDP("912834DV Govt","ISSUE_DT")</f>
        <v>5/15/2009</v>
      </c>
      <c r="P127" t="str">
        <f>_xll.BDP("912834DV Govt","SECURITY_NAME")</f>
        <v>S 0 05/15/39</v>
      </c>
      <c r="Q127" t="str">
        <f>_xll.BDP("912834DV Govt","DAY_CNT_DES")</f>
        <v>ACT/ACT</v>
      </c>
      <c r="R127">
        <v>100</v>
      </c>
      <c r="S127" t="str">
        <f>_xll.BDP("912834DV Govt","ID_CUSIP")</f>
        <v>912834DV7</v>
      </c>
      <c r="T127" t="str">
        <f>_xll.BDP("912834DV Govt","IDX_RATIO")</f>
        <v>#N/A Field Not Applicable</v>
      </c>
    </row>
    <row r="128" spans="1:20" x14ac:dyDescent="0.25">
      <c r="A128" t="s">
        <v>14</v>
      </c>
      <c r="B128" t="str">
        <f>_xll.BDP("912834PL Govt","TICKER")</f>
        <v>S</v>
      </c>
      <c r="C128">
        <f>_xll.BDP("912834PL Govt","CPN")</f>
        <v>0</v>
      </c>
      <c r="D128">
        <f>_xll.BDP("912834PL Govt","YLD_YTM_BID")</f>
        <v>5.7000000000018147E-2</v>
      </c>
      <c r="E128" t="str">
        <f>_xll.BDP("912834PL Govt","MATURITY")</f>
        <v>7/31/2022</v>
      </c>
      <c r="F128" t="str">
        <f>_xll.BDP("912834PL Govt","MTY_TYP")</f>
        <v>NORMAL</v>
      </c>
      <c r="G128" t="str">
        <f>_xll.BDP("912834PL Govt","CRNCY")</f>
        <v>USD</v>
      </c>
      <c r="H128" t="str">
        <f>_xll.BDP("912834PL Govt","COUNTRY_FULL_NAME")</f>
        <v>UNITED STATES</v>
      </c>
      <c r="I128" t="str">
        <f>_xll.BDP("912834PL Govt","FIRST_CPN_DT")</f>
        <v>#N/A Field Not Applicable</v>
      </c>
      <c r="J128" t="str">
        <f>_xll.BDP("912834PL Govt","COUPON_FREQUENCY_DESCRIPTION")</f>
        <v>#N/A Field Not Applicable</v>
      </c>
      <c r="K128" t="str">
        <f>_xll.BDP("912834PL Govt","CPN_TYP")</f>
        <v>ZERO</v>
      </c>
      <c r="L128" t="str">
        <f>_xll.BDP("912834PL Govt","ID_ISIN")</f>
        <v>US912834PL63</v>
      </c>
      <c r="N128">
        <v>0</v>
      </c>
      <c r="O128" t="str">
        <f>_xll.BDP("912834PL Govt","ISSUE_DT")</f>
        <v>7/31/2015</v>
      </c>
      <c r="P128" t="str">
        <f>_xll.BDP("912834PL Govt","SECURITY_NAME")</f>
        <v>S 0 07/31/22</v>
      </c>
      <c r="Q128" t="str">
        <f>_xll.BDP("912834PL Govt","DAY_CNT_DES")</f>
        <v>ACT/ACT</v>
      </c>
      <c r="R128">
        <v>100</v>
      </c>
      <c r="S128" t="str">
        <f>_xll.BDP("912834PL Govt","ID_CUSIP")</f>
        <v>912834PL6</v>
      </c>
      <c r="T128" t="str">
        <f>_xll.BDP("912834PL Govt","IDX_RATIO")</f>
        <v>#N/A Field Not Applicable</v>
      </c>
    </row>
    <row r="129" spans="1:20" x14ac:dyDescent="0.25">
      <c r="A129" t="s">
        <v>14</v>
      </c>
      <c r="B129" t="str">
        <f>_xll.BDP("912834WV Govt","TICKER")</f>
        <v>S</v>
      </c>
      <c r="C129">
        <f>_xll.BDP("912834WV Govt","CPN")</f>
        <v>0</v>
      </c>
      <c r="D129">
        <f>_xll.BDP("912834WV Govt","YLD_YTM_BID")</f>
        <v>0.41799999999998505</v>
      </c>
      <c r="E129" t="str">
        <f>_xll.BDP("912834WV Govt","MATURITY")</f>
        <v>3/15/2024</v>
      </c>
      <c r="F129" t="str">
        <f>_xll.BDP("912834WV Govt","MTY_TYP")</f>
        <v>NORMAL</v>
      </c>
      <c r="G129" t="str">
        <f>_xll.BDP("912834WV Govt","CRNCY")</f>
        <v>USD</v>
      </c>
      <c r="H129" t="str">
        <f>_xll.BDP("912834WV Govt","COUNTRY_FULL_NAME")</f>
        <v>UNITED STATES</v>
      </c>
      <c r="I129" t="str">
        <f>_xll.BDP("912834WV Govt","FIRST_CPN_DT")</f>
        <v>#N/A Field Not Applicable</v>
      </c>
      <c r="J129" t="str">
        <f>_xll.BDP("912834WV Govt","COUPON_FREQUENCY_DESCRIPTION")</f>
        <v>#N/A Field Not Applicable</v>
      </c>
      <c r="K129" t="str">
        <f>_xll.BDP("912834WV Govt","CPN_TYP")</f>
        <v>ZERO</v>
      </c>
      <c r="L129" t="str">
        <f>_xll.BDP("912834WV Govt","ID_ISIN")</f>
        <v>US912834WV62</v>
      </c>
      <c r="N129">
        <v>0</v>
      </c>
      <c r="O129" t="str">
        <f>_xll.BDP("912834WV Govt","ISSUE_DT")</f>
        <v>3/15/2021</v>
      </c>
      <c r="P129" t="str">
        <f>_xll.BDP("912834WV Govt","SECURITY_NAME")</f>
        <v>S 0 03/15/24</v>
      </c>
      <c r="Q129" t="str">
        <f>_xll.BDP("912834WV Govt","DAY_CNT_DES")</f>
        <v>ACT/ACT</v>
      </c>
      <c r="R129">
        <v>100</v>
      </c>
      <c r="S129" t="str">
        <f>_xll.BDP("912834WV Govt","ID_CUSIP")</f>
        <v>912834WV6</v>
      </c>
      <c r="T129" t="str">
        <f>_xll.BDP("912834WV Govt","IDX_RATIO")</f>
        <v>#N/A Field Not Applicable</v>
      </c>
    </row>
    <row r="130" spans="1:20" x14ac:dyDescent="0.25">
      <c r="A130" t="s">
        <v>14</v>
      </c>
      <c r="B130" t="str">
        <f>_xll.BDP("912834NP Govt","TICKER")</f>
        <v>S</v>
      </c>
      <c r="C130">
        <f>_xll.BDP("912834NP Govt","CPN")</f>
        <v>0</v>
      </c>
      <c r="D130">
        <f>_xll.BDP("912834NP Govt","YLD_YTM_BID")</f>
        <v>2.2450000000000081</v>
      </c>
      <c r="E130" t="str">
        <f>_xll.BDP("912834NP Govt","MATURITY")</f>
        <v>5/15/2044</v>
      </c>
      <c r="F130" t="str">
        <f>_xll.BDP("912834NP Govt","MTY_TYP")</f>
        <v>NORMAL</v>
      </c>
      <c r="G130" t="str">
        <f>_xll.BDP("912834NP Govt","CRNCY")</f>
        <v>USD</v>
      </c>
      <c r="H130" t="str">
        <f>_xll.BDP("912834NP Govt","COUNTRY_FULL_NAME")</f>
        <v>UNITED STATES</v>
      </c>
      <c r="I130" t="str">
        <f>_xll.BDP("912834NP Govt","FIRST_CPN_DT")</f>
        <v>#N/A Field Not Applicable</v>
      </c>
      <c r="J130" t="str">
        <f>_xll.BDP("912834NP Govt","COUPON_FREQUENCY_DESCRIPTION")</f>
        <v>#N/A Field Not Applicable</v>
      </c>
      <c r="K130" t="str">
        <f>_xll.BDP("912834NP Govt","CPN_TYP")</f>
        <v>ZERO</v>
      </c>
      <c r="L130" t="str">
        <f>_xll.BDP("912834NP Govt","ID_ISIN")</f>
        <v>US912834NP95</v>
      </c>
      <c r="N130">
        <v>0</v>
      </c>
      <c r="O130" t="str">
        <f>_xll.BDP("912834NP Govt","ISSUE_DT")</f>
        <v>5/15/2014</v>
      </c>
      <c r="P130" t="str">
        <f>_xll.BDP("912834NP Govt","SECURITY_NAME")</f>
        <v>S 0 05/15/44</v>
      </c>
      <c r="Q130" t="str">
        <f>_xll.BDP("912834NP Govt","DAY_CNT_DES")</f>
        <v>ACT/ACT</v>
      </c>
      <c r="R130">
        <v>100</v>
      </c>
      <c r="S130" t="str">
        <f>_xll.BDP("912834NP Govt","ID_CUSIP")</f>
        <v>912834NP9</v>
      </c>
      <c r="T130" t="str">
        <f>_xll.BDP("912834NP Govt","IDX_RATIO")</f>
        <v>#N/A Field Not Applicable</v>
      </c>
    </row>
    <row r="131" spans="1:20" x14ac:dyDescent="0.25">
      <c r="A131" t="s">
        <v>14</v>
      </c>
      <c r="B131" t="str">
        <f>_xll.BDP("912834VW Govt","TICKER")</f>
        <v>S</v>
      </c>
      <c r="C131">
        <f>_xll.BDP("912834VW Govt","CPN")</f>
        <v>0</v>
      </c>
      <c r="D131">
        <f>_xll.BDP("912834VW Govt","YLD_YTM_BID")</f>
        <v>1.2039999999999829</v>
      </c>
      <c r="E131" t="str">
        <f>_xll.BDP("912834VW Govt","MATURITY")</f>
        <v>5/31/2027</v>
      </c>
      <c r="F131" t="str">
        <f>_xll.BDP("912834VW Govt","MTY_TYP")</f>
        <v>NORMAL</v>
      </c>
      <c r="G131" t="str">
        <f>_xll.BDP("912834VW Govt","CRNCY")</f>
        <v>USD</v>
      </c>
      <c r="H131" t="str">
        <f>_xll.BDP("912834VW Govt","COUNTRY_FULL_NAME")</f>
        <v>UNITED STATES</v>
      </c>
      <c r="I131" t="str">
        <f>_xll.BDP("912834VW Govt","FIRST_CPN_DT")</f>
        <v>#N/A Field Not Applicable</v>
      </c>
      <c r="J131" t="str">
        <f>_xll.BDP("912834VW Govt","COUPON_FREQUENCY_DESCRIPTION")</f>
        <v>#N/A Field Not Applicable</v>
      </c>
      <c r="K131" t="str">
        <f>_xll.BDP("912834VW Govt","CPN_TYP")</f>
        <v>ZERO</v>
      </c>
      <c r="L131" t="str">
        <f>_xll.BDP("912834VW Govt","ID_ISIN")</f>
        <v>US912834VW54</v>
      </c>
      <c r="N131">
        <v>0</v>
      </c>
      <c r="O131" t="str">
        <f>_xll.BDP("912834VW Govt","ISSUE_DT")</f>
        <v>6/1/2020</v>
      </c>
      <c r="P131" t="str">
        <f>_xll.BDP("912834VW Govt","SECURITY_NAME")</f>
        <v>S 0 05/31/27</v>
      </c>
      <c r="Q131" t="str">
        <f>_xll.BDP("912834VW Govt","DAY_CNT_DES")</f>
        <v>ACT/ACT</v>
      </c>
      <c r="R131">
        <v>100</v>
      </c>
      <c r="S131" t="str">
        <f>_xll.BDP("912834VW Govt","ID_CUSIP")</f>
        <v>912834VW5</v>
      </c>
      <c r="T131" t="str">
        <f>_xll.BDP("912834VW Govt","IDX_RATIO")</f>
        <v>#N/A Field Not Applicable</v>
      </c>
    </row>
    <row r="132" spans="1:20" x14ac:dyDescent="0.25">
      <c r="A132" t="s">
        <v>14</v>
      </c>
      <c r="B132" t="str">
        <f>_xll.BDP("912834PE Govt","TICKER")</f>
        <v>S</v>
      </c>
      <c r="C132">
        <f>_xll.BDP("912834PE Govt","CPN")</f>
        <v>0</v>
      </c>
      <c r="D132">
        <f>_xll.BDP("912834PE Govt","YLD_YTM_BID")</f>
        <v>-3.3000000000045777E-2</v>
      </c>
      <c r="E132" t="str">
        <f>_xll.BDP("912834PE Govt","MATURITY")</f>
        <v>12/31/2021</v>
      </c>
      <c r="F132" t="str">
        <f>_xll.BDP("912834PE Govt","MTY_TYP")</f>
        <v>NORMAL</v>
      </c>
      <c r="G132" t="str">
        <f>_xll.BDP("912834PE Govt","CRNCY")</f>
        <v>USD</v>
      </c>
      <c r="H132" t="str">
        <f>_xll.BDP("912834PE Govt","COUNTRY_FULL_NAME")</f>
        <v>UNITED STATES</v>
      </c>
      <c r="I132" t="str">
        <f>_xll.BDP("912834PE Govt","FIRST_CPN_DT")</f>
        <v>#N/A Field Not Applicable</v>
      </c>
      <c r="J132" t="str">
        <f>_xll.BDP("912834PE Govt","COUPON_FREQUENCY_DESCRIPTION")</f>
        <v>#N/A Field Not Applicable</v>
      </c>
      <c r="K132" t="str">
        <f>_xll.BDP("912834PE Govt","CPN_TYP")</f>
        <v>ZERO</v>
      </c>
      <c r="L132" t="str">
        <f>_xll.BDP("912834PE Govt","ID_ISIN")</f>
        <v>US912834PE21</v>
      </c>
      <c r="N132">
        <v>0</v>
      </c>
      <c r="O132" t="str">
        <f>_xll.BDP("912834PE Govt","ISSUE_DT")</f>
        <v>12/31/2014</v>
      </c>
      <c r="P132" t="str">
        <f>_xll.BDP("912834PE Govt","SECURITY_NAME")</f>
        <v>S 0 12/31/21</v>
      </c>
      <c r="Q132" t="str">
        <f>_xll.BDP("912834PE Govt","DAY_CNT_DES")</f>
        <v>ACT/ACT</v>
      </c>
      <c r="R132">
        <v>100</v>
      </c>
      <c r="S132" t="str">
        <f>_xll.BDP("912834PE Govt","ID_CUSIP")</f>
        <v>912834PE2</v>
      </c>
      <c r="T132" t="str">
        <f>_xll.BDP("912834PE Govt","IDX_RATIO")</f>
        <v>#N/A Field Not Applicable</v>
      </c>
    </row>
    <row r="133" spans="1:20" x14ac:dyDescent="0.25">
      <c r="A133" t="s">
        <v>14</v>
      </c>
      <c r="B133" t="str">
        <f>_xll.BDP("912834KC Govt","TICKER")</f>
        <v>S</v>
      </c>
      <c r="C133">
        <f>_xll.BDP("912834KC Govt","CPN")</f>
        <v>0</v>
      </c>
      <c r="D133">
        <f>_xll.BDP("912834KC Govt","YLD_YTM_BID")</f>
        <v>6.2000000000006494E-2</v>
      </c>
      <c r="E133" t="str">
        <f>_xll.BDP("912834KC Govt","MATURITY")</f>
        <v>5/31/2022</v>
      </c>
      <c r="F133" t="str">
        <f>_xll.BDP("912834KC Govt","MTY_TYP")</f>
        <v>NORMAL</v>
      </c>
      <c r="G133" t="str">
        <f>_xll.BDP("912834KC Govt","CRNCY")</f>
        <v>USD</v>
      </c>
      <c r="H133" t="str">
        <f>_xll.BDP("912834KC Govt","COUNTRY_FULL_NAME")</f>
        <v>UNITED STATES</v>
      </c>
      <c r="I133" t="str">
        <f>_xll.BDP("912834KC Govt","FIRST_CPN_DT")</f>
        <v>#N/A Field Not Applicable</v>
      </c>
      <c r="J133" t="str">
        <f>_xll.BDP("912834KC Govt","COUPON_FREQUENCY_DESCRIPTION")</f>
        <v>#N/A Field Not Applicable</v>
      </c>
      <c r="K133" t="str">
        <f>_xll.BDP("912834KC Govt","CPN_TYP")</f>
        <v>ZERO</v>
      </c>
      <c r="L133" t="str">
        <f>_xll.BDP("912834KC Govt","ID_ISIN")</f>
        <v>US912834KC10</v>
      </c>
      <c r="N133">
        <v>0</v>
      </c>
      <c r="O133" t="str">
        <f>_xll.BDP("912834KC Govt","ISSUE_DT")</f>
        <v>6/1/2015</v>
      </c>
      <c r="P133" t="str">
        <f>_xll.BDP("912834KC Govt","SECURITY_NAME")</f>
        <v>S 0 05/31/22</v>
      </c>
      <c r="Q133" t="str">
        <f>_xll.BDP("912834KC Govt","DAY_CNT_DES")</f>
        <v>ACT/ACT</v>
      </c>
      <c r="R133">
        <v>100</v>
      </c>
      <c r="S133" t="str">
        <f>_xll.BDP("912834KC Govt","ID_CUSIP")</f>
        <v>912834KC1</v>
      </c>
      <c r="T133" t="str">
        <f>_xll.BDP("912834KC Govt","IDX_RATIO")</f>
        <v>#N/A Field Not Applicable</v>
      </c>
    </row>
    <row r="134" spans="1:20" x14ac:dyDescent="0.25">
      <c r="A134" t="s">
        <v>14</v>
      </c>
      <c r="B134" t="str">
        <f>_xll.BDP("912834QY Govt","TICKER")</f>
        <v>S</v>
      </c>
      <c r="C134">
        <f>_xll.BDP("912834QY Govt","CPN")</f>
        <v>0</v>
      </c>
      <c r="D134">
        <f>_xll.BDP("912834QY Govt","YLD_YTM_BID")</f>
        <v>0.35500000000001641</v>
      </c>
      <c r="E134" t="str">
        <f>_xll.BDP("912834QY Govt","MATURITY")</f>
        <v>12/31/2023</v>
      </c>
      <c r="F134" t="str">
        <f>_xll.BDP("912834QY Govt","MTY_TYP")</f>
        <v>NORMAL</v>
      </c>
      <c r="G134" t="str">
        <f>_xll.BDP("912834QY Govt","CRNCY")</f>
        <v>USD</v>
      </c>
      <c r="H134" t="str">
        <f>_xll.BDP("912834QY Govt","COUNTRY_FULL_NAME")</f>
        <v>UNITED STATES</v>
      </c>
      <c r="I134" t="str">
        <f>_xll.BDP("912834QY Govt","FIRST_CPN_DT")</f>
        <v>#N/A Field Not Applicable</v>
      </c>
      <c r="J134" t="str">
        <f>_xll.BDP("912834QY Govt","COUPON_FREQUENCY_DESCRIPTION")</f>
        <v>#N/A Field Not Applicable</v>
      </c>
      <c r="K134" t="str">
        <f>_xll.BDP("912834QY Govt","CPN_TYP")</f>
        <v>ZERO</v>
      </c>
      <c r="L134" t="str">
        <f>_xll.BDP("912834QY Govt","ID_ISIN")</f>
        <v>US912834QY75</v>
      </c>
      <c r="N134">
        <v>0</v>
      </c>
      <c r="O134" t="str">
        <f>_xll.BDP("912834QY Govt","ISSUE_DT")</f>
        <v>1/3/2017</v>
      </c>
      <c r="P134" t="str">
        <f>_xll.BDP("912834QY Govt","SECURITY_NAME")</f>
        <v>S 0 12/31/23</v>
      </c>
      <c r="Q134" t="str">
        <f>_xll.BDP("912834QY Govt","DAY_CNT_DES")</f>
        <v>ACT/ACT</v>
      </c>
      <c r="R134">
        <v>100</v>
      </c>
      <c r="S134" t="str">
        <f>_xll.BDP("912834QY Govt","ID_CUSIP")</f>
        <v>912834QY7</v>
      </c>
      <c r="T134" t="str">
        <f>_xll.BDP("912834QY Govt","IDX_RATIO")</f>
        <v>#N/A Field Not Applicable</v>
      </c>
    </row>
    <row r="135" spans="1:20" x14ac:dyDescent="0.25">
      <c r="A135" t="s">
        <v>14</v>
      </c>
      <c r="B135" t="str">
        <f>_xll.BDP("912834QS Govt","TICKER")</f>
        <v>S</v>
      </c>
      <c r="C135">
        <f>_xll.BDP("912834QS Govt","CPN")</f>
        <v>0</v>
      </c>
      <c r="D135">
        <f>_xll.BDP("912834QS Govt","YLD_YTM_BID")</f>
        <v>0.27900000000000702</v>
      </c>
      <c r="E135" t="str">
        <f>_xll.BDP("912834QS Govt","MATURITY")</f>
        <v>9/30/2023</v>
      </c>
      <c r="F135" t="str">
        <f>_xll.BDP("912834QS Govt","MTY_TYP")</f>
        <v>NORMAL</v>
      </c>
      <c r="G135" t="str">
        <f>_xll.BDP("912834QS Govt","CRNCY")</f>
        <v>USD</v>
      </c>
      <c r="H135" t="str">
        <f>_xll.BDP("912834QS Govt","COUNTRY_FULL_NAME")</f>
        <v>UNITED STATES</v>
      </c>
      <c r="I135" t="str">
        <f>_xll.BDP("912834QS Govt","FIRST_CPN_DT")</f>
        <v>#N/A Field Not Applicable</v>
      </c>
      <c r="J135" t="str">
        <f>_xll.BDP("912834QS Govt","COUPON_FREQUENCY_DESCRIPTION")</f>
        <v>#N/A Field Not Applicable</v>
      </c>
      <c r="K135" t="str">
        <f>_xll.BDP("912834QS Govt","CPN_TYP")</f>
        <v>ZERO</v>
      </c>
      <c r="L135" t="str">
        <f>_xll.BDP("912834QS Govt","ID_ISIN")</f>
        <v>US912834QS08</v>
      </c>
      <c r="N135">
        <v>0</v>
      </c>
      <c r="O135" t="str">
        <f>_xll.BDP("912834QS Govt","ISSUE_DT")</f>
        <v>9/30/2016</v>
      </c>
      <c r="P135" t="str">
        <f>_xll.BDP("912834QS Govt","SECURITY_NAME")</f>
        <v>S 0 09/30/23</v>
      </c>
      <c r="Q135" t="str">
        <f>_xll.BDP("912834QS Govt","DAY_CNT_DES")</f>
        <v>ACT/ACT</v>
      </c>
      <c r="R135">
        <v>100</v>
      </c>
      <c r="S135" t="str">
        <f>_xll.BDP("912834QS Govt","ID_CUSIP")</f>
        <v>912834QS0</v>
      </c>
      <c r="T135" t="str">
        <f>_xll.BDP("912834QS Govt","IDX_RATIO")</f>
        <v>#N/A Field Not Applicable</v>
      </c>
    </row>
    <row r="136" spans="1:20" x14ac:dyDescent="0.25">
      <c r="A136" t="s">
        <v>14</v>
      </c>
      <c r="B136" t="str">
        <f>_xll.BDP("912834WQ Govt","TICKER")</f>
        <v>S</v>
      </c>
      <c r="C136">
        <f>_xll.BDP("912834WQ Govt","CPN")</f>
        <v>0</v>
      </c>
      <c r="D136">
        <f>_xll.BDP("912834WQ Govt","YLD_YTM_BID")</f>
        <v>1.3209999999999944</v>
      </c>
      <c r="E136" t="str">
        <f>_xll.BDP("912834WQ Govt","MATURITY")</f>
        <v>1/31/2028</v>
      </c>
      <c r="F136" t="str">
        <f>_xll.BDP("912834WQ Govt","MTY_TYP")</f>
        <v>NORMAL</v>
      </c>
      <c r="G136" t="str">
        <f>_xll.BDP("912834WQ Govt","CRNCY")</f>
        <v>USD</v>
      </c>
      <c r="H136" t="str">
        <f>_xll.BDP("912834WQ Govt","COUNTRY_FULL_NAME")</f>
        <v>UNITED STATES</v>
      </c>
      <c r="I136" t="str">
        <f>_xll.BDP("912834WQ Govt","FIRST_CPN_DT")</f>
        <v>#N/A Field Not Applicable</v>
      </c>
      <c r="J136" t="str">
        <f>_xll.BDP("912834WQ Govt","COUPON_FREQUENCY_DESCRIPTION")</f>
        <v>#N/A Field Not Applicable</v>
      </c>
      <c r="K136" t="str">
        <f>_xll.BDP("912834WQ Govt","CPN_TYP")</f>
        <v>ZERO</v>
      </c>
      <c r="L136" t="str">
        <f>_xll.BDP("912834WQ Govt","ID_ISIN")</f>
        <v>US912834WQ77</v>
      </c>
      <c r="N136">
        <v>0</v>
      </c>
      <c r="O136" t="str">
        <f>_xll.BDP("912834WQ Govt","ISSUE_DT")</f>
        <v>2/1/2021</v>
      </c>
      <c r="P136" t="str">
        <f>_xll.BDP("912834WQ Govt","SECURITY_NAME")</f>
        <v>S 0 01/31/28</v>
      </c>
      <c r="Q136" t="str">
        <f>_xll.BDP("912834WQ Govt","DAY_CNT_DES")</f>
        <v>ACT/ACT</v>
      </c>
      <c r="R136">
        <v>100</v>
      </c>
      <c r="S136" t="str">
        <f>_xll.BDP("912834WQ Govt","ID_CUSIP")</f>
        <v>912834WQ7</v>
      </c>
      <c r="T136" t="str">
        <f>_xll.BDP("912834WQ Govt","IDX_RATIO")</f>
        <v>#N/A Field Not Applicable</v>
      </c>
    </row>
    <row r="137" spans="1:20" x14ac:dyDescent="0.25">
      <c r="A137" t="s">
        <v>14</v>
      </c>
      <c r="B137" t="str">
        <f>_xll.BDP("912834UG Govt","TICKER")</f>
        <v>S</v>
      </c>
      <c r="C137">
        <f>_xll.BDP("912834UG Govt","CPN")</f>
        <v>0</v>
      </c>
      <c r="D137">
        <f>_xll.BDP("912834UG Govt","YLD_YTM_BID")</f>
        <v>0.9160000000000057</v>
      </c>
      <c r="E137" t="str">
        <f>_xll.BDP("912834UG Govt","MATURITY")</f>
        <v>1/31/2026</v>
      </c>
      <c r="F137" t="str">
        <f>_xll.BDP("912834UG Govt","MTY_TYP")</f>
        <v>NORMAL</v>
      </c>
      <c r="G137" t="str">
        <f>_xll.BDP("912834UG Govt","CRNCY")</f>
        <v>USD</v>
      </c>
      <c r="H137" t="str">
        <f>_xll.BDP("912834UG Govt","COUNTRY_FULL_NAME")</f>
        <v>UNITED STATES</v>
      </c>
      <c r="I137" t="str">
        <f>_xll.BDP("912834UG Govt","FIRST_CPN_DT")</f>
        <v>#N/A Field Not Applicable</v>
      </c>
      <c r="J137" t="str">
        <f>_xll.BDP("912834UG Govt","COUPON_FREQUENCY_DESCRIPTION")</f>
        <v>#N/A Field Not Applicable</v>
      </c>
      <c r="K137" t="str">
        <f>_xll.BDP("912834UG Govt","CPN_TYP")</f>
        <v>ZERO</v>
      </c>
      <c r="L137" t="str">
        <f>_xll.BDP("912834UG Govt","ID_ISIN")</f>
        <v>US912834UG14</v>
      </c>
      <c r="N137">
        <v>0</v>
      </c>
      <c r="O137" t="str">
        <f>_xll.BDP("912834UG Govt","ISSUE_DT")</f>
        <v>1/31/2019</v>
      </c>
      <c r="P137" t="str">
        <f>_xll.BDP("912834UG Govt","SECURITY_NAME")</f>
        <v>S 0 01/31/26</v>
      </c>
      <c r="Q137" t="str">
        <f>_xll.BDP("912834UG Govt","DAY_CNT_DES")</f>
        <v>ACT/ACT</v>
      </c>
      <c r="R137">
        <v>100</v>
      </c>
      <c r="S137" t="str">
        <f>_xll.BDP("912834UG Govt","ID_CUSIP")</f>
        <v>912834UG1</v>
      </c>
      <c r="T137" t="str">
        <f>_xll.BDP("912834UG Govt","IDX_RATIO")</f>
        <v>#N/A Field Not Applicable</v>
      </c>
    </row>
    <row r="138" spans="1:20" x14ac:dyDescent="0.25">
      <c r="A138" t="s">
        <v>14</v>
      </c>
      <c r="B138" t="str">
        <f>_xll.BDP("912834VL Govt","TICKER")</f>
        <v>S</v>
      </c>
      <c r="C138">
        <f>_xll.BDP("912834VL Govt","CPN")</f>
        <v>0</v>
      </c>
      <c r="D138">
        <f>_xll.BDP("912834VL Govt","YLD_YTM_BID")</f>
        <v>1.1420000000000208</v>
      </c>
      <c r="E138" t="str">
        <f>_xll.BDP("912834VL Govt","MATURITY")</f>
        <v>1/31/2027</v>
      </c>
      <c r="F138" t="str">
        <f>_xll.BDP("912834VL Govt","MTY_TYP")</f>
        <v>NORMAL</v>
      </c>
      <c r="G138" t="str">
        <f>_xll.BDP("912834VL Govt","CRNCY")</f>
        <v>USD</v>
      </c>
      <c r="H138" t="str">
        <f>_xll.BDP("912834VL Govt","COUNTRY_FULL_NAME")</f>
        <v>UNITED STATES</v>
      </c>
      <c r="I138" t="str">
        <f>_xll.BDP("912834VL Govt","FIRST_CPN_DT")</f>
        <v>#N/A Field Not Applicable</v>
      </c>
      <c r="J138" t="str">
        <f>_xll.BDP("912834VL Govt","COUPON_FREQUENCY_DESCRIPTION")</f>
        <v>#N/A Field Not Applicable</v>
      </c>
      <c r="K138" t="str">
        <f>_xll.BDP("912834VL Govt","CPN_TYP")</f>
        <v>ZERO</v>
      </c>
      <c r="L138" t="str">
        <f>_xll.BDP("912834VL Govt","ID_ISIN")</f>
        <v>US912834VL99</v>
      </c>
      <c r="N138">
        <v>0</v>
      </c>
      <c r="O138" t="str">
        <f>_xll.BDP("912834VL Govt","ISSUE_DT")</f>
        <v>1/31/2020</v>
      </c>
      <c r="P138" t="str">
        <f>_xll.BDP("912834VL Govt","SECURITY_NAME")</f>
        <v>S 0 01/31/27</v>
      </c>
      <c r="Q138" t="str">
        <f>_xll.BDP("912834VL Govt","DAY_CNT_DES")</f>
        <v>ACT/ACT</v>
      </c>
      <c r="R138">
        <v>100</v>
      </c>
      <c r="S138" t="str">
        <f>_xll.BDP("912834VL Govt","ID_CUSIP")</f>
        <v>912834VL9</v>
      </c>
      <c r="T138" t="str">
        <f>_xll.BDP("912834VL Govt","IDX_RATIO")</f>
        <v>#N/A Field Not Applicable</v>
      </c>
    </row>
    <row r="139" spans="1:20" x14ac:dyDescent="0.25">
      <c r="A139" t="s">
        <v>14</v>
      </c>
      <c r="B139" t="str">
        <f>_xll.BDP("912834TZ Govt","TICKER")</f>
        <v>S</v>
      </c>
      <c r="C139">
        <f>_xll.BDP("912834TZ Govt","CPN")</f>
        <v>0</v>
      </c>
      <c r="D139" t="str">
        <f>_xll.BDP("912834TZ Govt","YLD_YTM_BID")</f>
        <v>#N/A N/A</v>
      </c>
      <c r="E139" t="str">
        <f>_xll.BDP("912834TZ Govt","MATURITY")</f>
        <v>10/15/2021</v>
      </c>
      <c r="F139" t="str">
        <f>_xll.BDP("912834TZ Govt","MTY_TYP")</f>
        <v>NORMAL</v>
      </c>
      <c r="G139" t="str">
        <f>_xll.BDP("912834TZ Govt","CRNCY")</f>
        <v>USD</v>
      </c>
      <c r="H139" t="str">
        <f>_xll.BDP("912834TZ Govt","COUNTRY_FULL_NAME")</f>
        <v>UNITED STATES</v>
      </c>
      <c r="I139" t="str">
        <f>_xll.BDP("912834TZ Govt","FIRST_CPN_DT")</f>
        <v>#N/A Field Not Applicable</v>
      </c>
      <c r="J139" t="str">
        <f>_xll.BDP("912834TZ Govt","COUPON_FREQUENCY_DESCRIPTION")</f>
        <v>#N/A Field Not Applicable</v>
      </c>
      <c r="K139" t="str">
        <f>_xll.BDP("912834TZ Govt","CPN_TYP")</f>
        <v>ZERO</v>
      </c>
      <c r="L139" t="str">
        <f>_xll.BDP("912834TZ Govt","ID_ISIN")</f>
        <v>US912834TZ14</v>
      </c>
      <c r="N139">
        <v>0</v>
      </c>
      <c r="O139" t="str">
        <f>_xll.BDP("912834TZ Govt","ISSUE_DT")</f>
        <v>10/15/2018</v>
      </c>
      <c r="P139" t="str">
        <f>_xll.BDP("912834TZ Govt","SECURITY_NAME")</f>
        <v>S 0 10/15/21</v>
      </c>
      <c r="Q139" t="str">
        <f>_xll.BDP("912834TZ Govt","DAY_CNT_DES")</f>
        <v>ACT/ACT</v>
      </c>
      <c r="R139">
        <v>100</v>
      </c>
      <c r="S139" t="str">
        <f>_xll.BDP("912834TZ Govt","ID_CUSIP")</f>
        <v>912834TZ1</v>
      </c>
      <c r="T139" t="str">
        <f>_xll.BDP("912834TZ Govt","IDX_RATIO")</f>
        <v>#N/A Field Not Applicable</v>
      </c>
    </row>
    <row r="140" spans="1:20" x14ac:dyDescent="0.25">
      <c r="A140" t="s">
        <v>14</v>
      </c>
      <c r="B140" t="str">
        <f>_xll.BDP("912834PQ Govt","TICKER")</f>
        <v>S</v>
      </c>
      <c r="C140">
        <f>_xll.BDP("912834PQ Govt","CPN")</f>
        <v>0</v>
      </c>
      <c r="D140">
        <f>_xll.BDP("912834PQ Govt","YLD_YTM_BID")</f>
        <v>9.5000000000000639E-2</v>
      </c>
      <c r="E140" t="str">
        <f>_xll.BDP("912834PQ Govt","MATURITY")</f>
        <v>9/30/2022</v>
      </c>
      <c r="F140" t="str">
        <f>_xll.BDP("912834PQ Govt","MTY_TYP")</f>
        <v>NORMAL</v>
      </c>
      <c r="G140" t="str">
        <f>_xll.BDP("912834PQ Govt","CRNCY")</f>
        <v>USD</v>
      </c>
      <c r="H140" t="str">
        <f>_xll.BDP("912834PQ Govt","COUNTRY_FULL_NAME")</f>
        <v>UNITED STATES</v>
      </c>
      <c r="I140" t="str">
        <f>_xll.BDP("912834PQ Govt","FIRST_CPN_DT")</f>
        <v>#N/A Field Not Applicable</v>
      </c>
      <c r="J140" t="str">
        <f>_xll.BDP("912834PQ Govt","COUPON_FREQUENCY_DESCRIPTION")</f>
        <v>#N/A Field Not Applicable</v>
      </c>
      <c r="K140" t="str">
        <f>_xll.BDP("912834PQ Govt","CPN_TYP")</f>
        <v>ZERO</v>
      </c>
      <c r="L140" t="str">
        <f>_xll.BDP("912834PQ Govt","ID_ISIN")</f>
        <v>US912834PQ50</v>
      </c>
      <c r="N140">
        <v>0</v>
      </c>
      <c r="O140" t="str">
        <f>_xll.BDP("912834PQ Govt","ISSUE_DT")</f>
        <v>9/30/2015</v>
      </c>
      <c r="P140" t="str">
        <f>_xll.BDP("912834PQ Govt","SECURITY_NAME")</f>
        <v>S 0 09/30/22</v>
      </c>
      <c r="Q140" t="str">
        <f>_xll.BDP("912834PQ Govt","DAY_CNT_DES")</f>
        <v>ACT/ACT</v>
      </c>
      <c r="R140">
        <v>100</v>
      </c>
      <c r="S140" t="str">
        <f>_xll.BDP("912834PQ Govt","ID_CUSIP")</f>
        <v>912834PQ5</v>
      </c>
      <c r="T140" t="str">
        <f>_xll.BDP("912834PQ Govt","IDX_RATIO")</f>
        <v>#N/A Field Not Applicable</v>
      </c>
    </row>
    <row r="141" spans="1:20" x14ac:dyDescent="0.25">
      <c r="A141" t="s">
        <v>14</v>
      </c>
      <c r="B141" t="str">
        <f>_xll.BDP("912834QC Govt","TICKER")</f>
        <v>S</v>
      </c>
      <c r="C141">
        <f>_xll.BDP("912834QC Govt","CPN")</f>
        <v>0</v>
      </c>
      <c r="D141">
        <f>_xll.BDP("912834QC Govt","YLD_YTM_BID")</f>
        <v>0.17299999999993432</v>
      </c>
      <c r="E141" t="str">
        <f>_xll.BDP("912834QC Govt","MATURITY")</f>
        <v>2/28/2023</v>
      </c>
      <c r="F141" t="str">
        <f>_xll.BDP("912834QC Govt","MTY_TYP")</f>
        <v>NORMAL</v>
      </c>
      <c r="G141" t="str">
        <f>_xll.BDP("912834QC Govt","CRNCY")</f>
        <v>USD</v>
      </c>
      <c r="H141" t="str">
        <f>_xll.BDP("912834QC Govt","COUNTRY_FULL_NAME")</f>
        <v>UNITED STATES</v>
      </c>
      <c r="I141" t="str">
        <f>_xll.BDP("912834QC Govt","FIRST_CPN_DT")</f>
        <v>#N/A Field Not Applicable</v>
      </c>
      <c r="J141" t="str">
        <f>_xll.BDP("912834QC Govt","COUPON_FREQUENCY_DESCRIPTION")</f>
        <v>#N/A Field Not Applicable</v>
      </c>
      <c r="K141" t="str">
        <f>_xll.BDP("912834QC Govt","CPN_TYP")</f>
        <v>ZERO</v>
      </c>
      <c r="L141" t="str">
        <f>_xll.BDP("912834QC Govt","ID_ISIN")</f>
        <v>US912834QC55</v>
      </c>
      <c r="N141">
        <v>0</v>
      </c>
      <c r="O141" t="str">
        <f>_xll.BDP("912834QC Govt","ISSUE_DT")</f>
        <v>2/29/2016</v>
      </c>
      <c r="P141" t="str">
        <f>_xll.BDP("912834QC Govt","SECURITY_NAME")</f>
        <v>S 0 02/28/23</v>
      </c>
      <c r="Q141" t="str">
        <f>_xll.BDP("912834QC Govt","DAY_CNT_DES")</f>
        <v>ACT/ACT</v>
      </c>
      <c r="R141">
        <v>100</v>
      </c>
      <c r="S141" t="str">
        <f>_xll.BDP("912834QC Govt","ID_CUSIP")</f>
        <v>912834QC5</v>
      </c>
      <c r="T141" t="str">
        <f>_xll.BDP("912834QC Govt","IDX_RATIO")</f>
        <v>#N/A Field Not Applicable</v>
      </c>
    </row>
    <row r="142" spans="1:20" x14ac:dyDescent="0.25">
      <c r="A142" t="s">
        <v>14</v>
      </c>
      <c r="B142" t="str">
        <f>_xll.BDP("912834QL Govt","TICKER")</f>
        <v>S</v>
      </c>
      <c r="C142">
        <f>_xll.BDP("912834QL Govt","CPN")</f>
        <v>0</v>
      </c>
      <c r="D142">
        <f>_xll.BDP("912834QL Govt","YLD_YTM_BID")</f>
        <v>0.23300000000001653</v>
      </c>
      <c r="E142" t="str">
        <f>_xll.BDP("912834QL Govt","MATURITY")</f>
        <v>6/30/2023</v>
      </c>
      <c r="F142" t="str">
        <f>_xll.BDP("912834QL Govt","MTY_TYP")</f>
        <v>NORMAL</v>
      </c>
      <c r="G142" t="str">
        <f>_xll.BDP("912834QL Govt","CRNCY")</f>
        <v>USD</v>
      </c>
      <c r="H142" t="str">
        <f>_xll.BDP("912834QL Govt","COUNTRY_FULL_NAME")</f>
        <v>UNITED STATES</v>
      </c>
      <c r="I142" t="str">
        <f>_xll.BDP("912834QL Govt","FIRST_CPN_DT")</f>
        <v>#N/A Field Not Applicable</v>
      </c>
      <c r="J142" t="str">
        <f>_xll.BDP("912834QL Govt","COUPON_FREQUENCY_DESCRIPTION")</f>
        <v>#N/A Field Not Applicable</v>
      </c>
      <c r="K142" t="str">
        <f>_xll.BDP("912834QL Govt","CPN_TYP")</f>
        <v>ZERO</v>
      </c>
      <c r="L142" t="str">
        <f>_xll.BDP("912834QL Govt","ID_ISIN")</f>
        <v>US912834QL54</v>
      </c>
      <c r="N142">
        <v>0</v>
      </c>
      <c r="O142" t="str">
        <f>_xll.BDP("912834QL Govt","ISSUE_DT")</f>
        <v>6/30/2016</v>
      </c>
      <c r="P142" t="str">
        <f>_xll.BDP("912834QL Govt","SECURITY_NAME")</f>
        <v>S 0 06/30/23</v>
      </c>
      <c r="Q142" t="str">
        <f>_xll.BDP("912834QL Govt","DAY_CNT_DES")</f>
        <v>ACT/ACT</v>
      </c>
      <c r="R142">
        <v>100</v>
      </c>
      <c r="S142" t="str">
        <f>_xll.BDP("912834QL Govt","ID_CUSIP")</f>
        <v>912834QL5</v>
      </c>
      <c r="T142" t="str">
        <f>_xll.BDP("912834QL Govt","IDX_RATIO")</f>
        <v>#N/A Field Not Applicable</v>
      </c>
    </row>
    <row r="143" spans="1:20" x14ac:dyDescent="0.25">
      <c r="A143" t="s">
        <v>14</v>
      </c>
      <c r="B143" t="str">
        <f>_xll.BDP("912834NY Govt","TICKER")</f>
        <v>S</v>
      </c>
      <c r="C143">
        <f>_xll.BDP("912834NY Govt","CPN")</f>
        <v>0</v>
      </c>
      <c r="D143" t="str">
        <f>_xll.BDP("912834NY Govt","YLD_YTM_BID")</f>
        <v>#N/A N/A</v>
      </c>
      <c r="E143" t="str">
        <f>_xll.BDP("912834NY Govt","MATURITY")</f>
        <v>9/30/2021</v>
      </c>
      <c r="F143" t="str">
        <f>_xll.BDP("912834NY Govt","MTY_TYP")</f>
        <v>NORMAL</v>
      </c>
      <c r="G143" t="str">
        <f>_xll.BDP("912834NY Govt","CRNCY")</f>
        <v>USD</v>
      </c>
      <c r="H143" t="str">
        <f>_xll.BDP("912834NY Govt","COUNTRY_FULL_NAME")</f>
        <v>UNITED STATES</v>
      </c>
      <c r="I143" t="str">
        <f>_xll.BDP("912834NY Govt","FIRST_CPN_DT")</f>
        <v>#N/A Field Not Applicable</v>
      </c>
      <c r="J143" t="str">
        <f>_xll.BDP("912834NY Govt","COUPON_FREQUENCY_DESCRIPTION")</f>
        <v>#N/A Field Not Applicable</v>
      </c>
      <c r="K143" t="str">
        <f>_xll.BDP("912834NY Govt","CPN_TYP")</f>
        <v>ZERO</v>
      </c>
      <c r="L143" t="str">
        <f>_xll.BDP("912834NY Govt","ID_ISIN")</f>
        <v>US912834NY03</v>
      </c>
      <c r="N143">
        <v>0</v>
      </c>
      <c r="O143" t="str">
        <f>_xll.BDP("912834NY Govt","ISSUE_DT")</f>
        <v>9/30/2014</v>
      </c>
      <c r="P143" t="str">
        <f>_xll.BDP("912834NY Govt","SECURITY_NAME")</f>
        <v>S 0 09/30/21</v>
      </c>
      <c r="Q143" t="str">
        <f>_xll.BDP("912834NY Govt","DAY_CNT_DES")</f>
        <v>ACT/ACT</v>
      </c>
      <c r="R143">
        <v>100</v>
      </c>
      <c r="S143" t="str">
        <f>_xll.BDP("912834NY Govt","ID_CUSIP")</f>
        <v>912834NY0</v>
      </c>
      <c r="T143" t="str">
        <f>_xll.BDP("912834NY Govt","IDX_RATIO")</f>
        <v>#N/A Field Not Applicable</v>
      </c>
    </row>
    <row r="144" spans="1:20" x14ac:dyDescent="0.25">
      <c r="A144" t="s">
        <v>14</v>
      </c>
      <c r="B144" t="str">
        <f>_xll.BDP("912834PJ Govt","TICKER")</f>
        <v>S</v>
      </c>
      <c r="C144">
        <f>_xll.BDP("912834PJ Govt","CPN")</f>
        <v>0</v>
      </c>
      <c r="D144">
        <f>_xll.BDP("912834PJ Govt","YLD_YTM_BID")</f>
        <v>4.2999999999970839E-2</v>
      </c>
      <c r="E144" t="str">
        <f>_xll.BDP("912834PJ Govt","MATURITY")</f>
        <v>6/30/2022</v>
      </c>
      <c r="F144" t="str">
        <f>_xll.BDP("912834PJ Govt","MTY_TYP")</f>
        <v>NORMAL</v>
      </c>
      <c r="G144" t="str">
        <f>_xll.BDP("912834PJ Govt","CRNCY")</f>
        <v>USD</v>
      </c>
      <c r="H144" t="str">
        <f>_xll.BDP("912834PJ Govt","COUNTRY_FULL_NAME")</f>
        <v>UNITED STATES</v>
      </c>
      <c r="I144" t="str">
        <f>_xll.BDP("912834PJ Govt","FIRST_CPN_DT")</f>
        <v>#N/A Field Not Applicable</v>
      </c>
      <c r="J144" t="str">
        <f>_xll.BDP("912834PJ Govt","COUPON_FREQUENCY_DESCRIPTION")</f>
        <v>#N/A Field Not Applicable</v>
      </c>
      <c r="K144" t="str">
        <f>_xll.BDP("912834PJ Govt","CPN_TYP")</f>
        <v>ZERO</v>
      </c>
      <c r="L144" t="str">
        <f>_xll.BDP("912834PJ Govt","ID_ISIN")</f>
        <v>US912834PJ18</v>
      </c>
      <c r="N144">
        <v>0</v>
      </c>
      <c r="O144" t="str">
        <f>_xll.BDP("912834PJ Govt","ISSUE_DT")</f>
        <v>6/30/2015</v>
      </c>
      <c r="P144" t="str">
        <f>_xll.BDP("912834PJ Govt","SECURITY_NAME")</f>
        <v>S 0 06/30/22</v>
      </c>
      <c r="Q144" t="str">
        <f>_xll.BDP("912834PJ Govt","DAY_CNT_DES")</f>
        <v>ACT/ACT</v>
      </c>
      <c r="R144">
        <v>100</v>
      </c>
      <c r="S144" t="str">
        <f>_xll.BDP("912834PJ Govt","ID_CUSIP")</f>
        <v>912834PJ1</v>
      </c>
      <c r="T144" t="str">
        <f>_xll.BDP("912834PJ Govt","IDX_RATIO")</f>
        <v>#N/A Field Not Applicable</v>
      </c>
    </row>
    <row r="145" spans="1:20" x14ac:dyDescent="0.25">
      <c r="A145" t="s">
        <v>14</v>
      </c>
      <c r="B145" t="str">
        <f>_xll.BDP("912834TX Govt","TICKER")</f>
        <v>S</v>
      </c>
      <c r="C145">
        <f>_xll.BDP("912834TX Govt","CPN")</f>
        <v>0</v>
      </c>
      <c r="D145" t="str">
        <f>_xll.BDP("912834TX Govt","YLD_YTM_BID")</f>
        <v>#N/A N/A</v>
      </c>
      <c r="E145" t="str">
        <f>_xll.BDP("912834TX Govt","MATURITY")</f>
        <v>9/15/2021</v>
      </c>
      <c r="F145" t="str">
        <f>_xll.BDP("912834TX Govt","MTY_TYP")</f>
        <v>NORMAL</v>
      </c>
      <c r="G145" t="str">
        <f>_xll.BDP("912834TX Govt","CRNCY")</f>
        <v>USD</v>
      </c>
      <c r="H145" t="str">
        <f>_xll.BDP("912834TX Govt","COUNTRY_FULL_NAME")</f>
        <v>UNITED STATES</v>
      </c>
      <c r="I145" t="str">
        <f>_xll.BDP("912834TX Govt","FIRST_CPN_DT")</f>
        <v>#N/A Field Not Applicable</v>
      </c>
      <c r="J145" t="str">
        <f>_xll.BDP("912834TX Govt","COUPON_FREQUENCY_DESCRIPTION")</f>
        <v>#N/A Field Not Applicable</v>
      </c>
      <c r="K145" t="str">
        <f>_xll.BDP("912834TX Govt","CPN_TYP")</f>
        <v>ZERO</v>
      </c>
      <c r="L145" t="str">
        <f>_xll.BDP("912834TX Govt","ID_ISIN")</f>
        <v>US912834TX65</v>
      </c>
      <c r="N145">
        <v>0</v>
      </c>
      <c r="O145" t="str">
        <f>_xll.BDP("912834TX Govt","ISSUE_DT")</f>
        <v>9/17/2018</v>
      </c>
      <c r="P145" t="str">
        <f>_xll.BDP("912834TX Govt","SECURITY_NAME")</f>
        <v>S 0 09/15/21</v>
      </c>
      <c r="Q145" t="str">
        <f>_xll.BDP("912834TX Govt","DAY_CNT_DES")</f>
        <v>ACT/ACT</v>
      </c>
      <c r="R145">
        <v>100</v>
      </c>
      <c r="S145" t="str">
        <f>_xll.BDP("912834TX Govt","ID_CUSIP")</f>
        <v>912834TX6</v>
      </c>
      <c r="T145" t="str">
        <f>_xll.BDP("912834TX Govt","IDX_RATIO")</f>
        <v>#N/A Field Not Applicable</v>
      </c>
    </row>
    <row r="146" spans="1:20" x14ac:dyDescent="0.25">
      <c r="A146" t="s">
        <v>14</v>
      </c>
      <c r="B146" t="str">
        <f>_xll.BDP("912834VH Govt","TICKER")</f>
        <v>S</v>
      </c>
      <c r="C146">
        <f>_xll.BDP("912834VH Govt","CPN")</f>
        <v>0</v>
      </c>
      <c r="D146">
        <f>_xll.BDP("912834VH Govt","YLD_YTM_BID")</f>
        <v>1.1249999999999982</v>
      </c>
      <c r="E146" t="str">
        <f>_xll.BDP("912834VH Govt","MATURITY")</f>
        <v>12/31/2026</v>
      </c>
      <c r="F146" t="str">
        <f>_xll.BDP("912834VH Govt","MTY_TYP")</f>
        <v>NORMAL</v>
      </c>
      <c r="G146" t="str">
        <f>_xll.BDP("912834VH Govt","CRNCY")</f>
        <v>USD</v>
      </c>
      <c r="H146" t="str">
        <f>_xll.BDP("912834VH Govt","COUNTRY_FULL_NAME")</f>
        <v>UNITED STATES</v>
      </c>
      <c r="I146" t="str">
        <f>_xll.BDP("912834VH Govt","FIRST_CPN_DT")</f>
        <v>#N/A Field Not Applicable</v>
      </c>
      <c r="J146" t="str">
        <f>_xll.BDP("912834VH Govt","COUPON_FREQUENCY_DESCRIPTION")</f>
        <v>#N/A Field Not Applicable</v>
      </c>
      <c r="K146" t="str">
        <f>_xll.BDP("912834VH Govt","CPN_TYP")</f>
        <v>ZERO</v>
      </c>
      <c r="L146" t="str">
        <f>_xll.BDP("912834VH Govt","ID_ISIN")</f>
        <v>US912834VH87</v>
      </c>
      <c r="N146">
        <v>0</v>
      </c>
      <c r="O146" t="str">
        <f>_xll.BDP("912834VH Govt","ISSUE_DT")</f>
        <v>12/31/2019</v>
      </c>
      <c r="P146" t="str">
        <f>_xll.BDP("912834VH Govt","SECURITY_NAME")</f>
        <v>S 0 12/31/26</v>
      </c>
      <c r="Q146" t="str">
        <f>_xll.BDP("912834VH Govt","DAY_CNT_DES")</f>
        <v>ACT/ACT</v>
      </c>
      <c r="R146">
        <v>100</v>
      </c>
      <c r="S146" t="str">
        <f>_xll.BDP("912834VH Govt","ID_CUSIP")</f>
        <v>912834VH8</v>
      </c>
      <c r="T146" t="str">
        <f>_xll.BDP("912834VH Govt","IDX_RATIO")</f>
        <v>#N/A Field Not Applicable</v>
      </c>
    </row>
    <row r="147" spans="1:20" x14ac:dyDescent="0.25">
      <c r="A147" t="s">
        <v>14</v>
      </c>
      <c r="B147" t="str">
        <f>_xll.BDP("912834UF Govt","TICKER")</f>
        <v>S</v>
      </c>
      <c r="C147">
        <f>_xll.BDP("912834UF Govt","CPN")</f>
        <v>0</v>
      </c>
      <c r="D147">
        <f>_xll.BDP("912834UF Govt","YLD_YTM_BID")</f>
        <v>-2.8000000000004042E-2</v>
      </c>
      <c r="E147" t="str">
        <f>_xll.BDP("912834UF Govt","MATURITY")</f>
        <v>1/15/2022</v>
      </c>
      <c r="F147" t="str">
        <f>_xll.BDP("912834UF Govt","MTY_TYP")</f>
        <v>NORMAL</v>
      </c>
      <c r="G147" t="str">
        <f>_xll.BDP("912834UF Govt","CRNCY")</f>
        <v>USD</v>
      </c>
      <c r="H147" t="str">
        <f>_xll.BDP("912834UF Govt","COUNTRY_FULL_NAME")</f>
        <v>UNITED STATES</v>
      </c>
      <c r="I147" t="str">
        <f>_xll.BDP("912834UF Govt","FIRST_CPN_DT")</f>
        <v>#N/A Field Not Applicable</v>
      </c>
      <c r="J147" t="str">
        <f>_xll.BDP("912834UF Govt","COUPON_FREQUENCY_DESCRIPTION")</f>
        <v>#N/A Field Not Applicable</v>
      </c>
      <c r="K147" t="str">
        <f>_xll.BDP("912834UF Govt","CPN_TYP")</f>
        <v>ZERO</v>
      </c>
      <c r="L147" t="str">
        <f>_xll.BDP("912834UF Govt","ID_ISIN")</f>
        <v>US912834UF31</v>
      </c>
      <c r="N147">
        <v>0</v>
      </c>
      <c r="O147" t="str">
        <f>_xll.BDP("912834UF Govt","ISSUE_DT")</f>
        <v>1/15/2019</v>
      </c>
      <c r="P147" t="str">
        <f>_xll.BDP("912834UF Govt","SECURITY_NAME")</f>
        <v>S 0 01/15/22</v>
      </c>
      <c r="Q147" t="str">
        <f>_xll.BDP("912834UF Govt","DAY_CNT_DES")</f>
        <v>ACT/ACT</v>
      </c>
      <c r="R147">
        <v>100</v>
      </c>
      <c r="S147" t="str">
        <f>_xll.BDP("912834UF Govt","ID_CUSIP")</f>
        <v>912834UF3</v>
      </c>
      <c r="T147" t="str">
        <f>_xll.BDP("912834UF Govt","IDX_RATIO")</f>
        <v>#N/A Field Not Applicable</v>
      </c>
    </row>
    <row r="148" spans="1:20" x14ac:dyDescent="0.25">
      <c r="A148" t="s">
        <v>14</v>
      </c>
      <c r="B148" t="str">
        <f>_xll.BDP("912834PC Govt","TICKER")</f>
        <v>S</v>
      </c>
      <c r="C148">
        <f>_xll.BDP("912834PC Govt","CPN")</f>
        <v>0</v>
      </c>
      <c r="D148">
        <f>_xll.BDP("912834PC Govt","YLD_YTM_BID")</f>
        <v>-2.6000000000024993E-2</v>
      </c>
      <c r="E148" t="str">
        <f>_xll.BDP("912834PC Govt","MATURITY")</f>
        <v>11/30/2021</v>
      </c>
      <c r="F148" t="str">
        <f>_xll.BDP("912834PC Govt","MTY_TYP")</f>
        <v>NORMAL</v>
      </c>
      <c r="G148" t="str">
        <f>_xll.BDP("912834PC Govt","CRNCY")</f>
        <v>USD</v>
      </c>
      <c r="H148" t="str">
        <f>_xll.BDP("912834PC Govt","COUNTRY_FULL_NAME")</f>
        <v>UNITED STATES</v>
      </c>
      <c r="I148" t="str">
        <f>_xll.BDP("912834PC Govt","FIRST_CPN_DT")</f>
        <v>#N/A Field Not Applicable</v>
      </c>
      <c r="J148" t="str">
        <f>_xll.BDP("912834PC Govt","COUPON_FREQUENCY_DESCRIPTION")</f>
        <v>#N/A Field Not Applicable</v>
      </c>
      <c r="K148" t="str">
        <f>_xll.BDP("912834PC Govt","CPN_TYP")</f>
        <v>ZERO</v>
      </c>
      <c r="L148" t="str">
        <f>_xll.BDP("912834PC Govt","ID_ISIN")</f>
        <v>US912834PC64</v>
      </c>
      <c r="N148">
        <v>0</v>
      </c>
      <c r="O148" t="str">
        <f>_xll.BDP("912834PC Govt","ISSUE_DT")</f>
        <v>12/1/2014</v>
      </c>
      <c r="P148" t="str">
        <f>_xll.BDP("912834PC Govt","SECURITY_NAME")</f>
        <v>S 0 11/30/21</v>
      </c>
      <c r="Q148" t="str">
        <f>_xll.BDP("912834PC Govt","DAY_CNT_DES")</f>
        <v>ACT/ACT</v>
      </c>
      <c r="R148">
        <v>100</v>
      </c>
      <c r="S148" t="str">
        <f>_xll.BDP("912834PC Govt","ID_CUSIP")</f>
        <v>912834PC6</v>
      </c>
      <c r="T148" t="str">
        <f>_xll.BDP("912834PC Govt","IDX_RATIO")</f>
        <v>#N/A Field Not Applicable</v>
      </c>
    </row>
    <row r="149" spans="1:20" x14ac:dyDescent="0.25">
      <c r="A149" t="s">
        <v>14</v>
      </c>
      <c r="B149" t="str">
        <f>_xll.BDP("912834QE Govt","TICKER")</f>
        <v>S</v>
      </c>
      <c r="C149">
        <f>_xll.BDP("912834QE Govt","CPN")</f>
        <v>0</v>
      </c>
      <c r="D149">
        <f>_xll.BDP("912834QE Govt","YLD_YTM_BID")</f>
        <v>0.18699999999998163</v>
      </c>
      <c r="E149" t="str">
        <f>_xll.BDP("912834QE Govt","MATURITY")</f>
        <v>3/31/2023</v>
      </c>
      <c r="F149" t="str">
        <f>_xll.BDP("912834QE Govt","MTY_TYP")</f>
        <v>NORMAL</v>
      </c>
      <c r="G149" t="str">
        <f>_xll.BDP("912834QE Govt","CRNCY")</f>
        <v>USD</v>
      </c>
      <c r="H149" t="str">
        <f>_xll.BDP("912834QE Govt","COUNTRY_FULL_NAME")</f>
        <v>UNITED STATES</v>
      </c>
      <c r="I149" t="str">
        <f>_xll.BDP("912834QE Govt","FIRST_CPN_DT")</f>
        <v>#N/A Field Not Applicable</v>
      </c>
      <c r="J149" t="str">
        <f>_xll.BDP("912834QE Govt","COUPON_FREQUENCY_DESCRIPTION")</f>
        <v>#N/A Field Not Applicable</v>
      </c>
      <c r="K149" t="str">
        <f>_xll.BDP("912834QE Govt","CPN_TYP")</f>
        <v>ZERO</v>
      </c>
      <c r="L149" t="str">
        <f>_xll.BDP("912834QE Govt","ID_ISIN")</f>
        <v>US912834QE12</v>
      </c>
      <c r="N149">
        <v>0</v>
      </c>
      <c r="O149" t="str">
        <f>_xll.BDP("912834QE Govt","ISSUE_DT")</f>
        <v>3/31/2016</v>
      </c>
      <c r="P149" t="str">
        <f>_xll.BDP("912834QE Govt","SECURITY_NAME")</f>
        <v>S 0 03/31/23</v>
      </c>
      <c r="Q149" t="str">
        <f>_xll.BDP("912834QE Govt","DAY_CNT_DES")</f>
        <v>ACT/ACT</v>
      </c>
      <c r="R149">
        <v>100</v>
      </c>
      <c r="S149" t="str">
        <f>_xll.BDP("912834QE Govt","ID_CUSIP")</f>
        <v>912834QE1</v>
      </c>
      <c r="T149" t="str">
        <f>_xll.BDP("912834QE Govt","IDX_RATIO")</f>
        <v>#N/A Field Not Applicable</v>
      </c>
    </row>
    <row r="150" spans="1:20" x14ac:dyDescent="0.25">
      <c r="A150" t="s">
        <v>14</v>
      </c>
      <c r="B150" t="str">
        <f>_xll.BDP("912834XH Govt","TICKER")</f>
        <v>S</v>
      </c>
      <c r="C150">
        <f>_xll.BDP("912834XH Govt","CPN")</f>
        <v>0</v>
      </c>
      <c r="D150">
        <f>_xll.BDP("912834XH Govt","YLD_YTM_BID")</f>
        <v>1.4120000000000132</v>
      </c>
      <c r="E150" t="str">
        <f>_xll.BDP("912834XH Govt","MATURITY")</f>
        <v>8/31/2028</v>
      </c>
      <c r="F150" t="str">
        <f>_xll.BDP("912834XH Govt","MTY_TYP")</f>
        <v>NORMAL</v>
      </c>
      <c r="G150" t="str">
        <f>_xll.BDP("912834XH Govt","CRNCY")</f>
        <v>USD</v>
      </c>
      <c r="H150" t="str">
        <f>_xll.BDP("912834XH Govt","COUNTRY_FULL_NAME")</f>
        <v>UNITED STATES</v>
      </c>
      <c r="I150" t="str">
        <f>_xll.BDP("912834XH Govt","FIRST_CPN_DT")</f>
        <v>#N/A Field Not Applicable</v>
      </c>
      <c r="J150" t="str">
        <f>_xll.BDP("912834XH Govt","COUPON_FREQUENCY_DESCRIPTION")</f>
        <v>#N/A Field Not Applicable</v>
      </c>
      <c r="K150" t="str">
        <f>_xll.BDP("912834XH Govt","CPN_TYP")</f>
        <v>ZERO</v>
      </c>
      <c r="L150" t="str">
        <f>_xll.BDP("912834XH Govt","ID_ISIN")</f>
        <v>US912834XH69</v>
      </c>
      <c r="N150">
        <v>0</v>
      </c>
      <c r="O150" t="str">
        <f>_xll.BDP("912834XH Govt","ISSUE_DT")</f>
        <v>8/31/2021</v>
      </c>
      <c r="P150" t="str">
        <f>_xll.BDP("912834XH Govt","SECURITY_NAME")</f>
        <v>S 0 08/31/28</v>
      </c>
      <c r="Q150" t="str">
        <f>_xll.BDP("912834XH Govt","DAY_CNT_DES")</f>
        <v>ACT/ACT</v>
      </c>
      <c r="R150">
        <v>100</v>
      </c>
      <c r="S150" t="str">
        <f>_xll.BDP("912834XH Govt","ID_CUSIP")</f>
        <v>912834XH6</v>
      </c>
      <c r="T150" t="str">
        <f>_xll.BDP("912834XH Govt","IDX_RATIO")</f>
        <v>#N/A Field Not Applicable</v>
      </c>
    </row>
    <row r="151" spans="1:20" x14ac:dyDescent="0.25">
      <c r="A151" t="s">
        <v>14</v>
      </c>
      <c r="B151" t="str">
        <f>_xll.BDP("912833LD Govt","TICKER")</f>
        <v>S</v>
      </c>
      <c r="C151">
        <f>_xll.BDP("912833LD Govt","CPN")</f>
        <v>0</v>
      </c>
      <c r="D151" t="str">
        <f>_xll.BDP("912833LD Govt","YLD_YTM_BID")</f>
        <v>#N/A N/A</v>
      </c>
      <c r="E151" t="str">
        <f>_xll.BDP("912833LD Govt","MATURITY")</f>
        <v>5/15/2021</v>
      </c>
      <c r="F151" t="str">
        <f>_xll.BDP("912833LD Govt","MTY_TYP")</f>
        <v>NORMAL</v>
      </c>
      <c r="G151" t="str">
        <f>_xll.BDP("912833LD Govt","CRNCY")</f>
        <v>USD</v>
      </c>
      <c r="H151" t="str">
        <f>_xll.BDP("912833LD Govt","COUNTRY_FULL_NAME")</f>
        <v>UNITED STATES</v>
      </c>
      <c r="I151" t="str">
        <f>_xll.BDP("912833LD Govt","FIRST_CPN_DT")</f>
        <v>#N/A Field Not Applicable</v>
      </c>
      <c r="J151" t="str">
        <f>_xll.BDP("912833LD Govt","COUPON_FREQUENCY_DESCRIPTION")</f>
        <v>#N/A Field Not Applicable</v>
      </c>
      <c r="K151" t="str">
        <f>_xll.BDP("912833LD Govt","CPN_TYP")</f>
        <v>ZERO</v>
      </c>
      <c r="L151" t="str">
        <f>_xll.BDP("912833LD Govt","ID_ISIN")</f>
        <v>US912833LD01</v>
      </c>
      <c r="N151">
        <v>0</v>
      </c>
      <c r="O151" t="str">
        <f>_xll.BDP("912833LD Govt","ISSUE_DT")</f>
        <v>5/15/1991</v>
      </c>
      <c r="P151" t="str">
        <f>_xll.BDP("912833LD Govt","SECURITY_NAME")</f>
        <v>S 0 05/15/21</v>
      </c>
      <c r="Q151" t="str">
        <f>_xll.BDP("912833LD Govt","DAY_CNT_DES")</f>
        <v>ACT/ACT</v>
      </c>
      <c r="R151">
        <v>100</v>
      </c>
      <c r="S151" t="str">
        <f>_xll.BDP("912833LD Govt","ID_CUSIP")</f>
        <v>912833LD0</v>
      </c>
      <c r="T151" t="str">
        <f>_xll.BDP("912833LD Govt","IDX_RATIO")</f>
        <v>#N/A Field Not Applicable</v>
      </c>
    </row>
    <row r="152" spans="1:20" x14ac:dyDescent="0.25">
      <c r="A152" t="s">
        <v>14</v>
      </c>
      <c r="B152" t="str">
        <f>_xll.BDP("912833KZ Govt","TICKER")</f>
        <v>S</v>
      </c>
      <c r="C152">
        <f>_xll.BDP("912833KZ Govt","CPN")</f>
        <v>0</v>
      </c>
      <c r="D152" t="str">
        <f>_xll.BDP("912833KZ Govt","YLD_YTM_BID")</f>
        <v>#N/A N/A</v>
      </c>
      <c r="E152" t="str">
        <f>_xll.BDP("912833KZ Govt","MATURITY")</f>
        <v>5/15/2020</v>
      </c>
      <c r="F152" t="str">
        <f>_xll.BDP("912833KZ Govt","MTY_TYP")</f>
        <v>NORMAL</v>
      </c>
      <c r="G152" t="str">
        <f>_xll.BDP("912833KZ Govt","CRNCY")</f>
        <v>USD</v>
      </c>
      <c r="H152" t="str">
        <f>_xll.BDP("912833KZ Govt","COUNTRY_FULL_NAME")</f>
        <v>UNITED STATES</v>
      </c>
      <c r="I152" t="str">
        <f>_xll.BDP("912833KZ Govt","FIRST_CPN_DT")</f>
        <v>#N/A Field Not Applicable</v>
      </c>
      <c r="J152" t="str">
        <f>_xll.BDP("912833KZ Govt","COUPON_FREQUENCY_DESCRIPTION")</f>
        <v>#N/A Field Not Applicable</v>
      </c>
      <c r="K152" t="str">
        <f>_xll.BDP("912833KZ Govt","CPN_TYP")</f>
        <v>ZERO</v>
      </c>
      <c r="L152" t="str">
        <f>_xll.BDP("912833KZ Govt","ID_ISIN")</f>
        <v>US912833KZ22</v>
      </c>
      <c r="N152">
        <v>0</v>
      </c>
      <c r="O152" t="str">
        <f>_xll.BDP("912833KZ Govt","ISSUE_DT")</f>
        <v>5/15/1990</v>
      </c>
      <c r="P152" t="str">
        <f>_xll.BDP("912833KZ Govt","SECURITY_NAME")</f>
        <v>S 0 05/15/20</v>
      </c>
      <c r="Q152" t="str">
        <f>_xll.BDP("912833KZ Govt","DAY_CNT_DES")</f>
        <v>ACT/ACT</v>
      </c>
      <c r="R152">
        <v>100</v>
      </c>
      <c r="S152" t="str">
        <f>_xll.BDP("912833KZ Govt","ID_CUSIP")</f>
        <v>912833KZ2</v>
      </c>
      <c r="T152" t="str">
        <f>_xll.BDP("912833KZ Govt","IDX_RATIO")</f>
        <v>#N/A Field Not Applicable</v>
      </c>
    </row>
    <row r="153" spans="1:20" x14ac:dyDescent="0.25">
      <c r="A153" t="s">
        <v>14</v>
      </c>
      <c r="B153" t="str">
        <f>_xll.BDP("912833LE Govt","TICKER")</f>
        <v>S</v>
      </c>
      <c r="C153">
        <f>_xll.BDP("912833LE Govt","CPN")</f>
        <v>0</v>
      </c>
      <c r="D153" t="str">
        <f>_xll.BDP("912833LE Govt","YLD_YTM_BID")</f>
        <v>#N/A N/A</v>
      </c>
      <c r="E153" t="str">
        <f>_xll.BDP("912833LE Govt","MATURITY")</f>
        <v>8/15/2021</v>
      </c>
      <c r="F153" t="str">
        <f>_xll.BDP("912833LE Govt","MTY_TYP")</f>
        <v>NORMAL</v>
      </c>
      <c r="G153" t="str">
        <f>_xll.BDP("912833LE Govt","CRNCY")</f>
        <v>USD</v>
      </c>
      <c r="H153" t="str">
        <f>_xll.BDP("912833LE Govt","COUNTRY_FULL_NAME")</f>
        <v>UNITED STATES</v>
      </c>
      <c r="I153" t="str">
        <f>_xll.BDP("912833LE Govt","FIRST_CPN_DT")</f>
        <v>#N/A Field Not Applicable</v>
      </c>
      <c r="J153" t="str">
        <f>_xll.BDP("912833LE Govt","COUPON_FREQUENCY_DESCRIPTION")</f>
        <v>#N/A Field Not Applicable</v>
      </c>
      <c r="K153" t="str">
        <f>_xll.BDP("912833LE Govt","CPN_TYP")</f>
        <v>ZERO</v>
      </c>
      <c r="L153" t="str">
        <f>_xll.BDP("912833LE Govt","ID_ISIN")</f>
        <v>US912833LE83</v>
      </c>
      <c r="N153">
        <v>0</v>
      </c>
      <c r="O153" t="str">
        <f>_xll.BDP("912833LE Govt","ISSUE_DT")</f>
        <v>8/15/1991</v>
      </c>
      <c r="P153" t="str">
        <f>_xll.BDP("912833LE Govt","SECURITY_NAME")</f>
        <v>S 0 08/15/21</v>
      </c>
      <c r="Q153" t="str">
        <f>_xll.BDP("912833LE Govt","DAY_CNT_DES")</f>
        <v>ACT/ACT</v>
      </c>
      <c r="R153">
        <v>100</v>
      </c>
      <c r="S153" t="str">
        <f>_xll.BDP("912833LE Govt","ID_CUSIP")</f>
        <v>912833LE8</v>
      </c>
      <c r="T153" t="str">
        <f>_xll.BDP("912833LE Govt","IDX_RATIO")</f>
        <v>#N/A Field Not Applicable</v>
      </c>
    </row>
    <row r="154" spans="1:20" x14ac:dyDescent="0.25">
      <c r="A154" t="s">
        <v>14</v>
      </c>
      <c r="B154" t="str">
        <f>_xll.BDP("912834PW Govt","TICKER")</f>
        <v>S</v>
      </c>
      <c r="C154">
        <f>_xll.BDP("912834PW Govt","CPN")</f>
        <v>0</v>
      </c>
      <c r="D154">
        <f>_xll.BDP("912834PW Govt","YLD_YTM_BID")</f>
        <v>0.14300000000000423</v>
      </c>
      <c r="E154" t="str">
        <f>_xll.BDP("912834PW Govt","MATURITY")</f>
        <v>12/31/2022</v>
      </c>
      <c r="F154" t="str">
        <f>_xll.BDP("912834PW Govt","MTY_TYP")</f>
        <v>NORMAL</v>
      </c>
      <c r="G154" t="str">
        <f>_xll.BDP("912834PW Govt","CRNCY")</f>
        <v>USD</v>
      </c>
      <c r="H154" t="str">
        <f>_xll.BDP("912834PW Govt","COUNTRY_FULL_NAME")</f>
        <v>UNITED STATES</v>
      </c>
      <c r="I154" t="str">
        <f>_xll.BDP("912834PW Govt","FIRST_CPN_DT")</f>
        <v>#N/A Field Not Applicable</v>
      </c>
      <c r="J154" t="str">
        <f>_xll.BDP("912834PW Govt","COUPON_FREQUENCY_DESCRIPTION")</f>
        <v>#N/A Field Not Applicable</v>
      </c>
      <c r="K154" t="str">
        <f>_xll.BDP("912834PW Govt","CPN_TYP")</f>
        <v>ZERO</v>
      </c>
      <c r="L154" t="str">
        <f>_xll.BDP("912834PW Govt","ID_ISIN")</f>
        <v>US912834PW29</v>
      </c>
      <c r="N154">
        <v>0</v>
      </c>
      <c r="O154" t="str">
        <f>_xll.BDP("912834PW Govt","ISSUE_DT")</f>
        <v>12/31/2015</v>
      </c>
      <c r="P154" t="str">
        <f>_xll.BDP("912834PW Govt","SECURITY_NAME")</f>
        <v>S 0 12/31/22</v>
      </c>
      <c r="Q154" t="str">
        <f>_xll.BDP("912834PW Govt","DAY_CNT_DES")</f>
        <v>ACT/ACT</v>
      </c>
      <c r="R154">
        <v>100</v>
      </c>
      <c r="S154" t="str">
        <f>_xll.BDP("912834PW Govt","ID_CUSIP")</f>
        <v>912834PW2</v>
      </c>
      <c r="T154" t="str">
        <f>_xll.BDP("912834PW Govt","IDX_RATIO")</f>
        <v>#N/A Field Not Applicable</v>
      </c>
    </row>
    <row r="155" spans="1:20" x14ac:dyDescent="0.25">
      <c r="A155" t="s">
        <v>14</v>
      </c>
      <c r="B155" t="str">
        <f>_xll.BDP("912834TE Govt","TICKER")</f>
        <v>S</v>
      </c>
      <c r="C155">
        <f>_xll.BDP("912834TE Govt","CPN")</f>
        <v>0</v>
      </c>
      <c r="D155">
        <f>_xll.BDP("912834TE Govt","YLD_YTM_BID")</f>
        <v>0.66999999999999282</v>
      </c>
      <c r="E155" t="str">
        <f>_xll.BDP("912834TE Govt","MATURITY")</f>
        <v>1/31/2025</v>
      </c>
      <c r="F155" t="str">
        <f>_xll.BDP("912834TE Govt","MTY_TYP")</f>
        <v>NORMAL</v>
      </c>
      <c r="G155" t="str">
        <f>_xll.BDP("912834TE Govt","CRNCY")</f>
        <v>USD</v>
      </c>
      <c r="H155" t="str">
        <f>_xll.BDP("912834TE Govt","COUNTRY_FULL_NAME")</f>
        <v>UNITED STATES</v>
      </c>
      <c r="I155" t="str">
        <f>_xll.BDP("912834TE Govt","FIRST_CPN_DT")</f>
        <v>#N/A Field Not Applicable</v>
      </c>
      <c r="J155" t="str">
        <f>_xll.BDP("912834TE Govt","COUPON_FREQUENCY_DESCRIPTION")</f>
        <v>#N/A Field Not Applicable</v>
      </c>
      <c r="K155" t="str">
        <f>_xll.BDP("912834TE Govt","CPN_TYP")</f>
        <v>ZERO</v>
      </c>
      <c r="L155" t="str">
        <f>_xll.BDP("912834TE Govt","ID_ISIN")</f>
        <v>US912834TE84</v>
      </c>
      <c r="N155">
        <v>0</v>
      </c>
      <c r="O155" t="str">
        <f>_xll.BDP("912834TE Govt","ISSUE_DT")</f>
        <v>1/31/2018</v>
      </c>
      <c r="P155" t="str">
        <f>_xll.BDP("912834TE Govt","SECURITY_NAME")</f>
        <v>S 0 01/31/25</v>
      </c>
      <c r="Q155" t="str">
        <f>_xll.BDP("912834TE Govt","DAY_CNT_DES")</f>
        <v>ACT/ACT</v>
      </c>
      <c r="R155">
        <v>100</v>
      </c>
      <c r="S155" t="str">
        <f>_xll.BDP("912834TE Govt","ID_CUSIP")</f>
        <v>912834TE8</v>
      </c>
      <c r="T155" t="str">
        <f>_xll.BDP("912834TE Govt","IDX_RATIO")</f>
        <v>#N/A Field Not Applicable</v>
      </c>
    </row>
    <row r="156" spans="1:20" x14ac:dyDescent="0.25">
      <c r="A156" t="s">
        <v>14</v>
      </c>
      <c r="B156" t="str">
        <f>_xll.BDP("912833JT Govt","TICKER")</f>
        <v>S</v>
      </c>
      <c r="C156">
        <f>_xll.BDP("912833JT Govt","CPN")</f>
        <v>0</v>
      </c>
      <c r="D156" t="str">
        <f>_xll.BDP("912833JT Govt","YLD_YTM_BID")</f>
        <v>#N/A N/A</v>
      </c>
      <c r="E156" t="str">
        <f>_xll.BDP("912833JT Govt","MATURITY")</f>
        <v>8/15/2015</v>
      </c>
      <c r="F156" t="str">
        <f>_xll.BDP("912833JT Govt","MTY_TYP")</f>
        <v>NORMAL</v>
      </c>
      <c r="G156" t="str">
        <f>_xll.BDP("912833JT Govt","CRNCY")</f>
        <v>USD</v>
      </c>
      <c r="H156" t="str">
        <f>_xll.BDP("912833JT Govt","COUNTRY_FULL_NAME")</f>
        <v>UNITED STATES</v>
      </c>
      <c r="I156" t="str">
        <f>_xll.BDP("912833JT Govt","FIRST_CPN_DT")</f>
        <v>#N/A Field Not Applicable</v>
      </c>
      <c r="J156" t="str">
        <f>_xll.BDP("912833JT Govt","COUPON_FREQUENCY_DESCRIPTION")</f>
        <v>#N/A Field Not Applicable</v>
      </c>
      <c r="K156" t="str">
        <f>_xll.BDP("912833JT Govt","CPN_TYP")</f>
        <v>ZERO</v>
      </c>
      <c r="L156" t="str">
        <f>_xll.BDP("912833JT Govt","ID_ISIN")</f>
        <v>US912833JT80</v>
      </c>
      <c r="N156">
        <v>0</v>
      </c>
      <c r="O156" t="str">
        <f>_xll.BDP("912833JT Govt","ISSUE_DT")</f>
        <v>8/15/1985</v>
      </c>
      <c r="P156" t="str">
        <f>_xll.BDP("912833JT Govt","SECURITY_NAME")</f>
        <v>S 0 08/15/15</v>
      </c>
      <c r="Q156" t="str">
        <f>_xll.BDP("912833JT Govt","DAY_CNT_DES")</f>
        <v>ACT/ACT</v>
      </c>
      <c r="R156">
        <v>100</v>
      </c>
      <c r="S156" t="str">
        <f>_xll.BDP("912833JT Govt","ID_CUSIP")</f>
        <v>912833JT8</v>
      </c>
      <c r="T156" t="str">
        <f>_xll.BDP("912833JT Govt","IDX_RATIO")</f>
        <v>#N/A Field Not Applicable</v>
      </c>
    </row>
    <row r="157" spans="1:20" x14ac:dyDescent="0.25">
      <c r="A157" t="s">
        <v>14</v>
      </c>
      <c r="B157" t="str">
        <f>_xll.BDP("912833KX Govt","TICKER")</f>
        <v>S</v>
      </c>
      <c r="C157">
        <f>_xll.BDP("912833KX Govt","CPN")</f>
        <v>0</v>
      </c>
      <c r="D157" t="str">
        <f>_xll.BDP("912833KX Govt","YLD_YTM_BID")</f>
        <v>#N/A N/A</v>
      </c>
      <c r="E157" t="str">
        <f>_xll.BDP("912833KX Govt","MATURITY")</f>
        <v>11/15/2019</v>
      </c>
      <c r="F157" t="str">
        <f>_xll.BDP("912833KX Govt","MTY_TYP")</f>
        <v>NORMAL</v>
      </c>
      <c r="G157" t="str">
        <f>_xll.BDP("912833KX Govt","CRNCY")</f>
        <v>USD</v>
      </c>
      <c r="H157" t="str">
        <f>_xll.BDP("912833KX Govt","COUNTRY_FULL_NAME")</f>
        <v>UNITED STATES</v>
      </c>
      <c r="I157" t="str">
        <f>_xll.BDP("912833KX Govt","FIRST_CPN_DT")</f>
        <v>#N/A Field Not Applicable</v>
      </c>
      <c r="J157" t="str">
        <f>_xll.BDP("912833KX Govt","COUPON_FREQUENCY_DESCRIPTION")</f>
        <v>#N/A Field Not Applicable</v>
      </c>
      <c r="K157" t="str">
        <f>_xll.BDP("912833KX Govt","CPN_TYP")</f>
        <v>ZERO</v>
      </c>
      <c r="L157" t="str">
        <f>_xll.BDP("912833KX Govt","ID_ISIN")</f>
        <v>US912833KX73</v>
      </c>
      <c r="N157">
        <v>0</v>
      </c>
      <c r="O157" t="str">
        <f>_xll.BDP("912833KX Govt","ISSUE_DT")</f>
        <v>5/15/1990</v>
      </c>
      <c r="P157" t="str">
        <f>_xll.BDP("912833KX Govt","SECURITY_NAME")</f>
        <v>S 0 11/15/19</v>
      </c>
      <c r="Q157" t="str">
        <f>_xll.BDP("912833KX Govt","DAY_CNT_DES")</f>
        <v>ACT/ACT</v>
      </c>
      <c r="R157">
        <v>100</v>
      </c>
      <c r="S157" t="str">
        <f>_xll.BDP("912833KX Govt","ID_CUSIP")</f>
        <v>912833KX7</v>
      </c>
      <c r="T157" t="str">
        <f>_xll.BDP("912833KX Govt","IDX_RATIO")</f>
        <v>#N/A Field Not Applicable</v>
      </c>
    </row>
    <row r="158" spans="1:20" x14ac:dyDescent="0.25">
      <c r="A158" t="s">
        <v>14</v>
      </c>
      <c r="B158" t="str">
        <f>_xll.BDP("912834TN Govt","TICKER")</f>
        <v>S</v>
      </c>
      <c r="C158">
        <f>_xll.BDP("912834TN Govt","CPN")</f>
        <v>0</v>
      </c>
      <c r="D158">
        <f>_xll.BDP("912834TN Govt","YLD_YTM_BID")</f>
        <v>0.73099999999999277</v>
      </c>
      <c r="E158" t="str">
        <f>_xll.BDP("912834TN Govt","MATURITY")</f>
        <v>4/30/2025</v>
      </c>
      <c r="F158" t="str">
        <f>_xll.BDP("912834TN Govt","MTY_TYP")</f>
        <v>NORMAL</v>
      </c>
      <c r="G158" t="str">
        <f>_xll.BDP("912834TN Govt","CRNCY")</f>
        <v>USD</v>
      </c>
      <c r="H158" t="str">
        <f>_xll.BDP("912834TN Govt","COUNTRY_FULL_NAME")</f>
        <v>UNITED STATES</v>
      </c>
      <c r="I158" t="str">
        <f>_xll.BDP("912834TN Govt","FIRST_CPN_DT")</f>
        <v>#N/A Field Not Applicable</v>
      </c>
      <c r="J158" t="str">
        <f>_xll.BDP("912834TN Govt","COUPON_FREQUENCY_DESCRIPTION")</f>
        <v>#N/A Field Not Applicable</v>
      </c>
      <c r="K158" t="str">
        <f>_xll.BDP("912834TN Govt","CPN_TYP")</f>
        <v>ZERO</v>
      </c>
      <c r="L158" t="str">
        <f>_xll.BDP("912834TN Govt","ID_ISIN")</f>
        <v>US912834TN83</v>
      </c>
      <c r="N158">
        <v>0</v>
      </c>
      <c r="O158" t="str">
        <f>_xll.BDP("912834TN Govt","ISSUE_DT")</f>
        <v>4/30/2018</v>
      </c>
      <c r="P158" t="str">
        <f>_xll.BDP("912834TN Govt","SECURITY_NAME")</f>
        <v>S 0 04/30/25</v>
      </c>
      <c r="Q158" t="str">
        <f>_xll.BDP("912834TN Govt","DAY_CNT_DES")</f>
        <v>ACT/ACT</v>
      </c>
      <c r="R158">
        <v>100</v>
      </c>
      <c r="S158" t="str">
        <f>_xll.BDP("912834TN Govt","ID_CUSIP")</f>
        <v>912834TN8</v>
      </c>
      <c r="T158" t="str">
        <f>_xll.BDP("912834TN Govt","IDX_RATIO")</f>
        <v>#N/A Field Not Applicable</v>
      </c>
    </row>
    <row r="159" spans="1:20" x14ac:dyDescent="0.25">
      <c r="A159" t="s">
        <v>14</v>
      </c>
      <c r="B159" t="str">
        <f>_xll.BDP("912834VB Govt","TICKER")</f>
        <v>S</v>
      </c>
      <c r="C159">
        <f>_xll.BDP("912834VB Govt","CPN")</f>
        <v>0</v>
      </c>
      <c r="D159">
        <f>_xll.BDP("912834VB Govt","YLD_YTM_BID")</f>
        <v>1.0759999999999881</v>
      </c>
      <c r="E159" t="str">
        <f>_xll.BDP("912834VB Govt","MATURITY")</f>
        <v>9/30/2026</v>
      </c>
      <c r="F159" t="str">
        <f>_xll.BDP("912834VB Govt","MTY_TYP")</f>
        <v>NORMAL</v>
      </c>
      <c r="G159" t="str">
        <f>_xll.BDP("912834VB Govt","CRNCY")</f>
        <v>USD</v>
      </c>
      <c r="H159" t="str">
        <f>_xll.BDP("912834VB Govt","COUNTRY_FULL_NAME")</f>
        <v>UNITED STATES</v>
      </c>
      <c r="I159" t="str">
        <f>_xll.BDP("912834VB Govt","FIRST_CPN_DT")</f>
        <v>#N/A Field Not Applicable</v>
      </c>
      <c r="J159" t="str">
        <f>_xll.BDP("912834VB Govt","COUPON_FREQUENCY_DESCRIPTION")</f>
        <v>#N/A Field Not Applicable</v>
      </c>
      <c r="K159" t="str">
        <f>_xll.BDP("912834VB Govt","CPN_TYP")</f>
        <v>ZERO</v>
      </c>
      <c r="L159" t="str">
        <f>_xll.BDP("912834VB Govt","ID_ISIN")</f>
        <v>US912834VB18</v>
      </c>
      <c r="N159">
        <v>0</v>
      </c>
      <c r="O159" t="str">
        <f>_xll.BDP("912834VB Govt","ISSUE_DT")</f>
        <v>9/30/2019</v>
      </c>
      <c r="P159" t="str">
        <f>_xll.BDP("912834VB Govt","SECURITY_NAME")</f>
        <v>S 0 09/30/26</v>
      </c>
      <c r="Q159" t="str">
        <f>_xll.BDP("912834VB Govt","DAY_CNT_DES")</f>
        <v>ACT/ACT</v>
      </c>
      <c r="R159">
        <v>100</v>
      </c>
      <c r="S159" t="str">
        <f>_xll.BDP("912834VB Govt","ID_CUSIP")</f>
        <v>912834VB1</v>
      </c>
      <c r="T159" t="str">
        <f>_xll.BDP("912834VB Govt","IDX_RATIO")</f>
        <v>#N/A Field Not Applicable</v>
      </c>
    </row>
    <row r="160" spans="1:20" x14ac:dyDescent="0.25">
      <c r="A160" t="s">
        <v>14</v>
      </c>
      <c r="B160" t="str">
        <f>_xll.BDP("912834VG Govt","TICKER")</f>
        <v>S</v>
      </c>
      <c r="C160">
        <f>_xll.BDP("912834VG Govt","CPN")</f>
        <v>0</v>
      </c>
      <c r="D160">
        <f>_xll.BDP("912834VG Govt","YLD_YTM_BID")</f>
        <v>0.13499999999999623</v>
      </c>
      <c r="E160" t="str">
        <f>_xll.BDP("912834VG Govt","MATURITY")</f>
        <v>12/15/2022</v>
      </c>
      <c r="F160" t="str">
        <f>_xll.BDP("912834VG Govt","MTY_TYP")</f>
        <v>NORMAL</v>
      </c>
      <c r="G160" t="str">
        <f>_xll.BDP("912834VG Govt","CRNCY")</f>
        <v>USD</v>
      </c>
      <c r="H160" t="str">
        <f>_xll.BDP("912834VG Govt","COUNTRY_FULL_NAME")</f>
        <v>UNITED STATES</v>
      </c>
      <c r="I160" t="str">
        <f>_xll.BDP("912834VG Govt","FIRST_CPN_DT")</f>
        <v>#N/A Field Not Applicable</v>
      </c>
      <c r="J160" t="str">
        <f>_xll.BDP("912834VG Govt","COUPON_FREQUENCY_DESCRIPTION")</f>
        <v>#N/A Field Not Applicable</v>
      </c>
      <c r="K160" t="str">
        <f>_xll.BDP("912834VG Govt","CPN_TYP")</f>
        <v>ZERO</v>
      </c>
      <c r="L160" t="str">
        <f>_xll.BDP("912834VG Govt","ID_ISIN")</f>
        <v>US912834VG05</v>
      </c>
      <c r="N160">
        <v>0</v>
      </c>
      <c r="O160" t="str">
        <f>_xll.BDP("912834VG Govt","ISSUE_DT")</f>
        <v>12/16/2019</v>
      </c>
      <c r="P160" t="str">
        <f>_xll.BDP("912834VG Govt","SECURITY_NAME")</f>
        <v>S 0 12/15/22</v>
      </c>
      <c r="Q160" t="str">
        <f>_xll.BDP("912834VG Govt","DAY_CNT_DES")</f>
        <v>ACT/ACT</v>
      </c>
      <c r="R160">
        <v>100</v>
      </c>
      <c r="S160" t="str">
        <f>_xll.BDP("912834VG Govt","ID_CUSIP")</f>
        <v>912834VG0</v>
      </c>
      <c r="T160" t="str">
        <f>_xll.BDP("912834VG Govt","IDX_RATIO")</f>
        <v>#N/A Field Not Applicable</v>
      </c>
    </row>
    <row r="161" spans="1:20" x14ac:dyDescent="0.25">
      <c r="A161" t="s">
        <v>14</v>
      </c>
      <c r="B161" t="str">
        <f>_xll.BDP("912833KT Govt","TICKER")</f>
        <v>S</v>
      </c>
      <c r="C161">
        <f>_xll.BDP("912833KT Govt","CPN")</f>
        <v>0</v>
      </c>
      <c r="D161" t="str">
        <f>_xll.BDP("912833KT Govt","YLD_YTM_BID")</f>
        <v>#N/A N/A</v>
      </c>
      <c r="E161" t="str">
        <f>_xll.BDP("912833KT Govt","MATURITY")</f>
        <v>11/15/2018</v>
      </c>
      <c r="F161" t="str">
        <f>_xll.BDP("912833KT Govt","MTY_TYP")</f>
        <v>NORMAL</v>
      </c>
      <c r="G161" t="str">
        <f>_xll.BDP("912833KT Govt","CRNCY")</f>
        <v>USD</v>
      </c>
      <c r="H161" t="str">
        <f>_xll.BDP("912833KT Govt","COUNTRY_FULL_NAME")</f>
        <v>UNITED STATES</v>
      </c>
      <c r="I161" t="str">
        <f>_xll.BDP("912833KT Govt","FIRST_CPN_DT")</f>
        <v>#N/A Field Not Applicable</v>
      </c>
      <c r="J161" t="str">
        <f>_xll.BDP("912833KT Govt","COUPON_FREQUENCY_DESCRIPTION")</f>
        <v>#N/A Field Not Applicable</v>
      </c>
      <c r="K161" t="str">
        <f>_xll.BDP("912833KT Govt","CPN_TYP")</f>
        <v>ZERO</v>
      </c>
      <c r="L161" t="str">
        <f>_xll.BDP("912833KT Govt","ID_ISIN")</f>
        <v>US912833KT61</v>
      </c>
      <c r="N161">
        <v>0</v>
      </c>
      <c r="O161" t="str">
        <f>_xll.BDP("912833KT Govt","ISSUE_DT")</f>
        <v>11/15/1988</v>
      </c>
      <c r="P161" t="str">
        <f>_xll.BDP("912833KT Govt","SECURITY_NAME")</f>
        <v>S 0 11/15/18</v>
      </c>
      <c r="Q161" t="str">
        <f>_xll.BDP("912833KT Govt","DAY_CNT_DES")</f>
        <v>ACT/ACT</v>
      </c>
      <c r="R161">
        <v>100</v>
      </c>
      <c r="S161" t="str">
        <f>_xll.BDP("912833KT Govt","ID_CUSIP")</f>
        <v>912833KT6</v>
      </c>
      <c r="T161" t="str">
        <f>_xll.BDP("912833KT Govt","IDX_RATIO")</f>
        <v>#N/A Field Not Applicable</v>
      </c>
    </row>
    <row r="162" spans="1:20" x14ac:dyDescent="0.25">
      <c r="A162" t="s">
        <v>14</v>
      </c>
      <c r="B162" t="str">
        <f>_xll.BDP("912833DB Govt","TICKER")</f>
        <v>S</v>
      </c>
      <c r="C162">
        <f>_xll.BDP("912833DB Govt","CPN")</f>
        <v>0</v>
      </c>
      <c r="D162" t="str">
        <f>_xll.BDP("912833DB Govt","YLD_YTM_BID")</f>
        <v>#N/A N/A</v>
      </c>
      <c r="E162" t="str">
        <f>_xll.BDP("912833DB Govt","MATURITY")</f>
        <v>2/15/2012</v>
      </c>
      <c r="F162" t="str">
        <f>_xll.BDP("912833DB Govt","MTY_TYP")</f>
        <v>NORMAL</v>
      </c>
      <c r="G162" t="str">
        <f>_xll.BDP("912833DB Govt","CRNCY")</f>
        <v>USD</v>
      </c>
      <c r="H162" t="str">
        <f>_xll.BDP("912833DB Govt","COUNTRY_FULL_NAME")</f>
        <v>UNITED STATES</v>
      </c>
      <c r="I162" t="str">
        <f>_xll.BDP("912833DB Govt","FIRST_CPN_DT")</f>
        <v>#N/A Field Not Applicable</v>
      </c>
      <c r="J162" t="str">
        <f>_xll.BDP("912833DB Govt","COUPON_FREQUENCY_DESCRIPTION")</f>
        <v>#N/A Field Not Applicable</v>
      </c>
      <c r="K162" t="str">
        <f>_xll.BDP("912833DB Govt","CPN_TYP")</f>
        <v>ZERO</v>
      </c>
      <c r="L162" t="str">
        <f>_xll.BDP("912833DB Govt","ID_ISIN")</f>
        <v>US912833DB37</v>
      </c>
      <c r="N162">
        <v>0</v>
      </c>
      <c r="O162" t="str">
        <f>_xll.BDP("912833DB Govt","ISSUE_DT")</f>
        <v>2/15/1985</v>
      </c>
      <c r="P162" t="str">
        <f>_xll.BDP("912833DB Govt","SECURITY_NAME")</f>
        <v>S 0 02/15/12</v>
      </c>
      <c r="Q162" t="str">
        <f>_xll.BDP("912833DB Govt","DAY_CNT_DES")</f>
        <v>ACT/ACT</v>
      </c>
      <c r="R162">
        <v>100</v>
      </c>
      <c r="S162" t="str">
        <f>_xll.BDP("912833DB Govt","ID_CUSIP")</f>
        <v>912833DB3</v>
      </c>
      <c r="T162" t="str">
        <f>_xll.BDP("912833DB Govt","IDX_RATIO")</f>
        <v>#N/A Field Not Applicable</v>
      </c>
    </row>
    <row r="163" spans="1:20" x14ac:dyDescent="0.25">
      <c r="A163" t="s">
        <v>14</v>
      </c>
      <c r="B163" t="str">
        <f>_xll.BDP("912834TC Govt","TICKER")</f>
        <v>S</v>
      </c>
      <c r="C163">
        <f>_xll.BDP("912834TC Govt","CPN")</f>
        <v>0</v>
      </c>
      <c r="D163">
        <f>_xll.BDP("912834TC Govt","YLD_YTM_BID")</f>
        <v>0.64899999999998847</v>
      </c>
      <c r="E163" t="str">
        <f>_xll.BDP("912834TC Govt","MATURITY")</f>
        <v>12/31/2024</v>
      </c>
      <c r="F163" t="str">
        <f>_xll.BDP("912834TC Govt","MTY_TYP")</f>
        <v>NORMAL</v>
      </c>
      <c r="G163" t="str">
        <f>_xll.BDP("912834TC Govt","CRNCY")</f>
        <v>USD</v>
      </c>
      <c r="H163" t="str">
        <f>_xll.BDP("912834TC Govt","COUNTRY_FULL_NAME")</f>
        <v>UNITED STATES</v>
      </c>
      <c r="I163" t="str">
        <f>_xll.BDP("912834TC Govt","FIRST_CPN_DT")</f>
        <v>#N/A Field Not Applicable</v>
      </c>
      <c r="J163" t="str">
        <f>_xll.BDP("912834TC Govt","COUPON_FREQUENCY_DESCRIPTION")</f>
        <v>#N/A Field Not Applicable</v>
      </c>
      <c r="K163" t="str">
        <f>_xll.BDP("912834TC Govt","CPN_TYP")</f>
        <v>ZERO</v>
      </c>
      <c r="L163" t="str">
        <f>_xll.BDP("912834TC Govt","ID_ISIN")</f>
        <v>US912834TC29</v>
      </c>
      <c r="N163">
        <v>0</v>
      </c>
      <c r="O163" t="str">
        <f>_xll.BDP("912834TC Govt","ISSUE_DT")</f>
        <v>1/2/2018</v>
      </c>
      <c r="P163" t="str">
        <f>_xll.BDP("912834TC Govt","SECURITY_NAME")</f>
        <v>S 0 12/31/24</v>
      </c>
      <c r="Q163" t="str">
        <f>_xll.BDP("912834TC Govt","DAY_CNT_DES")</f>
        <v>ACT/ACT</v>
      </c>
      <c r="R163">
        <v>100</v>
      </c>
      <c r="S163" t="str">
        <f>_xll.BDP("912834TC Govt","ID_CUSIP")</f>
        <v>912834TC2</v>
      </c>
      <c r="T163" t="str">
        <f>_xll.BDP("912834TC Govt","IDX_RATIO")</f>
        <v>#N/A Field Not Applicable</v>
      </c>
    </row>
    <row r="164" spans="1:20" x14ac:dyDescent="0.25">
      <c r="A164" t="s">
        <v>14</v>
      </c>
      <c r="B164" t="str">
        <f>_xll.BDP("912834PN Govt","TICKER")</f>
        <v>S</v>
      </c>
      <c r="C164">
        <f>_xll.BDP("912834PN Govt","CPN")</f>
        <v>0</v>
      </c>
      <c r="D164">
        <f>_xll.BDP("912834PN Govt","YLD_YTM_BID")</f>
        <v>7.7999999999978087E-2</v>
      </c>
      <c r="E164" t="str">
        <f>_xll.BDP("912834PN Govt","MATURITY")</f>
        <v>8/31/2022</v>
      </c>
      <c r="F164" t="str">
        <f>_xll.BDP("912834PN Govt","MTY_TYP")</f>
        <v>NORMAL</v>
      </c>
      <c r="G164" t="str">
        <f>_xll.BDP("912834PN Govt","CRNCY")</f>
        <v>USD</v>
      </c>
      <c r="H164" t="str">
        <f>_xll.BDP("912834PN Govt","COUNTRY_FULL_NAME")</f>
        <v>UNITED STATES</v>
      </c>
      <c r="I164" t="str">
        <f>_xll.BDP("912834PN Govt","FIRST_CPN_DT")</f>
        <v>#N/A Field Not Applicable</v>
      </c>
      <c r="J164" t="str">
        <f>_xll.BDP("912834PN Govt","COUPON_FREQUENCY_DESCRIPTION")</f>
        <v>#N/A Field Not Applicable</v>
      </c>
      <c r="K164" t="str">
        <f>_xll.BDP("912834PN Govt","CPN_TYP")</f>
        <v>ZERO</v>
      </c>
      <c r="L164" t="str">
        <f>_xll.BDP("912834PN Govt","ID_ISIN")</f>
        <v>US912834PN20</v>
      </c>
      <c r="N164">
        <v>0</v>
      </c>
      <c r="O164" t="str">
        <f>_xll.BDP("912834PN Govt","ISSUE_DT")</f>
        <v>8/31/2015</v>
      </c>
      <c r="P164" t="str">
        <f>_xll.BDP("912834PN Govt","SECURITY_NAME")</f>
        <v>S 0 08/31/22</v>
      </c>
      <c r="Q164" t="str">
        <f>_xll.BDP("912834PN Govt","DAY_CNT_DES")</f>
        <v>ACT/ACT</v>
      </c>
      <c r="R164">
        <v>100</v>
      </c>
      <c r="S164" t="str">
        <f>_xll.BDP("912834PN Govt","ID_CUSIP")</f>
        <v>912834PN2</v>
      </c>
      <c r="T164" t="str">
        <f>_xll.BDP("912834PN Govt","IDX_RATIO")</f>
        <v>#N/A Field Not Applicable</v>
      </c>
    </row>
    <row r="165" spans="1:20" x14ac:dyDescent="0.25">
      <c r="A165" t="s">
        <v>14</v>
      </c>
      <c r="B165" t="str">
        <f>_xll.BDP("912834KA Govt","TICKER")</f>
        <v>S</v>
      </c>
      <c r="C165">
        <f>_xll.BDP("912834KA Govt","CPN")</f>
        <v>0</v>
      </c>
      <c r="D165">
        <f>_xll.BDP("912834KA Govt","YLD_YTM_BID")</f>
        <v>1.4000000000002899E-2</v>
      </c>
      <c r="E165" t="str">
        <f>_xll.BDP("912834KA Govt","MATURITY")</f>
        <v>4/30/2022</v>
      </c>
      <c r="F165" t="str">
        <f>_xll.BDP("912834KA Govt","MTY_TYP")</f>
        <v>NORMAL</v>
      </c>
      <c r="G165" t="str">
        <f>_xll.BDP("912834KA Govt","CRNCY")</f>
        <v>USD</v>
      </c>
      <c r="H165" t="str">
        <f>_xll.BDP("912834KA Govt","COUNTRY_FULL_NAME")</f>
        <v>UNITED STATES</v>
      </c>
      <c r="I165" t="str">
        <f>_xll.BDP("912834KA Govt","FIRST_CPN_DT")</f>
        <v>#N/A Field Not Applicable</v>
      </c>
      <c r="J165" t="str">
        <f>_xll.BDP("912834KA Govt","COUPON_FREQUENCY_DESCRIPTION")</f>
        <v>#N/A Field Not Applicable</v>
      </c>
      <c r="K165" t="str">
        <f>_xll.BDP("912834KA Govt","CPN_TYP")</f>
        <v>ZERO</v>
      </c>
      <c r="L165" t="str">
        <f>_xll.BDP("912834KA Govt","ID_ISIN")</f>
        <v>US912834KA53</v>
      </c>
      <c r="N165">
        <v>0</v>
      </c>
      <c r="O165" t="str">
        <f>_xll.BDP("912834KA Govt","ISSUE_DT")</f>
        <v>4/30/2015</v>
      </c>
      <c r="P165" t="str">
        <f>_xll.BDP("912834KA Govt","SECURITY_NAME")</f>
        <v>S 0 04/30/22</v>
      </c>
      <c r="Q165" t="str">
        <f>_xll.BDP("912834KA Govt","DAY_CNT_DES")</f>
        <v>ACT/ACT</v>
      </c>
      <c r="R165">
        <v>100</v>
      </c>
      <c r="S165" t="str">
        <f>_xll.BDP("912834KA Govt","ID_CUSIP")</f>
        <v>912834KA5</v>
      </c>
      <c r="T165" t="str">
        <f>_xll.BDP("912834KA Govt","IDX_RATIO")</f>
        <v>#N/A Field Not Applicable</v>
      </c>
    </row>
    <row r="166" spans="1:20" x14ac:dyDescent="0.25">
      <c r="A166" t="s">
        <v>14</v>
      </c>
      <c r="B166" t="str">
        <f>_xll.BDP("912834WU Govt","TICKER")</f>
        <v>S</v>
      </c>
      <c r="C166">
        <f>_xll.BDP("912834WU Govt","CPN")</f>
        <v>0</v>
      </c>
      <c r="D166">
        <f>_xll.BDP("912834WU Govt","YLD_YTM_BID")</f>
        <v>1.3339999999999907</v>
      </c>
      <c r="E166" t="str">
        <f>_xll.BDP("912834WU Govt","MATURITY")</f>
        <v>2/29/2028</v>
      </c>
      <c r="F166" t="str">
        <f>_xll.BDP("912834WU Govt","MTY_TYP")</f>
        <v>NORMAL</v>
      </c>
      <c r="G166" t="str">
        <f>_xll.BDP("912834WU Govt","CRNCY")</f>
        <v>USD</v>
      </c>
      <c r="H166" t="str">
        <f>_xll.BDP("912834WU Govt","COUNTRY_FULL_NAME")</f>
        <v>UNITED STATES</v>
      </c>
      <c r="I166" t="str">
        <f>_xll.BDP("912834WU Govt","FIRST_CPN_DT")</f>
        <v>#N/A Field Not Applicable</v>
      </c>
      <c r="J166" t="str">
        <f>_xll.BDP("912834WU Govt","COUPON_FREQUENCY_DESCRIPTION")</f>
        <v>#N/A Field Not Applicable</v>
      </c>
      <c r="K166" t="str">
        <f>_xll.BDP("912834WU Govt","CPN_TYP")</f>
        <v>ZERO</v>
      </c>
      <c r="L166" t="str">
        <f>_xll.BDP("912834WU Govt","ID_ISIN")</f>
        <v>US912834WU89</v>
      </c>
      <c r="N166">
        <v>0</v>
      </c>
      <c r="O166" t="str">
        <f>_xll.BDP("912834WU Govt","ISSUE_DT")</f>
        <v>3/1/2021</v>
      </c>
      <c r="P166" t="str">
        <f>_xll.BDP("912834WU Govt","SECURITY_NAME")</f>
        <v>S 0 02/29/28</v>
      </c>
      <c r="Q166" t="str">
        <f>_xll.BDP("912834WU Govt","DAY_CNT_DES")</f>
        <v>ACT/ACT</v>
      </c>
      <c r="R166">
        <v>100</v>
      </c>
      <c r="S166" t="str">
        <f>_xll.BDP("912834WU Govt","ID_CUSIP")</f>
        <v>912834WU8</v>
      </c>
      <c r="T166" t="str">
        <f>_xll.BDP("912834WU Govt","IDX_RATIO")</f>
        <v>#N/A Field Not Applicable</v>
      </c>
    </row>
    <row r="167" spans="1:20" x14ac:dyDescent="0.25">
      <c r="A167" t="s">
        <v>14</v>
      </c>
      <c r="B167" t="str">
        <f>_xll.BDP("912833DA Govt","TICKER")</f>
        <v>S</v>
      </c>
      <c r="C167">
        <f>_xll.BDP("912833DA Govt","CPN")</f>
        <v>0</v>
      </c>
      <c r="D167" t="str">
        <f>_xll.BDP("912833DA Govt","YLD_YTM_BID")</f>
        <v>#N/A N/A</v>
      </c>
      <c r="E167" t="str">
        <f>_xll.BDP("912833DA Govt","MATURITY")</f>
        <v>8/15/2011</v>
      </c>
      <c r="F167" t="str">
        <f>_xll.BDP("912833DA Govt","MTY_TYP")</f>
        <v>NORMAL</v>
      </c>
      <c r="G167" t="str">
        <f>_xll.BDP("912833DA Govt","CRNCY")</f>
        <v>USD</v>
      </c>
      <c r="H167" t="str">
        <f>_xll.BDP("912833DA Govt","COUNTRY_FULL_NAME")</f>
        <v>UNITED STATES</v>
      </c>
      <c r="I167" t="str">
        <f>_xll.BDP("912833DA Govt","FIRST_CPN_DT")</f>
        <v>#N/A Field Not Applicable</v>
      </c>
      <c r="J167" t="str">
        <f>_xll.BDP("912833DA Govt","COUPON_FREQUENCY_DESCRIPTION")</f>
        <v>#N/A Field Not Applicable</v>
      </c>
      <c r="K167" t="str">
        <f>_xll.BDP("912833DA Govt","CPN_TYP")</f>
        <v>ZERO</v>
      </c>
      <c r="L167" t="str">
        <f>_xll.BDP("912833DA Govt","ID_ISIN")</f>
        <v>US912833DA53</v>
      </c>
      <c r="N167">
        <v>0</v>
      </c>
      <c r="O167" t="str">
        <f>_xll.BDP("912833DA Govt","ISSUE_DT")</f>
        <v>2/15/1985</v>
      </c>
      <c r="P167" t="str">
        <f>_xll.BDP("912833DA Govt","SECURITY_NAME")</f>
        <v>S 0 08/15/11</v>
      </c>
      <c r="Q167" t="str">
        <f>_xll.BDP("912833DA Govt","DAY_CNT_DES")</f>
        <v>ACT/ACT</v>
      </c>
      <c r="R167">
        <v>100</v>
      </c>
      <c r="S167" t="str">
        <f>_xll.BDP("912833DA Govt","ID_CUSIP")</f>
        <v>912833DA5</v>
      </c>
      <c r="T167" t="str">
        <f>_xll.BDP("912833DA Govt","IDX_RATIO")</f>
        <v>#N/A Field Not Applicable</v>
      </c>
    </row>
    <row r="168" spans="1:20" x14ac:dyDescent="0.25">
      <c r="A168" t="s">
        <v>14</v>
      </c>
      <c r="B168" t="str">
        <f>_xll.BDP("912834RE Govt","TICKER")</f>
        <v>S</v>
      </c>
      <c r="C168">
        <f>_xll.BDP("912834RE Govt","CPN")</f>
        <v>0</v>
      </c>
      <c r="D168">
        <f>_xll.BDP("912834RE Govt","YLD_YTM_BID")</f>
        <v>0.40599999999999525</v>
      </c>
      <c r="E168" t="str">
        <f>_xll.BDP("912834RE Govt","MATURITY")</f>
        <v>2/29/2024</v>
      </c>
      <c r="F168" t="str">
        <f>_xll.BDP("912834RE Govt","MTY_TYP")</f>
        <v>NORMAL</v>
      </c>
      <c r="G168" t="str">
        <f>_xll.BDP("912834RE Govt","CRNCY")</f>
        <v>USD</v>
      </c>
      <c r="H168" t="str">
        <f>_xll.BDP("912834RE Govt","COUNTRY_FULL_NAME")</f>
        <v>UNITED STATES</v>
      </c>
      <c r="I168" t="str">
        <f>_xll.BDP("912834RE Govt","FIRST_CPN_DT")</f>
        <v>#N/A Field Not Applicable</v>
      </c>
      <c r="J168" t="str">
        <f>_xll.BDP("912834RE Govt","COUPON_FREQUENCY_DESCRIPTION")</f>
        <v>#N/A Field Not Applicable</v>
      </c>
      <c r="K168" t="str">
        <f>_xll.BDP("912834RE Govt","CPN_TYP")</f>
        <v>ZERO</v>
      </c>
      <c r="L168" t="str">
        <f>_xll.BDP("912834RE Govt","ID_ISIN")</f>
        <v>US912834RE03</v>
      </c>
      <c r="N168">
        <v>0</v>
      </c>
      <c r="O168" t="str">
        <f>_xll.BDP("912834RE Govt","ISSUE_DT")</f>
        <v>2/28/2017</v>
      </c>
      <c r="P168" t="str">
        <f>_xll.BDP("912834RE Govt","SECURITY_NAME")</f>
        <v>S 0 02/29/24</v>
      </c>
      <c r="Q168" t="str">
        <f>_xll.BDP("912834RE Govt","DAY_CNT_DES")</f>
        <v>ACT/ACT</v>
      </c>
      <c r="R168">
        <v>100</v>
      </c>
      <c r="S168" t="str">
        <f>_xll.BDP("912834RE Govt","ID_CUSIP")</f>
        <v>912834RE0</v>
      </c>
      <c r="T168" t="str">
        <f>_xll.BDP("912834RE Govt","IDX_RATIO")</f>
        <v>#N/A Field Not Applicable</v>
      </c>
    </row>
    <row r="169" spans="1:20" x14ac:dyDescent="0.25">
      <c r="A169" t="s">
        <v>14</v>
      </c>
      <c r="B169" t="str">
        <f>_xll.BDP("912834RS Govt","TICKER")</f>
        <v>S</v>
      </c>
      <c r="C169">
        <f>_xll.BDP("912834RS Govt","CPN")</f>
        <v>0</v>
      </c>
      <c r="D169">
        <f>_xll.BDP("912834RS Govt","YLD_YTM_BID")</f>
        <v>0.56199999999999584</v>
      </c>
      <c r="E169" t="str">
        <f>_xll.BDP("912834RS Govt","MATURITY")</f>
        <v>8/31/2024</v>
      </c>
      <c r="F169" t="str">
        <f>_xll.BDP("912834RS Govt","MTY_TYP")</f>
        <v>NORMAL</v>
      </c>
      <c r="G169" t="str">
        <f>_xll.BDP("912834RS Govt","CRNCY")</f>
        <v>USD</v>
      </c>
      <c r="H169" t="str">
        <f>_xll.BDP("912834RS Govt","COUNTRY_FULL_NAME")</f>
        <v>UNITED STATES</v>
      </c>
      <c r="I169" t="str">
        <f>_xll.BDP("912834RS Govt","FIRST_CPN_DT")</f>
        <v>#N/A Field Not Applicable</v>
      </c>
      <c r="J169" t="str">
        <f>_xll.BDP("912834RS Govt","COUPON_FREQUENCY_DESCRIPTION")</f>
        <v>#N/A Field Not Applicable</v>
      </c>
      <c r="K169" t="str">
        <f>_xll.BDP("912834RS Govt","CPN_TYP")</f>
        <v>ZERO</v>
      </c>
      <c r="L169" t="str">
        <f>_xll.BDP("912834RS Govt","ID_ISIN")</f>
        <v>US912834RS98</v>
      </c>
      <c r="N169">
        <v>0</v>
      </c>
      <c r="O169" t="str">
        <f>_xll.BDP("912834RS Govt","ISSUE_DT")</f>
        <v>8/31/2017</v>
      </c>
      <c r="P169" t="str">
        <f>_xll.BDP("912834RS Govt","SECURITY_NAME")</f>
        <v>S 0 08/31/24</v>
      </c>
      <c r="Q169" t="str">
        <f>_xll.BDP("912834RS Govt","DAY_CNT_DES")</f>
        <v>ACT/ACT</v>
      </c>
      <c r="R169">
        <v>100</v>
      </c>
      <c r="S169" t="str">
        <f>_xll.BDP("912834RS Govt","ID_CUSIP")</f>
        <v>912834RS9</v>
      </c>
      <c r="T169" t="str">
        <f>_xll.BDP("912834RS Govt","IDX_RATIO")</f>
        <v>#N/A Field Not Applicable</v>
      </c>
    </row>
    <row r="170" spans="1:20" x14ac:dyDescent="0.25">
      <c r="A170" t="s">
        <v>14</v>
      </c>
      <c r="B170" t="str">
        <f>_xll.BDP("912834VS Govt","TICKER")</f>
        <v>S</v>
      </c>
      <c r="C170">
        <f>_xll.BDP("912834VS Govt","CPN")</f>
        <v>0</v>
      </c>
      <c r="D170">
        <f>_xll.BDP("912834VS Govt","YLD_YTM_BID")</f>
        <v>1.1730000000000018</v>
      </c>
      <c r="E170" t="str">
        <f>_xll.BDP("912834VS Govt","MATURITY")</f>
        <v>3/31/2027</v>
      </c>
      <c r="F170" t="str">
        <f>_xll.BDP("912834VS Govt","MTY_TYP")</f>
        <v>NORMAL</v>
      </c>
      <c r="G170" t="str">
        <f>_xll.BDP("912834VS Govt","CRNCY")</f>
        <v>USD</v>
      </c>
      <c r="H170" t="str">
        <f>_xll.BDP("912834VS Govt","COUNTRY_FULL_NAME")</f>
        <v>UNITED STATES</v>
      </c>
      <c r="I170" t="str">
        <f>_xll.BDP("912834VS Govt","FIRST_CPN_DT")</f>
        <v>#N/A Field Not Applicable</v>
      </c>
      <c r="J170" t="str">
        <f>_xll.BDP("912834VS Govt","COUPON_FREQUENCY_DESCRIPTION")</f>
        <v>#N/A Field Not Applicable</v>
      </c>
      <c r="K170" t="str">
        <f>_xll.BDP("912834VS Govt","CPN_TYP")</f>
        <v>ZERO</v>
      </c>
      <c r="L170" t="str">
        <f>_xll.BDP("912834VS Govt","ID_ISIN")</f>
        <v>US912834VS43</v>
      </c>
      <c r="N170">
        <v>0</v>
      </c>
      <c r="O170" t="str">
        <f>_xll.BDP("912834VS Govt","ISSUE_DT")</f>
        <v>3/31/2020</v>
      </c>
      <c r="P170" t="str">
        <f>_xll.BDP("912834VS Govt","SECURITY_NAME")</f>
        <v>S 0 03/31/27</v>
      </c>
      <c r="Q170" t="str">
        <f>_xll.BDP("912834VS Govt","DAY_CNT_DES")</f>
        <v>ACT/ACT</v>
      </c>
      <c r="R170">
        <v>100</v>
      </c>
      <c r="S170" t="str">
        <f>_xll.BDP("912834VS Govt","ID_CUSIP")</f>
        <v>912834VS4</v>
      </c>
      <c r="T170" t="str">
        <f>_xll.BDP("912834VS Govt","IDX_RATIO")</f>
        <v>#N/A Field Not Applicable</v>
      </c>
    </row>
    <row r="171" spans="1:20" x14ac:dyDescent="0.25">
      <c r="A171" t="s">
        <v>14</v>
      </c>
      <c r="B171" t="str">
        <f>_xll.BDP("912834QW Govt","TICKER")</f>
        <v>S</v>
      </c>
      <c r="C171">
        <f>_xll.BDP("912834QW Govt","CPN")</f>
        <v>0</v>
      </c>
      <c r="D171">
        <f>_xll.BDP("912834QW Govt","YLD_YTM_BID")</f>
        <v>0.32800000000001717</v>
      </c>
      <c r="E171" t="str">
        <f>_xll.BDP("912834QW Govt","MATURITY")</f>
        <v>11/30/2023</v>
      </c>
      <c r="F171" t="str">
        <f>_xll.BDP("912834QW Govt","MTY_TYP")</f>
        <v>NORMAL</v>
      </c>
      <c r="G171" t="str">
        <f>_xll.BDP("912834QW Govt","CRNCY")</f>
        <v>USD</v>
      </c>
      <c r="H171" t="str">
        <f>_xll.BDP("912834QW Govt","COUNTRY_FULL_NAME")</f>
        <v>UNITED STATES</v>
      </c>
      <c r="I171" t="str">
        <f>_xll.BDP("912834QW Govt","FIRST_CPN_DT")</f>
        <v>#N/A Field Not Applicable</v>
      </c>
      <c r="J171" t="str">
        <f>_xll.BDP("912834QW Govt","COUPON_FREQUENCY_DESCRIPTION")</f>
        <v>#N/A Field Not Applicable</v>
      </c>
      <c r="K171" t="str">
        <f>_xll.BDP("912834QW Govt","CPN_TYP")</f>
        <v>ZERO</v>
      </c>
      <c r="L171" t="str">
        <f>_xll.BDP("912834QW Govt","ID_ISIN")</f>
        <v>US912834QW10</v>
      </c>
      <c r="N171">
        <v>0</v>
      </c>
      <c r="O171" t="str">
        <f>_xll.BDP("912834QW Govt","ISSUE_DT")</f>
        <v>11/30/2016</v>
      </c>
      <c r="P171" t="str">
        <f>_xll.BDP("912834QW Govt","SECURITY_NAME")</f>
        <v>S 0 11/30/23</v>
      </c>
      <c r="Q171" t="str">
        <f>_xll.BDP("912834QW Govt","DAY_CNT_DES")</f>
        <v>ACT/ACT</v>
      </c>
      <c r="R171">
        <v>100</v>
      </c>
      <c r="S171" t="str">
        <f>_xll.BDP("912834QW Govt","ID_CUSIP")</f>
        <v>912834QW1</v>
      </c>
      <c r="T171" t="str">
        <f>_xll.BDP("912834QW Govt","IDX_RATIO")</f>
        <v>#N/A Field Not Applicable</v>
      </c>
    </row>
    <row r="172" spans="1:20" x14ac:dyDescent="0.25">
      <c r="A172" t="s">
        <v>14</v>
      </c>
      <c r="B172" t="str">
        <f>_xll.BDP("912834MA Govt","TICKER")</f>
        <v>S</v>
      </c>
      <c r="C172">
        <f>_xll.BDP("912834MA Govt","CPN")</f>
        <v>0</v>
      </c>
      <c r="D172" t="str">
        <f>_xll.BDP("912834MA Govt","YLD_YTM_BID")</f>
        <v>#N/A N/A</v>
      </c>
      <c r="E172" t="str">
        <f>_xll.BDP("912834MA Govt","MATURITY")</f>
        <v>12/31/2019</v>
      </c>
      <c r="F172" t="str">
        <f>_xll.BDP("912834MA Govt","MTY_TYP")</f>
        <v>NORMAL</v>
      </c>
      <c r="G172" t="str">
        <f>_xll.BDP("912834MA Govt","CRNCY")</f>
        <v>USD</v>
      </c>
      <c r="H172" t="str">
        <f>_xll.BDP("912834MA Govt","COUNTRY_FULL_NAME")</f>
        <v>UNITED STATES</v>
      </c>
      <c r="I172" t="str">
        <f>_xll.BDP("912834MA Govt","FIRST_CPN_DT")</f>
        <v>#N/A Field Not Applicable</v>
      </c>
      <c r="J172" t="str">
        <f>_xll.BDP("912834MA Govt","COUPON_FREQUENCY_DESCRIPTION")</f>
        <v>#N/A Field Not Applicable</v>
      </c>
      <c r="K172" t="str">
        <f>_xll.BDP("912834MA Govt","CPN_TYP")</f>
        <v>ZERO</v>
      </c>
      <c r="L172" t="str">
        <f>_xll.BDP("912834MA Govt","ID_ISIN")</f>
        <v>US912834MA36</v>
      </c>
      <c r="N172">
        <v>0</v>
      </c>
      <c r="O172" t="str">
        <f>_xll.BDP("912834MA Govt","ISSUE_DT")</f>
        <v>12/31/2012</v>
      </c>
      <c r="P172" t="str">
        <f>_xll.BDP("912834MA Govt","SECURITY_NAME")</f>
        <v>S 0 12/31/19</v>
      </c>
      <c r="Q172" t="str">
        <f>_xll.BDP("912834MA Govt","DAY_CNT_DES")</f>
        <v>ACT/ACT</v>
      </c>
      <c r="R172">
        <v>100</v>
      </c>
      <c r="S172" t="str">
        <f>_xll.BDP("912834MA Govt","ID_CUSIP")</f>
        <v>912834MA3</v>
      </c>
      <c r="T172" t="str">
        <f>_xll.BDP("912834MA Govt","IDX_RATIO")</f>
        <v>#N/A Field Not Applicable</v>
      </c>
    </row>
    <row r="173" spans="1:20" x14ac:dyDescent="0.25">
      <c r="A173" t="s">
        <v>14</v>
      </c>
      <c r="B173" t="str">
        <f>_xll.BDP("912833JY Govt","TICKER")</f>
        <v>S</v>
      </c>
      <c r="C173">
        <f>_xll.BDP("912833JY Govt","CPN")</f>
        <v>0</v>
      </c>
      <c r="D173" t="str">
        <f>_xll.BDP("912833JY Govt","YLD_YTM_BID")</f>
        <v>#N/A N/A</v>
      </c>
      <c r="E173" t="str">
        <f>_xll.BDP("912833JY Govt","MATURITY")</f>
        <v>5/15/2012</v>
      </c>
      <c r="F173" t="str">
        <f>_xll.BDP("912833JY Govt","MTY_TYP")</f>
        <v>NORMAL</v>
      </c>
      <c r="G173" t="str">
        <f>_xll.BDP("912833JY Govt","CRNCY")</f>
        <v>USD</v>
      </c>
      <c r="H173" t="str">
        <f>_xll.BDP("912833JY Govt","COUNTRY_FULL_NAME")</f>
        <v>UNITED STATES</v>
      </c>
      <c r="I173" t="str">
        <f>_xll.BDP("912833JY Govt","FIRST_CPN_DT")</f>
        <v>#N/A Field Not Applicable</v>
      </c>
      <c r="J173" t="str">
        <f>_xll.BDP("912833JY Govt","COUPON_FREQUENCY_DESCRIPTION")</f>
        <v>#N/A Field Not Applicable</v>
      </c>
      <c r="K173" t="str">
        <f>_xll.BDP("912833JY Govt","CPN_TYP")</f>
        <v>ZERO</v>
      </c>
      <c r="L173" t="str">
        <f>_xll.BDP("912833JY Govt","ID_ISIN")</f>
        <v>US912833JY75</v>
      </c>
      <c r="N173">
        <v>0</v>
      </c>
      <c r="O173" t="str">
        <f>_xll.BDP("912833JY Govt","ISSUE_DT")</f>
        <v>11/15/1985</v>
      </c>
      <c r="P173" t="str">
        <f>_xll.BDP("912833JY Govt","SECURITY_NAME")</f>
        <v>S 0 05/15/12</v>
      </c>
      <c r="Q173" t="str">
        <f>_xll.BDP("912833JY Govt","DAY_CNT_DES")</f>
        <v>ACT/ACT</v>
      </c>
      <c r="R173">
        <v>100</v>
      </c>
      <c r="S173" t="str">
        <f>_xll.BDP("912833JY Govt","ID_CUSIP")</f>
        <v>912833JY7</v>
      </c>
      <c r="T173" t="str">
        <f>_xll.BDP("912833JY Govt","IDX_RATIO")</f>
        <v>#N/A Field Not Applicable</v>
      </c>
    </row>
    <row r="174" spans="1:20" x14ac:dyDescent="0.25">
      <c r="A174" t="s">
        <v>14</v>
      </c>
      <c r="B174" t="str">
        <f>_xll.BDP("912834NT Govt","TICKER")</f>
        <v>S</v>
      </c>
      <c r="C174">
        <f>_xll.BDP("912834NT Govt","CPN")</f>
        <v>0</v>
      </c>
      <c r="D174" t="str">
        <f>_xll.BDP("912834NT Govt","YLD_YTM_BID")</f>
        <v>#N/A N/A</v>
      </c>
      <c r="E174" t="str">
        <f>_xll.BDP("912834NT Govt","MATURITY")</f>
        <v>7/15/2017</v>
      </c>
      <c r="F174" t="str">
        <f>_xll.BDP("912834NT Govt","MTY_TYP")</f>
        <v>NORMAL</v>
      </c>
      <c r="G174" t="str">
        <f>_xll.BDP("912834NT Govt","CRNCY")</f>
        <v>USD</v>
      </c>
      <c r="H174" t="str">
        <f>_xll.BDP("912834NT Govt","COUNTRY_FULL_NAME")</f>
        <v>UNITED STATES</v>
      </c>
      <c r="I174" t="str">
        <f>_xll.BDP("912834NT Govt","FIRST_CPN_DT")</f>
        <v>#N/A Field Not Applicable</v>
      </c>
      <c r="J174" t="str">
        <f>_xll.BDP("912834NT Govt","COUPON_FREQUENCY_DESCRIPTION")</f>
        <v>#N/A Field Not Applicable</v>
      </c>
      <c r="K174" t="str">
        <f>_xll.BDP("912834NT Govt","CPN_TYP")</f>
        <v>ZERO</v>
      </c>
      <c r="L174" t="str">
        <f>_xll.BDP("912834NT Govt","ID_ISIN")</f>
        <v>US912834NT18</v>
      </c>
      <c r="N174">
        <v>0</v>
      </c>
      <c r="O174" t="str">
        <f>_xll.BDP("912834NT Govt","ISSUE_DT")</f>
        <v>7/15/2014</v>
      </c>
      <c r="P174" t="str">
        <f>_xll.BDP("912834NT Govt","SECURITY_NAME")</f>
        <v>S 0 07/15/17</v>
      </c>
      <c r="Q174" t="str">
        <f>_xll.BDP("912834NT Govt","DAY_CNT_DES")</f>
        <v>ACT/ACT</v>
      </c>
      <c r="R174">
        <v>100</v>
      </c>
      <c r="S174" t="str">
        <f>_xll.BDP("912834NT Govt","ID_CUSIP")</f>
        <v>912834NT1</v>
      </c>
      <c r="T174" t="str">
        <f>_xll.BDP("912834NT Govt","IDX_RATIO")</f>
        <v>#N/A Field Not Applicable</v>
      </c>
    </row>
    <row r="175" spans="1:20" x14ac:dyDescent="0.25">
      <c r="A175" t="s">
        <v>14</v>
      </c>
      <c r="B175" t="str">
        <f>_xll.BDP("912834EU Govt","TICKER")</f>
        <v>S</v>
      </c>
      <c r="C175">
        <f>_xll.BDP("912834EU Govt","CPN")</f>
        <v>0</v>
      </c>
      <c r="D175" t="str">
        <f>_xll.BDP("912834EU Govt","YLD_YTM_BID")</f>
        <v>#N/A N/A</v>
      </c>
      <c r="E175" t="str">
        <f>_xll.BDP("912834EU Govt","MATURITY")</f>
        <v>10/31/2016</v>
      </c>
      <c r="F175" t="str">
        <f>_xll.BDP("912834EU Govt","MTY_TYP")</f>
        <v>NORMAL</v>
      </c>
      <c r="G175" t="str">
        <f>_xll.BDP("912834EU Govt","CRNCY")</f>
        <v>USD</v>
      </c>
      <c r="H175" t="str">
        <f>_xll.BDP("912834EU Govt","COUNTRY_FULL_NAME")</f>
        <v>UNITED STATES</v>
      </c>
      <c r="I175" t="str">
        <f>_xll.BDP("912834EU Govt","FIRST_CPN_DT")</f>
        <v>#N/A Field Not Applicable</v>
      </c>
      <c r="J175" t="str">
        <f>_xll.BDP("912834EU Govt","COUPON_FREQUENCY_DESCRIPTION")</f>
        <v>#N/A Field Not Applicable</v>
      </c>
      <c r="K175" t="str">
        <f>_xll.BDP("912834EU Govt","CPN_TYP")</f>
        <v>ZERO</v>
      </c>
      <c r="L175" t="str">
        <f>_xll.BDP("912834EU Govt","ID_ISIN")</f>
        <v>US912834EU81</v>
      </c>
      <c r="N175">
        <v>0</v>
      </c>
      <c r="O175" t="str">
        <f>_xll.BDP("912834EU Govt","ISSUE_DT")</f>
        <v>11/2/2009</v>
      </c>
      <c r="P175" t="str">
        <f>_xll.BDP("912834EU Govt","SECURITY_NAME")</f>
        <v>S 0 10/31/16</v>
      </c>
      <c r="Q175" t="str">
        <f>_xll.BDP("912834EU Govt","DAY_CNT_DES")</f>
        <v>ACT/ACT</v>
      </c>
      <c r="R175">
        <v>100</v>
      </c>
      <c r="S175" t="str">
        <f>_xll.BDP("912834EU Govt","ID_CUSIP")</f>
        <v>912834EU8</v>
      </c>
      <c r="T175" t="str">
        <f>_xll.BDP("912834EU Govt","IDX_RATIO")</f>
        <v>#N/A Field Not Applicable</v>
      </c>
    </row>
    <row r="176" spans="1:20" x14ac:dyDescent="0.25">
      <c r="A176" t="s">
        <v>14</v>
      </c>
      <c r="B176" t="str">
        <f>_xll.BDP("912833KS Govt","TICKER")</f>
        <v>S</v>
      </c>
      <c r="C176">
        <f>_xll.BDP("912833KS Govt","CPN")</f>
        <v>0</v>
      </c>
      <c r="D176" t="str">
        <f>_xll.BDP("912833KS Govt","YLD_YTM_BID")</f>
        <v>#N/A N/A</v>
      </c>
      <c r="E176" t="str">
        <f>_xll.BDP("912833KS Govt","MATURITY")</f>
        <v>8/15/2018</v>
      </c>
      <c r="F176" t="str">
        <f>_xll.BDP("912833KS Govt","MTY_TYP")</f>
        <v>NORMAL</v>
      </c>
      <c r="G176" t="str">
        <f>_xll.BDP("912833KS Govt","CRNCY")</f>
        <v>USD</v>
      </c>
      <c r="H176" t="str">
        <f>_xll.BDP("912833KS Govt","COUNTRY_FULL_NAME")</f>
        <v>UNITED STATES</v>
      </c>
      <c r="I176" t="str">
        <f>_xll.BDP("912833KS Govt","FIRST_CPN_DT")</f>
        <v>#N/A Field Not Applicable</v>
      </c>
      <c r="J176" t="str">
        <f>_xll.BDP("912833KS Govt","COUPON_FREQUENCY_DESCRIPTION")</f>
        <v>#N/A Field Not Applicable</v>
      </c>
      <c r="K176" t="str">
        <f>_xll.BDP("912833KS Govt","CPN_TYP")</f>
        <v>ZERO</v>
      </c>
      <c r="L176" t="str">
        <f>_xll.BDP("912833KS Govt","ID_ISIN")</f>
        <v>US912833KS88</v>
      </c>
      <c r="N176">
        <v>0</v>
      </c>
      <c r="O176" t="str">
        <f>_xll.BDP("912833KS Govt","ISSUE_DT")</f>
        <v>11/22/1988</v>
      </c>
      <c r="P176" t="str">
        <f>_xll.BDP("912833KS Govt","SECURITY_NAME")</f>
        <v>S 0 08/15/18</v>
      </c>
      <c r="Q176" t="str">
        <f>_xll.BDP("912833KS Govt","DAY_CNT_DES")</f>
        <v>ACT/ACT</v>
      </c>
      <c r="R176">
        <v>100</v>
      </c>
      <c r="S176" t="str">
        <f>_xll.BDP("912833KS Govt","ID_CUSIP")</f>
        <v>912833KS8</v>
      </c>
      <c r="T176" t="str">
        <f>_xll.BDP("912833KS Govt","IDX_RATIO")</f>
        <v>#N/A Field Not Applicable</v>
      </c>
    </row>
    <row r="177" spans="1:20" x14ac:dyDescent="0.25">
      <c r="A177" t="s">
        <v>14</v>
      </c>
      <c r="B177" t="str">
        <f>_xll.BDP("912833KW Govt","TICKER")</f>
        <v>S</v>
      </c>
      <c r="C177">
        <f>_xll.BDP("912833KW Govt","CPN")</f>
        <v>0</v>
      </c>
      <c r="D177" t="str">
        <f>_xll.BDP("912833KW Govt","YLD_YTM_BID")</f>
        <v>#N/A N/A</v>
      </c>
      <c r="E177" t="str">
        <f>_xll.BDP("912833KW Govt","MATURITY")</f>
        <v>8/15/2019</v>
      </c>
      <c r="F177" t="str">
        <f>_xll.BDP("912833KW Govt","MTY_TYP")</f>
        <v>NORMAL</v>
      </c>
      <c r="G177" t="str">
        <f>_xll.BDP("912833KW Govt","CRNCY")</f>
        <v>USD</v>
      </c>
      <c r="H177" t="str">
        <f>_xll.BDP("912833KW Govt","COUNTRY_FULL_NAME")</f>
        <v>UNITED STATES</v>
      </c>
      <c r="I177" t="str">
        <f>_xll.BDP("912833KW Govt","FIRST_CPN_DT")</f>
        <v>#N/A Field Not Applicable</v>
      </c>
      <c r="J177" t="str">
        <f>_xll.BDP("912833KW Govt","COUPON_FREQUENCY_DESCRIPTION")</f>
        <v>#N/A Field Not Applicable</v>
      </c>
      <c r="K177" t="str">
        <f>_xll.BDP("912833KW Govt","CPN_TYP")</f>
        <v>ZERO</v>
      </c>
      <c r="L177" t="str">
        <f>_xll.BDP("912833KW Govt","ID_ISIN")</f>
        <v>US912833KW90</v>
      </c>
      <c r="N177">
        <v>0</v>
      </c>
      <c r="O177" t="str">
        <f>_xll.BDP("912833KW Govt","ISSUE_DT")</f>
        <v>8/15/1989</v>
      </c>
      <c r="P177" t="str">
        <f>_xll.BDP("912833KW Govt","SECURITY_NAME")</f>
        <v>S 0 08/15/19</v>
      </c>
      <c r="Q177" t="str">
        <f>_xll.BDP("912833KW Govt","DAY_CNT_DES")</f>
        <v>ACT/ACT</v>
      </c>
      <c r="R177">
        <v>100</v>
      </c>
      <c r="S177" t="str">
        <f>_xll.BDP("912833KW Govt","ID_CUSIP")</f>
        <v>912833KW9</v>
      </c>
      <c r="T177" t="str">
        <f>_xll.BDP("912833KW Govt","IDX_RATIO")</f>
        <v>#N/A Field Not Applicable</v>
      </c>
    </row>
    <row r="178" spans="1:20" x14ac:dyDescent="0.25">
      <c r="A178" t="s">
        <v>14</v>
      </c>
      <c r="B178" t="str">
        <f>_xll.BDP("912834VA Govt","TICKER")</f>
        <v>S</v>
      </c>
      <c r="C178">
        <f>_xll.BDP("912834VA Govt","CPN")</f>
        <v>0</v>
      </c>
      <c r="D178">
        <f>_xll.BDP("912834VA Govt","YLD_YTM_BID")</f>
        <v>8.6999999999992639E-2</v>
      </c>
      <c r="E178" t="str">
        <f>_xll.BDP("912834VA Govt","MATURITY")</f>
        <v>9/15/2022</v>
      </c>
      <c r="F178" t="str">
        <f>_xll.BDP("912834VA Govt","MTY_TYP")</f>
        <v>NORMAL</v>
      </c>
      <c r="G178" t="str">
        <f>_xll.BDP("912834VA Govt","CRNCY")</f>
        <v>USD</v>
      </c>
      <c r="H178" t="str">
        <f>_xll.BDP("912834VA Govt","COUNTRY_FULL_NAME")</f>
        <v>UNITED STATES</v>
      </c>
      <c r="I178" t="str">
        <f>_xll.BDP("912834VA Govt","FIRST_CPN_DT")</f>
        <v>#N/A Field Not Applicable</v>
      </c>
      <c r="J178" t="str">
        <f>_xll.BDP("912834VA Govt","COUPON_FREQUENCY_DESCRIPTION")</f>
        <v>#N/A Field Not Applicable</v>
      </c>
      <c r="K178" t="str">
        <f>_xll.BDP("912834VA Govt","CPN_TYP")</f>
        <v>ZERO</v>
      </c>
      <c r="L178" t="str">
        <f>_xll.BDP("912834VA Govt","ID_ISIN")</f>
        <v>US912834VA35</v>
      </c>
      <c r="N178">
        <v>0</v>
      </c>
      <c r="O178" t="str">
        <f>_xll.BDP("912834VA Govt","ISSUE_DT")</f>
        <v>9/16/2019</v>
      </c>
      <c r="P178" t="str">
        <f>_xll.BDP("912834VA Govt","SECURITY_NAME")</f>
        <v>S 0 09/15/22</v>
      </c>
      <c r="Q178" t="str">
        <f>_xll.BDP("912834VA Govt","DAY_CNT_DES")</f>
        <v>ACT/ACT</v>
      </c>
      <c r="R178">
        <v>100</v>
      </c>
      <c r="S178" t="str">
        <f>_xll.BDP("912834VA Govt","ID_CUSIP")</f>
        <v>912834VA3</v>
      </c>
      <c r="T178" t="str">
        <f>_xll.BDP("912834VA Govt","IDX_RATIO")</f>
        <v>#N/A Field Not Applicable</v>
      </c>
    </row>
    <row r="179" spans="1:20" x14ac:dyDescent="0.25">
      <c r="A179" t="s">
        <v>14</v>
      </c>
      <c r="B179" t="str">
        <f>_xll.BDP("912834QN Govt","TICKER")</f>
        <v>S</v>
      </c>
      <c r="C179">
        <f>_xll.BDP("912834QN Govt","CPN")</f>
        <v>0</v>
      </c>
      <c r="D179">
        <f>_xll.BDP("912834QN Govt","YLD_YTM_BID")</f>
        <v>0.24799999999998157</v>
      </c>
      <c r="E179" t="str">
        <f>_xll.BDP("912834QN Govt","MATURITY")</f>
        <v>7/31/2023</v>
      </c>
      <c r="F179" t="str">
        <f>_xll.BDP("912834QN Govt","MTY_TYP")</f>
        <v>NORMAL</v>
      </c>
      <c r="G179" t="str">
        <f>_xll.BDP("912834QN Govt","CRNCY")</f>
        <v>USD</v>
      </c>
      <c r="H179" t="str">
        <f>_xll.BDP("912834QN Govt","COUNTRY_FULL_NAME")</f>
        <v>UNITED STATES</v>
      </c>
      <c r="I179" t="str">
        <f>_xll.BDP("912834QN Govt","FIRST_CPN_DT")</f>
        <v>#N/A Field Not Applicable</v>
      </c>
      <c r="J179" t="str">
        <f>_xll.BDP("912834QN Govt","COUPON_FREQUENCY_DESCRIPTION")</f>
        <v>#N/A Field Not Applicable</v>
      </c>
      <c r="K179" t="str">
        <f>_xll.BDP("912834QN Govt","CPN_TYP")</f>
        <v>ZERO</v>
      </c>
      <c r="L179" t="str">
        <f>_xll.BDP("912834QN Govt","ID_ISIN")</f>
        <v>US912834QN11</v>
      </c>
      <c r="N179">
        <v>0</v>
      </c>
      <c r="O179" t="str">
        <f>_xll.BDP("912834QN Govt","ISSUE_DT")</f>
        <v>8/1/2016</v>
      </c>
      <c r="P179" t="str">
        <f>_xll.BDP("912834QN Govt","SECURITY_NAME")</f>
        <v>S 0 07/31/23</v>
      </c>
      <c r="Q179" t="str">
        <f>_xll.BDP("912834QN Govt","DAY_CNT_DES")</f>
        <v>ACT/ACT</v>
      </c>
      <c r="R179">
        <v>100</v>
      </c>
      <c r="S179" t="str">
        <f>_xll.BDP("912834QN Govt","ID_CUSIP")</f>
        <v>912834QN1</v>
      </c>
      <c r="T179" t="str">
        <f>_xll.BDP("912834QN Govt","IDX_RATIO")</f>
        <v>#N/A Field Not Applicable</v>
      </c>
    </row>
    <row r="180" spans="1:20" x14ac:dyDescent="0.25">
      <c r="A180" t="s">
        <v>14</v>
      </c>
      <c r="B180" t="str">
        <f>_xll.BDP("912834UM Govt","TICKER")</f>
        <v>S</v>
      </c>
      <c r="C180">
        <f>_xll.BDP("912834UM Govt","CPN")</f>
        <v>0</v>
      </c>
      <c r="D180">
        <f>_xll.BDP("912834UM Govt","YLD_YTM_BID")</f>
        <v>-9.0000000000031721E-3</v>
      </c>
      <c r="E180" t="str">
        <f>_xll.BDP("912834UM Govt","MATURITY")</f>
        <v>3/15/2022</v>
      </c>
      <c r="F180" t="str">
        <f>_xll.BDP("912834UM Govt","MTY_TYP")</f>
        <v>NORMAL</v>
      </c>
      <c r="G180" t="str">
        <f>_xll.BDP("912834UM Govt","CRNCY")</f>
        <v>USD</v>
      </c>
      <c r="H180" t="str">
        <f>_xll.BDP("912834UM Govt","COUNTRY_FULL_NAME")</f>
        <v>UNITED STATES</v>
      </c>
      <c r="I180" t="str">
        <f>_xll.BDP("912834UM Govt","FIRST_CPN_DT")</f>
        <v>#N/A Field Not Applicable</v>
      </c>
      <c r="J180" t="str">
        <f>_xll.BDP("912834UM Govt","COUPON_FREQUENCY_DESCRIPTION")</f>
        <v>#N/A Field Not Applicable</v>
      </c>
      <c r="K180" t="str">
        <f>_xll.BDP("912834UM Govt","CPN_TYP")</f>
        <v>ZERO</v>
      </c>
      <c r="L180" t="str">
        <f>_xll.BDP("912834UM Govt","ID_ISIN")</f>
        <v>US912834UM81</v>
      </c>
      <c r="N180">
        <v>0</v>
      </c>
      <c r="O180" t="str">
        <f>_xll.BDP("912834UM Govt","ISSUE_DT")</f>
        <v>3/15/2019</v>
      </c>
      <c r="P180" t="str">
        <f>_xll.BDP("912834UM Govt","SECURITY_NAME")</f>
        <v>S 0 03/15/22</v>
      </c>
      <c r="Q180" t="str">
        <f>_xll.BDP("912834UM Govt","DAY_CNT_DES")</f>
        <v>ACT/ACT</v>
      </c>
      <c r="R180">
        <v>100</v>
      </c>
      <c r="S180" t="str">
        <f>_xll.BDP("912834UM Govt","ID_CUSIP")</f>
        <v>912834UM8</v>
      </c>
      <c r="T180" t="str">
        <f>_xll.BDP("912834UM Govt","IDX_RATIO")</f>
        <v>#N/A Field Not Applicable</v>
      </c>
    </row>
    <row r="181" spans="1:20" x14ac:dyDescent="0.25">
      <c r="A181" t="s">
        <v>14</v>
      </c>
      <c r="B181" t="str">
        <f>_xll.BDP("912834UZ Govt","TICKER")</f>
        <v>S</v>
      </c>
      <c r="C181">
        <f>_xll.BDP("912834UZ Govt","CPN")</f>
        <v>0</v>
      </c>
      <c r="D181">
        <f>_xll.BDP("912834UZ Govt","YLD_YTM_BID")</f>
        <v>1.0559999999999903</v>
      </c>
      <c r="E181" t="str">
        <f>_xll.BDP("912834UZ Govt","MATURITY")</f>
        <v>8/31/2026</v>
      </c>
      <c r="F181" t="str">
        <f>_xll.BDP("912834UZ Govt","MTY_TYP")</f>
        <v>NORMAL</v>
      </c>
      <c r="G181" t="str">
        <f>_xll.BDP("912834UZ Govt","CRNCY")</f>
        <v>USD</v>
      </c>
      <c r="H181" t="str">
        <f>_xll.BDP("912834UZ Govt","COUNTRY_FULL_NAME")</f>
        <v>UNITED STATES</v>
      </c>
      <c r="I181" t="str">
        <f>_xll.BDP("912834UZ Govt","FIRST_CPN_DT")</f>
        <v>#N/A Field Not Applicable</v>
      </c>
      <c r="J181" t="str">
        <f>_xll.BDP("912834UZ Govt","COUPON_FREQUENCY_DESCRIPTION")</f>
        <v>#N/A Field Not Applicable</v>
      </c>
      <c r="K181" t="str">
        <f>_xll.BDP("912834UZ Govt","CPN_TYP")</f>
        <v>ZERO</v>
      </c>
      <c r="L181" t="str">
        <f>_xll.BDP("912834UZ Govt","ID_ISIN")</f>
        <v>US912834UZ94</v>
      </c>
      <c r="N181">
        <v>0</v>
      </c>
      <c r="O181" t="str">
        <f>_xll.BDP("912834UZ Govt","ISSUE_DT")</f>
        <v>9/3/2019</v>
      </c>
      <c r="P181" t="str">
        <f>_xll.BDP("912834UZ Govt","SECURITY_NAME")</f>
        <v>S 0 08/31/26</v>
      </c>
      <c r="Q181" t="str">
        <f>_xll.BDP("912834UZ Govt","DAY_CNT_DES")</f>
        <v>ACT/ACT</v>
      </c>
      <c r="R181">
        <v>100</v>
      </c>
      <c r="S181" t="str">
        <f>_xll.BDP("912834UZ Govt","ID_CUSIP")</f>
        <v>912834UZ9</v>
      </c>
      <c r="T181" t="str">
        <f>_xll.BDP("912834UZ Govt","IDX_RATIO")</f>
        <v>#N/A Field Not Applicable</v>
      </c>
    </row>
    <row r="182" spans="1:20" x14ac:dyDescent="0.25">
      <c r="A182" t="s">
        <v>14</v>
      </c>
      <c r="B182" t="str">
        <f>_xll.BDP("912834UX Govt","TICKER")</f>
        <v>S</v>
      </c>
      <c r="C182">
        <f>_xll.BDP("912834UX Govt","CPN")</f>
        <v>0</v>
      </c>
      <c r="D182">
        <f>_xll.BDP("912834UX Govt","YLD_YTM_BID")</f>
        <v>1.0359999999999925</v>
      </c>
      <c r="E182" t="str">
        <f>_xll.BDP("912834UX Govt","MATURITY")</f>
        <v>7/31/2026</v>
      </c>
      <c r="F182" t="str">
        <f>_xll.BDP("912834UX Govt","MTY_TYP")</f>
        <v>NORMAL</v>
      </c>
      <c r="G182" t="str">
        <f>_xll.BDP("912834UX Govt","CRNCY")</f>
        <v>USD</v>
      </c>
      <c r="H182" t="str">
        <f>_xll.BDP("912834UX Govt","COUNTRY_FULL_NAME")</f>
        <v>UNITED STATES</v>
      </c>
      <c r="I182" t="str">
        <f>_xll.BDP("912834UX Govt","FIRST_CPN_DT")</f>
        <v>#N/A Field Not Applicable</v>
      </c>
      <c r="J182" t="str">
        <f>_xll.BDP("912834UX Govt","COUPON_FREQUENCY_DESCRIPTION")</f>
        <v>#N/A Field Not Applicable</v>
      </c>
      <c r="K182" t="str">
        <f>_xll.BDP("912834UX Govt","CPN_TYP")</f>
        <v>ZERO</v>
      </c>
      <c r="L182" t="str">
        <f>_xll.BDP("912834UX Govt","ID_ISIN")</f>
        <v>US912834UX47</v>
      </c>
      <c r="N182">
        <v>0</v>
      </c>
      <c r="O182" t="str">
        <f>_xll.BDP("912834UX Govt","ISSUE_DT")</f>
        <v>7/31/2019</v>
      </c>
      <c r="P182" t="str">
        <f>_xll.BDP("912834UX Govt","SECURITY_NAME")</f>
        <v>S 0 07/31/26</v>
      </c>
      <c r="Q182" t="str">
        <f>_xll.BDP("912834UX Govt","DAY_CNT_DES")</f>
        <v>ACT/ACT</v>
      </c>
      <c r="R182">
        <v>100</v>
      </c>
      <c r="S182" t="str">
        <f>_xll.BDP("912834UX Govt","ID_CUSIP")</f>
        <v>912834UX4</v>
      </c>
      <c r="T182" t="str">
        <f>_xll.BDP("912834UX Govt","IDX_RATIO")</f>
        <v>#N/A Field Not Applicable</v>
      </c>
    </row>
    <row r="183" spans="1:20" x14ac:dyDescent="0.25">
      <c r="A183" t="s">
        <v>14</v>
      </c>
      <c r="B183" t="str">
        <f>_xll.BDP("912834XB Govt","TICKER")</f>
        <v>S</v>
      </c>
      <c r="C183">
        <f>_xll.BDP("912834XB Govt","CPN")</f>
        <v>0</v>
      </c>
      <c r="D183">
        <f>_xll.BDP("912834XB Govt","YLD_YTM_BID")</f>
        <v>0.49600000000000755</v>
      </c>
      <c r="E183" t="str">
        <f>_xll.BDP("912834XB Govt","MATURITY")</f>
        <v>6/15/2024</v>
      </c>
      <c r="F183" t="str">
        <f>_xll.BDP("912834XB Govt","MTY_TYP")</f>
        <v>NORMAL</v>
      </c>
      <c r="G183" t="str">
        <f>_xll.BDP("912834XB Govt","CRNCY")</f>
        <v>USD</v>
      </c>
      <c r="H183" t="str">
        <f>_xll.BDP("912834XB Govt","COUNTRY_FULL_NAME")</f>
        <v>UNITED STATES</v>
      </c>
      <c r="I183" t="str">
        <f>_xll.BDP("912834XB Govt","FIRST_CPN_DT")</f>
        <v>#N/A Field Not Applicable</v>
      </c>
      <c r="J183" t="str">
        <f>_xll.BDP("912834XB Govt","COUPON_FREQUENCY_DESCRIPTION")</f>
        <v>#N/A Field Not Applicable</v>
      </c>
      <c r="K183" t="str">
        <f>_xll.BDP("912834XB Govt","CPN_TYP")</f>
        <v>ZERO</v>
      </c>
      <c r="L183" t="str">
        <f>_xll.BDP("912834XB Govt","ID_ISIN")</f>
        <v>US912834XB99</v>
      </c>
      <c r="N183">
        <v>0</v>
      </c>
      <c r="O183" t="str">
        <f>_xll.BDP("912834XB Govt","ISSUE_DT")</f>
        <v>6/15/2021</v>
      </c>
      <c r="P183" t="str">
        <f>_xll.BDP("912834XB Govt","SECURITY_NAME")</f>
        <v>S 0 06/15/24</v>
      </c>
      <c r="Q183" t="str">
        <f>_xll.BDP("912834XB Govt","DAY_CNT_DES")</f>
        <v>ACT/ACT</v>
      </c>
      <c r="R183">
        <v>100</v>
      </c>
      <c r="S183" t="str">
        <f>_xll.BDP("912834XB Govt","ID_CUSIP")</f>
        <v>912834XB9</v>
      </c>
      <c r="T183" t="str">
        <f>_xll.BDP("912834XB Govt","IDX_RATIO")</f>
        <v>#N/A Field Not Applicable</v>
      </c>
    </row>
    <row r="184" spans="1:20" x14ac:dyDescent="0.25">
      <c r="A184" t="s">
        <v>14</v>
      </c>
      <c r="B184" t="str">
        <f>_xll.BDP("912834UT Govt","TICKER")</f>
        <v>S</v>
      </c>
      <c r="C184">
        <f>_xll.BDP("912834UT Govt","CPN")</f>
        <v>0</v>
      </c>
      <c r="D184">
        <f>_xll.BDP("912834UT Govt","YLD_YTM_BID")</f>
        <v>3.4000000000000696E-2</v>
      </c>
      <c r="E184" t="str">
        <f>_xll.BDP("912834UT Govt","MATURITY")</f>
        <v>6/15/2022</v>
      </c>
      <c r="F184" t="str">
        <f>_xll.BDP("912834UT Govt","MTY_TYP")</f>
        <v>NORMAL</v>
      </c>
      <c r="G184" t="str">
        <f>_xll.BDP("912834UT Govt","CRNCY")</f>
        <v>USD</v>
      </c>
      <c r="H184" t="str">
        <f>_xll.BDP("912834UT Govt","COUNTRY_FULL_NAME")</f>
        <v>UNITED STATES</v>
      </c>
      <c r="I184" t="str">
        <f>_xll.BDP("912834UT Govt","FIRST_CPN_DT")</f>
        <v>#N/A Field Not Applicable</v>
      </c>
      <c r="J184" t="str">
        <f>_xll.BDP("912834UT Govt","COUPON_FREQUENCY_DESCRIPTION")</f>
        <v>#N/A Field Not Applicable</v>
      </c>
      <c r="K184" t="str">
        <f>_xll.BDP("912834UT Govt","CPN_TYP")</f>
        <v>ZERO</v>
      </c>
      <c r="L184" t="str">
        <f>_xll.BDP("912834UT Govt","ID_ISIN")</f>
        <v>US912834UT35</v>
      </c>
      <c r="N184">
        <v>0</v>
      </c>
      <c r="O184" t="str">
        <f>_xll.BDP("912834UT Govt","ISSUE_DT")</f>
        <v>6/17/2019</v>
      </c>
      <c r="P184" t="str">
        <f>_xll.BDP("912834UT Govt","SECURITY_NAME")</f>
        <v>S 0 06/15/22</v>
      </c>
      <c r="Q184" t="str">
        <f>_xll.BDP("912834UT Govt","DAY_CNT_DES")</f>
        <v>ACT/ACT</v>
      </c>
      <c r="R184">
        <v>100</v>
      </c>
      <c r="S184" t="str">
        <f>_xll.BDP("912834UT Govt","ID_CUSIP")</f>
        <v>912834UT3</v>
      </c>
      <c r="T184" t="str">
        <f>_xll.BDP("912834UT Govt","IDX_RATIO")</f>
        <v>#N/A Field Not Applicable</v>
      </c>
    </row>
    <row r="185" spans="1:20" x14ac:dyDescent="0.25">
      <c r="A185" t="s">
        <v>14</v>
      </c>
      <c r="B185" t="str">
        <f>_xll.BDP("912834WW Govt","TICKER")</f>
        <v>S</v>
      </c>
      <c r="C185">
        <f>_xll.BDP("912834WW Govt","CPN")</f>
        <v>0</v>
      </c>
      <c r="D185">
        <f>_xll.BDP("912834WW Govt","YLD_YTM_BID")</f>
        <v>1.3469999999999871</v>
      </c>
      <c r="E185" t="str">
        <f>_xll.BDP("912834WW Govt","MATURITY")</f>
        <v>3/31/2028</v>
      </c>
      <c r="F185" t="str">
        <f>_xll.BDP("912834WW Govt","MTY_TYP")</f>
        <v>NORMAL</v>
      </c>
      <c r="G185" t="str">
        <f>_xll.BDP("912834WW Govt","CRNCY")</f>
        <v>USD</v>
      </c>
      <c r="H185" t="str">
        <f>_xll.BDP("912834WW Govt","COUNTRY_FULL_NAME")</f>
        <v>UNITED STATES</v>
      </c>
      <c r="I185" t="str">
        <f>_xll.BDP("912834WW Govt","FIRST_CPN_DT")</f>
        <v>#N/A Field Not Applicable</v>
      </c>
      <c r="J185" t="str">
        <f>_xll.BDP("912834WW Govt","COUPON_FREQUENCY_DESCRIPTION")</f>
        <v>#N/A Field Not Applicable</v>
      </c>
      <c r="K185" t="str">
        <f>_xll.BDP("912834WW Govt","CPN_TYP")</f>
        <v>ZERO</v>
      </c>
      <c r="L185" t="str">
        <f>_xll.BDP("912834WW Govt","ID_ISIN")</f>
        <v>US912834WW46</v>
      </c>
      <c r="N185">
        <v>0</v>
      </c>
      <c r="O185" t="str">
        <f>_xll.BDP("912834WW Govt","ISSUE_DT")</f>
        <v>3/31/2021</v>
      </c>
      <c r="P185" t="str">
        <f>_xll.BDP("912834WW Govt","SECURITY_NAME")</f>
        <v>S 0 03/31/28</v>
      </c>
      <c r="Q185" t="str">
        <f>_xll.BDP("912834WW Govt","DAY_CNT_DES")</f>
        <v>ACT/ACT</v>
      </c>
      <c r="R185">
        <v>100</v>
      </c>
      <c r="S185" t="str">
        <f>_xll.BDP("912834WW Govt","ID_CUSIP")</f>
        <v>912834WW4</v>
      </c>
      <c r="T185" t="str">
        <f>_xll.BDP("912834WW Govt","IDX_RATIO")</f>
        <v>#N/A Field Not Applicable</v>
      </c>
    </row>
    <row r="186" spans="1:20" x14ac:dyDescent="0.25">
      <c r="A186" t="s">
        <v>14</v>
      </c>
      <c r="B186" t="str">
        <f>_xll.BDP("912834WD Govt","TICKER")</f>
        <v>S</v>
      </c>
      <c r="C186">
        <f>_xll.BDP("912834WD Govt","CPN")</f>
        <v>0</v>
      </c>
      <c r="D186">
        <f>_xll.BDP("912834WD Govt","YLD_YTM_BID")</f>
        <v>1.252999999999993</v>
      </c>
      <c r="E186" t="str">
        <f>_xll.BDP("912834WD Govt","MATURITY")</f>
        <v>8/31/2027</v>
      </c>
      <c r="F186" t="str">
        <f>_xll.BDP("912834WD Govt","MTY_TYP")</f>
        <v>NORMAL</v>
      </c>
      <c r="G186" t="str">
        <f>_xll.BDP("912834WD Govt","CRNCY")</f>
        <v>USD</v>
      </c>
      <c r="H186" t="str">
        <f>_xll.BDP("912834WD Govt","COUNTRY_FULL_NAME")</f>
        <v>UNITED STATES</v>
      </c>
      <c r="I186" t="str">
        <f>_xll.BDP("912834WD Govt","FIRST_CPN_DT")</f>
        <v>#N/A Field Not Applicable</v>
      </c>
      <c r="J186" t="str">
        <f>_xll.BDP("912834WD Govt","COUPON_FREQUENCY_DESCRIPTION")</f>
        <v>#N/A Field Not Applicable</v>
      </c>
      <c r="K186" t="str">
        <f>_xll.BDP("912834WD Govt","CPN_TYP")</f>
        <v>ZERO</v>
      </c>
      <c r="L186" t="str">
        <f>_xll.BDP("912834WD Govt","ID_ISIN")</f>
        <v>US912834WD64</v>
      </c>
      <c r="N186">
        <v>0</v>
      </c>
      <c r="O186" t="str">
        <f>_xll.BDP("912834WD Govt","ISSUE_DT")</f>
        <v>8/31/2020</v>
      </c>
      <c r="P186" t="str">
        <f>_xll.BDP("912834WD Govt","SECURITY_NAME")</f>
        <v>S 0 08/31/27</v>
      </c>
      <c r="Q186" t="str">
        <f>_xll.BDP("912834WD Govt","DAY_CNT_DES")</f>
        <v>ACT/ACT</v>
      </c>
      <c r="R186">
        <v>100</v>
      </c>
      <c r="S186" t="str">
        <f>_xll.BDP("912834WD Govt","ID_CUSIP")</f>
        <v>912834WD6</v>
      </c>
      <c r="T186" t="str">
        <f>_xll.BDP("912834WD Govt","IDX_RATIO")</f>
        <v>#N/A Field Not Applicable</v>
      </c>
    </row>
    <row r="187" spans="1:20" x14ac:dyDescent="0.25">
      <c r="A187" t="s">
        <v>14</v>
      </c>
      <c r="B187" t="str">
        <f>_xll.BDP("912834XF Govt","TICKER")</f>
        <v>S</v>
      </c>
      <c r="C187">
        <f>_xll.BDP("912834XF Govt","CPN")</f>
        <v>0</v>
      </c>
      <c r="D187">
        <f>_xll.BDP("912834XF Govt","YLD_YTM_BID")</f>
        <v>1.3980000000000103</v>
      </c>
      <c r="E187" t="str">
        <f>_xll.BDP("912834XF Govt","MATURITY")</f>
        <v>7/31/2028</v>
      </c>
      <c r="F187" t="str">
        <f>_xll.BDP("912834XF Govt","MTY_TYP")</f>
        <v>NORMAL</v>
      </c>
      <c r="G187" t="str">
        <f>_xll.BDP("912834XF Govt","CRNCY")</f>
        <v>USD</v>
      </c>
      <c r="H187" t="str">
        <f>_xll.BDP("912834XF Govt","COUNTRY_FULL_NAME")</f>
        <v>UNITED STATES</v>
      </c>
      <c r="I187" t="str">
        <f>_xll.BDP("912834XF Govt","FIRST_CPN_DT")</f>
        <v>#N/A Field Not Applicable</v>
      </c>
      <c r="J187" t="str">
        <f>_xll.BDP("912834XF Govt","COUPON_FREQUENCY_DESCRIPTION")</f>
        <v>#N/A Field Not Applicable</v>
      </c>
      <c r="K187" t="str">
        <f>_xll.BDP("912834XF Govt","CPN_TYP")</f>
        <v>ZERO</v>
      </c>
      <c r="L187" t="str">
        <f>_xll.BDP("912834XF Govt","ID_ISIN")</f>
        <v>US912834XF04</v>
      </c>
      <c r="N187">
        <v>0</v>
      </c>
      <c r="O187" t="str">
        <f>_xll.BDP("912834XF Govt","ISSUE_DT")</f>
        <v>8/2/2021</v>
      </c>
      <c r="P187" t="str">
        <f>_xll.BDP("912834XF Govt","SECURITY_NAME")</f>
        <v>S 0 07/31/28</v>
      </c>
      <c r="Q187" t="str">
        <f>_xll.BDP("912834XF Govt","DAY_CNT_DES")</f>
        <v>ACT/ACT</v>
      </c>
      <c r="R187">
        <v>100</v>
      </c>
      <c r="S187" t="str">
        <f>_xll.BDP("912834XF Govt","ID_CUSIP")</f>
        <v>912834XF0</v>
      </c>
      <c r="T187" t="str">
        <f>_xll.BDP("912834XF Govt","IDX_RATIO")</f>
        <v>#N/A Field Not Applicable</v>
      </c>
    </row>
    <row r="188" spans="1:20" x14ac:dyDescent="0.25">
      <c r="A188" t="s">
        <v>14</v>
      </c>
      <c r="B188" t="str">
        <f>_xll.BDP("912834WM Govt","TICKER")</f>
        <v>S</v>
      </c>
      <c r="C188">
        <f>_xll.BDP("912834WM Govt","CPN")</f>
        <v>0</v>
      </c>
      <c r="D188">
        <f>_xll.BDP("912834WM Govt","YLD_YTM_BID")</f>
        <v>1.3079999999999981</v>
      </c>
      <c r="E188" t="str">
        <f>_xll.BDP("912834WM Govt","MATURITY")</f>
        <v>12/31/2027</v>
      </c>
      <c r="F188" t="str">
        <f>_xll.BDP("912834WM Govt","MTY_TYP")</f>
        <v>NORMAL</v>
      </c>
      <c r="G188" t="str">
        <f>_xll.BDP("912834WM Govt","CRNCY")</f>
        <v>USD</v>
      </c>
      <c r="H188" t="str">
        <f>_xll.BDP("912834WM Govt","COUNTRY_FULL_NAME")</f>
        <v>UNITED STATES</v>
      </c>
      <c r="I188" t="str">
        <f>_xll.BDP("912834WM Govt","FIRST_CPN_DT")</f>
        <v>#N/A Field Not Applicable</v>
      </c>
      <c r="J188" t="str">
        <f>_xll.BDP("912834WM Govt","COUPON_FREQUENCY_DESCRIPTION")</f>
        <v>#N/A Field Not Applicable</v>
      </c>
      <c r="K188" t="str">
        <f>_xll.BDP("912834WM Govt","CPN_TYP")</f>
        <v>ZERO</v>
      </c>
      <c r="L188" t="str">
        <f>_xll.BDP("912834WM Govt","ID_ISIN")</f>
        <v>US912834WM63</v>
      </c>
      <c r="N188">
        <v>0</v>
      </c>
      <c r="O188" t="str">
        <f>_xll.BDP("912834WM Govt","ISSUE_DT")</f>
        <v>12/31/2020</v>
      </c>
      <c r="P188" t="str">
        <f>_xll.BDP("912834WM Govt","SECURITY_NAME")</f>
        <v>S 0 12/31/27</v>
      </c>
      <c r="Q188" t="str">
        <f>_xll.BDP("912834WM Govt","DAY_CNT_DES")</f>
        <v>ACT/ACT</v>
      </c>
      <c r="R188">
        <v>100</v>
      </c>
      <c r="S188" t="str">
        <f>_xll.BDP("912834WM Govt","ID_CUSIP")</f>
        <v>912834WM6</v>
      </c>
      <c r="T188" t="str">
        <f>_xll.BDP("912834WM Govt","IDX_RATIO")</f>
        <v>#N/A Field Not Applicable</v>
      </c>
    </row>
    <row r="189" spans="1:20" x14ac:dyDescent="0.25">
      <c r="A189" t="s">
        <v>14</v>
      </c>
      <c r="B189" t="str">
        <f>_xll.BDP("912834WY Govt","TICKER")</f>
        <v>S</v>
      </c>
      <c r="C189">
        <f>_xll.BDP("912834WY Govt","CPN")</f>
        <v>0</v>
      </c>
      <c r="D189">
        <f>_xll.BDP("912834WY Govt","YLD_YTM_BID")</f>
        <v>1.3599999999999834</v>
      </c>
      <c r="E189" t="str">
        <f>_xll.BDP("912834WY Govt","MATURITY")</f>
        <v>4/30/2028</v>
      </c>
      <c r="F189" t="str">
        <f>_xll.BDP("912834WY Govt","MTY_TYP")</f>
        <v>NORMAL</v>
      </c>
      <c r="G189" t="str">
        <f>_xll.BDP("912834WY Govt","CRNCY")</f>
        <v>USD</v>
      </c>
      <c r="H189" t="str">
        <f>_xll.BDP("912834WY Govt","COUNTRY_FULL_NAME")</f>
        <v>UNITED STATES</v>
      </c>
      <c r="I189" t="str">
        <f>_xll.BDP("912834WY Govt","FIRST_CPN_DT")</f>
        <v>#N/A Field Not Applicable</v>
      </c>
      <c r="J189" t="str">
        <f>_xll.BDP("912834WY Govt","COUPON_FREQUENCY_DESCRIPTION")</f>
        <v>#N/A Field Not Applicable</v>
      </c>
      <c r="K189" t="str">
        <f>_xll.BDP("912834WY Govt","CPN_TYP")</f>
        <v>ZERO</v>
      </c>
      <c r="L189" t="str">
        <f>_xll.BDP("912834WY Govt","ID_ISIN")</f>
        <v>US912834WY02</v>
      </c>
      <c r="N189">
        <v>0</v>
      </c>
      <c r="O189" t="str">
        <f>_xll.BDP("912834WY Govt","ISSUE_DT")</f>
        <v>4/30/2021</v>
      </c>
      <c r="P189" t="str">
        <f>_xll.BDP("912834WY Govt","SECURITY_NAME")</f>
        <v>S 0 04/30/28</v>
      </c>
      <c r="Q189" t="str">
        <f>_xll.BDP("912834WY Govt","DAY_CNT_DES")</f>
        <v>ACT/ACT</v>
      </c>
      <c r="R189">
        <v>100</v>
      </c>
      <c r="S189" t="str">
        <f>_xll.BDP("912834WY Govt","ID_CUSIP")</f>
        <v>912834WY0</v>
      </c>
      <c r="T189" t="str">
        <f>_xll.BDP("912834WY Govt","IDX_RATIO")</f>
        <v>#N/A Field Not Applicable</v>
      </c>
    </row>
    <row r="190" spans="1:20" x14ac:dyDescent="0.25">
      <c r="A190" t="s">
        <v>14</v>
      </c>
      <c r="B190" t="str">
        <f>_xll.BDP("912834XA Govt","TICKER")</f>
        <v>S</v>
      </c>
      <c r="C190">
        <f>_xll.BDP("912834XA Govt","CPN")</f>
        <v>0</v>
      </c>
      <c r="D190">
        <f>_xll.BDP("912834XA Govt","YLD_YTM_BID")</f>
        <v>1.3729999999999798</v>
      </c>
      <c r="E190" t="str">
        <f>_xll.BDP("912834XA Govt","MATURITY")</f>
        <v>5/31/2028</v>
      </c>
      <c r="F190" t="str">
        <f>_xll.BDP("912834XA Govt","MTY_TYP")</f>
        <v>NORMAL</v>
      </c>
      <c r="G190" t="str">
        <f>_xll.BDP("912834XA Govt","CRNCY")</f>
        <v>USD</v>
      </c>
      <c r="H190" t="str">
        <f>_xll.BDP("912834XA Govt","COUNTRY_FULL_NAME")</f>
        <v>UNITED STATES</v>
      </c>
      <c r="I190" t="str">
        <f>_xll.BDP("912834XA Govt","FIRST_CPN_DT")</f>
        <v>#N/A Field Not Applicable</v>
      </c>
      <c r="J190" t="str">
        <f>_xll.BDP("912834XA Govt","COUPON_FREQUENCY_DESCRIPTION")</f>
        <v>#N/A Field Not Applicable</v>
      </c>
      <c r="K190" t="str">
        <f>_xll.BDP("912834XA Govt","CPN_TYP")</f>
        <v>ZERO</v>
      </c>
      <c r="L190" t="str">
        <f>_xll.BDP("912834XA Govt","ID_ISIN")</f>
        <v>US912834XA17</v>
      </c>
      <c r="N190">
        <v>0</v>
      </c>
      <c r="O190" t="str">
        <f>_xll.BDP("912834XA Govt","ISSUE_DT")</f>
        <v>6/1/2021</v>
      </c>
      <c r="P190" t="str">
        <f>_xll.BDP("912834XA Govt","SECURITY_NAME")</f>
        <v>S 0 05/31/28</v>
      </c>
      <c r="Q190" t="str">
        <f>_xll.BDP("912834XA Govt","DAY_CNT_DES")</f>
        <v>ACT/ACT</v>
      </c>
      <c r="R190">
        <v>100</v>
      </c>
      <c r="S190" t="str">
        <f>_xll.BDP("912834XA Govt","ID_CUSIP")</f>
        <v>912834XA1</v>
      </c>
      <c r="T190" t="str">
        <f>_xll.BDP("912834XA Govt","IDX_RATIO")</f>
        <v>#N/A Field Not Applicable</v>
      </c>
    </row>
    <row r="191" spans="1:20" x14ac:dyDescent="0.25">
      <c r="A191" t="s">
        <v>14</v>
      </c>
      <c r="B191" t="str">
        <f>_xll.BDP("912834WN Govt","TICKER")</f>
        <v>S</v>
      </c>
      <c r="C191">
        <f>_xll.BDP("912834WN Govt","CPN")</f>
        <v>0</v>
      </c>
      <c r="D191">
        <f>_xll.BDP("912834WN Govt","YLD_YTM_BID")</f>
        <v>0.36800000000001276</v>
      </c>
      <c r="E191" t="str">
        <f>_xll.BDP("912834WN Govt","MATURITY")</f>
        <v>1/15/2024</v>
      </c>
      <c r="F191" t="str">
        <f>_xll.BDP("912834WN Govt","MTY_TYP")</f>
        <v>NORMAL</v>
      </c>
      <c r="G191" t="str">
        <f>_xll.BDP("912834WN Govt","CRNCY")</f>
        <v>USD</v>
      </c>
      <c r="H191" t="str">
        <f>_xll.BDP("912834WN Govt","COUNTRY_FULL_NAME")</f>
        <v>UNITED STATES</v>
      </c>
      <c r="I191" t="str">
        <f>_xll.BDP("912834WN Govt","FIRST_CPN_DT")</f>
        <v>#N/A Field Not Applicable</v>
      </c>
      <c r="J191" t="str">
        <f>_xll.BDP("912834WN Govt","COUPON_FREQUENCY_DESCRIPTION")</f>
        <v>#N/A Field Not Applicable</v>
      </c>
      <c r="K191" t="str">
        <f>_xll.BDP("912834WN Govt","CPN_TYP")</f>
        <v>ZERO</v>
      </c>
      <c r="L191" t="str">
        <f>_xll.BDP("912834WN Govt","ID_ISIN")</f>
        <v>US912834WN47</v>
      </c>
      <c r="N191">
        <v>0</v>
      </c>
      <c r="O191" t="str">
        <f>_xll.BDP("912834WN Govt","ISSUE_DT")</f>
        <v>1/15/2021</v>
      </c>
      <c r="P191" t="str">
        <f>_xll.BDP("912834WN Govt","SECURITY_NAME")</f>
        <v>S 0 01/15/24</v>
      </c>
      <c r="Q191" t="str">
        <f>_xll.BDP("912834WN Govt","DAY_CNT_DES")</f>
        <v>ACT/ACT</v>
      </c>
      <c r="R191">
        <v>100</v>
      </c>
      <c r="S191" t="str">
        <f>_xll.BDP("912834WN Govt","ID_CUSIP")</f>
        <v>912834WN4</v>
      </c>
      <c r="T191" t="str">
        <f>_xll.BDP("912834WN Govt","IDX_RATIO")</f>
        <v>#N/A Field Not Applicable</v>
      </c>
    </row>
    <row r="192" spans="1:20" x14ac:dyDescent="0.25">
      <c r="A192" t="s">
        <v>14</v>
      </c>
      <c r="B192" t="str">
        <f>_xll.BDP("912833ZP Govt","TICKER")</f>
        <v>S</v>
      </c>
      <c r="C192">
        <f>_xll.BDP("912833ZP Govt","CPN")</f>
        <v>0</v>
      </c>
      <c r="D192" t="str">
        <f>_xll.BDP("912833ZP Govt","YLD_YTM_BID")</f>
        <v>#N/A N/A</v>
      </c>
      <c r="E192" t="str">
        <f>_xll.BDP("912833ZP Govt","MATURITY")</f>
        <v>3/15/2004</v>
      </c>
      <c r="F192" t="str">
        <f>_xll.BDP("912833ZP Govt","MTY_TYP")</f>
        <v>NORMAL</v>
      </c>
      <c r="G192" t="str">
        <f>_xll.BDP("912833ZP Govt","CRNCY")</f>
        <v>USD</v>
      </c>
      <c r="H192" t="str">
        <f>_xll.BDP("912833ZP Govt","COUNTRY_FULL_NAME")</f>
        <v>UNITED STATES</v>
      </c>
      <c r="I192" t="str">
        <f>_xll.BDP("912833ZP Govt","FIRST_CPN_DT")</f>
        <v>#N/A Field Not Applicable</v>
      </c>
      <c r="J192" t="str">
        <f>_xll.BDP("912833ZP Govt","COUPON_FREQUENCY_DESCRIPTION")</f>
        <v>#N/A Field Not Applicable</v>
      </c>
      <c r="K192" t="str">
        <f>_xll.BDP("912833ZP Govt","CPN_TYP")</f>
        <v>ZERO</v>
      </c>
      <c r="L192" t="str">
        <f>_xll.BDP("912833ZP Govt","ID_ISIN")</f>
        <v>US912833ZP84</v>
      </c>
      <c r="N192">
        <v>0</v>
      </c>
      <c r="O192" t="str">
        <f>_xll.BDP("912833ZP Govt","ISSUE_DT")</f>
        <v>9/15/2003</v>
      </c>
      <c r="P192" t="str">
        <f>_xll.BDP("912833ZP Govt","SECURITY_NAME")</f>
        <v>S 0 03/15/04</v>
      </c>
      <c r="Q192" t="str">
        <f>_xll.BDP("912833ZP Govt","DAY_CNT_DES")</f>
        <v>ACT/ACT</v>
      </c>
      <c r="R192">
        <v>100</v>
      </c>
      <c r="S192" t="str">
        <f>_xll.BDP("912833ZP Govt","ID_CUSIP")</f>
        <v>912833ZP8</v>
      </c>
      <c r="T192" t="str">
        <f>_xll.BDP("912833ZP Govt","IDX_RATIO")</f>
        <v>#N/A Field Not Applicable</v>
      </c>
    </row>
    <row r="193" spans="1:20" x14ac:dyDescent="0.25">
      <c r="A193" t="s">
        <v>14</v>
      </c>
      <c r="B193" t="str">
        <f>_xll.BDP("912833KA Govt","TICKER")</f>
        <v>S</v>
      </c>
      <c r="C193">
        <f>_xll.BDP("912833KA Govt","CPN")</f>
        <v>0</v>
      </c>
      <c r="D193" t="str">
        <f>_xll.BDP("912833KA Govt","YLD_YTM_BID")</f>
        <v>#N/A N/A</v>
      </c>
      <c r="E193" t="str">
        <f>_xll.BDP("912833KA Govt","MATURITY")</f>
        <v>5/15/2013</v>
      </c>
      <c r="F193" t="str">
        <f>_xll.BDP("912833KA Govt","MTY_TYP")</f>
        <v>NORMAL</v>
      </c>
      <c r="G193" t="str">
        <f>_xll.BDP("912833KA Govt","CRNCY")</f>
        <v>USD</v>
      </c>
      <c r="H193" t="str">
        <f>_xll.BDP("912833KA Govt","COUNTRY_FULL_NAME")</f>
        <v>UNITED STATES</v>
      </c>
      <c r="I193" t="str">
        <f>_xll.BDP("912833KA Govt","FIRST_CPN_DT")</f>
        <v>#N/A Field Not Applicable</v>
      </c>
      <c r="J193" t="str">
        <f>_xll.BDP("912833KA Govt","COUPON_FREQUENCY_DESCRIPTION")</f>
        <v>#N/A Field Not Applicable</v>
      </c>
      <c r="K193" t="str">
        <f>_xll.BDP("912833KA Govt","CPN_TYP")</f>
        <v>ZERO</v>
      </c>
      <c r="L193" t="str">
        <f>_xll.BDP("912833KA Govt","ID_ISIN")</f>
        <v>US912833KA70</v>
      </c>
      <c r="N193">
        <v>0</v>
      </c>
      <c r="O193" t="str">
        <f>_xll.BDP("912833KA Govt","ISSUE_DT")</f>
        <v>11/15/1985</v>
      </c>
      <c r="P193" t="str">
        <f>_xll.BDP("912833KA Govt","SECURITY_NAME")</f>
        <v>S 0 05/15/13</v>
      </c>
      <c r="Q193" t="str">
        <f>_xll.BDP("912833KA Govt","DAY_CNT_DES")</f>
        <v>ACT/ACT</v>
      </c>
      <c r="R193">
        <v>100</v>
      </c>
      <c r="S193" t="str">
        <f>_xll.BDP("912833KA Govt","ID_CUSIP")</f>
        <v>912833KA7</v>
      </c>
      <c r="T193" t="str">
        <f>_xll.BDP("912833KA Govt","IDX_RATIO")</f>
        <v>#N/A Field Not Applicable</v>
      </c>
    </row>
    <row r="194" spans="1:20" x14ac:dyDescent="0.25">
      <c r="A194" t="s">
        <v>14</v>
      </c>
      <c r="B194" t="str">
        <f>_xll.BDP("912834RN Govt","TICKER")</f>
        <v>S</v>
      </c>
      <c r="C194">
        <f>_xll.BDP("912834RN Govt","CPN")</f>
        <v>0</v>
      </c>
      <c r="D194">
        <f>_xll.BDP("912834RN Govt","YLD_YTM_BID")</f>
        <v>0.50900000000000389</v>
      </c>
      <c r="E194" t="str">
        <f>_xll.BDP("912834RN Govt","MATURITY")</f>
        <v>6/30/2024</v>
      </c>
      <c r="F194" t="str">
        <f>_xll.BDP("912834RN Govt","MTY_TYP")</f>
        <v>NORMAL</v>
      </c>
      <c r="G194" t="str">
        <f>_xll.BDP("912834RN Govt","CRNCY")</f>
        <v>USD</v>
      </c>
      <c r="H194" t="str">
        <f>_xll.BDP("912834RN Govt","COUNTRY_FULL_NAME")</f>
        <v>UNITED STATES</v>
      </c>
      <c r="I194" t="str">
        <f>_xll.BDP("912834RN Govt","FIRST_CPN_DT")</f>
        <v>#N/A Field Not Applicable</v>
      </c>
      <c r="J194" t="str">
        <f>_xll.BDP("912834RN Govt","COUPON_FREQUENCY_DESCRIPTION")</f>
        <v>#N/A Field Not Applicable</v>
      </c>
      <c r="K194" t="str">
        <f>_xll.BDP("912834RN Govt","CPN_TYP")</f>
        <v>ZERO</v>
      </c>
      <c r="L194" t="str">
        <f>_xll.BDP("912834RN Govt","ID_ISIN")</f>
        <v>US912834RN02</v>
      </c>
      <c r="N194">
        <v>0</v>
      </c>
      <c r="O194" t="str">
        <f>_xll.BDP("912834RN Govt","ISSUE_DT")</f>
        <v>6/30/2017</v>
      </c>
      <c r="P194" t="str">
        <f>_xll.BDP("912834RN Govt","SECURITY_NAME")</f>
        <v>S 0 06/30/24</v>
      </c>
      <c r="Q194" t="str">
        <f>_xll.BDP("912834RN Govt","DAY_CNT_DES")</f>
        <v>ACT/ACT</v>
      </c>
      <c r="R194">
        <v>100</v>
      </c>
      <c r="S194" t="str">
        <f>_xll.BDP("912834RN Govt","ID_CUSIP")</f>
        <v>912834RN0</v>
      </c>
      <c r="T194" t="str">
        <f>_xll.BDP("912834RN Govt","IDX_RATIO")</f>
        <v>#N/A Field Not Applicable</v>
      </c>
    </row>
    <row r="195" spans="1:20" x14ac:dyDescent="0.25">
      <c r="A195" t="s">
        <v>14</v>
      </c>
      <c r="B195" t="str">
        <f>_xll.BDP("912834TL Govt","TICKER")</f>
        <v>S</v>
      </c>
      <c r="C195">
        <f>_xll.BDP("912834TL Govt","CPN")</f>
        <v>0</v>
      </c>
      <c r="D195">
        <f>_xll.BDP("912834TL Govt","YLD_YTM_BID")</f>
        <v>0.71099999999999497</v>
      </c>
      <c r="E195" t="str">
        <f>_xll.BDP("912834TL Govt","MATURITY")</f>
        <v>3/31/2025</v>
      </c>
      <c r="F195" t="str">
        <f>_xll.BDP("912834TL Govt","MTY_TYP")</f>
        <v>NORMAL</v>
      </c>
      <c r="G195" t="str">
        <f>_xll.BDP("912834TL Govt","CRNCY")</f>
        <v>USD</v>
      </c>
      <c r="H195" t="str">
        <f>_xll.BDP("912834TL Govt","COUNTRY_FULL_NAME")</f>
        <v>UNITED STATES</v>
      </c>
      <c r="I195" t="str">
        <f>_xll.BDP("912834TL Govt","FIRST_CPN_DT")</f>
        <v>#N/A Field Not Applicable</v>
      </c>
      <c r="J195" t="str">
        <f>_xll.BDP("912834TL Govt","COUPON_FREQUENCY_DESCRIPTION")</f>
        <v>#N/A Field Not Applicable</v>
      </c>
      <c r="K195" t="str">
        <f>_xll.BDP("912834TL Govt","CPN_TYP")</f>
        <v>ZERO</v>
      </c>
      <c r="L195" t="str">
        <f>_xll.BDP("912834TL Govt","ID_ISIN")</f>
        <v>US912834TL28</v>
      </c>
      <c r="N195">
        <v>0</v>
      </c>
      <c r="O195" t="str">
        <f>_xll.BDP("912834TL Govt","ISSUE_DT")</f>
        <v>4/2/2018</v>
      </c>
      <c r="P195" t="str">
        <f>_xll.BDP("912834TL Govt","SECURITY_NAME")</f>
        <v>S 0 03/31/25</v>
      </c>
      <c r="Q195" t="str">
        <f>_xll.BDP("912834TL Govt","DAY_CNT_DES")</f>
        <v>ACT/ACT</v>
      </c>
      <c r="R195">
        <v>100</v>
      </c>
      <c r="S195" t="str">
        <f>_xll.BDP("912834TL Govt","ID_CUSIP")</f>
        <v>912834TL2</v>
      </c>
      <c r="T195" t="str">
        <f>_xll.BDP("912834TL Govt","IDX_RATIO")</f>
        <v>#N/A Field Not Applicable</v>
      </c>
    </row>
    <row r="196" spans="1:20" x14ac:dyDescent="0.25">
      <c r="A196" t="s">
        <v>14</v>
      </c>
      <c r="B196" t="str">
        <f>_xll.BDP("912834TS Govt","TICKER")</f>
        <v>S</v>
      </c>
      <c r="C196">
        <f>_xll.BDP("912834TS Govt","CPN")</f>
        <v>0</v>
      </c>
      <c r="D196">
        <f>_xll.BDP("912834TS Govt","YLD_YTM_BID")</f>
        <v>0.77199999999999491</v>
      </c>
      <c r="E196" t="str">
        <f>_xll.BDP("912834TS Govt","MATURITY")</f>
        <v>6/30/2025</v>
      </c>
      <c r="F196" t="str">
        <f>_xll.BDP("912834TS Govt","MTY_TYP")</f>
        <v>NORMAL</v>
      </c>
      <c r="G196" t="str">
        <f>_xll.BDP("912834TS Govt","CRNCY")</f>
        <v>USD</v>
      </c>
      <c r="H196" t="str">
        <f>_xll.BDP("912834TS Govt","COUNTRY_FULL_NAME")</f>
        <v>UNITED STATES</v>
      </c>
      <c r="I196" t="str">
        <f>_xll.BDP("912834TS Govt","FIRST_CPN_DT")</f>
        <v>#N/A Field Not Applicable</v>
      </c>
      <c r="J196" t="str">
        <f>_xll.BDP("912834TS Govt","COUPON_FREQUENCY_DESCRIPTION")</f>
        <v>#N/A Field Not Applicable</v>
      </c>
      <c r="K196" t="str">
        <f>_xll.BDP("912834TS Govt","CPN_TYP")</f>
        <v>ZERO</v>
      </c>
      <c r="L196" t="str">
        <f>_xll.BDP("912834TS Govt","ID_ISIN")</f>
        <v>US912834TS70</v>
      </c>
      <c r="N196">
        <v>0</v>
      </c>
      <c r="O196" t="str">
        <f>_xll.BDP("912834TS Govt","ISSUE_DT")</f>
        <v>7/2/2018</v>
      </c>
      <c r="P196" t="str">
        <f>_xll.BDP("912834TS Govt","SECURITY_NAME")</f>
        <v>S 0 06/30/25</v>
      </c>
      <c r="Q196" t="str">
        <f>_xll.BDP("912834TS Govt","DAY_CNT_DES")</f>
        <v>ACT/ACT</v>
      </c>
      <c r="R196">
        <v>100</v>
      </c>
      <c r="S196" t="str">
        <f>_xll.BDP("912834TS Govt","ID_CUSIP")</f>
        <v>912834TS7</v>
      </c>
      <c r="T196" t="str">
        <f>_xll.BDP("912834TS Govt","IDX_RATIO")</f>
        <v>#N/A Field Not Applicable</v>
      </c>
    </row>
    <row r="197" spans="1:20" x14ac:dyDescent="0.25">
      <c r="A197" t="s">
        <v>14</v>
      </c>
      <c r="B197" t="str">
        <f>_xll.BDP("912834UD Govt","TICKER")</f>
        <v>S</v>
      </c>
      <c r="C197">
        <f>_xll.BDP("912834UD Govt","CPN")</f>
        <v>0</v>
      </c>
      <c r="D197">
        <f>_xll.BDP("912834UD Govt","YLD_YTM_BID")</f>
        <v>-4.1000000000101115E-2</v>
      </c>
      <c r="E197" t="str">
        <f>_xll.BDP("912834UD Govt","MATURITY")</f>
        <v>12/15/2021</v>
      </c>
      <c r="F197" t="str">
        <f>_xll.BDP("912834UD Govt","MTY_TYP")</f>
        <v>NORMAL</v>
      </c>
      <c r="G197" t="str">
        <f>_xll.BDP("912834UD Govt","CRNCY")</f>
        <v>USD</v>
      </c>
      <c r="H197" t="str">
        <f>_xll.BDP("912834UD Govt","COUNTRY_FULL_NAME")</f>
        <v>UNITED STATES</v>
      </c>
      <c r="I197" t="str">
        <f>_xll.BDP("912834UD Govt","FIRST_CPN_DT")</f>
        <v>#N/A Field Not Applicable</v>
      </c>
      <c r="J197" t="str">
        <f>_xll.BDP("912834UD Govt","COUPON_FREQUENCY_DESCRIPTION")</f>
        <v>#N/A Field Not Applicable</v>
      </c>
      <c r="K197" t="str">
        <f>_xll.BDP("912834UD Govt","CPN_TYP")</f>
        <v>ZERO</v>
      </c>
      <c r="L197" t="str">
        <f>_xll.BDP("912834UD Govt","ID_ISIN")</f>
        <v>US912834UD82</v>
      </c>
      <c r="N197">
        <v>0</v>
      </c>
      <c r="O197" t="str">
        <f>_xll.BDP("912834UD Govt","ISSUE_DT")</f>
        <v>12/17/2018</v>
      </c>
      <c r="P197" t="str">
        <f>_xll.BDP("912834UD Govt","SECURITY_NAME")</f>
        <v>S 0 12/15/21</v>
      </c>
      <c r="Q197" t="str">
        <f>_xll.BDP("912834UD Govt","DAY_CNT_DES")</f>
        <v>ACT/ACT</v>
      </c>
      <c r="R197">
        <v>100</v>
      </c>
      <c r="S197" t="str">
        <f>_xll.BDP("912834UD Govt","ID_CUSIP")</f>
        <v>912834UD8</v>
      </c>
      <c r="T197" t="str">
        <f>_xll.BDP("912834UD Govt","IDX_RATIO")</f>
        <v>#N/A Field Not Applicable</v>
      </c>
    </row>
    <row r="198" spans="1:20" x14ac:dyDescent="0.25">
      <c r="A198" t="s">
        <v>14</v>
      </c>
      <c r="B198" t="str">
        <f>_xll.BDP("912834RL Govt","TICKER")</f>
        <v>S</v>
      </c>
      <c r="C198">
        <f>_xll.BDP("912834RL Govt","CPN")</f>
        <v>0</v>
      </c>
      <c r="D198">
        <f>_xll.BDP("912834RL Govt","YLD_YTM_BID")</f>
        <v>0.4830000000000112</v>
      </c>
      <c r="E198" t="str">
        <f>_xll.BDP("912834RL Govt","MATURITY")</f>
        <v>5/31/2024</v>
      </c>
      <c r="F198" t="str">
        <f>_xll.BDP("912834RL Govt","MTY_TYP")</f>
        <v>NORMAL</v>
      </c>
      <c r="G198" t="str">
        <f>_xll.BDP("912834RL Govt","CRNCY")</f>
        <v>USD</v>
      </c>
      <c r="H198" t="str">
        <f>_xll.BDP("912834RL Govt","COUNTRY_FULL_NAME")</f>
        <v>UNITED STATES</v>
      </c>
      <c r="I198" t="str">
        <f>_xll.BDP("912834RL Govt","FIRST_CPN_DT")</f>
        <v>#N/A Field Not Applicable</v>
      </c>
      <c r="J198" t="str">
        <f>_xll.BDP("912834RL Govt","COUPON_FREQUENCY_DESCRIPTION")</f>
        <v>#N/A Field Not Applicable</v>
      </c>
      <c r="K198" t="str">
        <f>_xll.BDP("912834RL Govt","CPN_TYP")</f>
        <v>ZERO</v>
      </c>
      <c r="L198" t="str">
        <f>_xll.BDP("912834RL Govt","ID_ISIN")</f>
        <v>US912834RL46</v>
      </c>
      <c r="N198">
        <v>0</v>
      </c>
      <c r="O198" t="str">
        <f>_xll.BDP("912834RL Govt","ISSUE_DT")</f>
        <v>5/31/2017</v>
      </c>
      <c r="P198" t="str">
        <f>_xll.BDP("912834RL Govt","SECURITY_NAME")</f>
        <v>S 0 05/31/24</v>
      </c>
      <c r="Q198" t="str">
        <f>_xll.BDP("912834RL Govt","DAY_CNT_DES")</f>
        <v>ACT/ACT</v>
      </c>
      <c r="R198">
        <v>100</v>
      </c>
      <c r="S198" t="str">
        <f>_xll.BDP("912834RL Govt","ID_CUSIP")</f>
        <v>912834RL4</v>
      </c>
      <c r="T198" t="str">
        <f>_xll.BDP("912834RL Govt","IDX_RATIO")</f>
        <v>#N/A Field Not Applicable</v>
      </c>
    </row>
    <row r="199" spans="1:20" x14ac:dyDescent="0.25">
      <c r="A199" t="s">
        <v>14</v>
      </c>
      <c r="B199" t="str">
        <f>_xll.BDP("912834TY Govt","TICKER")</f>
        <v>S</v>
      </c>
      <c r="C199">
        <f>_xll.BDP("912834TY Govt","CPN")</f>
        <v>0</v>
      </c>
      <c r="D199">
        <f>_xll.BDP("912834TY Govt","YLD_YTM_BID")</f>
        <v>0.83500000000000796</v>
      </c>
      <c r="E199" t="str">
        <f>_xll.BDP("912834TY Govt","MATURITY")</f>
        <v>9/30/2025</v>
      </c>
      <c r="F199" t="str">
        <f>_xll.BDP("912834TY Govt","MTY_TYP")</f>
        <v>NORMAL</v>
      </c>
      <c r="G199" t="str">
        <f>_xll.BDP("912834TY Govt","CRNCY")</f>
        <v>USD</v>
      </c>
      <c r="H199" t="str">
        <f>_xll.BDP("912834TY Govt","COUNTRY_FULL_NAME")</f>
        <v>UNITED STATES</v>
      </c>
      <c r="I199" t="str">
        <f>_xll.BDP("912834TY Govt","FIRST_CPN_DT")</f>
        <v>#N/A Field Not Applicable</v>
      </c>
      <c r="J199" t="str">
        <f>_xll.BDP("912834TY Govt","COUPON_FREQUENCY_DESCRIPTION")</f>
        <v>#N/A Field Not Applicable</v>
      </c>
      <c r="K199" t="str">
        <f>_xll.BDP("912834TY Govt","CPN_TYP")</f>
        <v>ZERO</v>
      </c>
      <c r="L199" t="str">
        <f>_xll.BDP("912834TY Govt","ID_ISIN")</f>
        <v>US912834TY49</v>
      </c>
      <c r="N199">
        <v>0</v>
      </c>
      <c r="O199" t="str">
        <f>_xll.BDP("912834TY Govt","ISSUE_DT")</f>
        <v>10/1/2018</v>
      </c>
      <c r="P199" t="str">
        <f>_xll.BDP("912834TY Govt","SECURITY_NAME")</f>
        <v>S 0 09/30/25</v>
      </c>
      <c r="Q199" t="str">
        <f>_xll.BDP("912834TY Govt","DAY_CNT_DES")</f>
        <v>ACT/ACT</v>
      </c>
      <c r="R199">
        <v>100</v>
      </c>
      <c r="S199" t="str">
        <f>_xll.BDP("912834TY Govt","ID_CUSIP")</f>
        <v>912834TY4</v>
      </c>
      <c r="T199" t="str">
        <f>_xll.BDP("912834TY Govt","IDX_RATIO")</f>
        <v>#N/A Field Not Applicable</v>
      </c>
    </row>
    <row r="200" spans="1:20" x14ac:dyDescent="0.25">
      <c r="A200" t="s">
        <v>14</v>
      </c>
      <c r="B200" t="str">
        <f>_xll.BDP("912834UA Govt","TICKER")</f>
        <v>S</v>
      </c>
      <c r="C200">
        <f>_xll.BDP("912834UA Govt","CPN")</f>
        <v>0</v>
      </c>
      <c r="D200">
        <f>_xll.BDP("912834UA Govt","YLD_YTM_BID")</f>
        <v>0.85600000000001231</v>
      </c>
      <c r="E200" t="str">
        <f>_xll.BDP("912834UA Govt","MATURITY")</f>
        <v>10/31/2025</v>
      </c>
      <c r="F200" t="str">
        <f>_xll.BDP("912834UA Govt","MTY_TYP")</f>
        <v>NORMAL</v>
      </c>
      <c r="G200" t="str">
        <f>_xll.BDP("912834UA Govt","CRNCY")</f>
        <v>USD</v>
      </c>
      <c r="H200" t="str">
        <f>_xll.BDP("912834UA Govt","COUNTRY_FULL_NAME")</f>
        <v>UNITED STATES</v>
      </c>
      <c r="I200" t="str">
        <f>_xll.BDP("912834UA Govt","FIRST_CPN_DT")</f>
        <v>#N/A Field Not Applicable</v>
      </c>
      <c r="J200" t="str">
        <f>_xll.BDP("912834UA Govt","COUPON_FREQUENCY_DESCRIPTION")</f>
        <v>#N/A Field Not Applicable</v>
      </c>
      <c r="K200" t="str">
        <f>_xll.BDP("912834UA Govt","CPN_TYP")</f>
        <v>ZERO</v>
      </c>
      <c r="L200" t="str">
        <f>_xll.BDP("912834UA Govt","ID_ISIN")</f>
        <v>US912834UA44</v>
      </c>
      <c r="N200">
        <v>0</v>
      </c>
      <c r="O200" t="str">
        <f>_xll.BDP("912834UA Govt","ISSUE_DT")</f>
        <v>10/31/2018</v>
      </c>
      <c r="P200" t="str">
        <f>_xll.BDP("912834UA Govt","SECURITY_NAME")</f>
        <v>S 0 10/31/25</v>
      </c>
      <c r="Q200" t="str">
        <f>_xll.BDP("912834UA Govt","DAY_CNT_DES")</f>
        <v>ACT/ACT</v>
      </c>
      <c r="R200">
        <v>100</v>
      </c>
      <c r="S200" t="str">
        <f>_xll.BDP("912834UA Govt","ID_CUSIP")</f>
        <v>912834UA4</v>
      </c>
      <c r="T200" t="str">
        <f>_xll.BDP("912834UA Govt","IDX_RATIO")</f>
        <v>#N/A Field Not Applicable</v>
      </c>
    </row>
    <row r="201" spans="1:20" x14ac:dyDescent="0.25">
      <c r="A201" t="s">
        <v>14</v>
      </c>
      <c r="B201" t="str">
        <f>_xll.BDP("912834QU Govt","TICKER")</f>
        <v>S</v>
      </c>
      <c r="C201">
        <f>_xll.BDP("912834QU Govt","CPN")</f>
        <v>0</v>
      </c>
      <c r="D201">
        <f>_xll.BDP("912834QU Govt","YLD_YTM_BID")</f>
        <v>0.30299999999998661</v>
      </c>
      <c r="E201" t="str">
        <f>_xll.BDP("912834QU Govt","MATURITY")</f>
        <v>10/31/2023</v>
      </c>
      <c r="F201" t="str">
        <f>_xll.BDP("912834QU Govt","MTY_TYP")</f>
        <v>NORMAL</v>
      </c>
      <c r="G201" t="str">
        <f>_xll.BDP("912834QU Govt","CRNCY")</f>
        <v>USD</v>
      </c>
      <c r="H201" t="str">
        <f>_xll.BDP("912834QU Govt","COUNTRY_FULL_NAME")</f>
        <v>UNITED STATES</v>
      </c>
      <c r="I201" t="str">
        <f>_xll.BDP("912834QU Govt","FIRST_CPN_DT")</f>
        <v>#N/A Field Not Applicable</v>
      </c>
      <c r="J201" t="str">
        <f>_xll.BDP("912834QU Govt","COUPON_FREQUENCY_DESCRIPTION")</f>
        <v>#N/A Field Not Applicable</v>
      </c>
      <c r="K201" t="str">
        <f>_xll.BDP("912834QU Govt","CPN_TYP")</f>
        <v>ZERO</v>
      </c>
      <c r="L201" t="str">
        <f>_xll.BDP("912834QU Govt","ID_ISIN")</f>
        <v>US912834QU53</v>
      </c>
      <c r="N201">
        <v>0</v>
      </c>
      <c r="O201" t="str">
        <f>_xll.BDP("912834QU Govt","ISSUE_DT")</f>
        <v>10/31/2016</v>
      </c>
      <c r="P201" t="str">
        <f>_xll.BDP("912834QU Govt","SECURITY_NAME")</f>
        <v>S 0 10/31/23</v>
      </c>
      <c r="Q201" t="str">
        <f>_xll.BDP("912834QU Govt","DAY_CNT_DES")</f>
        <v>ACT/ACT</v>
      </c>
      <c r="R201">
        <v>100</v>
      </c>
      <c r="S201" t="str">
        <f>_xll.BDP("912834QU Govt","ID_CUSIP")</f>
        <v>912834QU5</v>
      </c>
      <c r="T201" t="str">
        <f>_xll.BDP("912834QU Govt","IDX_RATIO")</f>
        <v>#N/A Field Not Applicable</v>
      </c>
    </row>
    <row r="202" spans="1:20" x14ac:dyDescent="0.25">
      <c r="A202" t="s">
        <v>14</v>
      </c>
      <c r="B202" t="str">
        <f>_xll.BDP("912834PY Govt","TICKER")</f>
        <v>S</v>
      </c>
      <c r="C202">
        <f>_xll.BDP("912834PY Govt","CPN")</f>
        <v>0</v>
      </c>
      <c r="D202">
        <f>_xll.BDP("912834PY Govt","YLD_YTM_BID")</f>
        <v>0.15699999999996272</v>
      </c>
      <c r="E202" t="str">
        <f>_xll.BDP("912834PY Govt","MATURITY")</f>
        <v>1/31/2023</v>
      </c>
      <c r="F202" t="str">
        <f>_xll.BDP("912834PY Govt","MTY_TYP")</f>
        <v>NORMAL</v>
      </c>
      <c r="G202" t="str">
        <f>_xll.BDP("912834PY Govt","CRNCY")</f>
        <v>USD</v>
      </c>
      <c r="H202" t="str">
        <f>_xll.BDP("912834PY Govt","COUNTRY_FULL_NAME")</f>
        <v>UNITED STATES</v>
      </c>
      <c r="I202" t="str">
        <f>_xll.BDP("912834PY Govt","FIRST_CPN_DT")</f>
        <v>#N/A Field Not Applicable</v>
      </c>
      <c r="J202" t="str">
        <f>_xll.BDP("912834PY Govt","COUPON_FREQUENCY_DESCRIPTION")</f>
        <v>#N/A Field Not Applicable</v>
      </c>
      <c r="K202" t="str">
        <f>_xll.BDP("912834PY Govt","CPN_TYP")</f>
        <v>ZERO</v>
      </c>
      <c r="L202" t="str">
        <f>_xll.BDP("912834PY Govt","ID_ISIN")</f>
        <v>US912834PY84</v>
      </c>
      <c r="N202">
        <v>0</v>
      </c>
      <c r="O202" t="str">
        <f>_xll.BDP("912834PY Govt","ISSUE_DT")</f>
        <v>2/1/2016</v>
      </c>
      <c r="P202" t="str">
        <f>_xll.BDP("912834PY Govt","SECURITY_NAME")</f>
        <v>S 0 01/31/23</v>
      </c>
      <c r="Q202" t="str">
        <f>_xll.BDP("912834PY Govt","DAY_CNT_DES")</f>
        <v>ACT/ACT</v>
      </c>
      <c r="R202">
        <v>100</v>
      </c>
      <c r="S202" t="str">
        <f>_xll.BDP("912834PY Govt","ID_CUSIP")</f>
        <v>912834PY8</v>
      </c>
      <c r="T202" t="str">
        <f>_xll.BDP("912834PY Govt","IDX_RATIO")</f>
        <v>#N/A Field Not Applicable</v>
      </c>
    </row>
    <row r="203" spans="1:20" x14ac:dyDescent="0.25">
      <c r="A203" t="s">
        <v>14</v>
      </c>
      <c r="B203" t="str">
        <f>_xll.BDP("912834RJ Govt","TICKER")</f>
        <v>S</v>
      </c>
      <c r="C203">
        <f>_xll.BDP("912834RJ Govt","CPN")</f>
        <v>0</v>
      </c>
      <c r="D203">
        <f>_xll.BDP("912834RJ Govt","YLD_YTM_BID")</f>
        <v>0.45600000000001195</v>
      </c>
      <c r="E203" t="str">
        <f>_xll.BDP("912834RJ Govt","MATURITY")</f>
        <v>4/30/2024</v>
      </c>
      <c r="F203" t="str">
        <f>_xll.BDP("912834RJ Govt","MTY_TYP")</f>
        <v>NORMAL</v>
      </c>
      <c r="G203" t="str">
        <f>_xll.BDP("912834RJ Govt","CRNCY")</f>
        <v>USD</v>
      </c>
      <c r="H203" t="str">
        <f>_xll.BDP("912834RJ Govt","COUNTRY_FULL_NAME")</f>
        <v>UNITED STATES</v>
      </c>
      <c r="I203" t="str">
        <f>_xll.BDP("912834RJ Govt","FIRST_CPN_DT")</f>
        <v>#N/A Field Not Applicable</v>
      </c>
      <c r="J203" t="str">
        <f>_xll.BDP("912834RJ Govt","COUPON_FREQUENCY_DESCRIPTION")</f>
        <v>#N/A Field Not Applicable</v>
      </c>
      <c r="K203" t="str">
        <f>_xll.BDP("912834RJ Govt","CPN_TYP")</f>
        <v>ZERO</v>
      </c>
      <c r="L203" t="str">
        <f>_xll.BDP("912834RJ Govt","ID_ISIN")</f>
        <v>US912834RJ99</v>
      </c>
      <c r="N203">
        <v>0</v>
      </c>
      <c r="O203" t="str">
        <f>_xll.BDP("912834RJ Govt","ISSUE_DT")</f>
        <v>5/1/2017</v>
      </c>
      <c r="P203" t="str">
        <f>_xll.BDP("912834RJ Govt","SECURITY_NAME")</f>
        <v>S 0 04/30/24</v>
      </c>
      <c r="Q203" t="str">
        <f>_xll.BDP("912834RJ Govt","DAY_CNT_DES")</f>
        <v>ACT/ACT</v>
      </c>
      <c r="R203">
        <v>100</v>
      </c>
      <c r="S203" t="str">
        <f>_xll.BDP("912834RJ Govt","ID_CUSIP")</f>
        <v>912834RJ9</v>
      </c>
      <c r="T203" t="str">
        <f>_xll.BDP("912834RJ Govt","IDX_RATIO")</f>
        <v>#N/A Field Not Applicable</v>
      </c>
    </row>
    <row r="204" spans="1:20" x14ac:dyDescent="0.25">
      <c r="A204" t="s">
        <v>14</v>
      </c>
      <c r="B204" t="str">
        <f>_xll.BDP("912834RQ Govt","TICKER")</f>
        <v>S</v>
      </c>
      <c r="C204">
        <f>_xll.BDP("912834RQ Govt","CPN")</f>
        <v>0</v>
      </c>
      <c r="D204">
        <f>_xll.BDP("912834RQ Govt","YLD_YTM_BID")</f>
        <v>0.53399999999999004</v>
      </c>
      <c r="E204" t="str">
        <f>_xll.BDP("912834RQ Govt","MATURITY")</f>
        <v>7/31/2024</v>
      </c>
      <c r="F204" t="str">
        <f>_xll.BDP("912834RQ Govt","MTY_TYP")</f>
        <v>NORMAL</v>
      </c>
      <c r="G204" t="str">
        <f>_xll.BDP("912834RQ Govt","CRNCY")</f>
        <v>USD</v>
      </c>
      <c r="H204" t="str">
        <f>_xll.BDP("912834RQ Govt","COUNTRY_FULL_NAME")</f>
        <v>UNITED STATES</v>
      </c>
      <c r="I204" t="str">
        <f>_xll.BDP("912834RQ Govt","FIRST_CPN_DT")</f>
        <v>#N/A Field Not Applicable</v>
      </c>
      <c r="J204" t="str">
        <f>_xll.BDP("912834RQ Govt","COUPON_FREQUENCY_DESCRIPTION")</f>
        <v>#N/A Field Not Applicable</v>
      </c>
      <c r="K204" t="str">
        <f>_xll.BDP("912834RQ Govt","CPN_TYP")</f>
        <v>ZERO</v>
      </c>
      <c r="L204" t="str">
        <f>_xll.BDP("912834RQ Govt","ID_ISIN")</f>
        <v>US912834RQ33</v>
      </c>
      <c r="N204">
        <v>0</v>
      </c>
      <c r="O204" t="str">
        <f>_xll.BDP("912834RQ Govt","ISSUE_DT")</f>
        <v>7/31/2017</v>
      </c>
      <c r="P204" t="str">
        <f>_xll.BDP("912834RQ Govt","SECURITY_NAME")</f>
        <v>S 0 07/31/24</v>
      </c>
      <c r="Q204" t="str">
        <f>_xll.BDP("912834RQ Govt","DAY_CNT_DES")</f>
        <v>ACT/ACT</v>
      </c>
      <c r="R204">
        <v>100</v>
      </c>
      <c r="S204" t="str">
        <f>_xll.BDP("912834RQ Govt","ID_CUSIP")</f>
        <v>912834RQ3</v>
      </c>
      <c r="T204" t="str">
        <f>_xll.BDP("912834RQ Govt","IDX_RATIO")</f>
        <v>#N/A Field Not Applicable</v>
      </c>
    </row>
    <row r="205" spans="1:20" x14ac:dyDescent="0.25">
      <c r="A205" t="s">
        <v>14</v>
      </c>
      <c r="B205" t="str">
        <f>_xll.BDP("912834QQ Govt","TICKER")</f>
        <v>S</v>
      </c>
      <c r="C205">
        <f>_xll.BDP("912834QQ Govt","CPN")</f>
        <v>0</v>
      </c>
      <c r="D205">
        <f>_xll.BDP("912834QQ Govt","YLD_YTM_BID")</f>
        <v>0.26399999999999757</v>
      </c>
      <c r="E205" t="str">
        <f>_xll.BDP("912834QQ Govt","MATURITY")</f>
        <v>8/31/2023</v>
      </c>
      <c r="F205" t="str">
        <f>_xll.BDP("912834QQ Govt","MTY_TYP")</f>
        <v>NORMAL</v>
      </c>
      <c r="G205" t="str">
        <f>_xll.BDP("912834QQ Govt","CRNCY")</f>
        <v>USD</v>
      </c>
      <c r="H205" t="str">
        <f>_xll.BDP("912834QQ Govt","COUNTRY_FULL_NAME")</f>
        <v>UNITED STATES</v>
      </c>
      <c r="I205" t="str">
        <f>_xll.BDP("912834QQ Govt","FIRST_CPN_DT")</f>
        <v>#N/A Field Not Applicable</v>
      </c>
      <c r="J205" t="str">
        <f>_xll.BDP("912834QQ Govt","COUPON_FREQUENCY_DESCRIPTION")</f>
        <v>#N/A Field Not Applicable</v>
      </c>
      <c r="K205" t="str">
        <f>_xll.BDP("912834QQ Govt","CPN_TYP")</f>
        <v>ZERO</v>
      </c>
      <c r="L205" t="str">
        <f>_xll.BDP("912834QQ Govt","ID_ISIN")</f>
        <v>US912834QQ42</v>
      </c>
      <c r="N205">
        <v>0</v>
      </c>
      <c r="O205" t="str">
        <f>_xll.BDP("912834QQ Govt","ISSUE_DT")</f>
        <v>8/31/2016</v>
      </c>
      <c r="P205" t="str">
        <f>_xll.BDP("912834QQ Govt","SECURITY_NAME")</f>
        <v>S 0 08/31/23</v>
      </c>
      <c r="Q205" t="str">
        <f>_xll.BDP("912834QQ Govt","DAY_CNT_DES")</f>
        <v>ACT/ACT</v>
      </c>
      <c r="R205">
        <v>100</v>
      </c>
      <c r="S205" t="str">
        <f>_xll.BDP("912834QQ Govt","ID_CUSIP")</f>
        <v>912834QQ4</v>
      </c>
      <c r="T205" t="str">
        <f>_xll.BDP("912834QQ Govt","IDX_RATIO")</f>
        <v>#N/A Field Not Applicable</v>
      </c>
    </row>
    <row r="206" spans="1:20" x14ac:dyDescent="0.25">
      <c r="A206" t="s">
        <v>14</v>
      </c>
      <c r="B206" t="str">
        <f>_xll.BDP("912834UN Govt","TICKER")</f>
        <v>S</v>
      </c>
      <c r="C206">
        <f>_xll.BDP("912834UN Govt","CPN")</f>
        <v>0</v>
      </c>
      <c r="D206">
        <f>_xll.BDP("912834UN Govt","YLD_YTM_BID")</f>
        <v>0.95499999999999474</v>
      </c>
      <c r="E206" t="str">
        <f>_xll.BDP("912834UN Govt","MATURITY")</f>
        <v>3/31/2026</v>
      </c>
      <c r="F206" t="str">
        <f>_xll.BDP("912834UN Govt","MTY_TYP")</f>
        <v>NORMAL</v>
      </c>
      <c r="G206" t="str">
        <f>_xll.BDP("912834UN Govt","CRNCY")</f>
        <v>USD</v>
      </c>
      <c r="H206" t="str">
        <f>_xll.BDP("912834UN Govt","COUNTRY_FULL_NAME")</f>
        <v>UNITED STATES</v>
      </c>
      <c r="I206" t="str">
        <f>_xll.BDP("912834UN Govt","FIRST_CPN_DT")</f>
        <v>#N/A Field Not Applicable</v>
      </c>
      <c r="J206" t="str">
        <f>_xll.BDP("912834UN Govt","COUPON_FREQUENCY_DESCRIPTION")</f>
        <v>#N/A Field Not Applicable</v>
      </c>
      <c r="K206" t="str">
        <f>_xll.BDP("912834UN Govt","CPN_TYP")</f>
        <v>ZERO</v>
      </c>
      <c r="L206" t="str">
        <f>_xll.BDP("912834UN Govt","ID_ISIN")</f>
        <v>US912834UN64</v>
      </c>
      <c r="N206">
        <v>0</v>
      </c>
      <c r="O206" t="str">
        <f>_xll.BDP("912834UN Govt","ISSUE_DT")</f>
        <v>4/1/2019</v>
      </c>
      <c r="P206" t="str">
        <f>_xll.BDP("912834UN Govt","SECURITY_NAME")</f>
        <v>S 0 03/31/26</v>
      </c>
      <c r="Q206" t="str">
        <f>_xll.BDP("912834UN Govt","DAY_CNT_DES")</f>
        <v>ACT/ACT</v>
      </c>
      <c r="R206">
        <v>100</v>
      </c>
      <c r="S206" t="str">
        <f>_xll.BDP("912834UN Govt","ID_CUSIP")</f>
        <v>912834UN6</v>
      </c>
      <c r="T206" t="str">
        <f>_xll.BDP("912834UN Govt","IDX_RATIO")</f>
        <v>#N/A Field Not Applicable</v>
      </c>
    </row>
    <row r="207" spans="1:20" x14ac:dyDescent="0.25">
      <c r="A207" t="s">
        <v>14</v>
      </c>
      <c r="B207" t="str">
        <f>_xll.BDP("912834UE Govt","TICKER")</f>
        <v>S</v>
      </c>
      <c r="C207">
        <f>_xll.BDP("912834UE Govt","CPN")</f>
        <v>0</v>
      </c>
      <c r="D207">
        <f>_xll.BDP("912834UE Govt","YLD_YTM_BID")</f>
        <v>0.8960000000000079</v>
      </c>
      <c r="E207" t="str">
        <f>_xll.BDP("912834UE Govt","MATURITY")</f>
        <v>12/31/2025</v>
      </c>
      <c r="F207" t="str">
        <f>_xll.BDP("912834UE Govt","MTY_TYP")</f>
        <v>NORMAL</v>
      </c>
      <c r="G207" t="str">
        <f>_xll.BDP("912834UE Govt","CRNCY")</f>
        <v>USD</v>
      </c>
      <c r="H207" t="str">
        <f>_xll.BDP("912834UE Govt","COUNTRY_FULL_NAME")</f>
        <v>UNITED STATES</v>
      </c>
      <c r="I207" t="str">
        <f>_xll.BDP("912834UE Govt","FIRST_CPN_DT")</f>
        <v>#N/A Field Not Applicable</v>
      </c>
      <c r="J207" t="str">
        <f>_xll.BDP("912834UE Govt","COUPON_FREQUENCY_DESCRIPTION")</f>
        <v>#N/A Field Not Applicable</v>
      </c>
      <c r="K207" t="str">
        <f>_xll.BDP("912834UE Govt","CPN_TYP")</f>
        <v>ZERO</v>
      </c>
      <c r="L207" t="str">
        <f>_xll.BDP("912834UE Govt","ID_ISIN")</f>
        <v>US912834UE65</v>
      </c>
      <c r="N207">
        <v>0</v>
      </c>
      <c r="O207" t="str">
        <f>_xll.BDP("912834UE Govt","ISSUE_DT")</f>
        <v>12/31/2018</v>
      </c>
      <c r="P207" t="str">
        <f>_xll.BDP("912834UE Govt","SECURITY_NAME")</f>
        <v>S 0 12/31/25</v>
      </c>
      <c r="Q207" t="str">
        <f>_xll.BDP("912834UE Govt","DAY_CNT_DES")</f>
        <v>ACT/ACT</v>
      </c>
      <c r="R207">
        <v>100</v>
      </c>
      <c r="S207" t="str">
        <f>_xll.BDP("912834UE Govt","ID_CUSIP")</f>
        <v>912834UE6</v>
      </c>
      <c r="T207" t="str">
        <f>_xll.BDP("912834UE Govt","IDX_RATIO")</f>
        <v>#N/A Field Not Applicable</v>
      </c>
    </row>
    <row r="208" spans="1:20" x14ac:dyDescent="0.25">
      <c r="A208" t="s">
        <v>14</v>
      </c>
      <c r="B208" t="str">
        <f>_xll.BDP("912834UV Govt","TICKER")</f>
        <v>S</v>
      </c>
      <c r="C208">
        <f>_xll.BDP("912834UV Govt","CPN")</f>
        <v>0</v>
      </c>
      <c r="D208">
        <f>_xll.BDP("912834UV Govt","YLD_YTM_BID")</f>
        <v>5.0000000000016698E-2</v>
      </c>
      <c r="E208" t="str">
        <f>_xll.BDP("912834UV Govt","MATURITY")</f>
        <v>7/15/2022</v>
      </c>
      <c r="F208" t="str">
        <f>_xll.BDP("912834UV Govt","MTY_TYP")</f>
        <v>NORMAL</v>
      </c>
      <c r="G208" t="str">
        <f>_xll.BDP("912834UV Govt","CRNCY")</f>
        <v>USD</v>
      </c>
      <c r="H208" t="str">
        <f>_xll.BDP("912834UV Govt","COUNTRY_FULL_NAME")</f>
        <v>UNITED STATES</v>
      </c>
      <c r="I208" t="str">
        <f>_xll.BDP("912834UV Govt","FIRST_CPN_DT")</f>
        <v>#N/A Field Not Applicable</v>
      </c>
      <c r="J208" t="str">
        <f>_xll.BDP("912834UV Govt","COUPON_FREQUENCY_DESCRIPTION")</f>
        <v>#N/A Field Not Applicable</v>
      </c>
      <c r="K208" t="str">
        <f>_xll.BDP("912834UV Govt","CPN_TYP")</f>
        <v>ZERO</v>
      </c>
      <c r="L208" t="str">
        <f>_xll.BDP("912834UV Govt","ID_ISIN")</f>
        <v>US912834UV80</v>
      </c>
      <c r="N208">
        <v>0</v>
      </c>
      <c r="O208" t="str">
        <f>_xll.BDP("912834UV Govt","ISSUE_DT")</f>
        <v>7/15/2019</v>
      </c>
      <c r="P208" t="str">
        <f>_xll.BDP("912834UV Govt","SECURITY_NAME")</f>
        <v>S 0 07/15/22</v>
      </c>
      <c r="Q208" t="str">
        <f>_xll.BDP("912834UV Govt","DAY_CNT_DES")</f>
        <v>ACT/ACT</v>
      </c>
      <c r="R208">
        <v>100</v>
      </c>
      <c r="S208" t="str">
        <f>_xll.BDP("912834UV Govt","ID_CUSIP")</f>
        <v>912834UV8</v>
      </c>
      <c r="T208" t="str">
        <f>_xll.BDP("912834UV Govt","IDX_RATIO")</f>
        <v>#N/A Field Not Applicable</v>
      </c>
    </row>
    <row r="209" spans="1:20" x14ac:dyDescent="0.25">
      <c r="A209" t="s">
        <v>14</v>
      </c>
      <c r="B209" t="str">
        <f>_xll.BDP("912834PS Govt","TICKER")</f>
        <v>S</v>
      </c>
      <c r="C209">
        <f>_xll.BDP("912834PS Govt","CPN")</f>
        <v>0</v>
      </c>
      <c r="D209">
        <f>_xll.BDP("912834PS Govt","YLD_YTM_BID")</f>
        <v>0.11299999999998533</v>
      </c>
      <c r="E209" t="str">
        <f>_xll.BDP("912834PS Govt","MATURITY")</f>
        <v>10/31/2022</v>
      </c>
      <c r="F209" t="str">
        <f>_xll.BDP("912834PS Govt","MTY_TYP")</f>
        <v>NORMAL</v>
      </c>
      <c r="G209" t="str">
        <f>_xll.BDP("912834PS Govt","CRNCY")</f>
        <v>USD</v>
      </c>
      <c r="H209" t="str">
        <f>_xll.BDP("912834PS Govt","COUNTRY_FULL_NAME")</f>
        <v>UNITED STATES</v>
      </c>
      <c r="I209" t="str">
        <f>_xll.BDP("912834PS Govt","FIRST_CPN_DT")</f>
        <v>#N/A Field Not Applicable</v>
      </c>
      <c r="J209" t="str">
        <f>_xll.BDP("912834PS Govt","COUPON_FREQUENCY_DESCRIPTION")</f>
        <v>#N/A Field Not Applicable</v>
      </c>
      <c r="K209" t="str">
        <f>_xll.BDP("912834PS Govt","CPN_TYP")</f>
        <v>ZERO</v>
      </c>
      <c r="L209" t="str">
        <f>_xll.BDP("912834PS Govt","ID_ISIN")</f>
        <v>US912834PS17</v>
      </c>
      <c r="N209">
        <v>0</v>
      </c>
      <c r="O209" t="str">
        <f>_xll.BDP("912834PS Govt","ISSUE_DT")</f>
        <v>11/2/2015</v>
      </c>
      <c r="P209" t="str">
        <f>_xll.BDP("912834PS Govt","SECURITY_NAME")</f>
        <v>S 0 10/31/22</v>
      </c>
      <c r="Q209" t="str">
        <f>_xll.BDP("912834PS Govt","DAY_CNT_DES")</f>
        <v>ACT/ACT</v>
      </c>
      <c r="R209">
        <v>100</v>
      </c>
      <c r="S209" t="str">
        <f>_xll.BDP("912834PS Govt","ID_CUSIP")</f>
        <v>912834PS1</v>
      </c>
      <c r="T209" t="str">
        <f>_xll.BDP("912834PS Govt","IDX_RATIO")</f>
        <v>#N/A Field Not Applicable</v>
      </c>
    </row>
    <row r="210" spans="1:20" x14ac:dyDescent="0.25">
      <c r="A210" t="s">
        <v>14</v>
      </c>
      <c r="B210" t="str">
        <f>_xll.BDP("912834JW Govt","TICKER")</f>
        <v>S</v>
      </c>
      <c r="C210">
        <f>_xll.BDP("912834JW Govt","CPN")</f>
        <v>0</v>
      </c>
      <c r="D210">
        <f>_xll.BDP("912834JW Govt","YLD_YTM_BID")</f>
        <v>-1.0000000000011609E-2</v>
      </c>
      <c r="E210" t="str">
        <f>_xll.BDP("912834JW Govt","MATURITY")</f>
        <v>2/28/2022</v>
      </c>
      <c r="F210" t="str">
        <f>_xll.BDP("912834JW Govt","MTY_TYP")</f>
        <v>NORMAL</v>
      </c>
      <c r="G210" t="str">
        <f>_xll.BDP("912834JW Govt","CRNCY")</f>
        <v>USD</v>
      </c>
      <c r="H210" t="str">
        <f>_xll.BDP("912834JW Govt","COUNTRY_FULL_NAME")</f>
        <v>UNITED STATES</v>
      </c>
      <c r="I210" t="str">
        <f>_xll.BDP("912834JW Govt","FIRST_CPN_DT")</f>
        <v>#N/A Field Not Applicable</v>
      </c>
      <c r="J210" t="str">
        <f>_xll.BDP("912834JW Govt","COUPON_FREQUENCY_DESCRIPTION")</f>
        <v>#N/A Field Not Applicable</v>
      </c>
      <c r="K210" t="str">
        <f>_xll.BDP("912834JW Govt","CPN_TYP")</f>
        <v>ZERO</v>
      </c>
      <c r="L210" t="str">
        <f>_xll.BDP("912834JW Govt","ID_ISIN")</f>
        <v>US912834JW92</v>
      </c>
      <c r="N210">
        <v>0</v>
      </c>
      <c r="O210" t="str">
        <f>_xll.BDP("912834JW Govt","ISSUE_DT")</f>
        <v>3/2/2015</v>
      </c>
      <c r="P210" t="str">
        <f>_xll.BDP("912834JW Govt","SECURITY_NAME")</f>
        <v>S 0 02/28/22</v>
      </c>
      <c r="Q210" t="str">
        <f>_xll.BDP("912834JW Govt","DAY_CNT_DES")</f>
        <v>ACT/ACT</v>
      </c>
      <c r="R210">
        <v>100</v>
      </c>
      <c r="S210" t="str">
        <f>_xll.BDP("912834JW Govt","ID_CUSIP")</f>
        <v>912834JW9</v>
      </c>
      <c r="T210" t="str">
        <f>_xll.BDP("912834JW Govt","IDX_RATIO")</f>
        <v>#N/A Field Not Applicable</v>
      </c>
    </row>
    <row r="211" spans="1:20" x14ac:dyDescent="0.25">
      <c r="A211" t="s">
        <v>14</v>
      </c>
      <c r="B211" t="str">
        <f>_xll.BDP("912834QG Govt","TICKER")</f>
        <v>S</v>
      </c>
      <c r="C211">
        <f>_xll.BDP("912834QG Govt","CPN")</f>
        <v>0</v>
      </c>
      <c r="D211">
        <f>_xll.BDP("912834QG Govt","YLD_YTM_BID")</f>
        <v>0.20199999999999108</v>
      </c>
      <c r="E211" t="str">
        <f>_xll.BDP("912834QG Govt","MATURITY")</f>
        <v>4/30/2023</v>
      </c>
      <c r="F211" t="str">
        <f>_xll.BDP("912834QG Govt","MTY_TYP")</f>
        <v>NORMAL</v>
      </c>
      <c r="G211" t="str">
        <f>_xll.BDP("912834QG Govt","CRNCY")</f>
        <v>USD</v>
      </c>
      <c r="H211" t="str">
        <f>_xll.BDP("912834QG Govt","COUNTRY_FULL_NAME")</f>
        <v>UNITED STATES</v>
      </c>
      <c r="I211" t="str">
        <f>_xll.BDP("912834QG Govt","FIRST_CPN_DT")</f>
        <v>#N/A Field Not Applicable</v>
      </c>
      <c r="J211" t="str">
        <f>_xll.BDP("912834QG Govt","COUPON_FREQUENCY_DESCRIPTION")</f>
        <v>#N/A Field Not Applicable</v>
      </c>
      <c r="K211" t="str">
        <f>_xll.BDP("912834QG Govt","CPN_TYP")</f>
        <v>ZERO</v>
      </c>
      <c r="L211" t="str">
        <f>_xll.BDP("912834QG Govt","ID_ISIN")</f>
        <v>US912834QG69</v>
      </c>
      <c r="N211">
        <v>0</v>
      </c>
      <c r="O211" t="str">
        <f>_xll.BDP("912834QG Govt","ISSUE_DT")</f>
        <v>5/2/2016</v>
      </c>
      <c r="P211" t="str">
        <f>_xll.BDP("912834QG Govt","SECURITY_NAME")</f>
        <v>S 0 04/30/23</v>
      </c>
      <c r="Q211" t="str">
        <f>_xll.BDP("912834QG Govt","DAY_CNT_DES")</f>
        <v>ACT/ACT</v>
      </c>
      <c r="R211">
        <v>100</v>
      </c>
      <c r="S211" t="str">
        <f>_xll.BDP("912834QG Govt","ID_CUSIP")</f>
        <v>912834QG6</v>
      </c>
      <c r="T211" t="str">
        <f>_xll.BDP("912834QG Govt","IDX_RATIO")</f>
        <v>#N/A Field Not Applicable</v>
      </c>
    </row>
    <row r="212" spans="1:20" x14ac:dyDescent="0.25">
      <c r="A212" t="s">
        <v>14</v>
      </c>
      <c r="B212" t="str">
        <f>_xll.BDP("912834PU Govt","TICKER")</f>
        <v>S</v>
      </c>
      <c r="C212">
        <f>_xll.BDP("912834PU Govt","CPN")</f>
        <v>0</v>
      </c>
      <c r="D212">
        <f>_xll.BDP("912834PU Govt","YLD_YTM_BID")</f>
        <v>0.12900000000000134</v>
      </c>
      <c r="E212" t="str">
        <f>_xll.BDP("912834PU Govt","MATURITY")</f>
        <v>11/30/2022</v>
      </c>
      <c r="F212" t="str">
        <f>_xll.BDP("912834PU Govt","MTY_TYP")</f>
        <v>NORMAL</v>
      </c>
      <c r="G212" t="str">
        <f>_xll.BDP("912834PU Govt","CRNCY")</f>
        <v>USD</v>
      </c>
      <c r="H212" t="str">
        <f>_xll.BDP("912834PU Govt","COUNTRY_FULL_NAME")</f>
        <v>UNITED STATES</v>
      </c>
      <c r="I212" t="str">
        <f>_xll.BDP("912834PU Govt","FIRST_CPN_DT")</f>
        <v>#N/A Field Not Applicable</v>
      </c>
      <c r="J212" t="str">
        <f>_xll.BDP("912834PU Govt","COUPON_FREQUENCY_DESCRIPTION")</f>
        <v>#N/A Field Not Applicable</v>
      </c>
      <c r="K212" t="str">
        <f>_xll.BDP("912834PU Govt","CPN_TYP")</f>
        <v>ZERO</v>
      </c>
      <c r="L212" t="str">
        <f>_xll.BDP("912834PU Govt","ID_ISIN")</f>
        <v>US912834PU62</v>
      </c>
      <c r="N212">
        <v>0</v>
      </c>
      <c r="O212" t="str">
        <f>_xll.BDP("912834PU Govt","ISSUE_DT")</f>
        <v>11/30/2015</v>
      </c>
      <c r="P212" t="str">
        <f>_xll.BDP("912834PU Govt","SECURITY_NAME")</f>
        <v>S 0 11/30/22</v>
      </c>
      <c r="Q212" t="str">
        <f>_xll.BDP("912834PU Govt","DAY_CNT_DES")</f>
        <v>ACT/ACT</v>
      </c>
      <c r="R212">
        <v>100</v>
      </c>
      <c r="S212" t="str">
        <f>_xll.BDP("912834PU Govt","ID_CUSIP")</f>
        <v>912834PU6</v>
      </c>
      <c r="T212" t="str">
        <f>_xll.BDP("912834PU Govt","IDX_RATIO")</f>
        <v>#N/A Field Not Applicable</v>
      </c>
    </row>
    <row r="213" spans="1:20" x14ac:dyDescent="0.25">
      <c r="A213" t="s">
        <v>14</v>
      </c>
      <c r="B213" t="str">
        <f>_xll.BDP("912834QJ Govt","TICKER")</f>
        <v>S</v>
      </c>
      <c r="C213">
        <f>_xll.BDP("912834QJ Govt","CPN")</f>
        <v>0</v>
      </c>
      <c r="D213">
        <f>_xll.BDP("912834QJ Govt","YLD_YTM_BID")</f>
        <v>0.21800000000000708</v>
      </c>
      <c r="E213" t="str">
        <f>_xll.BDP("912834QJ Govt","MATURITY")</f>
        <v>5/31/2023</v>
      </c>
      <c r="F213" t="str">
        <f>_xll.BDP("912834QJ Govt","MTY_TYP")</f>
        <v>NORMAL</v>
      </c>
      <c r="G213" t="str">
        <f>_xll.BDP("912834QJ Govt","CRNCY")</f>
        <v>USD</v>
      </c>
      <c r="H213" t="str">
        <f>_xll.BDP("912834QJ Govt","COUNTRY_FULL_NAME")</f>
        <v>UNITED STATES</v>
      </c>
      <c r="I213" t="str">
        <f>_xll.BDP("912834QJ Govt","FIRST_CPN_DT")</f>
        <v>#N/A Field Not Applicable</v>
      </c>
      <c r="J213" t="str">
        <f>_xll.BDP("912834QJ Govt","COUPON_FREQUENCY_DESCRIPTION")</f>
        <v>#N/A Field Not Applicable</v>
      </c>
      <c r="K213" t="str">
        <f>_xll.BDP("912834QJ Govt","CPN_TYP")</f>
        <v>ZERO</v>
      </c>
      <c r="L213" t="str">
        <f>_xll.BDP("912834QJ Govt","ID_ISIN")</f>
        <v>US912834QJ09</v>
      </c>
      <c r="N213">
        <v>0</v>
      </c>
      <c r="O213" t="str">
        <f>_xll.BDP("912834QJ Govt","ISSUE_DT")</f>
        <v>5/31/2016</v>
      </c>
      <c r="P213" t="str">
        <f>_xll.BDP("912834QJ Govt","SECURITY_NAME")</f>
        <v>S 0 05/31/23</v>
      </c>
      <c r="Q213" t="str">
        <f>_xll.BDP("912834QJ Govt","DAY_CNT_DES")</f>
        <v>ACT/ACT</v>
      </c>
      <c r="R213">
        <v>100</v>
      </c>
      <c r="S213" t="str">
        <f>_xll.BDP("912834QJ Govt","ID_CUSIP")</f>
        <v>912834QJ0</v>
      </c>
      <c r="T213" t="str">
        <f>_xll.BDP("912834QJ Govt","IDX_RATIO")</f>
        <v>#N/A Field Not Applicable</v>
      </c>
    </row>
    <row r="214" spans="1:20" x14ac:dyDescent="0.25">
      <c r="A214" t="s">
        <v>14</v>
      </c>
      <c r="B214" t="str">
        <f>_xll.BDP("912834XC Govt","TICKER")</f>
        <v>S</v>
      </c>
      <c r="C214">
        <f>_xll.BDP("912834XC Govt","CPN")</f>
        <v>0</v>
      </c>
      <c r="D214">
        <f>_xll.BDP("912834XC Govt","YLD_YTM_BID")</f>
        <v>1.385000000000014</v>
      </c>
      <c r="E214" t="str">
        <f>_xll.BDP("912834XC Govt","MATURITY")</f>
        <v>6/30/2028</v>
      </c>
      <c r="F214" t="str">
        <f>_xll.BDP("912834XC Govt","MTY_TYP")</f>
        <v>NORMAL</v>
      </c>
      <c r="G214" t="str">
        <f>_xll.BDP("912834XC Govt","CRNCY")</f>
        <v>USD</v>
      </c>
      <c r="H214" t="str">
        <f>_xll.BDP("912834XC Govt","COUNTRY_FULL_NAME")</f>
        <v>UNITED STATES</v>
      </c>
      <c r="I214" t="str">
        <f>_xll.BDP("912834XC Govt","FIRST_CPN_DT")</f>
        <v>#N/A Field Not Applicable</v>
      </c>
      <c r="J214" t="str">
        <f>_xll.BDP("912834XC Govt","COUPON_FREQUENCY_DESCRIPTION")</f>
        <v>#N/A Field Not Applicable</v>
      </c>
      <c r="K214" t="str">
        <f>_xll.BDP("912834XC Govt","CPN_TYP")</f>
        <v>ZERO</v>
      </c>
      <c r="L214" t="str">
        <f>_xll.BDP("912834XC Govt","ID_ISIN")</f>
        <v>US912834XC72</v>
      </c>
      <c r="N214">
        <v>0</v>
      </c>
      <c r="O214" t="str">
        <f>_xll.BDP("912834XC Govt","ISSUE_DT")</f>
        <v>6/30/2021</v>
      </c>
      <c r="P214" t="str">
        <f>_xll.BDP("912834XC Govt","SECURITY_NAME")</f>
        <v>S 0 06/30/28</v>
      </c>
      <c r="Q214" t="str">
        <f>_xll.BDP("912834XC Govt","DAY_CNT_DES")</f>
        <v>ACT/ACT</v>
      </c>
      <c r="R214">
        <v>100</v>
      </c>
      <c r="S214" t="str">
        <f>_xll.BDP("912834XC Govt","ID_CUSIP")</f>
        <v>912834XC7</v>
      </c>
      <c r="T214" t="str">
        <f>_xll.BDP("912834XC Govt","IDX_RATIO")</f>
        <v>#N/A Field Not Applicable</v>
      </c>
    </row>
    <row r="215" spans="1:20" x14ac:dyDescent="0.25">
      <c r="A215" t="s">
        <v>14</v>
      </c>
      <c r="B215" t="str">
        <f>_xll.BDP("912834WH Govt","TICKER")</f>
        <v>S</v>
      </c>
      <c r="C215">
        <f>_xll.BDP("912834WH Govt","CPN")</f>
        <v>0</v>
      </c>
      <c r="D215">
        <f>_xll.BDP("912834WH Govt","YLD_YTM_BID")</f>
        <v>1.2820000000000054</v>
      </c>
      <c r="E215" t="str">
        <f>_xll.BDP("912834WH Govt","MATURITY")</f>
        <v>10/31/2027</v>
      </c>
      <c r="F215" t="str">
        <f>_xll.BDP("912834WH Govt","MTY_TYP")</f>
        <v>NORMAL</v>
      </c>
      <c r="G215" t="str">
        <f>_xll.BDP("912834WH Govt","CRNCY")</f>
        <v>USD</v>
      </c>
      <c r="H215" t="str">
        <f>_xll.BDP("912834WH Govt","COUNTRY_FULL_NAME")</f>
        <v>UNITED STATES</v>
      </c>
      <c r="I215" t="str">
        <f>_xll.BDP("912834WH Govt","FIRST_CPN_DT")</f>
        <v>#N/A Field Not Applicable</v>
      </c>
      <c r="J215" t="str">
        <f>_xll.BDP("912834WH Govt","COUPON_FREQUENCY_DESCRIPTION")</f>
        <v>#N/A Field Not Applicable</v>
      </c>
      <c r="K215" t="str">
        <f>_xll.BDP("912834WH Govt","CPN_TYP")</f>
        <v>ZERO</v>
      </c>
      <c r="L215" t="str">
        <f>_xll.BDP("912834WH Govt","ID_ISIN")</f>
        <v>US912834WH78</v>
      </c>
      <c r="N215">
        <v>0</v>
      </c>
      <c r="O215" t="str">
        <f>_xll.BDP("912834WH Govt","ISSUE_DT")</f>
        <v>11/2/2020</v>
      </c>
      <c r="P215" t="str">
        <f>_xll.BDP("912834WH Govt","SECURITY_NAME")</f>
        <v>S 0 10/31/27</v>
      </c>
      <c r="Q215" t="str">
        <f>_xll.BDP("912834WH Govt","DAY_CNT_DES")</f>
        <v>ACT/ACT</v>
      </c>
      <c r="R215">
        <v>100</v>
      </c>
      <c r="S215" t="str">
        <f>_xll.BDP("912834WH Govt","ID_CUSIP")</f>
        <v>912834WH7</v>
      </c>
      <c r="T215" t="str">
        <f>_xll.BDP("912834WH Govt","IDX_RATIO")</f>
        <v>#N/A Field Not Applicable</v>
      </c>
    </row>
    <row r="216" spans="1:20" x14ac:dyDescent="0.25">
      <c r="A216" t="s">
        <v>14</v>
      </c>
      <c r="B216" t="str">
        <f>_xll.BDP("912834RA Govt","TICKER")</f>
        <v>S</v>
      </c>
      <c r="C216">
        <f>_xll.BDP("912834RA Govt","CPN")</f>
        <v>0</v>
      </c>
      <c r="D216">
        <f>_xll.BDP("912834RA Govt","YLD_YTM_BID")</f>
        <v>0.38100000000000911</v>
      </c>
      <c r="E216" t="str">
        <f>_xll.BDP("912834RA Govt","MATURITY")</f>
        <v>1/31/2024</v>
      </c>
      <c r="F216" t="str">
        <f>_xll.BDP("912834RA Govt","MTY_TYP")</f>
        <v>NORMAL</v>
      </c>
      <c r="G216" t="str">
        <f>_xll.BDP("912834RA Govt","CRNCY")</f>
        <v>USD</v>
      </c>
      <c r="H216" t="str">
        <f>_xll.BDP("912834RA Govt","COUNTRY_FULL_NAME")</f>
        <v>UNITED STATES</v>
      </c>
      <c r="I216" t="str">
        <f>_xll.BDP("912834RA Govt","FIRST_CPN_DT")</f>
        <v>#N/A Field Not Applicable</v>
      </c>
      <c r="J216" t="str">
        <f>_xll.BDP("912834RA Govt","COUPON_FREQUENCY_DESCRIPTION")</f>
        <v>#N/A Field Not Applicable</v>
      </c>
      <c r="K216" t="str">
        <f>_xll.BDP("912834RA Govt","CPN_TYP")</f>
        <v>ZERO</v>
      </c>
      <c r="L216" t="str">
        <f>_xll.BDP("912834RA Govt","ID_ISIN")</f>
        <v>US912834RA80</v>
      </c>
      <c r="N216">
        <v>0</v>
      </c>
      <c r="O216" t="str">
        <f>_xll.BDP("912834RA Govt","ISSUE_DT")</f>
        <v>1/31/2017</v>
      </c>
      <c r="P216" t="str">
        <f>_xll.BDP("912834RA Govt","SECURITY_NAME")</f>
        <v>S 0 01/31/24</v>
      </c>
      <c r="Q216" t="str">
        <f>_xll.BDP("912834RA Govt","DAY_CNT_DES")</f>
        <v>ACT/ACT</v>
      </c>
      <c r="R216">
        <v>100</v>
      </c>
      <c r="S216" t="str">
        <f>_xll.BDP("912834RA Govt","ID_CUSIP")</f>
        <v>912834RA8</v>
      </c>
      <c r="T216" t="str">
        <f>_xll.BDP("912834RA Govt","IDX_RATIO")</f>
        <v>#N/A Field Not Applicable</v>
      </c>
    </row>
    <row r="217" spans="1:20" x14ac:dyDescent="0.25">
      <c r="A217" t="s">
        <v>14</v>
      </c>
      <c r="B217" t="str">
        <f>_xll.BDP("912834RG Govt","TICKER")</f>
        <v>S</v>
      </c>
      <c r="C217">
        <f>_xll.BDP("912834RG Govt","CPN")</f>
        <v>0</v>
      </c>
      <c r="D217">
        <f>_xll.BDP("912834RG Govt","YLD_YTM_BID")</f>
        <v>0.43199999999998795</v>
      </c>
      <c r="E217" t="str">
        <f>_xll.BDP("912834RG Govt","MATURITY")</f>
        <v>3/31/2024</v>
      </c>
      <c r="F217" t="str">
        <f>_xll.BDP("912834RG Govt","MTY_TYP")</f>
        <v>NORMAL</v>
      </c>
      <c r="G217" t="str">
        <f>_xll.BDP("912834RG Govt","CRNCY")</f>
        <v>USD</v>
      </c>
      <c r="H217" t="str">
        <f>_xll.BDP("912834RG Govt","COUNTRY_FULL_NAME")</f>
        <v>UNITED STATES</v>
      </c>
      <c r="I217" t="str">
        <f>_xll.BDP("912834RG Govt","FIRST_CPN_DT")</f>
        <v>#N/A Field Not Applicable</v>
      </c>
      <c r="J217" t="str">
        <f>_xll.BDP("912834RG Govt","COUPON_FREQUENCY_DESCRIPTION")</f>
        <v>#N/A Field Not Applicable</v>
      </c>
      <c r="K217" t="str">
        <f>_xll.BDP("912834RG Govt","CPN_TYP")</f>
        <v>ZERO</v>
      </c>
      <c r="L217" t="str">
        <f>_xll.BDP("912834RG Govt","ID_ISIN")</f>
        <v>US912834RG50</v>
      </c>
      <c r="N217">
        <v>0</v>
      </c>
      <c r="O217" t="str">
        <f>_xll.BDP("912834RG Govt","ISSUE_DT")</f>
        <v>3/31/2017</v>
      </c>
      <c r="P217" t="str">
        <f>_xll.BDP("912834RG Govt","SECURITY_NAME")</f>
        <v>S 0 03/31/24</v>
      </c>
      <c r="Q217" t="str">
        <f>_xll.BDP("912834RG Govt","DAY_CNT_DES")</f>
        <v>ACT/ACT</v>
      </c>
      <c r="R217">
        <v>100</v>
      </c>
      <c r="S217" t="str">
        <f>_xll.BDP("912834RG Govt","ID_CUSIP")</f>
        <v>912834RG5</v>
      </c>
      <c r="T217" t="str">
        <f>_xll.BDP("912834RG Govt","IDX_RATIO")</f>
        <v>#N/A Field Not Applicable</v>
      </c>
    </row>
    <row r="218" spans="1:20" x14ac:dyDescent="0.25">
      <c r="A218" t="s">
        <v>14</v>
      </c>
      <c r="B218" t="str">
        <f>_xll.BDP("912834VY Govt","TICKER")</f>
        <v>S</v>
      </c>
      <c r="C218">
        <f>_xll.BDP("912834VY Govt","CPN")</f>
        <v>0</v>
      </c>
      <c r="D218">
        <f>_xll.BDP("912834VY Govt","YLD_YTM_BID")</f>
        <v>1.2199999999999989</v>
      </c>
      <c r="E218" t="str">
        <f>_xll.BDP("912834VY Govt","MATURITY")</f>
        <v>6/30/2027</v>
      </c>
      <c r="F218" t="str">
        <f>_xll.BDP("912834VY Govt","MTY_TYP")</f>
        <v>NORMAL</v>
      </c>
      <c r="G218" t="str">
        <f>_xll.BDP("912834VY Govt","CRNCY")</f>
        <v>USD</v>
      </c>
      <c r="H218" t="str">
        <f>_xll.BDP("912834VY Govt","COUNTRY_FULL_NAME")</f>
        <v>UNITED STATES</v>
      </c>
      <c r="I218" t="str">
        <f>_xll.BDP("912834VY Govt","FIRST_CPN_DT")</f>
        <v>#N/A Field Not Applicable</v>
      </c>
      <c r="J218" t="str">
        <f>_xll.BDP("912834VY Govt","COUPON_FREQUENCY_DESCRIPTION")</f>
        <v>#N/A Field Not Applicable</v>
      </c>
      <c r="K218" t="str">
        <f>_xll.BDP("912834VY Govt","CPN_TYP")</f>
        <v>ZERO</v>
      </c>
      <c r="L218" t="str">
        <f>_xll.BDP("912834VY Govt","ID_ISIN")</f>
        <v>US912834VY11</v>
      </c>
      <c r="N218">
        <v>0</v>
      </c>
      <c r="O218" t="str">
        <f>_xll.BDP("912834VY Govt","ISSUE_DT")</f>
        <v>6/30/2020</v>
      </c>
      <c r="P218" t="str">
        <f>_xll.BDP("912834VY Govt","SECURITY_NAME")</f>
        <v>S 0 06/30/27</v>
      </c>
      <c r="Q218" t="str">
        <f>_xll.BDP("912834VY Govt","DAY_CNT_DES")</f>
        <v>ACT/ACT</v>
      </c>
      <c r="R218">
        <v>100</v>
      </c>
      <c r="S218" t="str">
        <f>_xll.BDP("912834VY Govt","ID_CUSIP")</f>
        <v>912834VY1</v>
      </c>
      <c r="T218" t="str">
        <f>_xll.BDP("912834VY Govt","IDX_RATIO")</f>
        <v>#N/A Field Not Applicable</v>
      </c>
    </row>
    <row r="219" spans="1:20" x14ac:dyDescent="0.25">
      <c r="A219" t="s">
        <v>14</v>
      </c>
      <c r="B219" t="str">
        <f>_xll.BDP("912834VF Govt","TICKER")</f>
        <v>S</v>
      </c>
      <c r="C219">
        <f>_xll.BDP("912834VF Govt","CPN")</f>
        <v>0</v>
      </c>
      <c r="D219">
        <f>_xll.BDP("912834VF Govt","YLD_YTM_BID")</f>
        <v>1.1089999999999822</v>
      </c>
      <c r="E219" t="str">
        <f>_xll.BDP("912834VF Govt","MATURITY")</f>
        <v>11/30/2026</v>
      </c>
      <c r="F219" t="str">
        <f>_xll.BDP("912834VF Govt","MTY_TYP")</f>
        <v>NORMAL</v>
      </c>
      <c r="G219" t="str">
        <f>_xll.BDP("912834VF Govt","CRNCY")</f>
        <v>USD</v>
      </c>
      <c r="H219" t="str">
        <f>_xll.BDP("912834VF Govt","COUNTRY_FULL_NAME")</f>
        <v>UNITED STATES</v>
      </c>
      <c r="I219" t="str">
        <f>_xll.BDP("912834VF Govt","FIRST_CPN_DT")</f>
        <v>#N/A Field Not Applicable</v>
      </c>
      <c r="J219" t="str">
        <f>_xll.BDP("912834VF Govt","COUPON_FREQUENCY_DESCRIPTION")</f>
        <v>#N/A Field Not Applicable</v>
      </c>
      <c r="K219" t="str">
        <f>_xll.BDP("912834VF Govt","CPN_TYP")</f>
        <v>ZERO</v>
      </c>
      <c r="L219" t="str">
        <f>_xll.BDP("912834VF Govt","ID_ISIN")</f>
        <v>US912834VF22</v>
      </c>
      <c r="N219">
        <v>0</v>
      </c>
      <c r="O219" t="str">
        <f>_xll.BDP("912834VF Govt","ISSUE_DT")</f>
        <v>12/2/2019</v>
      </c>
      <c r="P219" t="str">
        <f>_xll.BDP("912834VF Govt","SECURITY_NAME")</f>
        <v>S 0 11/30/26</v>
      </c>
      <c r="Q219" t="str">
        <f>_xll.BDP("912834VF Govt","DAY_CNT_DES")</f>
        <v>ACT/ACT</v>
      </c>
      <c r="R219">
        <v>100</v>
      </c>
      <c r="S219" t="str">
        <f>_xll.BDP("912834VF Govt","ID_CUSIP")</f>
        <v>912834VF2</v>
      </c>
      <c r="T219" t="str">
        <f>_xll.BDP("912834VF Govt","IDX_RATIO")</f>
        <v>#N/A Field Not Applicable</v>
      </c>
    </row>
    <row r="220" spans="1:20" x14ac:dyDescent="0.25">
      <c r="A220" t="s">
        <v>14</v>
      </c>
      <c r="B220" t="str">
        <f>_xll.BDP("912833CZ Govt","TICKER")</f>
        <v>S</v>
      </c>
      <c r="C220">
        <f>_xll.BDP("912833CZ Govt","CPN")</f>
        <v>0</v>
      </c>
      <c r="D220" t="str">
        <f>_xll.BDP("912833CZ Govt","YLD_YTM_BID")</f>
        <v>#N/A N/A</v>
      </c>
      <c r="E220" t="str">
        <f>_xll.BDP("912833CZ Govt","MATURITY")</f>
        <v>2/15/2011</v>
      </c>
      <c r="F220" t="str">
        <f>_xll.BDP("912833CZ Govt","MTY_TYP")</f>
        <v>NORMAL</v>
      </c>
      <c r="G220" t="str">
        <f>_xll.BDP("912833CZ Govt","CRNCY")</f>
        <v>USD</v>
      </c>
      <c r="H220" t="str">
        <f>_xll.BDP("912833CZ Govt","COUNTRY_FULL_NAME")</f>
        <v>UNITED STATES</v>
      </c>
      <c r="I220" t="str">
        <f>_xll.BDP("912833CZ Govt","FIRST_CPN_DT")</f>
        <v>#N/A Field Not Applicable</v>
      </c>
      <c r="J220" t="str">
        <f>_xll.BDP("912833CZ Govt","COUPON_FREQUENCY_DESCRIPTION")</f>
        <v>#N/A Field Not Applicable</v>
      </c>
      <c r="K220" t="str">
        <f>_xll.BDP("912833CZ Govt","CPN_TYP")</f>
        <v>ZERO</v>
      </c>
      <c r="L220" t="str">
        <f>_xll.BDP("912833CZ Govt","ID_ISIN")</f>
        <v>US912833CZ14</v>
      </c>
      <c r="N220">
        <v>0</v>
      </c>
      <c r="O220" t="str">
        <f>_xll.BDP("912833CZ Govt","ISSUE_DT")</f>
        <v>2/15/1985</v>
      </c>
      <c r="P220" t="str">
        <f>_xll.BDP("912833CZ Govt","SECURITY_NAME")</f>
        <v>S 0 02/15/11</v>
      </c>
      <c r="Q220" t="str">
        <f>_xll.BDP("912833CZ Govt","DAY_CNT_DES")</f>
        <v>ACT/ACT</v>
      </c>
      <c r="R220">
        <v>100</v>
      </c>
      <c r="S220" t="str">
        <f>_xll.BDP("912833CZ Govt","ID_CUSIP")</f>
        <v>912833CZ1</v>
      </c>
      <c r="T220" t="str">
        <f>_xll.BDP("912833CZ Govt","IDX_RATIO")</f>
        <v>#N/A Field Not Applicable</v>
      </c>
    </row>
    <row r="221" spans="1:20" x14ac:dyDescent="0.25">
      <c r="A221" t="s">
        <v>14</v>
      </c>
      <c r="B221" t="str">
        <f>_xll.BDP("912834JX Govt","TICKER")</f>
        <v>S</v>
      </c>
      <c r="C221">
        <f>_xll.BDP("912834JX Govt","CPN")</f>
        <v>0</v>
      </c>
      <c r="D221" t="str">
        <f>_xll.BDP("912834JX Govt","YLD_YTM_BID")</f>
        <v>#N/A N/A</v>
      </c>
      <c r="E221" t="str">
        <f>_xll.BDP("912834JX Govt","MATURITY")</f>
        <v>3/15/2018</v>
      </c>
      <c r="F221" t="str">
        <f>_xll.BDP("912834JX Govt","MTY_TYP")</f>
        <v>NORMAL</v>
      </c>
      <c r="G221" t="str">
        <f>_xll.BDP("912834JX Govt","CRNCY")</f>
        <v>USD</v>
      </c>
      <c r="H221" t="str">
        <f>_xll.BDP("912834JX Govt","COUNTRY_FULL_NAME")</f>
        <v>UNITED STATES</v>
      </c>
      <c r="I221" t="str">
        <f>_xll.BDP("912834JX Govt","FIRST_CPN_DT")</f>
        <v>#N/A Field Not Applicable</v>
      </c>
      <c r="J221" t="str">
        <f>_xll.BDP("912834JX Govt","COUPON_FREQUENCY_DESCRIPTION")</f>
        <v>#N/A Field Not Applicable</v>
      </c>
      <c r="K221" t="str">
        <f>_xll.BDP("912834JX Govt","CPN_TYP")</f>
        <v>ZERO</v>
      </c>
      <c r="L221" t="str">
        <f>_xll.BDP("912834JX Govt","ID_ISIN")</f>
        <v>US912834JX75</v>
      </c>
      <c r="N221">
        <v>0</v>
      </c>
      <c r="O221" t="str">
        <f>_xll.BDP("912834JX Govt","ISSUE_DT")</f>
        <v>3/16/2015</v>
      </c>
      <c r="P221" t="str">
        <f>_xll.BDP("912834JX Govt","SECURITY_NAME")</f>
        <v>S 0 03/15/18</v>
      </c>
      <c r="Q221" t="str">
        <f>_xll.BDP("912834JX Govt","DAY_CNT_DES")</f>
        <v>ACT/ACT</v>
      </c>
      <c r="R221">
        <v>100</v>
      </c>
      <c r="S221" t="str">
        <f>_xll.BDP("912834JX Govt","ID_CUSIP")</f>
        <v>912834JX7</v>
      </c>
      <c r="T221" t="str">
        <f>_xll.BDP("912834JX Govt","IDX_RATIO")</f>
        <v>#N/A Field Not Applicable</v>
      </c>
    </row>
    <row r="222" spans="1:20" x14ac:dyDescent="0.25">
      <c r="A222" t="s">
        <v>14</v>
      </c>
      <c r="B222" t="str">
        <f>_xll.BDP("912834VQ Govt","TICKER")</f>
        <v>S</v>
      </c>
      <c r="C222">
        <f>_xll.BDP("912834VQ Govt","CPN")</f>
        <v>0</v>
      </c>
      <c r="D222">
        <f>_xll.BDP("912834VQ Govt","YLD_YTM_BID")</f>
        <v>1.1559999999999793</v>
      </c>
      <c r="E222" t="str">
        <f>_xll.BDP("912834VQ Govt","MATURITY")</f>
        <v>2/28/2027</v>
      </c>
      <c r="F222" t="str">
        <f>_xll.BDP("912834VQ Govt","MTY_TYP")</f>
        <v>NORMAL</v>
      </c>
      <c r="G222" t="str">
        <f>_xll.BDP("912834VQ Govt","CRNCY")</f>
        <v>USD</v>
      </c>
      <c r="H222" t="str">
        <f>_xll.BDP("912834VQ Govt","COUNTRY_FULL_NAME")</f>
        <v>UNITED STATES</v>
      </c>
      <c r="I222" t="str">
        <f>_xll.BDP("912834VQ Govt","FIRST_CPN_DT")</f>
        <v>#N/A Field Not Applicable</v>
      </c>
      <c r="J222" t="str">
        <f>_xll.BDP("912834VQ Govt","COUPON_FREQUENCY_DESCRIPTION")</f>
        <v>#N/A Field Not Applicable</v>
      </c>
      <c r="K222" t="str">
        <f>_xll.BDP("912834VQ Govt","CPN_TYP")</f>
        <v>ZERO</v>
      </c>
      <c r="L222" t="str">
        <f>_xll.BDP("912834VQ Govt","ID_ISIN")</f>
        <v>US912834VQ86</v>
      </c>
      <c r="N222">
        <v>0</v>
      </c>
      <c r="O222" t="str">
        <f>_xll.BDP("912834VQ Govt","ISSUE_DT")</f>
        <v>3/2/2020</v>
      </c>
      <c r="P222" t="str">
        <f>_xll.BDP("912834VQ Govt","SECURITY_NAME")</f>
        <v>S 0 02/28/27</v>
      </c>
      <c r="Q222" t="str">
        <f>_xll.BDP("912834VQ Govt","DAY_CNT_DES")</f>
        <v>ACT/ACT</v>
      </c>
      <c r="R222">
        <v>100</v>
      </c>
      <c r="S222" t="str">
        <f>_xll.BDP("912834VQ Govt","ID_CUSIP")</f>
        <v>912834VQ8</v>
      </c>
      <c r="T222" t="str">
        <f>_xll.BDP("912834VQ Govt","IDX_RATIO")</f>
        <v>#N/A Field Not Applicable</v>
      </c>
    </row>
    <row r="223" spans="1:20" x14ac:dyDescent="0.25">
      <c r="A223" t="s">
        <v>14</v>
      </c>
      <c r="B223" t="str">
        <f>_xll.BDP("912834WE Govt","TICKER")</f>
        <v>S</v>
      </c>
      <c r="C223">
        <f>_xll.BDP("912834WE Govt","CPN")</f>
        <v>0</v>
      </c>
      <c r="D223">
        <f>_xll.BDP("912834WE Govt","YLD_YTM_BID")</f>
        <v>0.26999999999999247</v>
      </c>
      <c r="E223" t="str">
        <f>_xll.BDP("912834WE Govt","MATURITY")</f>
        <v>9/15/2023</v>
      </c>
      <c r="F223" t="str">
        <f>_xll.BDP("912834WE Govt","MTY_TYP")</f>
        <v>NORMAL</v>
      </c>
      <c r="G223" t="str">
        <f>_xll.BDP("912834WE Govt","CRNCY")</f>
        <v>USD</v>
      </c>
      <c r="H223" t="str">
        <f>_xll.BDP("912834WE Govt","COUNTRY_FULL_NAME")</f>
        <v>UNITED STATES</v>
      </c>
      <c r="I223" t="str">
        <f>_xll.BDP("912834WE Govt","FIRST_CPN_DT")</f>
        <v>#N/A Field Not Applicable</v>
      </c>
      <c r="J223" t="str">
        <f>_xll.BDP("912834WE Govt","COUPON_FREQUENCY_DESCRIPTION")</f>
        <v>#N/A Field Not Applicable</v>
      </c>
      <c r="K223" t="str">
        <f>_xll.BDP("912834WE Govt","CPN_TYP")</f>
        <v>ZERO</v>
      </c>
      <c r="L223" t="str">
        <f>_xll.BDP("912834WE Govt","ID_ISIN")</f>
        <v>US912834WE48</v>
      </c>
      <c r="N223">
        <v>0</v>
      </c>
      <c r="O223" t="str">
        <f>_xll.BDP("912834WE Govt","ISSUE_DT")</f>
        <v>9/15/2020</v>
      </c>
      <c r="P223" t="str">
        <f>_xll.BDP("912834WE Govt","SECURITY_NAME")</f>
        <v>S 0 09/15/23</v>
      </c>
      <c r="Q223" t="str">
        <f>_xll.BDP("912834WE Govt","DAY_CNT_DES")</f>
        <v>ACT/ACT</v>
      </c>
      <c r="R223">
        <v>100</v>
      </c>
      <c r="S223" t="str">
        <f>_xll.BDP("912834WE Govt","ID_CUSIP")</f>
        <v>912834WE4</v>
      </c>
      <c r="T223" t="str">
        <f>_xll.BDP("912834WE Govt","IDX_RATIO")</f>
        <v>#N/A Field Not Applicable</v>
      </c>
    </row>
    <row r="224" spans="1:20" x14ac:dyDescent="0.25">
      <c r="A224" t="s">
        <v>14</v>
      </c>
      <c r="B224" t="str">
        <f>_xll.BDP("912834VR Govt","TICKER")</f>
        <v>S</v>
      </c>
      <c r="C224">
        <f>_xll.BDP("912834VR Govt","CPN")</f>
        <v>0</v>
      </c>
      <c r="D224">
        <f>_xll.BDP("912834VR Govt","YLD_YTM_BID")</f>
        <v>0.17900000000001803</v>
      </c>
      <c r="E224" t="str">
        <f>_xll.BDP("912834VR Govt","MATURITY")</f>
        <v>3/15/2023</v>
      </c>
      <c r="F224" t="str">
        <f>_xll.BDP("912834VR Govt","MTY_TYP")</f>
        <v>NORMAL</v>
      </c>
      <c r="G224" t="str">
        <f>_xll.BDP("912834VR Govt","CRNCY")</f>
        <v>USD</v>
      </c>
      <c r="H224" t="str">
        <f>_xll.BDP("912834VR Govt","COUNTRY_FULL_NAME")</f>
        <v>UNITED STATES</v>
      </c>
      <c r="I224" t="str">
        <f>_xll.BDP("912834VR Govt","FIRST_CPN_DT")</f>
        <v>#N/A Field Not Applicable</v>
      </c>
      <c r="J224" t="str">
        <f>_xll.BDP("912834VR Govt","COUPON_FREQUENCY_DESCRIPTION")</f>
        <v>#N/A Field Not Applicable</v>
      </c>
      <c r="K224" t="str">
        <f>_xll.BDP("912834VR Govt","CPN_TYP")</f>
        <v>ZERO</v>
      </c>
      <c r="L224" t="str">
        <f>_xll.BDP("912834VR Govt","ID_ISIN")</f>
        <v>US912834VR69</v>
      </c>
      <c r="N224">
        <v>0</v>
      </c>
      <c r="O224" t="str">
        <f>_xll.BDP("912834VR Govt","ISSUE_DT")</f>
        <v>3/16/2020</v>
      </c>
      <c r="P224" t="str">
        <f>_xll.BDP("912834VR Govt","SECURITY_NAME")</f>
        <v>S 0 03/15/23</v>
      </c>
      <c r="Q224" t="str">
        <f>_xll.BDP("912834VR Govt","DAY_CNT_DES")</f>
        <v>ACT/ACT</v>
      </c>
      <c r="R224">
        <v>100</v>
      </c>
      <c r="S224" t="str">
        <f>_xll.BDP("912834VR Govt","ID_CUSIP")</f>
        <v>912834VR6</v>
      </c>
      <c r="T224" t="str">
        <f>_xll.BDP("912834VR Govt","IDX_RATIO")</f>
        <v>#N/A Field Not Applicable</v>
      </c>
    </row>
    <row r="225" spans="1:20" x14ac:dyDescent="0.25">
      <c r="A225" t="s">
        <v>14</v>
      </c>
      <c r="B225" t="str">
        <f>_xll.BDP("912834HU Govt","TICKER")</f>
        <v>S</v>
      </c>
      <c r="C225">
        <f>_xll.BDP("912834HU Govt","CPN")</f>
        <v>0</v>
      </c>
      <c r="D225" t="str">
        <f>_xll.BDP("912834HU Govt","YLD_YTM_BID")</f>
        <v>#N/A N/A</v>
      </c>
      <c r="E225" t="str">
        <f>_xll.BDP("912834HU Govt","MATURITY")</f>
        <v>4/30/2017</v>
      </c>
      <c r="F225" t="str">
        <f>_xll.BDP("912834HU Govt","MTY_TYP")</f>
        <v>NORMAL</v>
      </c>
      <c r="G225" t="str">
        <f>_xll.BDP("912834HU Govt","CRNCY")</f>
        <v>USD</v>
      </c>
      <c r="H225" t="str">
        <f>_xll.BDP("912834HU Govt","COUNTRY_FULL_NAME")</f>
        <v>UNITED STATES</v>
      </c>
      <c r="I225" t="str">
        <f>_xll.BDP("912834HU Govt","FIRST_CPN_DT")</f>
        <v>#N/A Field Not Applicable</v>
      </c>
      <c r="J225" t="str">
        <f>_xll.BDP("912834HU Govt","COUPON_FREQUENCY_DESCRIPTION")</f>
        <v>#N/A Field Not Applicable</v>
      </c>
      <c r="K225" t="str">
        <f>_xll.BDP("912834HU Govt","CPN_TYP")</f>
        <v>ZERO</v>
      </c>
      <c r="L225" t="str">
        <f>_xll.BDP("912834HU Govt","ID_ISIN")</f>
        <v>US912834HU54</v>
      </c>
      <c r="N225">
        <v>0</v>
      </c>
      <c r="O225" t="str">
        <f>_xll.BDP("912834HU Govt","ISSUE_DT")</f>
        <v>4/30/2010</v>
      </c>
      <c r="P225" t="str">
        <f>_xll.BDP("912834HU Govt","SECURITY_NAME")</f>
        <v>S 0 04/30/17</v>
      </c>
      <c r="Q225" t="str">
        <f>_xll.BDP("912834HU Govt","DAY_CNT_DES")</f>
        <v>ACT/ACT</v>
      </c>
      <c r="R225">
        <v>100</v>
      </c>
      <c r="S225" t="str">
        <f>_xll.BDP("912834HU Govt","ID_CUSIP")</f>
        <v>912834HU5</v>
      </c>
      <c r="T225" t="str">
        <f>_xll.BDP("912834HU Govt","IDX_RATIO")</f>
        <v>#N/A Field Not Applicable</v>
      </c>
    </row>
    <row r="226" spans="1:20" x14ac:dyDescent="0.25">
      <c r="A226" t="s">
        <v>14</v>
      </c>
      <c r="B226" t="str">
        <f>_xll.BDP("912834HY Govt","TICKER")</f>
        <v>S</v>
      </c>
      <c r="C226">
        <f>_xll.BDP("912834HY Govt","CPN")</f>
        <v>0</v>
      </c>
      <c r="D226" t="str">
        <f>_xll.BDP("912834HY Govt","YLD_YTM_BID")</f>
        <v>#N/A N/A</v>
      </c>
      <c r="E226" t="str">
        <f>_xll.BDP("912834HY Govt","MATURITY")</f>
        <v>6/30/2017</v>
      </c>
      <c r="F226" t="str">
        <f>_xll.BDP("912834HY Govt","MTY_TYP")</f>
        <v>NORMAL</v>
      </c>
      <c r="G226" t="str">
        <f>_xll.BDP("912834HY Govt","CRNCY")</f>
        <v>USD</v>
      </c>
      <c r="H226" t="str">
        <f>_xll.BDP("912834HY Govt","COUNTRY_FULL_NAME")</f>
        <v>UNITED STATES</v>
      </c>
      <c r="I226" t="str">
        <f>_xll.BDP("912834HY Govt","FIRST_CPN_DT")</f>
        <v>#N/A Field Not Applicable</v>
      </c>
      <c r="J226" t="str">
        <f>_xll.BDP("912834HY Govt","COUPON_FREQUENCY_DESCRIPTION")</f>
        <v>#N/A Field Not Applicable</v>
      </c>
      <c r="K226" t="str">
        <f>_xll.BDP("912834HY Govt","CPN_TYP")</f>
        <v>ZERO</v>
      </c>
      <c r="L226" t="str">
        <f>_xll.BDP("912834HY Govt","ID_ISIN")</f>
        <v>US912834HY76</v>
      </c>
      <c r="N226">
        <v>0</v>
      </c>
      <c r="O226" t="str">
        <f>_xll.BDP("912834HY Govt","ISSUE_DT")</f>
        <v>6/30/2010</v>
      </c>
      <c r="P226" t="str">
        <f>_xll.BDP("912834HY Govt","SECURITY_NAME")</f>
        <v>S 0 06/30/17</v>
      </c>
      <c r="Q226" t="str">
        <f>_xll.BDP("912834HY Govt","DAY_CNT_DES")</f>
        <v>ACT/ACT</v>
      </c>
      <c r="R226">
        <v>100</v>
      </c>
      <c r="S226" t="str">
        <f>_xll.BDP("912834HY Govt","ID_CUSIP")</f>
        <v>912834HY7</v>
      </c>
      <c r="T226" t="str">
        <f>_xll.BDP("912834HY Govt","IDX_RATIO")</f>
        <v>#N/A Field Not Applicable</v>
      </c>
    </row>
    <row r="227" spans="1:20" x14ac:dyDescent="0.25">
      <c r="A227" t="s">
        <v>14</v>
      </c>
      <c r="B227" t="str">
        <f>_xll.BDP("912834JC Govt","TICKER")</f>
        <v>S</v>
      </c>
      <c r="C227">
        <f>_xll.BDP("912834JC Govt","CPN")</f>
        <v>0</v>
      </c>
      <c r="D227" t="str">
        <f>_xll.BDP("912834JC Govt","YLD_YTM_BID")</f>
        <v>#N/A N/A</v>
      </c>
      <c r="E227" t="str">
        <f>_xll.BDP("912834JC Govt","MATURITY")</f>
        <v>8/31/2017</v>
      </c>
      <c r="F227" t="str">
        <f>_xll.BDP("912834JC Govt","MTY_TYP")</f>
        <v>NORMAL</v>
      </c>
      <c r="G227" t="str">
        <f>_xll.BDP("912834JC Govt","CRNCY")</f>
        <v>USD</v>
      </c>
      <c r="H227" t="str">
        <f>_xll.BDP("912834JC Govt","COUNTRY_FULL_NAME")</f>
        <v>UNITED STATES</v>
      </c>
      <c r="I227" t="str">
        <f>_xll.BDP("912834JC Govt","FIRST_CPN_DT")</f>
        <v>#N/A Field Not Applicable</v>
      </c>
      <c r="J227" t="str">
        <f>_xll.BDP("912834JC Govt","COUPON_FREQUENCY_DESCRIPTION")</f>
        <v>#N/A Field Not Applicable</v>
      </c>
      <c r="K227" t="str">
        <f>_xll.BDP("912834JC Govt","CPN_TYP")</f>
        <v>ZERO</v>
      </c>
      <c r="L227" t="str">
        <f>_xll.BDP("912834JC Govt","ID_ISIN")</f>
        <v>US912834JC39</v>
      </c>
      <c r="N227">
        <v>0</v>
      </c>
      <c r="O227" t="str">
        <f>_xll.BDP("912834JC Govt","ISSUE_DT")</f>
        <v>8/31/2010</v>
      </c>
      <c r="P227" t="str">
        <f>_xll.BDP("912834JC Govt","SECURITY_NAME")</f>
        <v>S 0 08/31/17</v>
      </c>
      <c r="Q227" t="str">
        <f>_xll.BDP("912834JC Govt","DAY_CNT_DES")</f>
        <v>ACT/ACT</v>
      </c>
      <c r="R227">
        <v>100</v>
      </c>
      <c r="S227" t="str">
        <f>_xll.BDP("912834JC Govt","ID_CUSIP")</f>
        <v>912834JC3</v>
      </c>
      <c r="T227" t="str">
        <f>_xll.BDP("912834JC Govt","IDX_RATIO")</f>
        <v>#N/A Field Not Applicable</v>
      </c>
    </row>
    <row r="228" spans="1:20" x14ac:dyDescent="0.25">
      <c r="A228" t="s">
        <v>14</v>
      </c>
      <c r="B228" t="str">
        <f>_xll.BDP("912834JG Govt","TICKER")</f>
        <v>S</v>
      </c>
      <c r="C228">
        <f>_xll.BDP("912834JG Govt","CPN")</f>
        <v>0</v>
      </c>
      <c r="D228" t="str">
        <f>_xll.BDP("912834JG Govt","YLD_YTM_BID")</f>
        <v>#N/A N/A</v>
      </c>
      <c r="E228" t="str">
        <f>_xll.BDP("912834JG Govt","MATURITY")</f>
        <v>10/31/2017</v>
      </c>
      <c r="F228" t="str">
        <f>_xll.BDP("912834JG Govt","MTY_TYP")</f>
        <v>NORMAL</v>
      </c>
      <c r="G228" t="str">
        <f>_xll.BDP("912834JG Govt","CRNCY")</f>
        <v>USD</v>
      </c>
      <c r="H228" t="str">
        <f>_xll.BDP("912834JG Govt","COUNTRY_FULL_NAME")</f>
        <v>UNITED STATES</v>
      </c>
      <c r="I228" t="str">
        <f>_xll.BDP("912834JG Govt","FIRST_CPN_DT")</f>
        <v>#N/A Field Not Applicable</v>
      </c>
      <c r="J228" t="str">
        <f>_xll.BDP("912834JG Govt","COUPON_FREQUENCY_DESCRIPTION")</f>
        <v>#N/A Field Not Applicable</v>
      </c>
      <c r="K228" t="str">
        <f>_xll.BDP("912834JG Govt","CPN_TYP")</f>
        <v>ZERO</v>
      </c>
      <c r="L228" t="str">
        <f>_xll.BDP("912834JG Govt","ID_ISIN")</f>
        <v>US912834JG43</v>
      </c>
      <c r="N228">
        <v>0</v>
      </c>
      <c r="O228" t="str">
        <f>_xll.BDP("912834JG Govt","ISSUE_DT")</f>
        <v>11/1/2010</v>
      </c>
      <c r="P228" t="str">
        <f>_xll.BDP("912834JG Govt","SECURITY_NAME")</f>
        <v>S 0 10/31/17</v>
      </c>
      <c r="Q228" t="str">
        <f>_xll.BDP("912834JG Govt","DAY_CNT_DES")</f>
        <v>ACT/ACT</v>
      </c>
      <c r="R228">
        <v>100</v>
      </c>
      <c r="S228" t="str">
        <f>_xll.BDP("912834JG Govt","ID_CUSIP")</f>
        <v>912834JG4</v>
      </c>
      <c r="T228" t="str">
        <f>_xll.BDP("912834JG Govt","IDX_RATIO")</f>
        <v>#N/A Field Not Applicable</v>
      </c>
    </row>
    <row r="229" spans="1:20" x14ac:dyDescent="0.25">
      <c r="A229" t="s">
        <v>14</v>
      </c>
      <c r="B229" t="str">
        <f>_xll.BDP("912834KF Govt","TICKER")</f>
        <v>S</v>
      </c>
      <c r="C229">
        <f>_xll.BDP("912834KF Govt","CPN")</f>
        <v>0</v>
      </c>
      <c r="D229" t="str">
        <f>_xll.BDP("912834KF Govt","YLD_YTM_BID")</f>
        <v>#N/A N/A</v>
      </c>
      <c r="E229" t="str">
        <f>_xll.BDP("912834KF Govt","MATURITY")</f>
        <v>4/15/2014</v>
      </c>
      <c r="F229" t="str">
        <f>_xll.BDP("912834KF Govt","MTY_TYP")</f>
        <v>NORMAL</v>
      </c>
      <c r="G229" t="str">
        <f>_xll.BDP("912834KF Govt","CRNCY")</f>
        <v>USD</v>
      </c>
      <c r="H229" t="str">
        <f>_xll.BDP("912834KF Govt","COUNTRY_FULL_NAME")</f>
        <v>UNITED STATES</v>
      </c>
      <c r="I229" t="str">
        <f>_xll.BDP("912834KF Govt","FIRST_CPN_DT")</f>
        <v>#N/A Field Not Applicable</v>
      </c>
      <c r="J229" t="str">
        <f>_xll.BDP("912834KF Govt","COUPON_FREQUENCY_DESCRIPTION")</f>
        <v>#N/A Field Not Applicable</v>
      </c>
      <c r="K229" t="str">
        <f>_xll.BDP("912834KF Govt","CPN_TYP")</f>
        <v>ZERO</v>
      </c>
      <c r="L229" t="str">
        <f>_xll.BDP("912834KF Govt","ID_ISIN")</f>
        <v>US912834KF41</v>
      </c>
      <c r="N229">
        <v>0</v>
      </c>
      <c r="O229" t="str">
        <f>_xll.BDP("912834KF Govt","ISSUE_DT")</f>
        <v>4/15/2011</v>
      </c>
      <c r="P229" t="str">
        <f>_xll.BDP("912834KF Govt","SECURITY_NAME")</f>
        <v>S 0 04/15/14</v>
      </c>
      <c r="Q229" t="str">
        <f>_xll.BDP("912834KF Govt","DAY_CNT_DES")</f>
        <v>ACT/ACT</v>
      </c>
      <c r="R229">
        <v>100</v>
      </c>
      <c r="S229" t="str">
        <f>_xll.BDP("912834KF Govt","ID_CUSIP")</f>
        <v>912834KF4</v>
      </c>
      <c r="T229" t="str">
        <f>_xll.BDP("912834KF Govt","IDX_RATIO")</f>
        <v>#N/A Field Not Applicable</v>
      </c>
    </row>
    <row r="230" spans="1:20" x14ac:dyDescent="0.25">
      <c r="A230" t="s">
        <v>14</v>
      </c>
      <c r="B230" t="str">
        <f>_xll.BDP("912834KG Govt","TICKER")</f>
        <v>S</v>
      </c>
      <c r="C230">
        <f>_xll.BDP("912834KG Govt","CPN")</f>
        <v>0</v>
      </c>
      <c r="D230" t="str">
        <f>_xll.BDP("912834KG Govt","YLD_YTM_BID")</f>
        <v>#N/A N/A</v>
      </c>
      <c r="E230" t="str">
        <f>_xll.BDP("912834KG Govt","MATURITY")</f>
        <v>4/30/2018</v>
      </c>
      <c r="F230" t="str">
        <f>_xll.BDP("912834KG Govt","MTY_TYP")</f>
        <v>NORMAL</v>
      </c>
      <c r="G230" t="str">
        <f>_xll.BDP("912834KG Govt","CRNCY")</f>
        <v>USD</v>
      </c>
      <c r="H230" t="str">
        <f>_xll.BDP("912834KG Govt","COUNTRY_FULL_NAME")</f>
        <v>UNITED STATES</v>
      </c>
      <c r="I230" t="str">
        <f>_xll.BDP("912834KG Govt","FIRST_CPN_DT")</f>
        <v>#N/A Field Not Applicable</v>
      </c>
      <c r="J230" t="str">
        <f>_xll.BDP("912834KG Govt","COUPON_FREQUENCY_DESCRIPTION")</f>
        <v>#N/A Field Not Applicable</v>
      </c>
      <c r="K230" t="str">
        <f>_xll.BDP("912834KG Govt","CPN_TYP")</f>
        <v>ZERO</v>
      </c>
      <c r="L230" t="str">
        <f>_xll.BDP("912834KG Govt","ID_ISIN")</f>
        <v>US912834KG24</v>
      </c>
      <c r="N230">
        <v>0</v>
      </c>
      <c r="O230" t="str">
        <f>_xll.BDP("912834KG Govt","ISSUE_DT")</f>
        <v>5/2/2011</v>
      </c>
      <c r="P230" t="str">
        <f>_xll.BDP("912834KG Govt","SECURITY_NAME")</f>
        <v>S 0 04/30/18</v>
      </c>
      <c r="Q230" t="str">
        <f>_xll.BDP("912834KG Govt","DAY_CNT_DES")</f>
        <v>ACT/ACT</v>
      </c>
      <c r="R230">
        <v>100</v>
      </c>
      <c r="S230" t="str">
        <f>_xll.BDP("912834KG Govt","ID_CUSIP")</f>
        <v>912834KG2</v>
      </c>
      <c r="T230" t="str">
        <f>_xll.BDP("912834KG Govt","IDX_RATIO")</f>
        <v>#N/A Field Not Applicable</v>
      </c>
    </row>
    <row r="231" spans="1:20" x14ac:dyDescent="0.25">
      <c r="A231" t="s">
        <v>14</v>
      </c>
      <c r="B231" t="str">
        <f>_xll.BDP("912834LN Govt","TICKER")</f>
        <v>S</v>
      </c>
      <c r="C231">
        <f>_xll.BDP("912834LN Govt","CPN")</f>
        <v>0</v>
      </c>
      <c r="D231" t="str">
        <f>_xll.BDP("912834LN Govt","YLD_YTM_BID")</f>
        <v>#N/A N/A</v>
      </c>
      <c r="E231" t="str">
        <f>_xll.BDP("912834LN Govt","MATURITY")</f>
        <v>6/30/2019</v>
      </c>
      <c r="F231" t="str">
        <f>_xll.BDP("912834LN Govt","MTY_TYP")</f>
        <v>NORMAL</v>
      </c>
      <c r="G231" t="str">
        <f>_xll.BDP("912834LN Govt","CRNCY")</f>
        <v>USD</v>
      </c>
      <c r="H231" t="str">
        <f>_xll.BDP("912834LN Govt","COUNTRY_FULL_NAME")</f>
        <v>UNITED STATES</v>
      </c>
      <c r="I231" t="str">
        <f>_xll.BDP("912834LN Govt","FIRST_CPN_DT")</f>
        <v>#N/A Field Not Applicable</v>
      </c>
      <c r="J231" t="str">
        <f>_xll.BDP("912834LN Govt","COUPON_FREQUENCY_DESCRIPTION")</f>
        <v>#N/A Field Not Applicable</v>
      </c>
      <c r="K231" t="str">
        <f>_xll.BDP("912834LN Govt","CPN_TYP")</f>
        <v>ZERO</v>
      </c>
      <c r="L231" t="str">
        <f>_xll.BDP("912834LN Govt","ID_ISIN")</f>
        <v>US912834LN65</v>
      </c>
      <c r="N231">
        <v>0</v>
      </c>
      <c r="O231" t="str">
        <f>_xll.BDP("912834LN Govt","ISSUE_DT")</f>
        <v>7/2/2012</v>
      </c>
      <c r="P231" t="str">
        <f>_xll.BDP("912834LN Govt","SECURITY_NAME")</f>
        <v>S 0 06/30/19</v>
      </c>
      <c r="Q231" t="str">
        <f>_xll.BDP("912834LN Govt","DAY_CNT_DES")</f>
        <v>ACT/ACT</v>
      </c>
      <c r="R231">
        <v>100</v>
      </c>
      <c r="S231" t="str">
        <f>_xll.BDP("912834LN Govt","ID_CUSIP")</f>
        <v>912834LN6</v>
      </c>
      <c r="T231" t="str">
        <f>_xll.BDP("912834LN Govt","IDX_RATIO")</f>
        <v>#N/A Field Not Applicable</v>
      </c>
    </row>
    <row r="232" spans="1:20" x14ac:dyDescent="0.25">
      <c r="A232" t="s">
        <v>14</v>
      </c>
      <c r="B232" t="str">
        <f>_xll.BDP("912834LV Govt","TICKER")</f>
        <v>S</v>
      </c>
      <c r="C232">
        <f>_xll.BDP("912834LV Govt","CPN")</f>
        <v>0</v>
      </c>
      <c r="D232" t="str">
        <f>_xll.BDP("912834LV Govt","YLD_YTM_BID")</f>
        <v>#N/A N/A</v>
      </c>
      <c r="E232" t="str">
        <f>_xll.BDP("912834LV Govt","MATURITY")</f>
        <v>10/15/2015</v>
      </c>
      <c r="F232" t="str">
        <f>_xll.BDP("912834LV Govt","MTY_TYP")</f>
        <v>NORMAL</v>
      </c>
      <c r="G232" t="str">
        <f>_xll.BDP("912834LV Govt","CRNCY")</f>
        <v>USD</v>
      </c>
      <c r="H232" t="str">
        <f>_xll.BDP("912834LV Govt","COUNTRY_FULL_NAME")</f>
        <v>UNITED STATES</v>
      </c>
      <c r="I232" t="str">
        <f>_xll.BDP("912834LV Govt","FIRST_CPN_DT")</f>
        <v>#N/A Field Not Applicable</v>
      </c>
      <c r="J232" t="str">
        <f>_xll.BDP("912834LV Govt","COUPON_FREQUENCY_DESCRIPTION")</f>
        <v>#N/A Field Not Applicable</v>
      </c>
      <c r="K232" t="str">
        <f>_xll.BDP("912834LV Govt","CPN_TYP")</f>
        <v>ZERO</v>
      </c>
      <c r="L232" t="str">
        <f>_xll.BDP("912834LV Govt","ID_ISIN")</f>
        <v>US912834LV81</v>
      </c>
      <c r="N232">
        <v>0</v>
      </c>
      <c r="O232" t="str">
        <f>_xll.BDP("912834LV Govt","ISSUE_DT")</f>
        <v>10/15/2012</v>
      </c>
      <c r="P232" t="str">
        <f>_xll.BDP("912834LV Govt","SECURITY_NAME")</f>
        <v>S 0 10/15/15</v>
      </c>
      <c r="Q232" t="str">
        <f>_xll.BDP("912834LV Govt","DAY_CNT_DES")</f>
        <v>ACT/ACT</v>
      </c>
      <c r="R232">
        <v>100</v>
      </c>
      <c r="S232" t="str">
        <f>_xll.BDP("912834LV Govt","ID_CUSIP")</f>
        <v>912834LV8</v>
      </c>
      <c r="T232" t="str">
        <f>_xll.BDP("912834LV Govt","IDX_RATIO")</f>
        <v>#N/A Field Not Applicable</v>
      </c>
    </row>
    <row r="233" spans="1:20" x14ac:dyDescent="0.25">
      <c r="A233" t="s">
        <v>14</v>
      </c>
      <c r="B233" t="str">
        <f>_xll.BDP("912834MJ Govt","TICKER")</f>
        <v>S</v>
      </c>
      <c r="C233">
        <f>_xll.BDP("912834MJ Govt","CPN")</f>
        <v>0</v>
      </c>
      <c r="D233" t="str">
        <f>_xll.BDP("912834MJ Govt","YLD_YTM_BID")</f>
        <v>#N/A N/A</v>
      </c>
      <c r="E233" t="str">
        <f>_xll.BDP("912834MJ Govt","MATURITY")</f>
        <v>3/31/2020</v>
      </c>
      <c r="F233" t="str">
        <f>_xll.BDP("912834MJ Govt","MTY_TYP")</f>
        <v>NORMAL</v>
      </c>
      <c r="G233" t="str">
        <f>_xll.BDP("912834MJ Govt","CRNCY")</f>
        <v>USD</v>
      </c>
      <c r="H233" t="str">
        <f>_xll.BDP("912834MJ Govt","COUNTRY_FULL_NAME")</f>
        <v>UNITED STATES</v>
      </c>
      <c r="I233" t="str">
        <f>_xll.BDP("912834MJ Govt","FIRST_CPN_DT")</f>
        <v>#N/A Field Not Applicable</v>
      </c>
      <c r="J233" t="str">
        <f>_xll.BDP("912834MJ Govt","COUPON_FREQUENCY_DESCRIPTION")</f>
        <v>#N/A Field Not Applicable</v>
      </c>
      <c r="K233" t="str">
        <f>_xll.BDP("912834MJ Govt","CPN_TYP")</f>
        <v>ZERO</v>
      </c>
      <c r="L233" t="str">
        <f>_xll.BDP("912834MJ Govt","ID_ISIN")</f>
        <v>US912834MJ45</v>
      </c>
      <c r="N233">
        <v>0</v>
      </c>
      <c r="O233" t="str">
        <f>_xll.BDP("912834MJ Govt","ISSUE_DT")</f>
        <v>4/1/2013</v>
      </c>
      <c r="P233" t="str">
        <f>_xll.BDP("912834MJ Govt","SECURITY_NAME")</f>
        <v>S 0 03/31/20</v>
      </c>
      <c r="Q233" t="str">
        <f>_xll.BDP("912834MJ Govt","DAY_CNT_DES")</f>
        <v>ACT/ACT</v>
      </c>
      <c r="R233">
        <v>100</v>
      </c>
      <c r="S233" t="str">
        <f>_xll.BDP("912834MJ Govt","ID_CUSIP")</f>
        <v>912834MJ4</v>
      </c>
      <c r="T233" t="str">
        <f>_xll.BDP("912834MJ Govt","IDX_RATIO")</f>
        <v>#N/A Field Not Applicable</v>
      </c>
    </row>
    <row r="234" spans="1:20" x14ac:dyDescent="0.25">
      <c r="A234" t="s">
        <v>14</v>
      </c>
      <c r="B234" t="str">
        <f>_xll.BDP("912834MW Govt","TICKER")</f>
        <v>S</v>
      </c>
      <c r="C234">
        <f>_xll.BDP("912834MW Govt","CPN")</f>
        <v>0</v>
      </c>
      <c r="D234" t="str">
        <f>_xll.BDP("912834MW Govt","YLD_YTM_BID")</f>
        <v>#N/A N/A</v>
      </c>
      <c r="E234" t="str">
        <f>_xll.BDP("912834MW Govt","MATURITY")</f>
        <v>9/30/2020</v>
      </c>
      <c r="F234" t="str">
        <f>_xll.BDP("912834MW Govt","MTY_TYP")</f>
        <v>NORMAL</v>
      </c>
      <c r="G234" t="str">
        <f>_xll.BDP("912834MW Govt","CRNCY")</f>
        <v>USD</v>
      </c>
      <c r="H234" t="str">
        <f>_xll.BDP("912834MW Govt","COUNTRY_FULL_NAME")</f>
        <v>UNITED STATES</v>
      </c>
      <c r="I234" t="str">
        <f>_xll.BDP("912834MW Govt","FIRST_CPN_DT")</f>
        <v>#N/A Field Not Applicable</v>
      </c>
      <c r="J234" t="str">
        <f>_xll.BDP("912834MW Govt","COUPON_FREQUENCY_DESCRIPTION")</f>
        <v>#N/A Field Not Applicable</v>
      </c>
      <c r="K234" t="str">
        <f>_xll.BDP("912834MW Govt","CPN_TYP")</f>
        <v>ZERO</v>
      </c>
      <c r="L234" t="str">
        <f>_xll.BDP("912834MW Govt","ID_ISIN")</f>
        <v>US912834MW55</v>
      </c>
      <c r="N234">
        <v>0</v>
      </c>
      <c r="O234" t="str">
        <f>_xll.BDP("912834MW Govt","ISSUE_DT")</f>
        <v>9/30/2013</v>
      </c>
      <c r="P234" t="str">
        <f>_xll.BDP("912834MW Govt","SECURITY_NAME")</f>
        <v>S 0 09/30/20</v>
      </c>
      <c r="Q234" t="str">
        <f>_xll.BDP("912834MW Govt","DAY_CNT_DES")</f>
        <v>ACT/ACT</v>
      </c>
      <c r="R234">
        <v>100</v>
      </c>
      <c r="S234" t="str">
        <f>_xll.BDP("912834MW Govt","ID_CUSIP")</f>
        <v>912834MW5</v>
      </c>
      <c r="T234" t="str">
        <f>_xll.BDP("912834MW Govt","IDX_RATIO")</f>
        <v>#N/A Field Not Applicable</v>
      </c>
    </row>
    <row r="235" spans="1:20" x14ac:dyDescent="0.25">
      <c r="A235" t="s">
        <v>14</v>
      </c>
      <c r="B235" t="str">
        <f>_xll.BDP("912833MP Govt","TICKER")</f>
        <v>S</v>
      </c>
      <c r="C235">
        <f>_xll.BDP("912833MP Govt","CPN")</f>
        <v>0</v>
      </c>
      <c r="D235" t="str">
        <f>_xll.BDP("912833MP Govt","YLD_YTM_BID")</f>
        <v>#N/A N/A</v>
      </c>
      <c r="E235" t="str">
        <f>_xll.BDP("912833MP Govt","MATURITY")</f>
        <v>4/15/2000</v>
      </c>
      <c r="F235" t="str">
        <f>_xll.BDP("912833MP Govt","MTY_TYP")</f>
        <v>NORMAL</v>
      </c>
      <c r="G235" t="str">
        <f>_xll.BDP("912833MP Govt","CRNCY")</f>
        <v>USD</v>
      </c>
      <c r="H235" t="str">
        <f>_xll.BDP("912833MP Govt","COUNTRY_FULL_NAME")</f>
        <v>UNITED STATES</v>
      </c>
      <c r="I235" t="str">
        <f>_xll.BDP("912833MP Govt","FIRST_CPN_DT")</f>
        <v>#N/A Field Not Applicable</v>
      </c>
      <c r="J235" t="str">
        <f>_xll.BDP("912833MP Govt","COUPON_FREQUENCY_DESCRIPTION")</f>
        <v>#N/A Field Not Applicable</v>
      </c>
      <c r="K235" t="str">
        <f>_xll.BDP("912833MP Govt","CPN_TYP")</f>
        <v>ZERO</v>
      </c>
      <c r="L235" t="str">
        <f>_xll.BDP("912833MP Govt","ID_ISIN")</f>
        <v>US912833MP22</v>
      </c>
      <c r="N235">
        <v>0</v>
      </c>
      <c r="O235" t="str">
        <f>_xll.BDP("912833MP Govt","ISSUE_DT")</f>
        <v>10/15/1996</v>
      </c>
      <c r="P235" t="str">
        <f>_xll.BDP("912833MP Govt","SECURITY_NAME")</f>
        <v>S 0 04/15/00</v>
      </c>
      <c r="Q235" t="str">
        <f>_xll.BDP("912833MP Govt","DAY_CNT_DES")</f>
        <v>ACT/ACT</v>
      </c>
      <c r="R235">
        <v>100</v>
      </c>
      <c r="S235" t="str">
        <f>_xll.BDP("912833MP Govt","ID_CUSIP")</f>
        <v>912833MP2</v>
      </c>
      <c r="T235" t="str">
        <f>_xll.BDP("912833MP Govt","IDX_RATIO")</f>
        <v>#N/A Field Not Applicable</v>
      </c>
    </row>
    <row r="236" spans="1:20" x14ac:dyDescent="0.25">
      <c r="A236" t="s">
        <v>14</v>
      </c>
      <c r="B236" t="str">
        <f>_xll.BDP("912833MQ Govt","TICKER")</f>
        <v>S</v>
      </c>
      <c r="C236">
        <f>_xll.BDP("912833MQ Govt","CPN")</f>
        <v>0</v>
      </c>
      <c r="D236" t="str">
        <f>_xll.BDP("912833MQ Govt","YLD_YTM_BID")</f>
        <v>#N/A N/A</v>
      </c>
      <c r="E236" t="str">
        <f>_xll.BDP("912833MQ Govt","MATURITY")</f>
        <v>7/15/2000</v>
      </c>
      <c r="F236" t="str">
        <f>_xll.BDP("912833MQ Govt","MTY_TYP")</f>
        <v>NORMAL</v>
      </c>
      <c r="G236" t="str">
        <f>_xll.BDP("912833MQ Govt","CRNCY")</f>
        <v>USD</v>
      </c>
      <c r="H236" t="str">
        <f>_xll.BDP("912833MQ Govt","COUNTRY_FULL_NAME")</f>
        <v>UNITED STATES</v>
      </c>
      <c r="I236" t="str">
        <f>_xll.BDP("912833MQ Govt","FIRST_CPN_DT")</f>
        <v>#N/A Field Not Applicable</v>
      </c>
      <c r="J236" t="str">
        <f>_xll.BDP("912833MQ Govt","COUPON_FREQUENCY_DESCRIPTION")</f>
        <v>#N/A Field Not Applicable</v>
      </c>
      <c r="K236" t="str">
        <f>_xll.BDP("912833MQ Govt","CPN_TYP")</f>
        <v>ZERO</v>
      </c>
      <c r="L236" t="str">
        <f>_xll.BDP("912833MQ Govt","ID_ISIN")</f>
        <v>US912833MQ05</v>
      </c>
      <c r="N236">
        <v>0</v>
      </c>
      <c r="O236" t="str">
        <f>_xll.BDP("912833MQ Govt","ISSUE_DT")</f>
        <v>7/15/1996</v>
      </c>
      <c r="P236" t="str">
        <f>_xll.BDP("912833MQ Govt","SECURITY_NAME")</f>
        <v>S 0 07/15/00</v>
      </c>
      <c r="Q236" t="str">
        <f>_xll.BDP("912833MQ Govt","DAY_CNT_DES")</f>
        <v>ACT/ACT</v>
      </c>
      <c r="R236">
        <v>100</v>
      </c>
      <c r="S236" t="str">
        <f>_xll.BDP("912833MQ Govt","ID_CUSIP")</f>
        <v>912833MQ0</v>
      </c>
      <c r="T236" t="str">
        <f>_xll.BDP("912833MQ Govt","IDX_RATIO")</f>
        <v>#N/A Field Not Applicable</v>
      </c>
    </row>
    <row r="237" spans="1:20" x14ac:dyDescent="0.25">
      <c r="A237" t="s">
        <v>14</v>
      </c>
      <c r="B237" t="str">
        <f>_xll.BDP("912833NH Govt","TICKER")</f>
        <v>S</v>
      </c>
      <c r="C237">
        <f>_xll.BDP("912833NH Govt","CPN")</f>
        <v>0</v>
      </c>
      <c r="D237" t="str">
        <f>_xll.BDP("912833NH Govt","YLD_YTM_BID")</f>
        <v>#N/A N/A</v>
      </c>
      <c r="E237" t="str">
        <f>_xll.BDP("912833NH Govt","MATURITY")</f>
        <v>10/15/2004</v>
      </c>
      <c r="F237" t="str">
        <f>_xll.BDP("912833NH Govt","MTY_TYP")</f>
        <v>NORMAL</v>
      </c>
      <c r="G237" t="str">
        <f>_xll.BDP("912833NH Govt","CRNCY")</f>
        <v>USD</v>
      </c>
      <c r="H237" t="str">
        <f>_xll.BDP("912833NH Govt","COUNTRY_FULL_NAME")</f>
        <v>UNITED STATES</v>
      </c>
      <c r="I237" t="str">
        <f>_xll.BDP("912833NH Govt","FIRST_CPN_DT")</f>
        <v>#N/A Field Not Applicable</v>
      </c>
      <c r="J237" t="str">
        <f>_xll.BDP("912833NH Govt","COUPON_FREQUENCY_DESCRIPTION")</f>
        <v>#N/A Field Not Applicable</v>
      </c>
      <c r="K237" t="str">
        <f>_xll.BDP("912833NH Govt","CPN_TYP")</f>
        <v>ZERO</v>
      </c>
      <c r="L237" t="str">
        <f>_xll.BDP("912833NH Govt","ID_ISIN")</f>
        <v>US912833NH96</v>
      </c>
      <c r="N237">
        <v>0</v>
      </c>
      <c r="O237" t="str">
        <f>_xll.BDP("912833NH Govt","ISSUE_DT")</f>
        <v>10/15/1996</v>
      </c>
      <c r="P237" t="str">
        <f>_xll.BDP("912833NH Govt","SECURITY_NAME")</f>
        <v>S 0 10/15/04</v>
      </c>
      <c r="Q237" t="str">
        <f>_xll.BDP("912833NH Govt","DAY_CNT_DES")</f>
        <v>ACT/ACT</v>
      </c>
      <c r="R237">
        <v>100</v>
      </c>
      <c r="S237" t="str">
        <f>_xll.BDP("912833NH Govt","ID_CUSIP")</f>
        <v>912833NH9</v>
      </c>
      <c r="T237" t="str">
        <f>_xll.BDP("912833NH Govt","IDX_RATIO")</f>
        <v>#N/A Field Not Applicable</v>
      </c>
    </row>
    <row r="238" spans="1:20" x14ac:dyDescent="0.25">
      <c r="A238" t="s">
        <v>14</v>
      </c>
      <c r="B238" t="str">
        <f>_xll.BDP("912833PM Govt","TICKER")</f>
        <v>S</v>
      </c>
      <c r="C238">
        <f>_xll.BDP("912833PM Govt","CPN")</f>
        <v>0</v>
      </c>
      <c r="D238" t="str">
        <f>_xll.BDP("912833PM Govt","YLD_YTM_BID")</f>
        <v>#N/A N/A</v>
      </c>
      <c r="E238" t="str">
        <f>_xll.BDP("912833PM Govt","MATURITY")</f>
        <v>3/31/2001</v>
      </c>
      <c r="F238" t="str">
        <f>_xll.BDP("912833PM Govt","MTY_TYP")</f>
        <v>NORMAL</v>
      </c>
      <c r="G238" t="str">
        <f>_xll.BDP("912833PM Govt","CRNCY")</f>
        <v>USD</v>
      </c>
      <c r="H238" t="str">
        <f>_xll.BDP("912833PM Govt","COUNTRY_FULL_NAME")</f>
        <v>UNITED STATES</v>
      </c>
      <c r="I238" t="str">
        <f>_xll.BDP("912833PM Govt","FIRST_CPN_DT")</f>
        <v>#N/A Field Not Applicable</v>
      </c>
      <c r="J238" t="str">
        <f>_xll.BDP("912833PM Govt","COUPON_FREQUENCY_DESCRIPTION")</f>
        <v>#N/A Field Not Applicable</v>
      </c>
      <c r="K238" t="str">
        <f>_xll.BDP("912833PM Govt","CPN_TYP")</f>
        <v>ZERO</v>
      </c>
      <c r="L238" t="str">
        <f>_xll.BDP("912833PM Govt","ID_ISIN")</f>
        <v>US912833PM63</v>
      </c>
      <c r="N238">
        <v>0</v>
      </c>
      <c r="O238" t="str">
        <f>_xll.BDP("912833PM Govt","ISSUE_DT")</f>
        <v>9/30/1997</v>
      </c>
      <c r="P238" t="str">
        <f>_xll.BDP("912833PM Govt","SECURITY_NAME")</f>
        <v>S 0 03/31/01</v>
      </c>
      <c r="Q238" t="str">
        <f>_xll.BDP("912833PM Govt","DAY_CNT_DES")</f>
        <v>ACT/ACT</v>
      </c>
      <c r="R238">
        <v>100</v>
      </c>
      <c r="S238" t="str">
        <f>_xll.BDP("912833PM Govt","ID_CUSIP")</f>
        <v>912833PM6</v>
      </c>
      <c r="T238" t="str">
        <f>_xll.BDP("912833PM Govt","IDX_RATIO")</f>
        <v>#N/A Field Not Applicable</v>
      </c>
    </row>
    <row r="239" spans="1:20" x14ac:dyDescent="0.25">
      <c r="A239" t="s">
        <v>14</v>
      </c>
      <c r="B239" t="str">
        <f>_xll.BDP("912833PW Govt","TICKER")</f>
        <v>S</v>
      </c>
      <c r="C239">
        <f>_xll.BDP("912833PW Govt","CPN")</f>
        <v>0</v>
      </c>
      <c r="D239" t="str">
        <f>_xll.BDP("912833PW Govt","YLD_YTM_BID")</f>
        <v>#N/A N/A</v>
      </c>
      <c r="E239" t="str">
        <f>_xll.BDP("912833PW Govt","MATURITY")</f>
        <v>10/31/2000</v>
      </c>
      <c r="F239" t="str">
        <f>_xll.BDP("912833PW Govt","MTY_TYP")</f>
        <v>NORMAL</v>
      </c>
      <c r="G239" t="str">
        <f>_xll.BDP("912833PW Govt","CRNCY")</f>
        <v>USD</v>
      </c>
      <c r="H239" t="str">
        <f>_xll.BDP("912833PW Govt","COUNTRY_FULL_NAME")</f>
        <v>UNITED STATES</v>
      </c>
      <c r="I239" t="str">
        <f>_xll.BDP("912833PW Govt","FIRST_CPN_DT")</f>
        <v>#N/A Field Not Applicable</v>
      </c>
      <c r="J239" t="str">
        <f>_xll.BDP("912833PW Govt","COUPON_FREQUENCY_DESCRIPTION")</f>
        <v>#N/A Field Not Applicable</v>
      </c>
      <c r="K239" t="str">
        <f>_xll.BDP("912833PW Govt","CPN_TYP")</f>
        <v>ZERO</v>
      </c>
      <c r="L239" t="str">
        <f>_xll.BDP("912833PW Govt","ID_ISIN")</f>
        <v>US912833PW46</v>
      </c>
      <c r="N239">
        <v>0</v>
      </c>
      <c r="O239" t="str">
        <f>_xll.BDP("912833PW Govt","ISSUE_DT")</f>
        <v>10/31/1997</v>
      </c>
      <c r="P239" t="str">
        <f>_xll.BDP("912833PW Govt","SECURITY_NAME")</f>
        <v>S 0 10/31/00</v>
      </c>
      <c r="Q239" t="str">
        <f>_xll.BDP("912833PW Govt","DAY_CNT_DES")</f>
        <v>ACT/ACT</v>
      </c>
      <c r="R239">
        <v>100</v>
      </c>
      <c r="S239" t="str">
        <f>_xll.BDP("912833PW Govt","ID_CUSIP")</f>
        <v>912833PW4</v>
      </c>
      <c r="T239" t="str">
        <f>_xll.BDP("912833PW Govt","IDX_RATIO")</f>
        <v>#N/A Field Not Applicable</v>
      </c>
    </row>
    <row r="240" spans="1:20" x14ac:dyDescent="0.25">
      <c r="A240" t="s">
        <v>14</v>
      </c>
      <c r="B240" t="str">
        <f>_xll.BDP("912833PZ Govt","TICKER")</f>
        <v>S</v>
      </c>
      <c r="C240">
        <f>_xll.BDP("912833PZ Govt","CPN")</f>
        <v>0</v>
      </c>
      <c r="D240" t="str">
        <f>_xll.BDP("912833PZ Govt","YLD_YTM_BID")</f>
        <v>#N/A N/A</v>
      </c>
      <c r="E240" t="str">
        <f>_xll.BDP("912833PZ Govt","MATURITY")</f>
        <v>4/30/2002</v>
      </c>
      <c r="F240" t="str">
        <f>_xll.BDP("912833PZ Govt","MTY_TYP")</f>
        <v>NORMAL</v>
      </c>
      <c r="G240" t="str">
        <f>_xll.BDP("912833PZ Govt","CRNCY")</f>
        <v>USD</v>
      </c>
      <c r="H240" t="str">
        <f>_xll.BDP("912833PZ Govt","COUNTRY_FULL_NAME")</f>
        <v>UNITED STATES</v>
      </c>
      <c r="I240" t="str">
        <f>_xll.BDP("912833PZ Govt","FIRST_CPN_DT")</f>
        <v>#N/A Field Not Applicable</v>
      </c>
      <c r="J240" t="str">
        <f>_xll.BDP("912833PZ Govt","COUPON_FREQUENCY_DESCRIPTION")</f>
        <v>#N/A Field Not Applicable</v>
      </c>
      <c r="K240" t="str">
        <f>_xll.BDP("912833PZ Govt","CPN_TYP")</f>
        <v>ZERO</v>
      </c>
      <c r="L240" t="str">
        <f>_xll.BDP("912833PZ Govt","ID_ISIN")</f>
        <v>US912833PZ76</v>
      </c>
      <c r="N240">
        <v>0</v>
      </c>
      <c r="O240" t="str">
        <f>_xll.BDP("912833PZ Govt","ISSUE_DT")</f>
        <v>10/31/1997</v>
      </c>
      <c r="P240" t="str">
        <f>_xll.BDP("912833PZ Govt","SECURITY_NAME")</f>
        <v>S 0 04/30/02</v>
      </c>
      <c r="Q240" t="str">
        <f>_xll.BDP("912833PZ Govt","DAY_CNT_DES")</f>
        <v>ACT/ACT</v>
      </c>
      <c r="R240">
        <v>100</v>
      </c>
      <c r="S240" t="str">
        <f>_xll.BDP("912833PZ Govt","ID_CUSIP")</f>
        <v>912833PZ7</v>
      </c>
      <c r="T240" t="str">
        <f>_xll.BDP("912833PZ Govt","IDX_RATIO")</f>
        <v>#N/A Field Not Applicable</v>
      </c>
    </row>
    <row r="241" spans="1:20" x14ac:dyDescent="0.25">
      <c r="A241" t="s">
        <v>14</v>
      </c>
      <c r="B241" t="str">
        <f>_xll.BDP("912833QE Govt","TICKER")</f>
        <v>S</v>
      </c>
      <c r="C241">
        <f>_xll.BDP("912833QE Govt","CPN")</f>
        <v>0</v>
      </c>
      <c r="D241" t="str">
        <f>_xll.BDP("912833QE Govt","YLD_YTM_BID")</f>
        <v>#N/A N/A</v>
      </c>
      <c r="E241" t="str">
        <f>_xll.BDP("912833QE Govt","MATURITY")</f>
        <v>5/31/1999</v>
      </c>
      <c r="F241" t="str">
        <f>_xll.BDP("912833QE Govt","MTY_TYP")</f>
        <v>NORMAL</v>
      </c>
      <c r="G241" t="str">
        <f>_xll.BDP("912833QE Govt","CRNCY")</f>
        <v>USD</v>
      </c>
      <c r="H241" t="str">
        <f>_xll.BDP("912833QE Govt","COUNTRY_FULL_NAME")</f>
        <v>UNITED STATES</v>
      </c>
      <c r="I241" t="str">
        <f>_xll.BDP("912833QE Govt","FIRST_CPN_DT")</f>
        <v>#N/A Field Not Applicable</v>
      </c>
      <c r="J241" t="str">
        <f>_xll.BDP("912833QE Govt","COUPON_FREQUENCY_DESCRIPTION")</f>
        <v>#N/A Field Not Applicable</v>
      </c>
      <c r="K241" t="str">
        <f>_xll.BDP("912833QE Govt","CPN_TYP")</f>
        <v>ZERO</v>
      </c>
      <c r="L241" t="str">
        <f>_xll.BDP("912833QE Govt","ID_ISIN")</f>
        <v>US912833QE39</v>
      </c>
      <c r="N241">
        <v>0</v>
      </c>
      <c r="O241" t="str">
        <f>_xll.BDP("912833QE Govt","ISSUE_DT")</f>
        <v>12/1/1997</v>
      </c>
      <c r="P241" t="str">
        <f>_xll.BDP("912833QE Govt","SECURITY_NAME")</f>
        <v>S 0 05/31/99</v>
      </c>
      <c r="Q241" t="str">
        <f>_xll.BDP("912833QE Govt","DAY_CNT_DES")</f>
        <v>ACT/ACT</v>
      </c>
      <c r="R241">
        <v>100</v>
      </c>
      <c r="S241" t="str">
        <f>_xll.BDP("912833QE Govt","ID_CUSIP")</f>
        <v>912833QE3</v>
      </c>
      <c r="T241" t="str">
        <f>_xll.BDP("912833QE Govt","IDX_RATIO")</f>
        <v>#N/A Field Not Applicable</v>
      </c>
    </row>
    <row r="242" spans="1:20" x14ac:dyDescent="0.25">
      <c r="A242" t="s">
        <v>14</v>
      </c>
      <c r="B242" t="str">
        <f>_xll.BDP("912833QV Govt","TICKER")</f>
        <v>S</v>
      </c>
      <c r="C242">
        <f>_xll.BDP("912833QV Govt","CPN")</f>
        <v>0</v>
      </c>
      <c r="D242" t="str">
        <f>_xll.BDP("912833QV Govt","YLD_YTM_BID")</f>
        <v>#N/A N/A</v>
      </c>
      <c r="E242" t="str">
        <f>_xll.BDP("912833QV Govt","MATURITY")</f>
        <v>12/31/2001</v>
      </c>
      <c r="F242" t="str">
        <f>_xll.BDP("912833QV Govt","MTY_TYP")</f>
        <v>NORMAL</v>
      </c>
      <c r="G242" t="str">
        <f>_xll.BDP("912833QV Govt","CRNCY")</f>
        <v>USD</v>
      </c>
      <c r="H242" t="str">
        <f>_xll.BDP("912833QV Govt","COUNTRY_FULL_NAME")</f>
        <v>UNITED STATES</v>
      </c>
      <c r="I242" t="str">
        <f>_xll.BDP("912833QV Govt","FIRST_CPN_DT")</f>
        <v>#N/A Field Not Applicable</v>
      </c>
      <c r="J242" t="str">
        <f>_xll.BDP("912833QV Govt","COUPON_FREQUENCY_DESCRIPTION")</f>
        <v>#N/A Field Not Applicable</v>
      </c>
      <c r="K242" t="str">
        <f>_xll.BDP("912833QV Govt","CPN_TYP")</f>
        <v>ZERO</v>
      </c>
      <c r="L242" t="str">
        <f>_xll.BDP("912833QV Govt","ID_ISIN")</f>
        <v>US912833QV53</v>
      </c>
      <c r="N242">
        <v>0</v>
      </c>
      <c r="O242" t="str">
        <f>_xll.BDP("912833QV Govt","ISSUE_DT")</f>
        <v>12/31/1997</v>
      </c>
      <c r="P242" t="str">
        <f>_xll.BDP("912833QV Govt","SECURITY_NAME")</f>
        <v>S 0 12/31/01</v>
      </c>
      <c r="Q242" t="str">
        <f>_xll.BDP("912833QV Govt","DAY_CNT_DES")</f>
        <v>ACT/ACT</v>
      </c>
      <c r="R242">
        <v>100</v>
      </c>
      <c r="S242" t="str">
        <f>_xll.BDP("912833QV Govt","ID_CUSIP")</f>
        <v>912833QV5</v>
      </c>
      <c r="T242" t="str">
        <f>_xll.BDP("912833QV Govt","IDX_RATIO")</f>
        <v>#N/A Field Not Applicable</v>
      </c>
    </row>
    <row r="243" spans="1:20" x14ac:dyDescent="0.25">
      <c r="A243" t="s">
        <v>14</v>
      </c>
      <c r="B243" t="str">
        <f>_xll.BDP("912833QX Govt","TICKER")</f>
        <v>S</v>
      </c>
      <c r="C243">
        <f>_xll.BDP("912833QX Govt","CPN")</f>
        <v>0</v>
      </c>
      <c r="D243" t="str">
        <f>_xll.BDP("912833QX Govt","YLD_YTM_BID")</f>
        <v>#N/A N/A</v>
      </c>
      <c r="E243" t="str">
        <f>_xll.BDP("912833QX Govt","MATURITY")</f>
        <v>12/31/2002</v>
      </c>
      <c r="F243" t="str">
        <f>_xll.BDP("912833QX Govt","MTY_TYP")</f>
        <v>NORMAL</v>
      </c>
      <c r="G243" t="str">
        <f>_xll.BDP("912833QX Govt","CRNCY")</f>
        <v>USD</v>
      </c>
      <c r="H243" t="str">
        <f>_xll.BDP("912833QX Govt","COUNTRY_FULL_NAME")</f>
        <v>UNITED STATES</v>
      </c>
      <c r="I243" t="str">
        <f>_xll.BDP("912833QX Govt","FIRST_CPN_DT")</f>
        <v>#N/A Field Not Applicable</v>
      </c>
      <c r="J243" t="str">
        <f>_xll.BDP("912833QX Govt","COUPON_FREQUENCY_DESCRIPTION")</f>
        <v>#N/A Field Not Applicable</v>
      </c>
      <c r="K243" t="str">
        <f>_xll.BDP("912833QX Govt","CPN_TYP")</f>
        <v>ZERO</v>
      </c>
      <c r="L243" t="str">
        <f>_xll.BDP("912833QX Govt","ID_ISIN")</f>
        <v>US912833QX10</v>
      </c>
      <c r="N243">
        <v>0</v>
      </c>
      <c r="O243" t="str">
        <f>_xll.BDP("912833QX Govt","ISSUE_DT")</f>
        <v>12/31/1997</v>
      </c>
      <c r="P243" t="str">
        <f>_xll.BDP("912833QX Govt","SECURITY_NAME")</f>
        <v>S 0 12/31/02</v>
      </c>
      <c r="Q243" t="str">
        <f>_xll.BDP("912833QX Govt","DAY_CNT_DES")</f>
        <v>ACT/ACT</v>
      </c>
      <c r="R243">
        <v>100</v>
      </c>
      <c r="S243" t="str">
        <f>_xll.BDP("912833QX Govt","ID_CUSIP")</f>
        <v>912833QX1</v>
      </c>
      <c r="T243" t="str">
        <f>_xll.BDP("912833QX Govt","IDX_RATIO")</f>
        <v>#N/A Field Not Applicable</v>
      </c>
    </row>
    <row r="244" spans="1:20" x14ac:dyDescent="0.25">
      <c r="A244" t="s">
        <v>14</v>
      </c>
      <c r="B244" t="str">
        <f>_xll.BDP("912833RG Govt","TICKER")</f>
        <v>S</v>
      </c>
      <c r="C244">
        <f>_xll.BDP("912833RG Govt","CPN")</f>
        <v>0</v>
      </c>
      <c r="D244" t="str">
        <f>_xll.BDP("912833RG Govt","YLD_YTM_BID")</f>
        <v>#N/A N/A</v>
      </c>
      <c r="E244" t="str">
        <f>_xll.BDP("912833RG Govt","MATURITY")</f>
        <v>7/31/2002</v>
      </c>
      <c r="F244" t="str">
        <f>_xll.BDP("912833RG Govt","MTY_TYP")</f>
        <v>NORMAL</v>
      </c>
      <c r="G244" t="str">
        <f>_xll.BDP("912833RG Govt","CRNCY")</f>
        <v>USD</v>
      </c>
      <c r="H244" t="str">
        <f>_xll.BDP("912833RG Govt","COUNTRY_FULL_NAME")</f>
        <v>UNITED STATES</v>
      </c>
      <c r="I244" t="str">
        <f>_xll.BDP("912833RG Govt","FIRST_CPN_DT")</f>
        <v>#N/A Field Not Applicable</v>
      </c>
      <c r="J244" t="str">
        <f>_xll.BDP("912833RG Govt","COUPON_FREQUENCY_DESCRIPTION")</f>
        <v>#N/A Field Not Applicable</v>
      </c>
      <c r="K244" t="str">
        <f>_xll.BDP("912833RG Govt","CPN_TYP")</f>
        <v>ZERO</v>
      </c>
      <c r="L244" t="str">
        <f>_xll.BDP("912833RG Govt","ID_ISIN")</f>
        <v>US912833RG77</v>
      </c>
      <c r="N244">
        <v>0</v>
      </c>
      <c r="O244" t="str">
        <f>_xll.BDP("912833RG Govt","ISSUE_DT")</f>
        <v>2/2/1998</v>
      </c>
      <c r="P244" t="str">
        <f>_xll.BDP("912833RG Govt","SECURITY_NAME")</f>
        <v>S 0 07/31/02</v>
      </c>
      <c r="Q244" t="str">
        <f>_xll.BDP("912833RG Govt","DAY_CNT_DES")</f>
        <v>ACT/ACT</v>
      </c>
      <c r="R244">
        <v>100</v>
      </c>
      <c r="S244" t="str">
        <f>_xll.BDP("912833RG Govt","ID_CUSIP")</f>
        <v>912833RG7</v>
      </c>
      <c r="T244" t="str">
        <f>_xll.BDP("912833RG Govt","IDX_RATIO")</f>
        <v>#N/A Field Not Applicable</v>
      </c>
    </row>
    <row r="245" spans="1:20" x14ac:dyDescent="0.25">
      <c r="A245" t="s">
        <v>14</v>
      </c>
      <c r="B245" t="str">
        <f>_xll.BDP("912833RJ Govt","TICKER")</f>
        <v>S</v>
      </c>
      <c r="C245">
        <f>_xll.BDP("912833RJ Govt","CPN")</f>
        <v>0</v>
      </c>
      <c r="D245" t="str">
        <f>_xll.BDP("912833RJ Govt","YLD_YTM_BID")</f>
        <v>#N/A N/A</v>
      </c>
      <c r="E245" t="str">
        <f>_xll.BDP("912833RJ Govt","MATURITY")</f>
        <v>8/31/1998</v>
      </c>
      <c r="F245" t="str">
        <f>_xll.BDP("912833RJ Govt","MTY_TYP")</f>
        <v>NORMAL</v>
      </c>
      <c r="G245" t="str">
        <f>_xll.BDP("912833RJ Govt","CRNCY")</f>
        <v>USD</v>
      </c>
      <c r="H245" t="str">
        <f>_xll.BDP("912833RJ Govt","COUNTRY_FULL_NAME")</f>
        <v>UNITED STATES</v>
      </c>
      <c r="I245" t="str">
        <f>_xll.BDP("912833RJ Govt","FIRST_CPN_DT")</f>
        <v>#N/A Field Not Applicable</v>
      </c>
      <c r="J245" t="str">
        <f>_xll.BDP("912833RJ Govt","COUPON_FREQUENCY_DESCRIPTION")</f>
        <v>#N/A Field Not Applicable</v>
      </c>
      <c r="K245" t="str">
        <f>_xll.BDP("912833RJ Govt","CPN_TYP")</f>
        <v>ZERO</v>
      </c>
      <c r="L245" t="str">
        <f>_xll.BDP("912833RJ Govt","ID_ISIN")</f>
        <v>US912833RJ17</v>
      </c>
      <c r="N245">
        <v>0</v>
      </c>
      <c r="O245" t="str">
        <f>_xll.BDP("912833RJ Govt","ISSUE_DT")</f>
        <v>3/2/1998</v>
      </c>
      <c r="P245" t="str">
        <f>_xll.BDP("912833RJ Govt","SECURITY_NAME")</f>
        <v>S 0 08/31/98</v>
      </c>
      <c r="Q245" t="str">
        <f>_xll.BDP("912833RJ Govt","DAY_CNT_DES")</f>
        <v>ACT/ACT</v>
      </c>
      <c r="R245">
        <v>100</v>
      </c>
      <c r="S245" t="str">
        <f>_xll.BDP("912833RJ Govt","ID_CUSIP")</f>
        <v>912833RJ1</v>
      </c>
      <c r="T245" t="str">
        <f>_xll.BDP("912833RJ Govt","IDX_RATIO")</f>
        <v>#N/A Field Not Applicable</v>
      </c>
    </row>
    <row r="246" spans="1:20" x14ac:dyDescent="0.25">
      <c r="A246" t="s">
        <v>14</v>
      </c>
      <c r="B246" t="str">
        <f>_xll.BDP("912833RW Govt","TICKER")</f>
        <v>S</v>
      </c>
      <c r="C246">
        <f>_xll.BDP("912833RW Govt","CPN")</f>
        <v>0</v>
      </c>
      <c r="D246" t="str">
        <f>_xll.BDP("912833RW Govt","YLD_YTM_BID")</f>
        <v>#N/A N/A</v>
      </c>
      <c r="E246" t="str">
        <f>_xll.BDP("912833RW Govt","MATURITY")</f>
        <v>5/31/2003</v>
      </c>
      <c r="F246" t="str">
        <f>_xll.BDP("912833RW Govt","MTY_TYP")</f>
        <v>NORMAL</v>
      </c>
      <c r="G246" t="str">
        <f>_xll.BDP("912833RW Govt","CRNCY")</f>
        <v>USD</v>
      </c>
      <c r="H246" t="str">
        <f>_xll.BDP("912833RW Govt","COUNTRY_FULL_NAME")</f>
        <v>UNITED STATES</v>
      </c>
      <c r="I246" t="str">
        <f>_xll.BDP("912833RW Govt","FIRST_CPN_DT")</f>
        <v>#N/A Field Not Applicable</v>
      </c>
      <c r="J246" t="str">
        <f>_xll.BDP("912833RW Govt","COUPON_FREQUENCY_DESCRIPTION")</f>
        <v>#N/A Field Not Applicable</v>
      </c>
      <c r="K246" t="str">
        <f>_xll.BDP("912833RW Govt","CPN_TYP")</f>
        <v>ZERO</v>
      </c>
      <c r="L246" t="str">
        <f>_xll.BDP("912833RW Govt","ID_ISIN")</f>
        <v>US912833RW28</v>
      </c>
      <c r="N246">
        <v>0</v>
      </c>
      <c r="O246" t="str">
        <f>_xll.BDP("912833RW Govt","ISSUE_DT")</f>
        <v>6/1/1998</v>
      </c>
      <c r="P246" t="str">
        <f>_xll.BDP("912833RW Govt","SECURITY_NAME")</f>
        <v>S 0 05/31/03</v>
      </c>
      <c r="Q246" t="str">
        <f>_xll.BDP("912833RW Govt","DAY_CNT_DES")</f>
        <v>ACT/ACT</v>
      </c>
      <c r="R246">
        <v>100</v>
      </c>
      <c r="S246" t="str">
        <f>_xll.BDP("912833RW Govt","ID_CUSIP")</f>
        <v>912833RW2</v>
      </c>
      <c r="T246" t="str">
        <f>_xll.BDP("912833RW Govt","IDX_RATIO")</f>
        <v>#N/A Field Not Applicable</v>
      </c>
    </row>
    <row r="247" spans="1:20" x14ac:dyDescent="0.25">
      <c r="A247" t="s">
        <v>14</v>
      </c>
      <c r="B247" t="str">
        <f>_xll.BDP("912833Y6 Govt","TICKER")</f>
        <v>S</v>
      </c>
      <c r="C247">
        <f>_xll.BDP("912833Y6 Govt","CPN")</f>
        <v>0</v>
      </c>
      <c r="D247" t="str">
        <f>_xll.BDP("912833Y6 Govt","YLD_YTM_BID")</f>
        <v>#N/A N/A</v>
      </c>
      <c r="E247" t="str">
        <f>_xll.BDP("912833Y6 Govt","MATURITY")</f>
        <v>9/30/2012</v>
      </c>
      <c r="F247" t="str">
        <f>_xll.BDP("912833Y6 Govt","MTY_TYP")</f>
        <v>NORMAL</v>
      </c>
      <c r="G247" t="str">
        <f>_xll.BDP("912833Y6 Govt","CRNCY")</f>
        <v>USD</v>
      </c>
      <c r="H247" t="str">
        <f>_xll.BDP("912833Y6 Govt","COUNTRY_FULL_NAME")</f>
        <v>UNITED STATES</v>
      </c>
      <c r="I247" t="str">
        <f>_xll.BDP("912833Y6 Govt","FIRST_CPN_DT")</f>
        <v>#N/A Field Not Applicable</v>
      </c>
      <c r="J247" t="str">
        <f>_xll.BDP("912833Y6 Govt","COUPON_FREQUENCY_DESCRIPTION")</f>
        <v>#N/A Field Not Applicable</v>
      </c>
      <c r="K247" t="str">
        <f>_xll.BDP("912833Y6 Govt","CPN_TYP")</f>
        <v>ZERO</v>
      </c>
      <c r="L247" t="str">
        <f>_xll.BDP("912833Y6 Govt","ID_ISIN")</f>
        <v>US912833Y610</v>
      </c>
      <c r="N247">
        <v>0</v>
      </c>
      <c r="O247" t="str">
        <f>_xll.BDP("912833Y6 Govt","ISSUE_DT")</f>
        <v>10/1/2007</v>
      </c>
      <c r="P247" t="str">
        <f>_xll.BDP("912833Y6 Govt","SECURITY_NAME")</f>
        <v>S 0 09/30/12</v>
      </c>
      <c r="Q247" t="str">
        <f>_xll.BDP("912833Y6 Govt","DAY_CNT_DES")</f>
        <v>ACT/ACT</v>
      </c>
      <c r="R247">
        <v>100</v>
      </c>
      <c r="S247" t="str">
        <f>_xll.BDP("912833Y6 Govt","ID_CUSIP")</f>
        <v>912833Y61</v>
      </c>
      <c r="T247" t="str">
        <f>_xll.BDP("912833Y6 Govt","IDX_RATIO")</f>
        <v>#N/A Field Not Applicable</v>
      </c>
    </row>
    <row r="248" spans="1:20" x14ac:dyDescent="0.25">
      <c r="A248" t="s">
        <v>14</v>
      </c>
      <c r="B248" t="str">
        <f>_xll.BDP("912833Y8 Govt","TICKER")</f>
        <v>S</v>
      </c>
      <c r="C248">
        <f>_xll.BDP("912833Y8 Govt","CPN")</f>
        <v>0</v>
      </c>
      <c r="D248" t="str">
        <f>_xll.BDP("912833Y8 Govt","YLD_YTM_BID")</f>
        <v>#N/A N/A</v>
      </c>
      <c r="E248" t="str">
        <f>_xll.BDP("912833Y8 Govt","MATURITY")</f>
        <v>11/30/2012</v>
      </c>
      <c r="F248" t="str">
        <f>_xll.BDP("912833Y8 Govt","MTY_TYP")</f>
        <v>NORMAL</v>
      </c>
      <c r="G248" t="str">
        <f>_xll.BDP("912833Y8 Govt","CRNCY")</f>
        <v>USD</v>
      </c>
      <c r="H248" t="str">
        <f>_xll.BDP("912833Y8 Govt","COUNTRY_FULL_NAME")</f>
        <v>UNITED STATES</v>
      </c>
      <c r="I248" t="str">
        <f>_xll.BDP("912833Y8 Govt","FIRST_CPN_DT")</f>
        <v>#N/A Field Not Applicable</v>
      </c>
      <c r="J248" t="str">
        <f>_xll.BDP("912833Y8 Govt","COUPON_FREQUENCY_DESCRIPTION")</f>
        <v>#N/A Field Not Applicable</v>
      </c>
      <c r="K248" t="str">
        <f>_xll.BDP("912833Y8 Govt","CPN_TYP")</f>
        <v>ZERO</v>
      </c>
      <c r="L248" t="str">
        <f>_xll.BDP("912833Y8 Govt","ID_ISIN")</f>
        <v>US912833Y875</v>
      </c>
      <c r="N248">
        <v>0</v>
      </c>
      <c r="O248" t="str">
        <f>_xll.BDP("912833Y8 Govt","ISSUE_DT")</f>
        <v>11/30/2007</v>
      </c>
      <c r="P248" t="str">
        <f>_xll.BDP("912833Y8 Govt","SECURITY_NAME")</f>
        <v>S 0 11/30/12</v>
      </c>
      <c r="Q248" t="str">
        <f>_xll.BDP("912833Y8 Govt","DAY_CNT_DES")</f>
        <v>ACT/ACT</v>
      </c>
      <c r="R248">
        <v>100</v>
      </c>
      <c r="S248" t="str">
        <f>_xll.BDP("912833Y8 Govt","ID_CUSIP")</f>
        <v>912833Y87</v>
      </c>
      <c r="T248" t="str">
        <f>_xll.BDP("912833Y8 Govt","IDX_RATIO")</f>
        <v>#N/A Field Not Applicable</v>
      </c>
    </row>
    <row r="249" spans="1:20" x14ac:dyDescent="0.25">
      <c r="A249" t="s">
        <v>14</v>
      </c>
      <c r="B249" t="str">
        <f>_xll.BDP("912833YT Govt","TICKER")</f>
        <v>S</v>
      </c>
      <c r="C249">
        <f>_xll.BDP("912833YT Govt","CPN")</f>
        <v>0</v>
      </c>
      <c r="D249" t="str">
        <f>_xll.BDP("912833YT Govt","YLD_YTM_BID")</f>
        <v>#N/A N/A</v>
      </c>
      <c r="E249" t="str">
        <f>_xll.BDP("912833YT Govt","MATURITY")</f>
        <v>4/30/2004</v>
      </c>
      <c r="F249" t="str">
        <f>_xll.BDP("912833YT Govt","MTY_TYP")</f>
        <v>NORMAL</v>
      </c>
      <c r="G249" t="str">
        <f>_xll.BDP("912833YT Govt","CRNCY")</f>
        <v>USD</v>
      </c>
      <c r="H249" t="str">
        <f>_xll.BDP("912833YT Govt","COUNTRY_FULL_NAME")</f>
        <v>UNITED STATES</v>
      </c>
      <c r="I249" t="str">
        <f>_xll.BDP("912833YT Govt","FIRST_CPN_DT")</f>
        <v>#N/A Field Not Applicable</v>
      </c>
      <c r="J249" t="str">
        <f>_xll.BDP("912833YT Govt","COUPON_FREQUENCY_DESCRIPTION")</f>
        <v>#N/A Field Not Applicable</v>
      </c>
      <c r="K249" t="str">
        <f>_xll.BDP("912833YT Govt","CPN_TYP")</f>
        <v>ZERO</v>
      </c>
      <c r="L249" t="str">
        <f>_xll.BDP("912833YT Govt","ID_ISIN")</f>
        <v>US912833YT16</v>
      </c>
      <c r="N249">
        <v>0</v>
      </c>
      <c r="O249" t="str">
        <f>_xll.BDP("912833YT Govt","ISSUE_DT")</f>
        <v>4/30/2002</v>
      </c>
      <c r="P249" t="str">
        <f>_xll.BDP("912833YT Govt","SECURITY_NAME")</f>
        <v>S 0 04/30/04</v>
      </c>
      <c r="Q249" t="str">
        <f>_xll.BDP("912833YT Govt","DAY_CNT_DES")</f>
        <v>ACT/ACT</v>
      </c>
      <c r="R249">
        <v>100</v>
      </c>
      <c r="S249" t="str">
        <f>_xll.BDP("912833YT Govt","ID_CUSIP")</f>
        <v>912833YT1</v>
      </c>
      <c r="T249" t="str">
        <f>_xll.BDP("912833YT Govt","IDX_RATIO")</f>
        <v>#N/A Field Not Applicable</v>
      </c>
    </row>
    <row r="250" spans="1:20" x14ac:dyDescent="0.25">
      <c r="A250" t="s">
        <v>14</v>
      </c>
      <c r="B250" t="str">
        <f>_xll.BDP("912833YV Govt","TICKER")</f>
        <v>S</v>
      </c>
      <c r="C250">
        <f>_xll.BDP("912833YV Govt","CPN")</f>
        <v>0</v>
      </c>
      <c r="D250" t="str">
        <f>_xll.BDP("912833YV Govt","YLD_YTM_BID")</f>
        <v>#N/A N/A</v>
      </c>
      <c r="E250" t="str">
        <f>_xll.BDP("912833YV Govt","MATURITY")</f>
        <v>6/30/2004</v>
      </c>
      <c r="F250" t="str">
        <f>_xll.BDP("912833YV Govt","MTY_TYP")</f>
        <v>NORMAL</v>
      </c>
      <c r="G250" t="str">
        <f>_xll.BDP("912833YV Govt","CRNCY")</f>
        <v>USD</v>
      </c>
      <c r="H250" t="str">
        <f>_xll.BDP("912833YV Govt","COUNTRY_FULL_NAME")</f>
        <v>UNITED STATES</v>
      </c>
      <c r="I250" t="str">
        <f>_xll.BDP("912833YV Govt","FIRST_CPN_DT")</f>
        <v>#N/A Field Not Applicable</v>
      </c>
      <c r="J250" t="str">
        <f>_xll.BDP("912833YV Govt","COUPON_FREQUENCY_DESCRIPTION")</f>
        <v>#N/A Field Not Applicable</v>
      </c>
      <c r="K250" t="str">
        <f>_xll.BDP("912833YV Govt","CPN_TYP")</f>
        <v>ZERO</v>
      </c>
      <c r="L250" t="str">
        <f>_xll.BDP("912833YV Govt","ID_ISIN")</f>
        <v>US912833YV61</v>
      </c>
      <c r="N250">
        <v>0</v>
      </c>
      <c r="O250" t="str">
        <f>_xll.BDP("912833YV Govt","ISSUE_DT")</f>
        <v>7/1/2002</v>
      </c>
      <c r="P250" t="str">
        <f>_xll.BDP("912833YV Govt","SECURITY_NAME")</f>
        <v>S 0 06/30/04</v>
      </c>
      <c r="Q250" t="str">
        <f>_xll.BDP("912833YV Govt","DAY_CNT_DES")</f>
        <v>ACT/ACT</v>
      </c>
      <c r="R250">
        <v>100</v>
      </c>
      <c r="S250" t="str">
        <f>_xll.BDP("912833YV Govt","ID_CUSIP")</f>
        <v>912833YV6</v>
      </c>
      <c r="T250" t="str">
        <f>_xll.BDP("912833YV Govt","IDX_RATIO")</f>
        <v>#N/A Field Not Applicable</v>
      </c>
    </row>
    <row r="251" spans="1:20" x14ac:dyDescent="0.25">
      <c r="A251" t="s">
        <v>14</v>
      </c>
      <c r="B251" t="str">
        <f>_xll.BDP("912833ZA Govt","TICKER")</f>
        <v>S</v>
      </c>
      <c r="C251">
        <f>_xll.BDP("912833ZA Govt","CPN")</f>
        <v>0</v>
      </c>
      <c r="D251" t="str">
        <f>_xll.BDP("912833ZA Govt","YLD_YTM_BID")</f>
        <v>#N/A N/A</v>
      </c>
      <c r="E251" t="str">
        <f>_xll.BDP("912833ZA Govt","MATURITY")</f>
        <v>10/31/2004</v>
      </c>
      <c r="F251" t="str">
        <f>_xll.BDP("912833ZA Govt","MTY_TYP")</f>
        <v>NORMAL</v>
      </c>
      <c r="G251" t="str">
        <f>_xll.BDP("912833ZA Govt","CRNCY")</f>
        <v>USD</v>
      </c>
      <c r="H251" t="str">
        <f>_xll.BDP("912833ZA Govt","COUNTRY_FULL_NAME")</f>
        <v>UNITED STATES</v>
      </c>
      <c r="I251" t="str">
        <f>_xll.BDP("912833ZA Govt","FIRST_CPN_DT")</f>
        <v>#N/A Field Not Applicable</v>
      </c>
      <c r="J251" t="str">
        <f>_xll.BDP("912833ZA Govt","COUPON_FREQUENCY_DESCRIPTION")</f>
        <v>#N/A Field Not Applicable</v>
      </c>
      <c r="K251" t="str">
        <f>_xll.BDP("912833ZA Govt","CPN_TYP")</f>
        <v>ZERO</v>
      </c>
      <c r="L251" t="str">
        <f>_xll.BDP("912833ZA Govt","ID_ISIN")</f>
        <v>US912833ZA16</v>
      </c>
      <c r="N251">
        <v>0</v>
      </c>
      <c r="O251" t="str">
        <f>_xll.BDP("912833ZA Govt","ISSUE_DT")</f>
        <v>10/31/2002</v>
      </c>
      <c r="P251" t="str">
        <f>_xll.BDP("912833ZA Govt","SECURITY_NAME")</f>
        <v>S 0 10/31/04</v>
      </c>
      <c r="Q251" t="str">
        <f>_xll.BDP("912833ZA Govt","DAY_CNT_DES")</f>
        <v>ACT/ACT</v>
      </c>
      <c r="R251">
        <v>100</v>
      </c>
      <c r="S251" t="str">
        <f>_xll.BDP("912833ZA Govt","ID_CUSIP")</f>
        <v>912833ZA1</v>
      </c>
      <c r="T251" t="str">
        <f>_xll.BDP("912833ZA Govt","IDX_RATIO")</f>
        <v>#N/A Field Not Applicable</v>
      </c>
    </row>
    <row r="252" spans="1:20" x14ac:dyDescent="0.25">
      <c r="A252" t="s">
        <v>14</v>
      </c>
      <c r="B252" t="str">
        <f>_xll.BDP("912833ZE Govt","TICKER")</f>
        <v>S</v>
      </c>
      <c r="C252">
        <f>_xll.BDP("912833ZE Govt","CPN")</f>
        <v>0</v>
      </c>
      <c r="D252" t="str">
        <f>_xll.BDP("912833ZE Govt","YLD_YTM_BID")</f>
        <v>#N/A N/A</v>
      </c>
      <c r="E252" t="str">
        <f>_xll.BDP("912833ZE Govt","MATURITY")</f>
        <v>2/28/2005</v>
      </c>
      <c r="F252" t="str">
        <f>_xll.BDP("912833ZE Govt","MTY_TYP")</f>
        <v>NORMAL</v>
      </c>
      <c r="G252" t="str">
        <f>_xll.BDP("912833ZE Govt","CRNCY")</f>
        <v>USD</v>
      </c>
      <c r="H252" t="str">
        <f>_xll.BDP("912833ZE Govt","COUNTRY_FULL_NAME")</f>
        <v>UNITED STATES</v>
      </c>
      <c r="I252" t="str">
        <f>_xll.BDP("912833ZE Govt","FIRST_CPN_DT")</f>
        <v>#N/A Field Not Applicable</v>
      </c>
      <c r="J252" t="str">
        <f>_xll.BDP("912833ZE Govt","COUPON_FREQUENCY_DESCRIPTION")</f>
        <v>#N/A Field Not Applicable</v>
      </c>
      <c r="K252" t="str">
        <f>_xll.BDP("912833ZE Govt","CPN_TYP")</f>
        <v>ZERO</v>
      </c>
      <c r="L252" t="str">
        <f>_xll.BDP("912833ZE Govt","ID_ISIN")</f>
        <v>US912833ZE38</v>
      </c>
      <c r="N252">
        <v>0</v>
      </c>
      <c r="O252" t="str">
        <f>_xll.BDP("912833ZE Govt","ISSUE_DT")</f>
        <v>2/28/2003</v>
      </c>
      <c r="P252" t="str">
        <f>_xll.BDP("912833ZE Govt","SECURITY_NAME")</f>
        <v>S 0 02/28/05</v>
      </c>
      <c r="Q252" t="str">
        <f>_xll.BDP("912833ZE Govt","DAY_CNT_DES")</f>
        <v>ACT/ACT</v>
      </c>
      <c r="R252">
        <v>100</v>
      </c>
      <c r="S252" t="str">
        <f>_xll.BDP("912833ZE Govt","ID_CUSIP")</f>
        <v>912833ZE3</v>
      </c>
      <c r="T252" t="str">
        <f>_xll.BDP("912833ZE Govt","IDX_RATIO")</f>
        <v>#N/A Field Not Applicable</v>
      </c>
    </row>
    <row r="253" spans="1:20" x14ac:dyDescent="0.25">
      <c r="A253" t="s">
        <v>14</v>
      </c>
      <c r="B253" t="str">
        <f>_xll.BDP("912833ZG Govt","TICKER")</f>
        <v>S</v>
      </c>
      <c r="C253">
        <f>_xll.BDP("912833ZG Govt","CPN")</f>
        <v>0</v>
      </c>
      <c r="D253" t="str">
        <f>_xll.BDP("912833ZG Govt","YLD_YTM_BID")</f>
        <v>#N/A N/A</v>
      </c>
      <c r="E253" t="str">
        <f>_xll.BDP("912833ZG Govt","MATURITY")</f>
        <v>4/30/2005</v>
      </c>
      <c r="F253" t="str">
        <f>_xll.BDP("912833ZG Govt","MTY_TYP")</f>
        <v>NORMAL</v>
      </c>
      <c r="G253" t="str">
        <f>_xll.BDP("912833ZG Govt","CRNCY")</f>
        <v>USD</v>
      </c>
      <c r="H253" t="str">
        <f>_xll.BDP("912833ZG Govt","COUNTRY_FULL_NAME")</f>
        <v>UNITED STATES</v>
      </c>
      <c r="I253" t="str">
        <f>_xll.BDP("912833ZG Govt","FIRST_CPN_DT")</f>
        <v>#N/A Field Not Applicable</v>
      </c>
      <c r="J253" t="str">
        <f>_xll.BDP("912833ZG Govt","COUPON_FREQUENCY_DESCRIPTION")</f>
        <v>#N/A Field Not Applicable</v>
      </c>
      <c r="K253" t="str">
        <f>_xll.BDP("912833ZG Govt","CPN_TYP")</f>
        <v>ZERO</v>
      </c>
      <c r="L253" t="str">
        <f>_xll.BDP("912833ZG Govt","ID_ISIN")</f>
        <v>US912833ZG85</v>
      </c>
      <c r="N253">
        <v>0</v>
      </c>
      <c r="O253" t="str">
        <f>_xll.BDP("912833ZG Govt","ISSUE_DT")</f>
        <v>4/30/2003</v>
      </c>
      <c r="P253" t="str">
        <f>_xll.BDP("912833ZG Govt","SECURITY_NAME")</f>
        <v>S 0 04/30/05</v>
      </c>
      <c r="Q253" t="str">
        <f>_xll.BDP("912833ZG Govt","DAY_CNT_DES")</f>
        <v>ACT/ACT</v>
      </c>
      <c r="R253">
        <v>100</v>
      </c>
      <c r="S253" t="str">
        <f>_xll.BDP("912833ZG Govt","ID_CUSIP")</f>
        <v>912833ZG8</v>
      </c>
      <c r="T253" t="str">
        <f>_xll.BDP("912833ZG Govt","IDX_RATIO")</f>
        <v>#N/A Field Not Applicable</v>
      </c>
    </row>
    <row r="254" spans="1:20" x14ac:dyDescent="0.25">
      <c r="A254" t="s">
        <v>14</v>
      </c>
      <c r="B254" t="str">
        <f>_xll.BDP("912833ZV Govt","TICKER")</f>
        <v>S</v>
      </c>
      <c r="C254">
        <f>_xll.BDP("912833ZV Govt","CPN")</f>
        <v>0</v>
      </c>
      <c r="D254" t="str">
        <f>_xll.BDP("912833ZV Govt","YLD_YTM_BID")</f>
        <v>#N/A N/A</v>
      </c>
      <c r="E254" t="str">
        <f>_xll.BDP("912833ZV Govt","MATURITY")</f>
        <v>3/15/2007</v>
      </c>
      <c r="F254" t="str">
        <f>_xll.BDP("912833ZV Govt","MTY_TYP")</f>
        <v>NORMAL</v>
      </c>
      <c r="G254" t="str">
        <f>_xll.BDP("912833ZV Govt","CRNCY")</f>
        <v>USD</v>
      </c>
      <c r="H254" t="str">
        <f>_xll.BDP("912833ZV Govt","COUNTRY_FULL_NAME")</f>
        <v>UNITED STATES</v>
      </c>
      <c r="I254" t="str">
        <f>_xll.BDP("912833ZV Govt","FIRST_CPN_DT")</f>
        <v>#N/A Field Not Applicable</v>
      </c>
      <c r="J254" t="str">
        <f>_xll.BDP("912833ZV Govt","COUPON_FREQUENCY_DESCRIPTION")</f>
        <v>#N/A Field Not Applicable</v>
      </c>
      <c r="K254" t="str">
        <f>_xll.BDP("912833ZV Govt","CPN_TYP")</f>
        <v>ZERO</v>
      </c>
      <c r="L254" t="str">
        <f>_xll.BDP("912833ZV Govt","ID_ISIN")</f>
        <v>US912833ZV52</v>
      </c>
      <c r="N254">
        <v>0</v>
      </c>
      <c r="O254" t="str">
        <f>_xll.BDP("912833ZV Govt","ISSUE_DT")</f>
        <v>9/15/2003</v>
      </c>
      <c r="P254" t="str">
        <f>_xll.BDP("912833ZV Govt","SECURITY_NAME")</f>
        <v>S 0 03/15/07</v>
      </c>
      <c r="Q254" t="str">
        <f>_xll.BDP("912833ZV Govt","DAY_CNT_DES")</f>
        <v>ACT/ACT</v>
      </c>
      <c r="R254">
        <v>100</v>
      </c>
      <c r="S254" t="str">
        <f>_xll.BDP("912833ZV Govt","ID_CUSIP")</f>
        <v>912833ZV5</v>
      </c>
      <c r="T254" t="str">
        <f>_xll.BDP("912833ZV Govt","IDX_RATIO")</f>
        <v>#N/A Field Not Applicable</v>
      </c>
    </row>
    <row r="255" spans="1:20" x14ac:dyDescent="0.25">
      <c r="A255" t="s">
        <v>14</v>
      </c>
      <c r="B255" t="str">
        <f>_xll.BDP("912833ZY Govt","TICKER")</f>
        <v>S</v>
      </c>
      <c r="C255">
        <f>_xll.BDP("912833ZY Govt","CPN")</f>
        <v>0</v>
      </c>
      <c r="D255" t="str">
        <f>_xll.BDP("912833ZY Govt","YLD_YTM_BID")</f>
        <v>#N/A N/A</v>
      </c>
      <c r="E255" t="str">
        <f>_xll.BDP("912833ZY Govt","MATURITY")</f>
        <v>9/15/2008</v>
      </c>
      <c r="F255" t="str">
        <f>_xll.BDP("912833ZY Govt","MTY_TYP")</f>
        <v>NORMAL</v>
      </c>
      <c r="G255" t="str">
        <f>_xll.BDP("912833ZY Govt","CRNCY")</f>
        <v>USD</v>
      </c>
      <c r="H255" t="str">
        <f>_xll.BDP("912833ZY Govt","COUNTRY_FULL_NAME")</f>
        <v>UNITED STATES</v>
      </c>
      <c r="I255" t="str">
        <f>_xll.BDP("912833ZY Govt","FIRST_CPN_DT")</f>
        <v>#N/A Field Not Applicable</v>
      </c>
      <c r="J255" t="str">
        <f>_xll.BDP("912833ZY Govt","COUPON_FREQUENCY_DESCRIPTION")</f>
        <v>#N/A Field Not Applicable</v>
      </c>
      <c r="K255" t="str">
        <f>_xll.BDP("912833ZY Govt","CPN_TYP")</f>
        <v>ZERO</v>
      </c>
      <c r="L255" t="str">
        <f>_xll.BDP("912833ZY Govt","ID_ISIN")</f>
        <v>US912833ZY91</v>
      </c>
      <c r="N255">
        <v>0</v>
      </c>
      <c r="O255" t="str">
        <f>_xll.BDP("912833ZY Govt","ISSUE_DT")</f>
        <v>9/15/2003</v>
      </c>
      <c r="P255" t="str">
        <f>_xll.BDP("912833ZY Govt","SECURITY_NAME")</f>
        <v>S 0 09/15/08</v>
      </c>
      <c r="Q255" t="str">
        <f>_xll.BDP("912833ZY Govt","DAY_CNT_DES")</f>
        <v>ACT/ACT</v>
      </c>
      <c r="R255">
        <v>100</v>
      </c>
      <c r="S255" t="str">
        <f>_xll.BDP("912833ZY Govt","ID_CUSIP")</f>
        <v>912833ZY9</v>
      </c>
      <c r="T255" t="str">
        <f>_xll.BDP("912833ZY Govt","IDX_RATIO")</f>
        <v>#N/A Field Not Applicable</v>
      </c>
    </row>
    <row r="256" spans="1:20" x14ac:dyDescent="0.25">
      <c r="A256" t="s">
        <v>14</v>
      </c>
      <c r="B256" t="str">
        <f>_xll.BDP("912834AB Govt","TICKER")</f>
        <v>S</v>
      </c>
      <c r="C256">
        <f>_xll.BDP("912834AB Govt","CPN")</f>
        <v>0</v>
      </c>
      <c r="D256" t="str">
        <f>_xll.BDP("912834AB Govt","YLD_YTM_BID")</f>
        <v>#N/A N/A</v>
      </c>
      <c r="E256" t="str">
        <f>_xll.BDP("912834AB Govt","MATURITY")</f>
        <v>6/30/2013</v>
      </c>
      <c r="F256" t="str">
        <f>_xll.BDP("912834AB Govt","MTY_TYP")</f>
        <v>NORMAL</v>
      </c>
      <c r="G256" t="str">
        <f>_xll.BDP("912834AB Govt","CRNCY")</f>
        <v>USD</v>
      </c>
      <c r="H256" t="str">
        <f>_xll.BDP("912834AB Govt","COUNTRY_FULL_NAME")</f>
        <v>UNITED STATES</v>
      </c>
      <c r="I256" t="str">
        <f>_xll.BDP("912834AB Govt","FIRST_CPN_DT")</f>
        <v>#N/A Field Not Applicable</v>
      </c>
      <c r="J256" t="str">
        <f>_xll.BDP("912834AB Govt","COUPON_FREQUENCY_DESCRIPTION")</f>
        <v>#N/A Field Not Applicable</v>
      </c>
      <c r="K256" t="str">
        <f>_xll.BDP("912834AB Govt","CPN_TYP")</f>
        <v>ZERO</v>
      </c>
      <c r="L256" t="str">
        <f>_xll.BDP("912834AB Govt","ID_ISIN")</f>
        <v>US912834AB47</v>
      </c>
      <c r="N256">
        <v>0</v>
      </c>
      <c r="O256" t="str">
        <f>_xll.BDP("912834AB Govt","ISSUE_DT")</f>
        <v>6/30/2008</v>
      </c>
      <c r="P256" t="str">
        <f>_xll.BDP("912834AB Govt","SECURITY_NAME")</f>
        <v>S 0 06/30/13</v>
      </c>
      <c r="Q256" t="str">
        <f>_xll.BDP("912834AB Govt","DAY_CNT_DES")</f>
        <v>ACT/ACT</v>
      </c>
      <c r="R256">
        <v>100</v>
      </c>
      <c r="S256" t="str">
        <f>_xll.BDP("912834AB Govt","ID_CUSIP")</f>
        <v>912834AB4</v>
      </c>
      <c r="T256" t="str">
        <f>_xll.BDP("912834AB Govt","IDX_RATIO")</f>
        <v>#N/A Field Not Applicable</v>
      </c>
    </row>
    <row r="257" spans="1:20" x14ac:dyDescent="0.25">
      <c r="A257" t="s">
        <v>14</v>
      </c>
      <c r="B257" t="str">
        <f>_xll.BDP("912834AK Govt","TICKER")</f>
        <v>S</v>
      </c>
      <c r="C257">
        <f>_xll.BDP("912834AK Govt","CPN")</f>
        <v>0</v>
      </c>
      <c r="D257" t="str">
        <f>_xll.BDP("912834AK Govt","YLD_YTM_BID")</f>
        <v>#N/A N/A</v>
      </c>
      <c r="E257" t="str">
        <f>_xll.BDP("912834AK Govt","MATURITY")</f>
        <v>6/15/2011</v>
      </c>
      <c r="F257" t="str">
        <f>_xll.BDP("912834AK Govt","MTY_TYP")</f>
        <v>NORMAL</v>
      </c>
      <c r="G257" t="str">
        <f>_xll.BDP("912834AK Govt","CRNCY")</f>
        <v>USD</v>
      </c>
      <c r="H257" t="str">
        <f>_xll.BDP("912834AK Govt","COUNTRY_FULL_NAME")</f>
        <v>UNITED STATES</v>
      </c>
      <c r="I257" t="str">
        <f>_xll.BDP("912834AK Govt","FIRST_CPN_DT")</f>
        <v>#N/A Field Not Applicable</v>
      </c>
      <c r="J257" t="str">
        <f>_xll.BDP("912834AK Govt","COUPON_FREQUENCY_DESCRIPTION")</f>
        <v>#N/A Field Not Applicable</v>
      </c>
      <c r="K257" t="str">
        <f>_xll.BDP("912834AK Govt","CPN_TYP")</f>
        <v>ZERO</v>
      </c>
      <c r="L257" t="str">
        <f>_xll.BDP("912834AK Govt","ID_ISIN")</f>
        <v>US912834AK46</v>
      </c>
      <c r="N257">
        <v>0</v>
      </c>
      <c r="O257" t="str">
        <f>_xll.BDP("912834AK Govt","ISSUE_DT")</f>
        <v>12/15/2008</v>
      </c>
      <c r="P257" t="str">
        <f>_xll.BDP("912834AK Govt","SECURITY_NAME")</f>
        <v>S 0 06/15/11</v>
      </c>
      <c r="Q257" t="str">
        <f>_xll.BDP("912834AK Govt","DAY_CNT_DES")</f>
        <v>ACT/ACT</v>
      </c>
      <c r="R257">
        <v>100</v>
      </c>
      <c r="S257" t="str">
        <f>_xll.BDP("912834AK Govt","ID_CUSIP")</f>
        <v>912834AK4</v>
      </c>
      <c r="T257" t="str">
        <f>_xll.BDP("912834AK Govt","IDX_RATIO")</f>
        <v>#N/A Field Not Applicable</v>
      </c>
    </row>
    <row r="258" spans="1:20" x14ac:dyDescent="0.25">
      <c r="A258" t="s">
        <v>14</v>
      </c>
      <c r="B258" t="str">
        <f>_xll.BDP("912834AL Govt","TICKER")</f>
        <v>S</v>
      </c>
      <c r="C258">
        <f>_xll.BDP("912834AL Govt","CPN")</f>
        <v>0</v>
      </c>
      <c r="D258" t="str">
        <f>_xll.BDP("912834AL Govt","YLD_YTM_BID")</f>
        <v>#N/A N/A</v>
      </c>
      <c r="E258" t="str">
        <f>_xll.BDP("912834AL Govt","MATURITY")</f>
        <v>12/15/2011</v>
      </c>
      <c r="F258" t="str">
        <f>_xll.BDP("912834AL Govt","MTY_TYP")</f>
        <v>NORMAL</v>
      </c>
      <c r="G258" t="str">
        <f>_xll.BDP("912834AL Govt","CRNCY")</f>
        <v>USD</v>
      </c>
      <c r="H258" t="str">
        <f>_xll.BDP("912834AL Govt","COUNTRY_FULL_NAME")</f>
        <v>UNITED STATES</v>
      </c>
      <c r="I258" t="str">
        <f>_xll.BDP("912834AL Govt","FIRST_CPN_DT")</f>
        <v>#N/A Field Not Applicable</v>
      </c>
      <c r="J258" t="str">
        <f>_xll.BDP("912834AL Govt","COUPON_FREQUENCY_DESCRIPTION")</f>
        <v>#N/A Field Not Applicable</v>
      </c>
      <c r="K258" t="str">
        <f>_xll.BDP("912834AL Govt","CPN_TYP")</f>
        <v>ZERO</v>
      </c>
      <c r="L258" t="str">
        <f>_xll.BDP("912834AL Govt","ID_ISIN")</f>
        <v>US912834AL29</v>
      </c>
      <c r="N258">
        <v>0</v>
      </c>
      <c r="O258" t="str">
        <f>_xll.BDP("912834AL Govt","ISSUE_DT")</f>
        <v>12/15/2008</v>
      </c>
      <c r="P258" t="str">
        <f>_xll.BDP("912834AL Govt","SECURITY_NAME")</f>
        <v>S 0 12/15/11</v>
      </c>
      <c r="Q258" t="str">
        <f>_xll.BDP("912834AL Govt","DAY_CNT_DES")</f>
        <v>ACT/ACT</v>
      </c>
      <c r="R258">
        <v>100</v>
      </c>
      <c r="S258" t="str">
        <f>_xll.BDP("912834AL Govt","ID_CUSIP")</f>
        <v>912834AL2</v>
      </c>
      <c r="T258" t="str">
        <f>_xll.BDP("912834AL Govt","IDX_RATIO")</f>
        <v>#N/A Field Not Applicable</v>
      </c>
    </row>
    <row r="259" spans="1:20" x14ac:dyDescent="0.25">
      <c r="A259" t="s">
        <v>14</v>
      </c>
      <c r="B259" t="str">
        <f>_xll.BDP("912834AN Govt","TICKER")</f>
        <v>S</v>
      </c>
      <c r="C259">
        <f>_xll.BDP("912834AN Govt","CPN")</f>
        <v>0</v>
      </c>
      <c r="D259" t="str">
        <f>_xll.BDP("912834AN Govt","YLD_YTM_BID")</f>
        <v>#N/A N/A</v>
      </c>
      <c r="E259" t="str">
        <f>_xll.BDP("912834AN Govt","MATURITY")</f>
        <v>7/15/2011</v>
      </c>
      <c r="F259" t="str">
        <f>_xll.BDP("912834AN Govt","MTY_TYP")</f>
        <v>NORMAL</v>
      </c>
      <c r="G259" t="str">
        <f>_xll.BDP("912834AN Govt","CRNCY")</f>
        <v>USD</v>
      </c>
      <c r="H259" t="str">
        <f>_xll.BDP("912834AN Govt","COUNTRY_FULL_NAME")</f>
        <v>UNITED STATES</v>
      </c>
      <c r="I259" t="str">
        <f>_xll.BDP("912834AN Govt","FIRST_CPN_DT")</f>
        <v>#N/A Field Not Applicable</v>
      </c>
      <c r="J259" t="str">
        <f>_xll.BDP("912834AN Govt","COUPON_FREQUENCY_DESCRIPTION")</f>
        <v>#N/A Field Not Applicable</v>
      </c>
      <c r="K259" t="str">
        <f>_xll.BDP("912834AN Govt","CPN_TYP")</f>
        <v>ZERO</v>
      </c>
      <c r="L259" t="str">
        <f>_xll.BDP("912834AN Govt","ID_ISIN")</f>
        <v>US912834AN84</v>
      </c>
      <c r="N259">
        <v>0</v>
      </c>
      <c r="O259" t="str">
        <f>_xll.BDP("912834AN Govt","ISSUE_DT")</f>
        <v>1/15/2009</v>
      </c>
      <c r="P259" t="str">
        <f>_xll.BDP("912834AN Govt","SECURITY_NAME")</f>
        <v>S 0 07/15/11</v>
      </c>
      <c r="Q259" t="str">
        <f>_xll.BDP("912834AN Govt","DAY_CNT_DES")</f>
        <v>ACT/ACT</v>
      </c>
      <c r="R259">
        <v>100</v>
      </c>
      <c r="S259" t="str">
        <f>_xll.BDP("912834AN Govt","ID_CUSIP")</f>
        <v>912834AN8</v>
      </c>
      <c r="T259" t="str">
        <f>_xll.BDP("912834AN Govt","IDX_RATIO")</f>
        <v>#N/A Field Not Applicable</v>
      </c>
    </row>
    <row r="260" spans="1:20" x14ac:dyDescent="0.25">
      <c r="A260" t="s">
        <v>14</v>
      </c>
      <c r="B260" t="str">
        <f>_xll.BDP("912834AQ Govt","TICKER")</f>
        <v>S</v>
      </c>
      <c r="C260">
        <f>_xll.BDP("912834AQ Govt","CPN")</f>
        <v>0</v>
      </c>
      <c r="D260" t="str">
        <f>_xll.BDP("912834AQ Govt","YLD_YTM_BID")</f>
        <v>#N/A N/A</v>
      </c>
      <c r="E260" t="str">
        <f>_xll.BDP("912834AQ Govt","MATURITY")</f>
        <v>1/31/2014</v>
      </c>
      <c r="F260" t="str">
        <f>_xll.BDP("912834AQ Govt","MTY_TYP")</f>
        <v>NORMAL</v>
      </c>
      <c r="G260" t="str">
        <f>_xll.BDP("912834AQ Govt","CRNCY")</f>
        <v>USD</v>
      </c>
      <c r="H260" t="str">
        <f>_xll.BDP("912834AQ Govt","COUNTRY_FULL_NAME")</f>
        <v>UNITED STATES</v>
      </c>
      <c r="I260" t="str">
        <f>_xll.BDP("912834AQ Govt","FIRST_CPN_DT")</f>
        <v>#N/A Field Not Applicable</v>
      </c>
      <c r="J260" t="str">
        <f>_xll.BDP("912834AQ Govt","COUPON_FREQUENCY_DESCRIPTION")</f>
        <v>#N/A Field Not Applicable</v>
      </c>
      <c r="K260" t="str">
        <f>_xll.BDP("912834AQ Govt","CPN_TYP")</f>
        <v>ZERO</v>
      </c>
      <c r="L260" t="str">
        <f>_xll.BDP("912834AQ Govt","ID_ISIN")</f>
        <v>US912834AQ16</v>
      </c>
      <c r="N260">
        <v>0</v>
      </c>
      <c r="O260" t="str">
        <f>_xll.BDP("912834AQ Govt","ISSUE_DT")</f>
        <v>1/31/2009</v>
      </c>
      <c r="P260" t="str">
        <f>_xll.BDP("912834AQ Govt","SECURITY_NAME")</f>
        <v>S 0 01/31/14</v>
      </c>
      <c r="Q260" t="str">
        <f>_xll.BDP("912834AQ Govt","DAY_CNT_DES")</f>
        <v>ACT/ACT</v>
      </c>
      <c r="R260">
        <v>100</v>
      </c>
      <c r="S260" t="str">
        <f>_xll.BDP("912834AQ Govt","ID_CUSIP")</f>
        <v>912834AQ1</v>
      </c>
      <c r="T260" t="str">
        <f>_xll.BDP("912834AQ Govt","IDX_RATIO")</f>
        <v>#N/A Field Not Applicable</v>
      </c>
    </row>
    <row r="261" spans="1:20" x14ac:dyDescent="0.25">
      <c r="A261" t="s">
        <v>14</v>
      </c>
      <c r="B261" t="str">
        <f>_xll.BDP("912834AZ Govt","TICKER")</f>
        <v>S</v>
      </c>
      <c r="C261">
        <f>_xll.BDP("912834AZ Govt","CPN")</f>
        <v>0</v>
      </c>
      <c r="D261" t="str">
        <f>_xll.BDP("912834AZ Govt","YLD_YTM_BID")</f>
        <v>#N/A N/A</v>
      </c>
      <c r="E261" t="str">
        <f>_xll.BDP("912834AZ Govt","MATURITY")</f>
        <v>2/29/2016</v>
      </c>
      <c r="F261" t="str">
        <f>_xll.BDP("912834AZ Govt","MTY_TYP")</f>
        <v>NORMAL</v>
      </c>
      <c r="G261" t="str">
        <f>_xll.BDP("912834AZ Govt","CRNCY")</f>
        <v>USD</v>
      </c>
      <c r="H261" t="str">
        <f>_xll.BDP("912834AZ Govt","COUNTRY_FULL_NAME")</f>
        <v>UNITED STATES</v>
      </c>
      <c r="I261" t="str">
        <f>_xll.BDP("912834AZ Govt","FIRST_CPN_DT")</f>
        <v>#N/A Field Not Applicable</v>
      </c>
      <c r="J261" t="str">
        <f>_xll.BDP("912834AZ Govt","COUPON_FREQUENCY_DESCRIPTION")</f>
        <v>#N/A Field Not Applicable</v>
      </c>
      <c r="K261" t="str">
        <f>_xll.BDP("912834AZ Govt","CPN_TYP")</f>
        <v>ZERO</v>
      </c>
      <c r="L261" t="str">
        <f>_xll.BDP("912834AZ Govt","ID_ISIN")</f>
        <v>US912834AZ15</v>
      </c>
      <c r="N261">
        <v>0</v>
      </c>
      <c r="O261" t="str">
        <f>_xll.BDP("912834AZ Govt","ISSUE_DT")</f>
        <v>3/2/2009</v>
      </c>
      <c r="P261" t="str">
        <f>_xll.BDP("912834AZ Govt","SECURITY_NAME")</f>
        <v>S 0 02/29/16</v>
      </c>
      <c r="Q261" t="str">
        <f>_xll.BDP("912834AZ Govt","DAY_CNT_DES")</f>
        <v>ACT/ACT</v>
      </c>
      <c r="R261">
        <v>100</v>
      </c>
      <c r="S261" t="str">
        <f>_xll.BDP("912834AZ Govt","ID_CUSIP")</f>
        <v>912834AZ1</v>
      </c>
      <c r="T261" t="str">
        <f>_xll.BDP("912834AZ Govt","IDX_RATIO")</f>
        <v>#N/A Field Not Applicable</v>
      </c>
    </row>
    <row r="262" spans="1:20" x14ac:dyDescent="0.25">
      <c r="A262" t="s">
        <v>14</v>
      </c>
      <c r="B262" t="str">
        <f>_xll.BDP("912834BL Govt","TICKER")</f>
        <v>S</v>
      </c>
      <c r="C262">
        <f>_xll.BDP("912834BL Govt","CPN")</f>
        <v>0</v>
      </c>
      <c r="D262" t="str">
        <f>_xll.BDP("912834BL Govt","YLD_YTM_BID")</f>
        <v>#N/A N/A</v>
      </c>
      <c r="E262" t="str">
        <f>_xll.BDP("912834BL Govt","MATURITY")</f>
        <v>4/15/2012</v>
      </c>
      <c r="F262" t="str">
        <f>_xll.BDP("912834BL Govt","MTY_TYP")</f>
        <v>NORMAL</v>
      </c>
      <c r="G262" t="str">
        <f>_xll.BDP("912834BL Govt","CRNCY")</f>
        <v>USD</v>
      </c>
      <c r="H262" t="str">
        <f>_xll.BDP("912834BL Govt","COUNTRY_FULL_NAME")</f>
        <v>UNITED STATES</v>
      </c>
      <c r="I262" t="str">
        <f>_xll.BDP("912834BL Govt","FIRST_CPN_DT")</f>
        <v>#N/A Field Not Applicable</v>
      </c>
      <c r="J262" t="str">
        <f>_xll.BDP("912834BL Govt","COUPON_FREQUENCY_DESCRIPTION")</f>
        <v>#N/A Field Not Applicable</v>
      </c>
      <c r="K262" t="str">
        <f>_xll.BDP("912834BL Govt","CPN_TYP")</f>
        <v>ZERO</v>
      </c>
      <c r="L262" t="str">
        <f>_xll.BDP("912834BL Govt","ID_ISIN")</f>
        <v>US912834BL10</v>
      </c>
      <c r="N262">
        <v>0</v>
      </c>
      <c r="O262" t="str">
        <f>_xll.BDP("912834BL Govt","ISSUE_DT")</f>
        <v>4/15/2009</v>
      </c>
      <c r="P262" t="str">
        <f>_xll.BDP("912834BL Govt","SECURITY_NAME")</f>
        <v>S 0 04/15/12</v>
      </c>
      <c r="Q262" t="str">
        <f>_xll.BDP("912834BL Govt","DAY_CNT_DES")</f>
        <v>ACT/ACT</v>
      </c>
      <c r="R262">
        <v>100</v>
      </c>
      <c r="S262" t="str">
        <f>_xll.BDP("912834BL Govt","ID_CUSIP")</f>
        <v>912834BL1</v>
      </c>
      <c r="T262" t="str">
        <f>_xll.BDP("912834BL Govt","IDX_RATIO")</f>
        <v>#N/A Field Not Applicable</v>
      </c>
    </row>
    <row r="263" spans="1:20" x14ac:dyDescent="0.25">
      <c r="A263" t="s">
        <v>14</v>
      </c>
      <c r="B263" t="str">
        <f>_xll.BDP("912834BN Govt","TICKER")</f>
        <v>S</v>
      </c>
      <c r="C263">
        <f>_xll.BDP("912834BN Govt","CPN")</f>
        <v>0</v>
      </c>
      <c r="D263" t="str">
        <f>_xll.BDP("912834BN Govt","YLD_YTM_BID")</f>
        <v>#N/A N/A</v>
      </c>
      <c r="E263" t="str">
        <f>_xll.BDP("912834BN Govt","MATURITY")</f>
        <v>10/31/2014</v>
      </c>
      <c r="F263" t="str">
        <f>_xll.BDP("912834BN Govt","MTY_TYP")</f>
        <v>NORMAL</v>
      </c>
      <c r="G263" t="str">
        <f>_xll.BDP("912834BN Govt","CRNCY")</f>
        <v>USD</v>
      </c>
      <c r="H263" t="str">
        <f>_xll.BDP("912834BN Govt","COUNTRY_FULL_NAME")</f>
        <v>UNITED STATES</v>
      </c>
      <c r="I263" t="str">
        <f>_xll.BDP("912834BN Govt","FIRST_CPN_DT")</f>
        <v>#N/A Field Not Applicable</v>
      </c>
      <c r="J263" t="str">
        <f>_xll.BDP("912834BN Govt","COUPON_FREQUENCY_DESCRIPTION")</f>
        <v>#N/A Field Not Applicable</v>
      </c>
      <c r="K263" t="str">
        <f>_xll.BDP("912834BN Govt","CPN_TYP")</f>
        <v>ZERO</v>
      </c>
      <c r="L263" t="str">
        <f>_xll.BDP("912834BN Govt","ID_ISIN")</f>
        <v>US912834BN75</v>
      </c>
      <c r="N263">
        <v>0</v>
      </c>
      <c r="O263" t="str">
        <f>_xll.BDP("912834BN Govt","ISSUE_DT")</f>
        <v>4/30/2009</v>
      </c>
      <c r="P263" t="str">
        <f>_xll.BDP("912834BN Govt","SECURITY_NAME")</f>
        <v>S 0 10/31/14</v>
      </c>
      <c r="Q263" t="str">
        <f>_xll.BDP("912834BN Govt","DAY_CNT_DES")</f>
        <v>ACT/ACT</v>
      </c>
      <c r="R263">
        <v>100</v>
      </c>
      <c r="S263" t="str">
        <f>_xll.BDP("912834BN Govt","ID_CUSIP")</f>
        <v>912834BN7</v>
      </c>
      <c r="T263" t="str">
        <f>_xll.BDP("912834BN Govt","IDX_RATIO")</f>
        <v>#N/A Field Not Applicable</v>
      </c>
    </row>
    <row r="264" spans="1:20" x14ac:dyDescent="0.25">
      <c r="A264" t="s">
        <v>14</v>
      </c>
      <c r="B264" t="str">
        <f>_xll.BDP("912834DY Govt","TICKER")</f>
        <v>S</v>
      </c>
      <c r="C264">
        <f>_xll.BDP("912834DY Govt","CPN")</f>
        <v>0</v>
      </c>
      <c r="D264" t="str">
        <f>_xll.BDP("912834DY Govt","YLD_YTM_BID")</f>
        <v>#N/A N/A</v>
      </c>
      <c r="E264" t="str">
        <f>_xll.BDP("912834DY Govt","MATURITY")</f>
        <v>5/31/2015</v>
      </c>
      <c r="F264" t="str">
        <f>_xll.BDP("912834DY Govt","MTY_TYP")</f>
        <v>NORMAL</v>
      </c>
      <c r="G264" t="str">
        <f>_xll.BDP("912834DY Govt","CRNCY")</f>
        <v>USD</v>
      </c>
      <c r="H264" t="str">
        <f>_xll.BDP("912834DY Govt","COUNTRY_FULL_NAME")</f>
        <v>UNITED STATES</v>
      </c>
      <c r="I264" t="str">
        <f>_xll.BDP("912834DY Govt","FIRST_CPN_DT")</f>
        <v>#N/A Field Not Applicable</v>
      </c>
      <c r="J264" t="str">
        <f>_xll.BDP("912834DY Govt","COUPON_FREQUENCY_DESCRIPTION")</f>
        <v>#N/A Field Not Applicable</v>
      </c>
      <c r="K264" t="str">
        <f>_xll.BDP("912834DY Govt","CPN_TYP")</f>
        <v>ZERO</v>
      </c>
      <c r="L264" t="str">
        <f>_xll.BDP("912834DY Govt","ID_ISIN")</f>
        <v>US912834DY13</v>
      </c>
      <c r="N264">
        <v>0</v>
      </c>
      <c r="O264" t="str">
        <f>_xll.BDP("912834DY Govt","ISSUE_DT")</f>
        <v>6/1/2009</v>
      </c>
      <c r="P264" t="str">
        <f>_xll.BDP("912834DY Govt","SECURITY_NAME")</f>
        <v>S 0 05/31/15</v>
      </c>
      <c r="Q264" t="str">
        <f>_xll.BDP("912834DY Govt","DAY_CNT_DES")</f>
        <v>ACT/ACT</v>
      </c>
      <c r="R264">
        <v>100</v>
      </c>
      <c r="S264" t="str">
        <f>_xll.BDP("912834DY Govt","ID_CUSIP")</f>
        <v>912834DY1</v>
      </c>
      <c r="T264" t="str">
        <f>_xll.BDP("912834DY Govt","IDX_RATIO")</f>
        <v>#N/A Field Not Applicable</v>
      </c>
    </row>
    <row r="265" spans="1:20" x14ac:dyDescent="0.25">
      <c r="A265" t="s">
        <v>14</v>
      </c>
      <c r="B265" t="str">
        <f>_xll.BDP("912834HZ Govt","TICKER")</f>
        <v>S</v>
      </c>
      <c r="C265">
        <f>_xll.BDP("912834HZ Govt","CPN")</f>
        <v>0</v>
      </c>
      <c r="D265" t="str">
        <f>_xll.BDP("912834HZ Govt","YLD_YTM_BID")</f>
        <v>#N/A N/A</v>
      </c>
      <c r="E265" t="str">
        <f>_xll.BDP("912834HZ Govt","MATURITY")</f>
        <v>7/15/2013</v>
      </c>
      <c r="F265" t="str">
        <f>_xll.BDP("912834HZ Govt","MTY_TYP")</f>
        <v>NORMAL</v>
      </c>
      <c r="G265" t="str">
        <f>_xll.BDP("912834HZ Govt","CRNCY")</f>
        <v>USD</v>
      </c>
      <c r="H265" t="str">
        <f>_xll.BDP("912834HZ Govt","COUNTRY_FULL_NAME")</f>
        <v>UNITED STATES</v>
      </c>
      <c r="I265" t="str">
        <f>_xll.BDP("912834HZ Govt","FIRST_CPN_DT")</f>
        <v>#N/A Field Not Applicable</v>
      </c>
      <c r="J265" t="str">
        <f>_xll.BDP("912834HZ Govt","COUPON_FREQUENCY_DESCRIPTION")</f>
        <v>#N/A Field Not Applicable</v>
      </c>
      <c r="K265" t="str">
        <f>_xll.BDP("912834HZ Govt","CPN_TYP")</f>
        <v>ZERO</v>
      </c>
      <c r="L265" t="str">
        <f>_xll.BDP("912834HZ Govt","ID_ISIN")</f>
        <v>US912834HZ42</v>
      </c>
      <c r="N265">
        <v>0</v>
      </c>
      <c r="O265" t="str">
        <f>_xll.BDP("912834HZ Govt","ISSUE_DT")</f>
        <v>7/15/2010</v>
      </c>
      <c r="P265" t="str">
        <f>_xll.BDP("912834HZ Govt","SECURITY_NAME")</f>
        <v>S 0 07/15/13</v>
      </c>
      <c r="Q265" t="str">
        <f>_xll.BDP("912834HZ Govt","DAY_CNT_DES")</f>
        <v>ACT/ACT</v>
      </c>
      <c r="R265">
        <v>100</v>
      </c>
      <c r="S265" t="str">
        <f>_xll.BDP("912834HZ Govt","ID_CUSIP")</f>
        <v>912834HZ4</v>
      </c>
      <c r="T265" t="str">
        <f>_xll.BDP("912834HZ Govt","IDX_RATIO")</f>
        <v>#N/A Field Not Applicable</v>
      </c>
    </row>
    <row r="266" spans="1:20" x14ac:dyDescent="0.25">
      <c r="A266" t="s">
        <v>14</v>
      </c>
      <c r="B266" t="str">
        <f>_xll.BDP("912834JZ Govt","TICKER")</f>
        <v>S</v>
      </c>
      <c r="C266">
        <f>_xll.BDP("912834JZ Govt","CPN")</f>
        <v>0</v>
      </c>
      <c r="D266" t="str">
        <f>_xll.BDP("912834JZ Govt","YLD_YTM_BID")</f>
        <v>#N/A N/A</v>
      </c>
      <c r="E266" t="str">
        <f>_xll.BDP("912834JZ Govt","MATURITY")</f>
        <v>4/15/2018</v>
      </c>
      <c r="F266" t="str">
        <f>_xll.BDP("912834JZ Govt","MTY_TYP")</f>
        <v>NORMAL</v>
      </c>
      <c r="G266" t="str">
        <f>_xll.BDP("912834JZ Govt","CRNCY")</f>
        <v>USD</v>
      </c>
      <c r="H266" t="str">
        <f>_xll.BDP("912834JZ Govt","COUNTRY_FULL_NAME")</f>
        <v>UNITED STATES</v>
      </c>
      <c r="I266" t="str">
        <f>_xll.BDP("912834JZ Govt","FIRST_CPN_DT")</f>
        <v>#N/A Field Not Applicable</v>
      </c>
      <c r="J266" t="str">
        <f>_xll.BDP("912834JZ Govt","COUPON_FREQUENCY_DESCRIPTION")</f>
        <v>#N/A Field Not Applicable</v>
      </c>
      <c r="K266" t="str">
        <f>_xll.BDP("912834JZ Govt","CPN_TYP")</f>
        <v>ZERO</v>
      </c>
      <c r="L266" t="str">
        <f>_xll.BDP("912834JZ Govt","ID_ISIN")</f>
        <v>US912834JZ24</v>
      </c>
      <c r="N266">
        <v>0</v>
      </c>
      <c r="O266" t="str">
        <f>_xll.BDP("912834JZ Govt","ISSUE_DT")</f>
        <v>4/15/2015</v>
      </c>
      <c r="P266" t="str">
        <f>_xll.BDP("912834JZ Govt","SECURITY_NAME")</f>
        <v>S 0 04/15/18</v>
      </c>
      <c r="Q266" t="str">
        <f>_xll.BDP("912834JZ Govt","DAY_CNT_DES")</f>
        <v>ACT/ACT</v>
      </c>
      <c r="R266">
        <v>100</v>
      </c>
      <c r="S266" t="str">
        <f>_xll.BDP("912834JZ Govt","ID_CUSIP")</f>
        <v>912834JZ2</v>
      </c>
      <c r="T266" t="str">
        <f>_xll.BDP("912834JZ Govt","IDX_RATIO")</f>
        <v>#N/A Field Not Applicable</v>
      </c>
    </row>
    <row r="267" spans="1:20" x14ac:dyDescent="0.25">
      <c r="A267" t="s">
        <v>14</v>
      </c>
      <c r="B267" t="str">
        <f>_xll.BDP("912834KJ Govt","TICKER")</f>
        <v>S</v>
      </c>
      <c r="C267">
        <f>_xll.BDP("912834KJ Govt","CPN")</f>
        <v>0</v>
      </c>
      <c r="D267" t="str">
        <f>_xll.BDP("912834KJ Govt","YLD_YTM_BID")</f>
        <v>#N/A N/A</v>
      </c>
      <c r="E267" t="str">
        <f>_xll.BDP("912834KJ Govt","MATURITY")</f>
        <v>5/31/2018</v>
      </c>
      <c r="F267" t="str">
        <f>_xll.BDP("912834KJ Govt","MTY_TYP")</f>
        <v>NORMAL</v>
      </c>
      <c r="G267" t="str">
        <f>_xll.BDP("912834KJ Govt","CRNCY")</f>
        <v>USD</v>
      </c>
      <c r="H267" t="str">
        <f>_xll.BDP("912834KJ Govt","COUNTRY_FULL_NAME")</f>
        <v>UNITED STATES</v>
      </c>
      <c r="I267" t="str">
        <f>_xll.BDP("912834KJ Govt","FIRST_CPN_DT")</f>
        <v>#N/A Field Not Applicable</v>
      </c>
      <c r="J267" t="str">
        <f>_xll.BDP("912834KJ Govt","COUPON_FREQUENCY_DESCRIPTION")</f>
        <v>#N/A Field Not Applicable</v>
      </c>
      <c r="K267" t="str">
        <f>_xll.BDP("912834KJ Govt","CPN_TYP")</f>
        <v>ZERO</v>
      </c>
      <c r="L267" t="str">
        <f>_xll.BDP("912834KJ Govt","ID_ISIN")</f>
        <v>US912834KJ62</v>
      </c>
      <c r="N267">
        <v>0</v>
      </c>
      <c r="O267" t="str">
        <f>_xll.BDP("912834KJ Govt","ISSUE_DT")</f>
        <v>5/31/2011</v>
      </c>
      <c r="P267" t="str">
        <f>_xll.BDP("912834KJ Govt","SECURITY_NAME")</f>
        <v>S 0 05/31/18</v>
      </c>
      <c r="Q267" t="str">
        <f>_xll.BDP("912834KJ Govt","DAY_CNT_DES")</f>
        <v>ACT/ACT</v>
      </c>
      <c r="R267">
        <v>100</v>
      </c>
      <c r="S267" t="str">
        <f>_xll.BDP("912834KJ Govt","ID_CUSIP")</f>
        <v>912834KJ6</v>
      </c>
      <c r="T267" t="str">
        <f>_xll.BDP("912834KJ Govt","IDX_RATIO")</f>
        <v>#N/A Field Not Applicable</v>
      </c>
    </row>
    <row r="268" spans="1:20" x14ac:dyDescent="0.25">
      <c r="A268" t="s">
        <v>14</v>
      </c>
      <c r="B268" t="str">
        <f>_xll.BDP("912834KS Govt","TICKER")</f>
        <v>S</v>
      </c>
      <c r="C268">
        <f>_xll.BDP("912834KS Govt","CPN")</f>
        <v>0</v>
      </c>
      <c r="D268" t="str">
        <f>_xll.BDP("912834KS Govt","YLD_YTM_BID")</f>
        <v>#N/A N/A</v>
      </c>
      <c r="E268" t="str">
        <f>_xll.BDP("912834KS Govt","MATURITY")</f>
        <v>9/30/2018</v>
      </c>
      <c r="F268" t="str">
        <f>_xll.BDP("912834KS Govt","MTY_TYP")</f>
        <v>NORMAL</v>
      </c>
      <c r="G268" t="str">
        <f>_xll.BDP("912834KS Govt","CRNCY")</f>
        <v>USD</v>
      </c>
      <c r="H268" t="str">
        <f>_xll.BDP("912834KS Govt","COUNTRY_FULL_NAME")</f>
        <v>UNITED STATES</v>
      </c>
      <c r="I268" t="str">
        <f>_xll.BDP("912834KS Govt","FIRST_CPN_DT")</f>
        <v>#N/A Field Not Applicable</v>
      </c>
      <c r="J268" t="str">
        <f>_xll.BDP("912834KS Govt","COUPON_FREQUENCY_DESCRIPTION")</f>
        <v>#N/A Field Not Applicable</v>
      </c>
      <c r="K268" t="str">
        <f>_xll.BDP("912834KS Govt","CPN_TYP")</f>
        <v>ZERO</v>
      </c>
      <c r="L268" t="str">
        <f>_xll.BDP("912834KS Govt","ID_ISIN")</f>
        <v>US912834KS61</v>
      </c>
      <c r="N268">
        <v>0</v>
      </c>
      <c r="O268" t="str">
        <f>_xll.BDP("912834KS Govt","ISSUE_DT")</f>
        <v>9/30/2011</v>
      </c>
      <c r="P268" t="str">
        <f>_xll.BDP("912834KS Govt","SECURITY_NAME")</f>
        <v>S 0 09/30/18</v>
      </c>
      <c r="Q268" t="str">
        <f>_xll.BDP("912834KS Govt","DAY_CNT_DES")</f>
        <v>ACT/ACT</v>
      </c>
      <c r="R268">
        <v>100</v>
      </c>
      <c r="S268" t="str">
        <f>_xll.BDP("912834KS Govt","ID_CUSIP")</f>
        <v>912834KS6</v>
      </c>
      <c r="T268" t="str">
        <f>_xll.BDP("912834KS Govt","IDX_RATIO")</f>
        <v>#N/A Field Not Applicable</v>
      </c>
    </row>
    <row r="269" spans="1:20" x14ac:dyDescent="0.25">
      <c r="A269" t="s">
        <v>14</v>
      </c>
      <c r="B269" t="str">
        <f>_xll.BDP("912834KZ Govt","TICKER")</f>
        <v>S</v>
      </c>
      <c r="C269">
        <f>_xll.BDP("912834KZ Govt","CPN")</f>
        <v>0</v>
      </c>
      <c r="D269" t="str">
        <f>_xll.BDP("912834KZ Govt","YLD_YTM_BID")</f>
        <v>#N/A N/A</v>
      </c>
      <c r="E269" t="str">
        <f>_xll.BDP("912834KZ Govt","MATURITY")</f>
        <v>1/15/2015</v>
      </c>
      <c r="F269" t="str">
        <f>_xll.BDP("912834KZ Govt","MTY_TYP")</f>
        <v>NORMAL</v>
      </c>
      <c r="G269" t="str">
        <f>_xll.BDP("912834KZ Govt","CRNCY")</f>
        <v>USD</v>
      </c>
      <c r="H269" t="str">
        <f>_xll.BDP("912834KZ Govt","COUNTRY_FULL_NAME")</f>
        <v>UNITED STATES</v>
      </c>
      <c r="I269" t="str">
        <f>_xll.BDP("912834KZ Govt","FIRST_CPN_DT")</f>
        <v>#N/A Field Not Applicable</v>
      </c>
      <c r="J269" t="str">
        <f>_xll.BDP("912834KZ Govt","COUPON_FREQUENCY_DESCRIPTION")</f>
        <v>#N/A Field Not Applicable</v>
      </c>
      <c r="K269" t="str">
        <f>_xll.BDP("912834KZ Govt","CPN_TYP")</f>
        <v>ZERO</v>
      </c>
      <c r="L269" t="str">
        <f>_xll.BDP("912834KZ Govt","ID_ISIN")</f>
        <v>US912834KZ05</v>
      </c>
      <c r="N269">
        <v>0</v>
      </c>
      <c r="O269" t="str">
        <f>_xll.BDP("912834KZ Govt","ISSUE_DT")</f>
        <v>1/17/2012</v>
      </c>
      <c r="P269" t="str">
        <f>_xll.BDP("912834KZ Govt","SECURITY_NAME")</f>
        <v>S 0 01/15/15</v>
      </c>
      <c r="Q269" t="str">
        <f>_xll.BDP("912834KZ Govt","DAY_CNT_DES")</f>
        <v>ACT/ACT</v>
      </c>
      <c r="R269">
        <v>100</v>
      </c>
      <c r="S269" t="str">
        <f>_xll.BDP("912834KZ Govt","ID_CUSIP")</f>
        <v>912834KZ0</v>
      </c>
      <c r="T269" t="str">
        <f>_xll.BDP("912834KZ Govt","IDX_RATIO")</f>
        <v>#N/A Field Not Applicable</v>
      </c>
    </row>
    <row r="270" spans="1:20" x14ac:dyDescent="0.25">
      <c r="A270" t="s">
        <v>14</v>
      </c>
      <c r="B270" t="str">
        <f>_xll.BDP("912834LS Govt","TICKER")</f>
        <v>S</v>
      </c>
      <c r="C270">
        <f>_xll.BDP("912834LS Govt","CPN")</f>
        <v>0</v>
      </c>
      <c r="D270" t="str">
        <f>_xll.BDP("912834LS Govt","YLD_YTM_BID")</f>
        <v>#N/A N/A</v>
      </c>
      <c r="E270" t="str">
        <f>_xll.BDP("912834LS Govt","MATURITY")</f>
        <v>8/31/2019</v>
      </c>
      <c r="F270" t="str">
        <f>_xll.BDP("912834LS Govt","MTY_TYP")</f>
        <v>NORMAL</v>
      </c>
      <c r="G270" t="str">
        <f>_xll.BDP("912834LS Govt","CRNCY")</f>
        <v>USD</v>
      </c>
      <c r="H270" t="str">
        <f>_xll.BDP("912834LS Govt","COUNTRY_FULL_NAME")</f>
        <v>UNITED STATES</v>
      </c>
      <c r="I270" t="str">
        <f>_xll.BDP("912834LS Govt","FIRST_CPN_DT")</f>
        <v>#N/A Field Not Applicable</v>
      </c>
      <c r="J270" t="str">
        <f>_xll.BDP("912834LS Govt","COUPON_FREQUENCY_DESCRIPTION")</f>
        <v>#N/A Field Not Applicable</v>
      </c>
      <c r="K270" t="str">
        <f>_xll.BDP("912834LS Govt","CPN_TYP")</f>
        <v>ZERO</v>
      </c>
      <c r="L270" t="str">
        <f>_xll.BDP("912834LS Govt","ID_ISIN")</f>
        <v>US912834LS52</v>
      </c>
      <c r="N270">
        <v>0</v>
      </c>
      <c r="O270" t="str">
        <f>_xll.BDP("912834LS Govt","ISSUE_DT")</f>
        <v>8/31/2012</v>
      </c>
      <c r="P270" t="str">
        <f>_xll.BDP("912834LS Govt","SECURITY_NAME")</f>
        <v>S 0 08/31/19</v>
      </c>
      <c r="Q270" t="str">
        <f>_xll.BDP("912834LS Govt","DAY_CNT_DES")</f>
        <v>ACT/ACT</v>
      </c>
      <c r="R270">
        <v>100</v>
      </c>
      <c r="S270" t="str">
        <f>_xll.BDP("912834LS Govt","ID_CUSIP")</f>
        <v>912834LS5</v>
      </c>
      <c r="T270" t="str">
        <f>_xll.BDP("912834LS Govt","IDX_RATIO")</f>
        <v>#N/A Field Not Applicable</v>
      </c>
    </row>
    <row r="271" spans="1:20" x14ac:dyDescent="0.25">
      <c r="A271" t="s">
        <v>14</v>
      </c>
      <c r="B271" t="str">
        <f>_xll.BDP("912834MG Govt","TICKER")</f>
        <v>S</v>
      </c>
      <c r="C271">
        <f>_xll.BDP("912834MG Govt","CPN")</f>
        <v>0</v>
      </c>
      <c r="D271" t="str">
        <f>_xll.BDP("912834MG Govt","YLD_YTM_BID")</f>
        <v>#N/A N/A</v>
      </c>
      <c r="E271" t="str">
        <f>_xll.BDP("912834MG Govt","MATURITY")</f>
        <v>2/29/2020</v>
      </c>
      <c r="F271" t="str">
        <f>_xll.BDP("912834MG Govt","MTY_TYP")</f>
        <v>NORMAL</v>
      </c>
      <c r="G271" t="str">
        <f>_xll.BDP("912834MG Govt","CRNCY")</f>
        <v>USD</v>
      </c>
      <c r="H271" t="str">
        <f>_xll.BDP("912834MG Govt","COUNTRY_FULL_NAME")</f>
        <v>UNITED STATES</v>
      </c>
      <c r="I271" t="str">
        <f>_xll.BDP("912834MG Govt","FIRST_CPN_DT")</f>
        <v>#N/A Field Not Applicable</v>
      </c>
      <c r="J271" t="str">
        <f>_xll.BDP("912834MG Govt","COUPON_FREQUENCY_DESCRIPTION")</f>
        <v>#N/A Field Not Applicable</v>
      </c>
      <c r="K271" t="str">
        <f>_xll.BDP("912834MG Govt","CPN_TYP")</f>
        <v>ZERO</v>
      </c>
      <c r="L271" t="str">
        <f>_xll.BDP("912834MG Govt","ID_ISIN")</f>
        <v>US912834MG06</v>
      </c>
      <c r="N271">
        <v>0</v>
      </c>
      <c r="O271" t="str">
        <f>_xll.BDP("912834MG Govt","ISSUE_DT")</f>
        <v>2/28/2013</v>
      </c>
      <c r="P271" t="str">
        <f>_xll.BDP("912834MG Govt","SECURITY_NAME")</f>
        <v>S 0 02/29/20</v>
      </c>
      <c r="Q271" t="str">
        <f>_xll.BDP("912834MG Govt","DAY_CNT_DES")</f>
        <v>ACT/ACT</v>
      </c>
      <c r="R271">
        <v>100</v>
      </c>
      <c r="S271" t="str">
        <f>_xll.BDP("912834MG Govt","ID_CUSIP")</f>
        <v>912834MG0</v>
      </c>
      <c r="T271" t="str">
        <f>_xll.BDP("912834MG Govt","IDX_RATIO")</f>
        <v>#N/A Field Not Applicable</v>
      </c>
    </row>
    <row r="272" spans="1:20" x14ac:dyDescent="0.25">
      <c r="A272" t="s">
        <v>14</v>
      </c>
      <c r="B272" t="str">
        <f>_xll.BDP("912834MR Govt","TICKER")</f>
        <v>S</v>
      </c>
      <c r="C272">
        <f>_xll.BDP("912834MR Govt","CPN")</f>
        <v>0</v>
      </c>
      <c r="D272" t="str">
        <f>_xll.BDP("912834MR Govt","YLD_YTM_BID")</f>
        <v>#N/A N/A</v>
      </c>
      <c r="E272" t="str">
        <f>_xll.BDP("912834MR Govt","MATURITY")</f>
        <v>7/15/2016</v>
      </c>
      <c r="F272" t="str">
        <f>_xll.BDP("912834MR Govt","MTY_TYP")</f>
        <v>NORMAL</v>
      </c>
      <c r="G272" t="str">
        <f>_xll.BDP("912834MR Govt","CRNCY")</f>
        <v>USD</v>
      </c>
      <c r="H272" t="str">
        <f>_xll.BDP("912834MR Govt","COUNTRY_FULL_NAME")</f>
        <v>UNITED STATES</v>
      </c>
      <c r="I272" t="str">
        <f>_xll.BDP("912834MR Govt","FIRST_CPN_DT")</f>
        <v>#N/A Field Not Applicable</v>
      </c>
      <c r="J272" t="str">
        <f>_xll.BDP("912834MR Govt","COUPON_FREQUENCY_DESCRIPTION")</f>
        <v>#N/A Field Not Applicable</v>
      </c>
      <c r="K272" t="str">
        <f>_xll.BDP("912834MR Govt","CPN_TYP")</f>
        <v>ZERO</v>
      </c>
      <c r="L272" t="str">
        <f>_xll.BDP("912834MR Govt","ID_ISIN")</f>
        <v>US912834MR60</v>
      </c>
      <c r="N272">
        <v>0</v>
      </c>
      <c r="O272" t="str">
        <f>_xll.BDP("912834MR Govt","ISSUE_DT")</f>
        <v>7/15/2013</v>
      </c>
      <c r="P272" t="str">
        <f>_xll.BDP("912834MR Govt","SECURITY_NAME")</f>
        <v>S 0 07/15/16</v>
      </c>
      <c r="Q272" t="str">
        <f>_xll.BDP("912834MR Govt","DAY_CNT_DES")</f>
        <v>ACT/ACT</v>
      </c>
      <c r="R272">
        <v>100</v>
      </c>
      <c r="S272" t="str">
        <f>_xll.BDP("912834MR Govt","ID_CUSIP")</f>
        <v>912834MR6</v>
      </c>
      <c r="T272" t="str">
        <f>_xll.BDP("912834MR Govt","IDX_RATIO")</f>
        <v>#N/A Field Not Applicable</v>
      </c>
    </row>
    <row r="273" spans="1:20" x14ac:dyDescent="0.25">
      <c r="A273" t="s">
        <v>14</v>
      </c>
      <c r="B273" t="str">
        <f>_xll.BDP("912834NQ Govt","TICKER")</f>
        <v>S</v>
      </c>
      <c r="C273">
        <f>_xll.BDP("912834NQ Govt","CPN")</f>
        <v>0</v>
      </c>
      <c r="D273" t="str">
        <f>_xll.BDP("912834NQ Govt","YLD_YTM_BID")</f>
        <v>#N/A N/A</v>
      </c>
      <c r="E273" t="str">
        <f>_xll.BDP("912834NQ Govt","MATURITY")</f>
        <v>5/31/2021</v>
      </c>
      <c r="F273" t="str">
        <f>_xll.BDP("912834NQ Govt","MTY_TYP")</f>
        <v>NORMAL</v>
      </c>
      <c r="G273" t="str">
        <f>_xll.BDP("912834NQ Govt","CRNCY")</f>
        <v>USD</v>
      </c>
      <c r="H273" t="str">
        <f>_xll.BDP("912834NQ Govt","COUNTRY_FULL_NAME")</f>
        <v>UNITED STATES</v>
      </c>
      <c r="I273" t="str">
        <f>_xll.BDP("912834NQ Govt","FIRST_CPN_DT")</f>
        <v>#N/A Field Not Applicable</v>
      </c>
      <c r="J273" t="str">
        <f>_xll.BDP("912834NQ Govt","COUPON_FREQUENCY_DESCRIPTION")</f>
        <v>#N/A Field Not Applicable</v>
      </c>
      <c r="K273" t="str">
        <f>_xll.BDP("912834NQ Govt","CPN_TYP")</f>
        <v>ZERO</v>
      </c>
      <c r="L273" t="str">
        <f>_xll.BDP("912834NQ Govt","ID_ISIN")</f>
        <v>US912834NQ78</v>
      </c>
      <c r="N273">
        <v>0</v>
      </c>
      <c r="O273" t="str">
        <f>_xll.BDP("912834NQ Govt","ISSUE_DT")</f>
        <v>6/2/2014</v>
      </c>
      <c r="P273" t="str">
        <f>_xll.BDP("912834NQ Govt","SECURITY_NAME")</f>
        <v>S 0 05/31/21</v>
      </c>
      <c r="Q273" t="str">
        <f>_xll.BDP("912834NQ Govt","DAY_CNT_DES")</f>
        <v>ACT/ACT</v>
      </c>
      <c r="R273">
        <v>100</v>
      </c>
      <c r="S273" t="str">
        <f>_xll.BDP("912834NQ Govt","ID_CUSIP")</f>
        <v>912834NQ7</v>
      </c>
      <c r="T273" t="str">
        <f>_xll.BDP("912834NQ Govt","IDX_RATIO")</f>
        <v>#N/A Field Not Applicable</v>
      </c>
    </row>
    <row r="274" spans="1:20" x14ac:dyDescent="0.25">
      <c r="A274" t="s">
        <v>14</v>
      </c>
      <c r="B274" t="str">
        <f>_xll.BDP("912834NU Govt","TICKER")</f>
        <v>S</v>
      </c>
      <c r="C274">
        <f>_xll.BDP("912834NU Govt","CPN")</f>
        <v>0</v>
      </c>
      <c r="D274" t="str">
        <f>_xll.BDP("912834NU Govt","YLD_YTM_BID")</f>
        <v>#N/A N/A</v>
      </c>
      <c r="E274" t="str">
        <f>_xll.BDP("912834NU Govt","MATURITY")</f>
        <v>7/31/2021</v>
      </c>
      <c r="F274" t="str">
        <f>_xll.BDP("912834NU Govt","MTY_TYP")</f>
        <v>NORMAL</v>
      </c>
      <c r="G274" t="str">
        <f>_xll.BDP("912834NU Govt","CRNCY")</f>
        <v>USD</v>
      </c>
      <c r="H274" t="str">
        <f>_xll.BDP("912834NU Govt","COUNTRY_FULL_NAME")</f>
        <v>UNITED STATES</v>
      </c>
      <c r="I274" t="str">
        <f>_xll.BDP("912834NU Govt","FIRST_CPN_DT")</f>
        <v>#N/A Field Not Applicable</v>
      </c>
      <c r="J274" t="str">
        <f>_xll.BDP("912834NU Govt","COUPON_FREQUENCY_DESCRIPTION")</f>
        <v>#N/A Field Not Applicable</v>
      </c>
      <c r="K274" t="str">
        <f>_xll.BDP("912834NU Govt","CPN_TYP")</f>
        <v>ZERO</v>
      </c>
      <c r="L274" t="str">
        <f>_xll.BDP("912834NU Govt","ID_ISIN")</f>
        <v>US912834NU80</v>
      </c>
      <c r="N274">
        <v>0</v>
      </c>
      <c r="O274" t="str">
        <f>_xll.BDP("912834NU Govt","ISSUE_DT")</f>
        <v>7/31/2014</v>
      </c>
      <c r="P274" t="str">
        <f>_xll.BDP("912834NU Govt","SECURITY_NAME")</f>
        <v>S 0 07/31/21</v>
      </c>
      <c r="Q274" t="str">
        <f>_xll.BDP("912834NU Govt","DAY_CNT_DES")</f>
        <v>ACT/ACT</v>
      </c>
      <c r="R274">
        <v>100</v>
      </c>
      <c r="S274" t="str">
        <f>_xll.BDP("912834NU Govt","ID_CUSIP")</f>
        <v>912834NU8</v>
      </c>
      <c r="T274" t="str">
        <f>_xll.BDP("912834NU Govt","IDX_RATIO")</f>
        <v>#N/A Field Not Applicable</v>
      </c>
    </row>
    <row r="275" spans="1:20" x14ac:dyDescent="0.25">
      <c r="A275" t="s">
        <v>14</v>
      </c>
      <c r="B275" t="str">
        <f>_xll.BDP("912834NZ Govt","TICKER")</f>
        <v>S</v>
      </c>
      <c r="C275">
        <f>_xll.BDP("912834NZ Govt","CPN")</f>
        <v>0</v>
      </c>
      <c r="D275" t="str">
        <f>_xll.BDP("912834NZ Govt","YLD_YTM_BID")</f>
        <v>#N/A N/A</v>
      </c>
      <c r="E275" t="str">
        <f>_xll.BDP("912834NZ Govt","MATURITY")</f>
        <v>10/15/2017</v>
      </c>
      <c r="F275" t="str">
        <f>_xll.BDP("912834NZ Govt","MTY_TYP")</f>
        <v>NORMAL</v>
      </c>
      <c r="G275" t="str">
        <f>_xll.BDP("912834NZ Govt","CRNCY")</f>
        <v>USD</v>
      </c>
      <c r="H275" t="str">
        <f>_xll.BDP("912834NZ Govt","COUNTRY_FULL_NAME")</f>
        <v>UNITED STATES</v>
      </c>
      <c r="I275" t="str">
        <f>_xll.BDP("912834NZ Govt","FIRST_CPN_DT")</f>
        <v>#N/A Field Not Applicable</v>
      </c>
      <c r="J275" t="str">
        <f>_xll.BDP("912834NZ Govt","COUPON_FREQUENCY_DESCRIPTION")</f>
        <v>#N/A Field Not Applicable</v>
      </c>
      <c r="K275" t="str">
        <f>_xll.BDP("912834NZ Govt","CPN_TYP")</f>
        <v>ZERO</v>
      </c>
      <c r="L275" t="str">
        <f>_xll.BDP("912834NZ Govt","ID_ISIN")</f>
        <v>US912834NZ77</v>
      </c>
      <c r="N275">
        <v>0</v>
      </c>
      <c r="O275" t="str">
        <f>_xll.BDP("912834NZ Govt","ISSUE_DT")</f>
        <v>10/15/2014</v>
      </c>
      <c r="P275" t="str">
        <f>_xll.BDP("912834NZ Govt","SECURITY_NAME")</f>
        <v>S 0 10/15/17</v>
      </c>
      <c r="Q275" t="str">
        <f>_xll.BDP("912834NZ Govt","DAY_CNT_DES")</f>
        <v>ACT/ACT</v>
      </c>
      <c r="R275">
        <v>100</v>
      </c>
      <c r="S275" t="str">
        <f>_xll.BDP("912834NZ Govt","ID_CUSIP")</f>
        <v>912834NZ7</v>
      </c>
      <c r="T275" t="str">
        <f>_xll.BDP("912834NZ Govt","IDX_RATIO")</f>
        <v>#N/A Field Not Applicable</v>
      </c>
    </row>
    <row r="276" spans="1:20" x14ac:dyDescent="0.25">
      <c r="A276" t="s">
        <v>14</v>
      </c>
      <c r="B276" t="str">
        <f>_xll.BDP("912834PP Govt","TICKER")</f>
        <v>S</v>
      </c>
      <c r="C276">
        <f>_xll.BDP("912834PP Govt","CPN")</f>
        <v>0</v>
      </c>
      <c r="D276" t="str">
        <f>_xll.BDP("912834PP Govt","YLD_YTM_BID")</f>
        <v>#N/A N/A</v>
      </c>
      <c r="E276" t="str">
        <f>_xll.BDP("912834PP Govt","MATURITY")</f>
        <v>9/15/2018</v>
      </c>
      <c r="F276" t="str">
        <f>_xll.BDP("912834PP Govt","MTY_TYP")</f>
        <v>NORMAL</v>
      </c>
      <c r="G276" t="str">
        <f>_xll.BDP("912834PP Govt","CRNCY")</f>
        <v>USD</v>
      </c>
      <c r="H276" t="str">
        <f>_xll.BDP("912834PP Govt","COUNTRY_FULL_NAME")</f>
        <v>UNITED STATES</v>
      </c>
      <c r="I276" t="str">
        <f>_xll.BDP("912834PP Govt","FIRST_CPN_DT")</f>
        <v>#N/A Field Not Applicable</v>
      </c>
      <c r="J276" t="str">
        <f>_xll.BDP("912834PP Govt","COUPON_FREQUENCY_DESCRIPTION")</f>
        <v>#N/A Field Not Applicable</v>
      </c>
      <c r="K276" t="str">
        <f>_xll.BDP("912834PP Govt","CPN_TYP")</f>
        <v>ZERO</v>
      </c>
      <c r="L276" t="str">
        <f>_xll.BDP("912834PP Govt","ID_ISIN")</f>
        <v>US912834PP77</v>
      </c>
      <c r="N276">
        <v>0</v>
      </c>
      <c r="O276" t="str">
        <f>_xll.BDP("912834PP Govt","ISSUE_DT")</f>
        <v>9/15/2015</v>
      </c>
      <c r="P276" t="str">
        <f>_xll.BDP("912834PP Govt","SECURITY_NAME")</f>
        <v>S 0 09/15/18</v>
      </c>
      <c r="Q276" t="str">
        <f>_xll.BDP("912834PP Govt","DAY_CNT_DES")</f>
        <v>ACT/ACT</v>
      </c>
      <c r="R276">
        <v>100</v>
      </c>
      <c r="S276" t="str">
        <f>_xll.BDP("912834PP Govt","ID_CUSIP")</f>
        <v>912834PP7</v>
      </c>
      <c r="T276" t="str">
        <f>_xll.BDP("912834PP Govt","IDX_RATIO")</f>
        <v>#N/A Field Not Applicable</v>
      </c>
    </row>
    <row r="277" spans="1:20" x14ac:dyDescent="0.25">
      <c r="A277" t="s">
        <v>14</v>
      </c>
      <c r="B277" t="str">
        <f>_xll.BDP("912834QF Govt","TICKER")</f>
        <v>S</v>
      </c>
      <c r="C277">
        <f>_xll.BDP("912834QF Govt","CPN")</f>
        <v>0</v>
      </c>
      <c r="D277" t="str">
        <f>_xll.BDP("912834QF Govt","YLD_YTM_BID")</f>
        <v>#N/A N/A</v>
      </c>
      <c r="E277" t="str">
        <f>_xll.BDP("912834QF Govt","MATURITY")</f>
        <v>4/15/2019</v>
      </c>
      <c r="F277" t="str">
        <f>_xll.BDP("912834QF Govt","MTY_TYP")</f>
        <v>NORMAL</v>
      </c>
      <c r="G277" t="str">
        <f>_xll.BDP("912834QF Govt","CRNCY")</f>
        <v>USD</v>
      </c>
      <c r="H277" t="str">
        <f>_xll.BDP("912834QF Govt","COUNTRY_FULL_NAME")</f>
        <v>UNITED STATES</v>
      </c>
      <c r="I277" t="str">
        <f>_xll.BDP("912834QF Govt","FIRST_CPN_DT")</f>
        <v>#N/A Field Not Applicable</v>
      </c>
      <c r="J277" t="str">
        <f>_xll.BDP("912834QF Govt","COUPON_FREQUENCY_DESCRIPTION")</f>
        <v>#N/A Field Not Applicable</v>
      </c>
      <c r="K277" t="str">
        <f>_xll.BDP("912834QF Govt","CPN_TYP")</f>
        <v>ZERO</v>
      </c>
      <c r="L277" t="str">
        <f>_xll.BDP("912834QF Govt","ID_ISIN")</f>
        <v>US912834QF86</v>
      </c>
      <c r="N277">
        <v>0</v>
      </c>
      <c r="O277" t="str">
        <f>_xll.BDP("912834QF Govt","ISSUE_DT")</f>
        <v>4/15/2016</v>
      </c>
      <c r="P277" t="str">
        <f>_xll.BDP("912834QF Govt","SECURITY_NAME")</f>
        <v>S 0 04/15/19</v>
      </c>
      <c r="Q277" t="str">
        <f>_xll.BDP("912834QF Govt","DAY_CNT_DES")</f>
        <v>ACT/ACT</v>
      </c>
      <c r="R277">
        <v>100</v>
      </c>
      <c r="S277" t="str">
        <f>_xll.BDP("912834QF Govt","ID_CUSIP")</f>
        <v>912834QF8</v>
      </c>
      <c r="T277" t="str">
        <f>_xll.BDP("912834QF Govt","IDX_RATIO")</f>
        <v>#N/A Field Not Applicable</v>
      </c>
    </row>
    <row r="278" spans="1:20" x14ac:dyDescent="0.25">
      <c r="A278" t="s">
        <v>14</v>
      </c>
      <c r="B278" t="str">
        <f>_xll.BDP("912834QK Govt","TICKER")</f>
        <v>S</v>
      </c>
      <c r="C278">
        <f>_xll.BDP("912834QK Govt","CPN")</f>
        <v>0</v>
      </c>
      <c r="D278" t="str">
        <f>_xll.BDP("912834QK Govt","YLD_YTM_BID")</f>
        <v>#N/A N/A</v>
      </c>
      <c r="E278" t="str">
        <f>_xll.BDP("912834QK Govt","MATURITY")</f>
        <v>6/15/2019</v>
      </c>
      <c r="F278" t="str">
        <f>_xll.BDP("912834QK Govt","MTY_TYP")</f>
        <v>NORMAL</v>
      </c>
      <c r="G278" t="str">
        <f>_xll.BDP("912834QK Govt","CRNCY")</f>
        <v>USD</v>
      </c>
      <c r="H278" t="str">
        <f>_xll.BDP("912834QK Govt","COUNTRY_FULL_NAME")</f>
        <v>UNITED STATES</v>
      </c>
      <c r="I278" t="str">
        <f>_xll.BDP("912834QK Govt","FIRST_CPN_DT")</f>
        <v>#N/A Field Not Applicable</v>
      </c>
      <c r="J278" t="str">
        <f>_xll.BDP("912834QK Govt","COUPON_FREQUENCY_DESCRIPTION")</f>
        <v>#N/A Field Not Applicable</v>
      </c>
      <c r="K278" t="str">
        <f>_xll.BDP("912834QK Govt","CPN_TYP")</f>
        <v>ZERO</v>
      </c>
      <c r="L278" t="str">
        <f>_xll.BDP("912834QK Govt","ID_ISIN")</f>
        <v>US912834QK71</v>
      </c>
      <c r="N278">
        <v>0</v>
      </c>
      <c r="O278" t="str">
        <f>_xll.BDP("912834QK Govt","ISSUE_DT")</f>
        <v>6/15/2016</v>
      </c>
      <c r="P278" t="str">
        <f>_xll.BDP("912834QK Govt","SECURITY_NAME")</f>
        <v>S 0 06/15/19</v>
      </c>
      <c r="Q278" t="str">
        <f>_xll.BDP("912834QK Govt","DAY_CNT_DES")</f>
        <v>ACT/ACT</v>
      </c>
      <c r="R278">
        <v>100</v>
      </c>
      <c r="S278" t="str">
        <f>_xll.BDP("912834QK Govt","ID_CUSIP")</f>
        <v>912834QK7</v>
      </c>
      <c r="T278" t="str">
        <f>_xll.BDP("912834QK Govt","IDX_RATIO")</f>
        <v>#N/A Field Not Applicable</v>
      </c>
    </row>
    <row r="279" spans="1:20" x14ac:dyDescent="0.25">
      <c r="A279" t="s">
        <v>14</v>
      </c>
      <c r="B279" t="str">
        <f>_xll.BDP("912834QZ Govt","TICKER")</f>
        <v>S</v>
      </c>
      <c r="C279">
        <f>_xll.BDP("912834QZ Govt","CPN")</f>
        <v>0</v>
      </c>
      <c r="D279" t="str">
        <f>_xll.BDP("912834QZ Govt","YLD_YTM_BID")</f>
        <v>#N/A N/A</v>
      </c>
      <c r="E279" t="str">
        <f>_xll.BDP("912834QZ Govt","MATURITY")</f>
        <v>1/15/2020</v>
      </c>
      <c r="F279" t="str">
        <f>_xll.BDP("912834QZ Govt","MTY_TYP")</f>
        <v>NORMAL</v>
      </c>
      <c r="G279" t="str">
        <f>_xll.BDP("912834QZ Govt","CRNCY")</f>
        <v>USD</v>
      </c>
      <c r="H279" t="str">
        <f>_xll.BDP("912834QZ Govt","COUNTRY_FULL_NAME")</f>
        <v>UNITED STATES</v>
      </c>
      <c r="I279" t="str">
        <f>_xll.BDP("912834QZ Govt","FIRST_CPN_DT")</f>
        <v>#N/A Field Not Applicable</v>
      </c>
      <c r="J279" t="str">
        <f>_xll.BDP("912834QZ Govt","COUPON_FREQUENCY_DESCRIPTION")</f>
        <v>#N/A Field Not Applicable</v>
      </c>
      <c r="K279" t="str">
        <f>_xll.BDP("912834QZ Govt","CPN_TYP")</f>
        <v>ZERO</v>
      </c>
      <c r="L279" t="str">
        <f>_xll.BDP("912834QZ Govt","ID_ISIN")</f>
        <v>US912834QZ41</v>
      </c>
      <c r="N279">
        <v>0</v>
      </c>
      <c r="O279" t="str">
        <f>_xll.BDP("912834QZ Govt","ISSUE_DT")</f>
        <v>1/17/2017</v>
      </c>
      <c r="P279" t="str">
        <f>_xll.BDP("912834QZ Govt","SECURITY_NAME")</f>
        <v>S 0 01/15/20</v>
      </c>
      <c r="Q279" t="str">
        <f>_xll.BDP("912834QZ Govt","DAY_CNT_DES")</f>
        <v>ACT/ACT</v>
      </c>
      <c r="R279">
        <v>100</v>
      </c>
      <c r="S279" t="str">
        <f>_xll.BDP("912834QZ Govt","ID_CUSIP")</f>
        <v>912834QZ4</v>
      </c>
      <c r="T279" t="str">
        <f>_xll.BDP("912834QZ Govt","IDX_RATIO")</f>
        <v>#N/A Field Not Applicable</v>
      </c>
    </row>
    <row r="280" spans="1:20" x14ac:dyDescent="0.25">
      <c r="A280" t="s">
        <v>14</v>
      </c>
      <c r="B280" t="str">
        <f>_xll.BDP("912834RT Govt","TICKER")</f>
        <v>S</v>
      </c>
      <c r="C280">
        <f>_xll.BDP("912834RT Govt","CPN")</f>
        <v>0</v>
      </c>
      <c r="D280" t="str">
        <f>_xll.BDP("912834RT Govt","YLD_YTM_BID")</f>
        <v>#N/A N/A</v>
      </c>
      <c r="E280" t="str">
        <f>_xll.BDP("912834RT Govt","MATURITY")</f>
        <v>9/15/2020</v>
      </c>
      <c r="F280" t="str">
        <f>_xll.BDP("912834RT Govt","MTY_TYP")</f>
        <v>NORMAL</v>
      </c>
      <c r="G280" t="str">
        <f>_xll.BDP("912834RT Govt","CRNCY")</f>
        <v>USD</v>
      </c>
      <c r="H280" t="str">
        <f>_xll.BDP("912834RT Govt","COUNTRY_FULL_NAME")</f>
        <v>UNITED STATES</v>
      </c>
      <c r="I280" t="str">
        <f>_xll.BDP("912834RT Govt","FIRST_CPN_DT")</f>
        <v>#N/A Field Not Applicable</v>
      </c>
      <c r="J280" t="str">
        <f>_xll.BDP("912834RT Govt","COUPON_FREQUENCY_DESCRIPTION")</f>
        <v>#N/A Field Not Applicable</v>
      </c>
      <c r="K280" t="str">
        <f>_xll.BDP("912834RT Govt","CPN_TYP")</f>
        <v>ZERO</v>
      </c>
      <c r="L280" t="str">
        <f>_xll.BDP("912834RT Govt","ID_ISIN")</f>
        <v>US912834RT71</v>
      </c>
      <c r="N280">
        <v>0</v>
      </c>
      <c r="O280" t="str">
        <f>_xll.BDP("912834RT Govt","ISSUE_DT")</f>
        <v>9/15/2017</v>
      </c>
      <c r="P280" t="str">
        <f>_xll.BDP("912834RT Govt","SECURITY_NAME")</f>
        <v>S 0 09/15/20</v>
      </c>
      <c r="Q280" t="str">
        <f>_xll.BDP("912834RT Govt","DAY_CNT_DES")</f>
        <v>ACT/ACT</v>
      </c>
      <c r="R280">
        <v>100</v>
      </c>
      <c r="S280" t="str">
        <f>_xll.BDP("912834RT Govt","ID_CUSIP")</f>
        <v>912834RT7</v>
      </c>
      <c r="T280" t="str">
        <f>_xll.BDP("912834RT Govt","IDX_RATIO")</f>
        <v>#N/A Field Not Applicable</v>
      </c>
    </row>
    <row r="281" spans="1:20" x14ac:dyDescent="0.25">
      <c r="A281" t="s">
        <v>14</v>
      </c>
      <c r="B281" t="str">
        <f>_xll.BDP("912834TD Govt","TICKER")</f>
        <v>S</v>
      </c>
      <c r="C281">
        <f>_xll.BDP("912834TD Govt","CPN")</f>
        <v>0</v>
      </c>
      <c r="D281" t="str">
        <f>_xll.BDP("912834TD Govt","YLD_YTM_BID")</f>
        <v>#N/A N/A</v>
      </c>
      <c r="E281" t="str">
        <f>_xll.BDP("912834TD Govt","MATURITY")</f>
        <v>1/15/2021</v>
      </c>
      <c r="F281" t="str">
        <f>_xll.BDP("912834TD Govt","MTY_TYP")</f>
        <v>NORMAL</v>
      </c>
      <c r="G281" t="str">
        <f>_xll.BDP("912834TD Govt","CRNCY")</f>
        <v>USD</v>
      </c>
      <c r="H281" t="str">
        <f>_xll.BDP("912834TD Govt","COUNTRY_FULL_NAME")</f>
        <v>UNITED STATES</v>
      </c>
      <c r="I281" t="str">
        <f>_xll.BDP("912834TD Govt","FIRST_CPN_DT")</f>
        <v>#N/A Field Not Applicable</v>
      </c>
      <c r="J281" t="str">
        <f>_xll.BDP("912834TD Govt","COUPON_FREQUENCY_DESCRIPTION")</f>
        <v>#N/A Field Not Applicable</v>
      </c>
      <c r="K281" t="str">
        <f>_xll.BDP("912834TD Govt","CPN_TYP")</f>
        <v>ZERO</v>
      </c>
      <c r="L281" t="str">
        <f>_xll.BDP("912834TD Govt","ID_ISIN")</f>
        <v>US912834TD02</v>
      </c>
      <c r="N281">
        <v>0</v>
      </c>
      <c r="O281" t="str">
        <f>_xll.BDP("912834TD Govt","ISSUE_DT")</f>
        <v>1/16/2018</v>
      </c>
      <c r="P281" t="str">
        <f>_xll.BDP("912834TD Govt","SECURITY_NAME")</f>
        <v>S 0 01/15/21</v>
      </c>
      <c r="Q281" t="str">
        <f>_xll.BDP("912834TD Govt","DAY_CNT_DES")</f>
        <v>ACT/ACT</v>
      </c>
      <c r="R281">
        <v>100</v>
      </c>
      <c r="S281" t="str">
        <f>_xll.BDP("912834TD Govt","ID_CUSIP")</f>
        <v>912834TD0</v>
      </c>
      <c r="T281" t="str">
        <f>_xll.BDP("912834TD Govt","IDX_RATIO")</f>
        <v>#N/A Field Not Applicable</v>
      </c>
    </row>
    <row r="282" spans="1:20" x14ac:dyDescent="0.25">
      <c r="A282" t="s">
        <v>14</v>
      </c>
      <c r="B282" t="str">
        <f>_xll.BDP("912834TM Govt","TICKER")</f>
        <v>S</v>
      </c>
      <c r="C282">
        <f>_xll.BDP("912834TM Govt","CPN")</f>
        <v>0</v>
      </c>
      <c r="D282" t="str">
        <f>_xll.BDP("912834TM Govt","YLD_YTM_BID")</f>
        <v>#N/A N/A</v>
      </c>
      <c r="E282" t="str">
        <f>_xll.BDP("912834TM Govt","MATURITY")</f>
        <v>4/15/2021</v>
      </c>
      <c r="F282" t="str">
        <f>_xll.BDP("912834TM Govt","MTY_TYP")</f>
        <v>NORMAL</v>
      </c>
      <c r="G282" t="str">
        <f>_xll.BDP("912834TM Govt","CRNCY")</f>
        <v>USD</v>
      </c>
      <c r="H282" t="str">
        <f>_xll.BDP("912834TM Govt","COUNTRY_FULL_NAME")</f>
        <v>UNITED STATES</v>
      </c>
      <c r="I282" t="str">
        <f>_xll.BDP("912834TM Govt","FIRST_CPN_DT")</f>
        <v>#N/A Field Not Applicable</v>
      </c>
      <c r="J282" t="str">
        <f>_xll.BDP("912834TM Govt","COUPON_FREQUENCY_DESCRIPTION")</f>
        <v>#N/A Field Not Applicable</v>
      </c>
      <c r="K282" t="str">
        <f>_xll.BDP("912834TM Govt","CPN_TYP")</f>
        <v>ZERO</v>
      </c>
      <c r="L282" t="str">
        <f>_xll.BDP("912834TM Govt","ID_ISIN")</f>
        <v>US912834TM01</v>
      </c>
      <c r="N282">
        <v>0</v>
      </c>
      <c r="O282" t="str">
        <f>_xll.BDP("912834TM Govt","ISSUE_DT")</f>
        <v>4/16/2018</v>
      </c>
      <c r="P282" t="str">
        <f>_xll.BDP("912834TM Govt","SECURITY_NAME")</f>
        <v>S 0 04/15/21</v>
      </c>
      <c r="Q282" t="str">
        <f>_xll.BDP("912834TM Govt","DAY_CNT_DES")</f>
        <v>ACT/ACT</v>
      </c>
      <c r="R282">
        <v>100</v>
      </c>
      <c r="S282" t="str">
        <f>_xll.BDP("912834TM Govt","ID_CUSIP")</f>
        <v>912834TM0</v>
      </c>
      <c r="T282" t="str">
        <f>_xll.BDP("912834TM Govt","IDX_RATIO")</f>
        <v>#N/A Field Not Applicable</v>
      </c>
    </row>
    <row r="283" spans="1:20" x14ac:dyDescent="0.25">
      <c r="A283" t="s">
        <v>14</v>
      </c>
      <c r="B283" t="str">
        <f>_xll.BDP("912834TT Govt","TICKER")</f>
        <v>S</v>
      </c>
      <c r="C283">
        <f>_xll.BDP("912834TT Govt","CPN")</f>
        <v>0</v>
      </c>
      <c r="D283" t="str">
        <f>_xll.BDP("912834TT Govt","YLD_YTM_BID")</f>
        <v>#N/A N/A</v>
      </c>
      <c r="E283" t="str">
        <f>_xll.BDP("912834TT Govt","MATURITY")</f>
        <v>7/15/2021</v>
      </c>
      <c r="F283" t="str">
        <f>_xll.BDP("912834TT Govt","MTY_TYP")</f>
        <v>NORMAL</v>
      </c>
      <c r="G283" t="str">
        <f>_xll.BDP("912834TT Govt","CRNCY")</f>
        <v>USD</v>
      </c>
      <c r="H283" t="str">
        <f>_xll.BDP("912834TT Govt","COUNTRY_FULL_NAME")</f>
        <v>UNITED STATES</v>
      </c>
      <c r="I283" t="str">
        <f>_xll.BDP("912834TT Govt","FIRST_CPN_DT")</f>
        <v>#N/A Field Not Applicable</v>
      </c>
      <c r="J283" t="str">
        <f>_xll.BDP("912834TT Govt","COUPON_FREQUENCY_DESCRIPTION")</f>
        <v>#N/A Field Not Applicable</v>
      </c>
      <c r="K283" t="str">
        <f>_xll.BDP("912834TT Govt","CPN_TYP")</f>
        <v>ZERO</v>
      </c>
      <c r="L283" t="str">
        <f>_xll.BDP("912834TT Govt","ID_ISIN")</f>
        <v>US912834TT53</v>
      </c>
      <c r="N283">
        <v>0</v>
      </c>
      <c r="O283" t="str">
        <f>_xll.BDP("912834TT Govt","ISSUE_DT")</f>
        <v>7/16/2018</v>
      </c>
      <c r="P283" t="str">
        <f>_xll.BDP("912834TT Govt","SECURITY_NAME")</f>
        <v>S 0 07/15/21</v>
      </c>
      <c r="Q283" t="str">
        <f>_xll.BDP("912834TT Govt","DAY_CNT_DES")</f>
        <v>ACT/ACT</v>
      </c>
      <c r="R283">
        <v>100</v>
      </c>
      <c r="S283" t="str">
        <f>_xll.BDP("912834TT Govt","ID_CUSIP")</f>
        <v>912834TT5</v>
      </c>
      <c r="T283" t="str">
        <f>_xll.BDP("912834TT Govt","IDX_RATIO")</f>
        <v>#N/A Field Not Applicable</v>
      </c>
    </row>
    <row r="284" spans="1:20" x14ac:dyDescent="0.25">
      <c r="A284" t="s">
        <v>14</v>
      </c>
      <c r="B284" t="str">
        <f>_xll.BDP("9128334L Govt","TICKER")</f>
        <v>S</v>
      </c>
      <c r="C284">
        <f>_xll.BDP("9128334L Govt","CPN")</f>
        <v>0</v>
      </c>
      <c r="D284" t="str">
        <f>_xll.BDP("9128334L Govt","YLD_YTM_BID")</f>
        <v>#N/A N/A</v>
      </c>
      <c r="E284" t="str">
        <f>_xll.BDP("9128334L Govt","MATURITY")</f>
        <v>12/15/2010</v>
      </c>
      <c r="F284" t="str">
        <f>_xll.BDP("9128334L Govt","MTY_TYP")</f>
        <v>NORMAL</v>
      </c>
      <c r="G284" t="str">
        <f>_xll.BDP("9128334L Govt","CRNCY")</f>
        <v>USD</v>
      </c>
      <c r="H284" t="str">
        <f>_xll.BDP("9128334L Govt","COUNTRY_FULL_NAME")</f>
        <v>UNITED STATES</v>
      </c>
      <c r="I284" t="str">
        <f>_xll.BDP("9128334L Govt","FIRST_CPN_DT")</f>
        <v>#N/A Field Not Applicable</v>
      </c>
      <c r="J284" t="str">
        <f>_xll.BDP("9128334L Govt","COUPON_FREQUENCY_DESCRIPTION")</f>
        <v>#N/A Field Not Applicable</v>
      </c>
      <c r="K284" t="str">
        <f>_xll.BDP("9128334L Govt","CPN_TYP")</f>
        <v>ZERO</v>
      </c>
      <c r="L284" t="str">
        <f>_xll.BDP("9128334L Govt","ID_ISIN")</f>
        <v>US9128334L18</v>
      </c>
      <c r="N284">
        <v>0</v>
      </c>
      <c r="O284" t="str">
        <f>_xll.BDP("9128334L Govt","ISSUE_DT")</f>
        <v>12/15/2005</v>
      </c>
      <c r="P284" t="str">
        <f>_xll.BDP("9128334L Govt","SECURITY_NAME")</f>
        <v>S 0 12/15/10</v>
      </c>
      <c r="Q284" t="str">
        <f>_xll.BDP("9128334L Govt","DAY_CNT_DES")</f>
        <v>ACT/ACT</v>
      </c>
      <c r="R284">
        <v>100</v>
      </c>
      <c r="S284" t="str">
        <f>_xll.BDP("9128334L Govt","ID_CUSIP")</f>
        <v>9128334L1</v>
      </c>
      <c r="T284" t="str">
        <f>_xll.BDP("9128334L Govt","IDX_RATIO")</f>
        <v>#N/A Field Not Applicable</v>
      </c>
    </row>
    <row r="285" spans="1:20" x14ac:dyDescent="0.25">
      <c r="A285" t="s">
        <v>14</v>
      </c>
      <c r="B285" t="str">
        <f>_xll.BDP("9128335D Govt","TICKER")</f>
        <v>S</v>
      </c>
      <c r="C285">
        <f>_xll.BDP("9128335D Govt","CPN")</f>
        <v>0</v>
      </c>
      <c r="D285" t="str">
        <f>_xll.BDP("9128335D Govt","YLD_YTM_BID")</f>
        <v>#N/A N/A</v>
      </c>
      <c r="E285" t="str">
        <f>_xll.BDP("9128335D Govt","MATURITY")</f>
        <v>8/31/2008</v>
      </c>
      <c r="F285" t="str">
        <f>_xll.BDP("9128335D Govt","MTY_TYP")</f>
        <v>NORMAL</v>
      </c>
      <c r="G285" t="str">
        <f>_xll.BDP("9128335D Govt","CRNCY")</f>
        <v>USD</v>
      </c>
      <c r="H285" t="str">
        <f>_xll.BDP("9128335D Govt","COUNTRY_FULL_NAME")</f>
        <v>UNITED STATES</v>
      </c>
      <c r="I285" t="str">
        <f>_xll.BDP("9128335D Govt","FIRST_CPN_DT")</f>
        <v>#N/A Field Not Applicable</v>
      </c>
      <c r="J285" t="str">
        <f>_xll.BDP("9128335D Govt","COUPON_FREQUENCY_DESCRIPTION")</f>
        <v>#N/A Field Not Applicable</v>
      </c>
      <c r="K285" t="str">
        <f>_xll.BDP("9128335D Govt","CPN_TYP")</f>
        <v>ZERO</v>
      </c>
      <c r="L285" t="str">
        <f>_xll.BDP("9128335D Govt","ID_ISIN")</f>
        <v>US9128335D82</v>
      </c>
      <c r="N285">
        <v>0</v>
      </c>
      <c r="O285" t="str">
        <f>_xll.BDP("9128335D Govt","ISSUE_DT")</f>
        <v>2/28/2006</v>
      </c>
      <c r="P285" t="str">
        <f>_xll.BDP("9128335D Govt","SECURITY_NAME")</f>
        <v>S 0 08/31/08</v>
      </c>
      <c r="Q285" t="str">
        <f>_xll.BDP("9128335D Govt","DAY_CNT_DES")</f>
        <v>ACT/ACT</v>
      </c>
      <c r="R285">
        <v>100</v>
      </c>
      <c r="S285" t="str">
        <f>_xll.BDP("9128335D Govt","ID_CUSIP")</f>
        <v>9128335D8</v>
      </c>
      <c r="T285" t="str">
        <f>_xll.BDP("9128335D Govt","IDX_RATIO")</f>
        <v>#N/A Field Not Applicable</v>
      </c>
    </row>
    <row r="286" spans="1:20" x14ac:dyDescent="0.25">
      <c r="A286" t="s">
        <v>14</v>
      </c>
      <c r="B286" t="str">
        <f>_xll.BDP("9128335G Govt","TICKER")</f>
        <v>S</v>
      </c>
      <c r="C286">
        <f>_xll.BDP("9128335G Govt","CPN")</f>
        <v>0</v>
      </c>
      <c r="D286" t="str">
        <f>_xll.BDP("9128335G Govt","YLD_YTM_BID")</f>
        <v>#N/A N/A</v>
      </c>
      <c r="E286" t="str">
        <f>_xll.BDP("9128335G Govt","MATURITY")</f>
        <v>2/28/2010</v>
      </c>
      <c r="F286" t="str">
        <f>_xll.BDP("9128335G Govt","MTY_TYP")</f>
        <v>NORMAL</v>
      </c>
      <c r="G286" t="str">
        <f>_xll.BDP("9128335G Govt","CRNCY")</f>
        <v>USD</v>
      </c>
      <c r="H286" t="str">
        <f>_xll.BDP("9128335G Govt","COUNTRY_FULL_NAME")</f>
        <v>UNITED STATES</v>
      </c>
      <c r="I286" t="str">
        <f>_xll.BDP("9128335G Govt","FIRST_CPN_DT")</f>
        <v>#N/A Field Not Applicable</v>
      </c>
      <c r="J286" t="str">
        <f>_xll.BDP("9128335G Govt","COUPON_FREQUENCY_DESCRIPTION")</f>
        <v>#N/A Field Not Applicable</v>
      </c>
      <c r="K286" t="str">
        <f>_xll.BDP("9128335G Govt","CPN_TYP")</f>
        <v>ZERO</v>
      </c>
      <c r="L286" t="str">
        <f>_xll.BDP("9128335G Govt","ID_ISIN")</f>
        <v>US9128335G14</v>
      </c>
      <c r="N286">
        <v>0</v>
      </c>
      <c r="O286" t="str">
        <f>_xll.BDP("9128335G Govt","ISSUE_DT")</f>
        <v>2/28/2006</v>
      </c>
      <c r="P286" t="str">
        <f>_xll.BDP("9128335G Govt","SECURITY_NAME")</f>
        <v>S 0 02/28/10</v>
      </c>
      <c r="Q286" t="str">
        <f>_xll.BDP("9128335G Govt","DAY_CNT_DES")</f>
        <v>ACT/ACT</v>
      </c>
      <c r="R286">
        <v>100</v>
      </c>
      <c r="S286" t="str">
        <f>_xll.BDP("9128335G Govt","ID_CUSIP")</f>
        <v>9128335G1</v>
      </c>
      <c r="T286" t="str">
        <f>_xll.BDP("9128335G Govt","IDX_RATIO")</f>
        <v>#N/A Field Not Applicable</v>
      </c>
    </row>
    <row r="287" spans="1:20" x14ac:dyDescent="0.25">
      <c r="A287" t="s">
        <v>14</v>
      </c>
      <c r="B287" t="str">
        <f>_xll.BDP("9128335L Govt","TICKER")</f>
        <v>S</v>
      </c>
      <c r="C287">
        <f>_xll.BDP("9128335L Govt","CPN")</f>
        <v>0</v>
      </c>
      <c r="D287" t="str">
        <f>_xll.BDP("9128335L Govt","YLD_YTM_BID")</f>
        <v>#N/A N/A</v>
      </c>
      <c r="E287" t="str">
        <f>_xll.BDP("9128335L Govt","MATURITY")</f>
        <v>9/30/2008</v>
      </c>
      <c r="F287" t="str">
        <f>_xll.BDP("9128335L Govt","MTY_TYP")</f>
        <v>NORMAL</v>
      </c>
      <c r="G287" t="str">
        <f>_xll.BDP("9128335L Govt","CRNCY")</f>
        <v>USD</v>
      </c>
      <c r="H287" t="str">
        <f>_xll.BDP("9128335L Govt","COUNTRY_FULL_NAME")</f>
        <v>UNITED STATES</v>
      </c>
      <c r="I287" t="str">
        <f>_xll.BDP("9128335L Govt","FIRST_CPN_DT")</f>
        <v>#N/A Field Not Applicable</v>
      </c>
      <c r="J287" t="str">
        <f>_xll.BDP("9128335L Govt","COUPON_FREQUENCY_DESCRIPTION")</f>
        <v>#N/A Field Not Applicable</v>
      </c>
      <c r="K287" t="str">
        <f>_xll.BDP("9128335L Govt","CPN_TYP")</f>
        <v>ZERO</v>
      </c>
      <c r="L287" t="str">
        <f>_xll.BDP("9128335L Govt","ID_ISIN")</f>
        <v>US9128335L09</v>
      </c>
      <c r="N287">
        <v>0</v>
      </c>
      <c r="O287" t="str">
        <f>_xll.BDP("9128335L Govt","ISSUE_DT")</f>
        <v>3/31/2006</v>
      </c>
      <c r="P287" t="str">
        <f>_xll.BDP("9128335L Govt","SECURITY_NAME")</f>
        <v>S 0 09/30/08</v>
      </c>
      <c r="Q287" t="str">
        <f>_xll.BDP("9128335L Govt","DAY_CNT_DES")</f>
        <v>ACT/ACT</v>
      </c>
      <c r="R287">
        <v>100</v>
      </c>
      <c r="S287" t="str">
        <f>_xll.BDP("9128335L Govt","ID_CUSIP")</f>
        <v>9128335L0</v>
      </c>
      <c r="T287" t="str">
        <f>_xll.BDP("9128335L Govt","IDX_RATIO")</f>
        <v>#N/A Field Not Applicable</v>
      </c>
    </row>
    <row r="288" spans="1:20" x14ac:dyDescent="0.25">
      <c r="A288" t="s">
        <v>14</v>
      </c>
      <c r="B288" t="str">
        <f>_xll.BDP("9128336F Govt","TICKER")</f>
        <v>S</v>
      </c>
      <c r="C288">
        <f>_xll.BDP("9128336F Govt","CPN")</f>
        <v>0</v>
      </c>
      <c r="D288" t="str">
        <f>_xll.BDP("9128336F Govt","YLD_YTM_BID")</f>
        <v>#N/A N/A</v>
      </c>
      <c r="E288" t="str">
        <f>_xll.BDP("9128336F Govt","MATURITY")</f>
        <v>5/31/2011</v>
      </c>
      <c r="F288" t="str">
        <f>_xll.BDP("9128336F Govt","MTY_TYP")</f>
        <v>NORMAL</v>
      </c>
      <c r="G288" t="str">
        <f>_xll.BDP("9128336F Govt","CRNCY")</f>
        <v>USD</v>
      </c>
      <c r="H288" t="str">
        <f>_xll.BDP("9128336F Govt","COUNTRY_FULL_NAME")</f>
        <v>UNITED STATES</v>
      </c>
      <c r="I288" t="str">
        <f>_xll.BDP("9128336F Govt","FIRST_CPN_DT")</f>
        <v>#N/A Field Not Applicable</v>
      </c>
      <c r="J288" t="str">
        <f>_xll.BDP("9128336F Govt","COUPON_FREQUENCY_DESCRIPTION")</f>
        <v>#N/A Field Not Applicable</v>
      </c>
      <c r="K288" t="str">
        <f>_xll.BDP("9128336F Govt","CPN_TYP")</f>
        <v>ZERO</v>
      </c>
      <c r="L288" t="str">
        <f>_xll.BDP("9128336F Govt","ID_ISIN")</f>
        <v>US9128336F22</v>
      </c>
      <c r="N288">
        <v>0</v>
      </c>
      <c r="O288" t="str">
        <f>_xll.BDP("9128336F Govt","ISSUE_DT")</f>
        <v>5/31/2006</v>
      </c>
      <c r="P288" t="str">
        <f>_xll.BDP("9128336F Govt","SECURITY_NAME")</f>
        <v>S 0 05/31/11</v>
      </c>
      <c r="Q288" t="str">
        <f>_xll.BDP("9128336F Govt","DAY_CNT_DES")</f>
        <v>ACT/ACT</v>
      </c>
      <c r="R288">
        <v>100</v>
      </c>
      <c r="S288" t="str">
        <f>_xll.BDP("9128336F Govt","ID_CUSIP")</f>
        <v>9128336F2</v>
      </c>
      <c r="T288" t="str">
        <f>_xll.BDP("9128336F Govt","IDX_RATIO")</f>
        <v>#N/A Field Not Applicable</v>
      </c>
    </row>
    <row r="289" spans="1:20" x14ac:dyDescent="0.25">
      <c r="A289" t="s">
        <v>14</v>
      </c>
      <c r="B289" t="str">
        <f>_xll.BDP("9128336J Govt","TICKER")</f>
        <v>S</v>
      </c>
      <c r="C289">
        <f>_xll.BDP("9128336J Govt","CPN")</f>
        <v>0</v>
      </c>
      <c r="D289" t="str">
        <f>_xll.BDP("9128336J Govt","YLD_YTM_BID")</f>
        <v>#N/A N/A</v>
      </c>
      <c r="E289" t="str">
        <f>_xll.BDP("9128336J Govt","MATURITY")</f>
        <v>6/30/2009</v>
      </c>
      <c r="F289" t="str">
        <f>_xll.BDP("9128336J Govt","MTY_TYP")</f>
        <v>NORMAL</v>
      </c>
      <c r="G289" t="str">
        <f>_xll.BDP("9128336J Govt","CRNCY")</f>
        <v>USD</v>
      </c>
      <c r="H289" t="str">
        <f>_xll.BDP("9128336J Govt","COUNTRY_FULL_NAME")</f>
        <v>UNITED STATES</v>
      </c>
      <c r="I289" t="str">
        <f>_xll.BDP("9128336J Govt","FIRST_CPN_DT")</f>
        <v>#N/A Field Not Applicable</v>
      </c>
      <c r="J289" t="str">
        <f>_xll.BDP("9128336J Govt","COUPON_FREQUENCY_DESCRIPTION")</f>
        <v>#N/A Field Not Applicable</v>
      </c>
      <c r="K289" t="str">
        <f>_xll.BDP("9128336J Govt","CPN_TYP")</f>
        <v>ZERO</v>
      </c>
      <c r="L289" t="str">
        <f>_xll.BDP("9128336J Govt","ID_ISIN")</f>
        <v>US9128336J44</v>
      </c>
      <c r="N289">
        <v>0</v>
      </c>
      <c r="O289" t="str">
        <f>_xll.BDP("9128336J Govt","ISSUE_DT")</f>
        <v>6/30/2006</v>
      </c>
      <c r="P289" t="str">
        <f>_xll.BDP("9128336J Govt","SECURITY_NAME")</f>
        <v>S 0 06/30/09</v>
      </c>
      <c r="Q289" t="str">
        <f>_xll.BDP("9128336J Govt","DAY_CNT_DES")</f>
        <v>ACT/ACT</v>
      </c>
      <c r="R289">
        <v>100</v>
      </c>
      <c r="S289" t="str">
        <f>_xll.BDP("9128336J Govt","ID_CUSIP")</f>
        <v>9128336J4</v>
      </c>
      <c r="T289" t="str">
        <f>_xll.BDP("9128336J Govt","IDX_RATIO")</f>
        <v>#N/A Field Not Applicable</v>
      </c>
    </row>
    <row r="290" spans="1:20" x14ac:dyDescent="0.25">
      <c r="A290" t="s">
        <v>14</v>
      </c>
      <c r="B290" t="str">
        <f>_xll.BDP("9128336X Govt","TICKER")</f>
        <v>S</v>
      </c>
      <c r="C290">
        <f>_xll.BDP("9128336X Govt","CPN")</f>
        <v>0</v>
      </c>
      <c r="D290" t="str">
        <f>_xll.BDP("9128336X Govt","YLD_YTM_BID")</f>
        <v>#N/A N/A</v>
      </c>
      <c r="E290" t="str">
        <f>_xll.BDP("9128336X Govt","MATURITY")</f>
        <v>9/30/2011</v>
      </c>
      <c r="F290" t="str">
        <f>_xll.BDP("9128336X Govt","MTY_TYP")</f>
        <v>NORMAL</v>
      </c>
      <c r="G290" t="str">
        <f>_xll.BDP("9128336X Govt","CRNCY")</f>
        <v>USD</v>
      </c>
      <c r="H290" t="str">
        <f>_xll.BDP("9128336X Govt","COUNTRY_FULL_NAME")</f>
        <v>UNITED STATES</v>
      </c>
      <c r="I290" t="str">
        <f>_xll.BDP("9128336X Govt","FIRST_CPN_DT")</f>
        <v>#N/A Field Not Applicable</v>
      </c>
      <c r="J290" t="str">
        <f>_xll.BDP("9128336X Govt","COUPON_FREQUENCY_DESCRIPTION")</f>
        <v>#N/A Field Not Applicable</v>
      </c>
      <c r="K290" t="str">
        <f>_xll.BDP("9128336X Govt","CPN_TYP")</f>
        <v>ZERO</v>
      </c>
      <c r="L290" t="str">
        <f>_xll.BDP("9128336X Govt","ID_ISIN")</f>
        <v>US9128336X38</v>
      </c>
      <c r="N290">
        <v>0</v>
      </c>
      <c r="O290" t="str">
        <f>_xll.BDP("9128336X Govt","ISSUE_DT")</f>
        <v>10/2/2006</v>
      </c>
      <c r="P290" t="str">
        <f>_xll.BDP("9128336X Govt","SECURITY_NAME")</f>
        <v>S 0 09/30/11</v>
      </c>
      <c r="Q290" t="str">
        <f>_xll.BDP("9128336X Govt","DAY_CNT_DES")</f>
        <v>ACT/ACT</v>
      </c>
      <c r="R290">
        <v>100</v>
      </c>
      <c r="S290" t="str">
        <f>_xll.BDP("9128336X Govt","ID_CUSIP")</f>
        <v>9128336X3</v>
      </c>
      <c r="T290" t="str">
        <f>_xll.BDP("9128336X Govt","IDX_RATIO")</f>
        <v>#N/A Field Not Applicable</v>
      </c>
    </row>
    <row r="291" spans="1:20" x14ac:dyDescent="0.25">
      <c r="A291" t="s">
        <v>14</v>
      </c>
      <c r="B291" t="str">
        <f>_xll.BDP("9128337D Govt","TICKER")</f>
        <v>S</v>
      </c>
      <c r="C291">
        <f>_xll.BDP("9128337D Govt","CPN")</f>
        <v>0</v>
      </c>
      <c r="D291" t="str">
        <f>_xll.BDP("9128337D Govt","YLD_YTM_BID")</f>
        <v>#N/A N/A</v>
      </c>
      <c r="E291" t="str">
        <f>_xll.BDP("9128337D Govt","MATURITY")</f>
        <v>1/31/2012</v>
      </c>
      <c r="F291" t="str">
        <f>_xll.BDP("9128337D Govt","MTY_TYP")</f>
        <v>NORMAL</v>
      </c>
      <c r="G291" t="str">
        <f>_xll.BDP("9128337D Govt","CRNCY")</f>
        <v>USD</v>
      </c>
      <c r="H291" t="str">
        <f>_xll.BDP("9128337D Govt","COUNTRY_FULL_NAME")</f>
        <v>UNITED STATES</v>
      </c>
      <c r="I291" t="str">
        <f>_xll.BDP("9128337D Govt","FIRST_CPN_DT")</f>
        <v>#N/A Field Not Applicable</v>
      </c>
      <c r="J291" t="str">
        <f>_xll.BDP("9128337D Govt","COUPON_FREQUENCY_DESCRIPTION")</f>
        <v>#N/A Field Not Applicable</v>
      </c>
      <c r="K291" t="str">
        <f>_xll.BDP("9128337D Govt","CPN_TYP")</f>
        <v>ZERO</v>
      </c>
      <c r="L291" t="str">
        <f>_xll.BDP("9128337D Govt","ID_ISIN")</f>
        <v>US9128337D64</v>
      </c>
      <c r="N291">
        <v>0</v>
      </c>
      <c r="O291" t="str">
        <f>_xll.BDP("9128337D Govt","ISSUE_DT")</f>
        <v>1/31/2007</v>
      </c>
      <c r="P291" t="str">
        <f>_xll.BDP("9128337D Govt","SECURITY_NAME")</f>
        <v>S 0 01/31/12</v>
      </c>
      <c r="Q291" t="str">
        <f>_xll.BDP("9128337D Govt","DAY_CNT_DES")</f>
        <v>ACT/ACT</v>
      </c>
      <c r="R291">
        <v>100</v>
      </c>
      <c r="S291" t="str">
        <f>_xll.BDP("9128337D Govt","ID_CUSIP")</f>
        <v>9128337D6</v>
      </c>
      <c r="T291" t="str">
        <f>_xll.BDP("9128337D Govt","IDX_RATIO")</f>
        <v>#N/A Field Not Applicable</v>
      </c>
    </row>
    <row r="292" spans="1:20" x14ac:dyDescent="0.25">
      <c r="A292" t="s">
        <v>14</v>
      </c>
      <c r="B292" t="str">
        <f>_xll.BDP("9128337K Govt","TICKER")</f>
        <v>S</v>
      </c>
      <c r="C292">
        <f>_xll.BDP("9128337K Govt","CPN")</f>
        <v>0</v>
      </c>
      <c r="D292" t="str">
        <f>_xll.BDP("9128337K Govt","YLD_YTM_BID")</f>
        <v>#N/A N/A</v>
      </c>
      <c r="E292" t="str">
        <f>_xll.BDP("9128337K Govt","MATURITY")</f>
        <v>5/31/2012</v>
      </c>
      <c r="F292" t="str">
        <f>_xll.BDP("9128337K Govt","MTY_TYP")</f>
        <v>NORMAL</v>
      </c>
      <c r="G292" t="str">
        <f>_xll.BDP("9128337K Govt","CRNCY")</f>
        <v>USD</v>
      </c>
      <c r="H292" t="str">
        <f>_xll.BDP("9128337K Govt","COUNTRY_FULL_NAME")</f>
        <v>UNITED STATES</v>
      </c>
      <c r="I292" t="str">
        <f>_xll.BDP("9128337K Govt","FIRST_CPN_DT")</f>
        <v>#N/A Field Not Applicable</v>
      </c>
      <c r="J292" t="str">
        <f>_xll.BDP("9128337K Govt","COUPON_FREQUENCY_DESCRIPTION")</f>
        <v>#N/A Field Not Applicable</v>
      </c>
      <c r="K292" t="str">
        <f>_xll.BDP("9128337K Govt","CPN_TYP")</f>
        <v>ZERO</v>
      </c>
      <c r="L292" t="str">
        <f>_xll.BDP("9128337K Govt","ID_ISIN")</f>
        <v>US9128337K08</v>
      </c>
      <c r="N292">
        <v>0</v>
      </c>
      <c r="O292" t="str">
        <f>_xll.BDP("9128337K Govt","ISSUE_DT")</f>
        <v>5/31/2007</v>
      </c>
      <c r="P292" t="str">
        <f>_xll.BDP("9128337K Govt","SECURITY_NAME")</f>
        <v>S 0 05/31/12</v>
      </c>
      <c r="Q292" t="str">
        <f>_xll.BDP("9128337K Govt","DAY_CNT_DES")</f>
        <v>ACT/ACT</v>
      </c>
      <c r="R292">
        <v>100</v>
      </c>
      <c r="S292" t="str">
        <f>_xll.BDP("9128337K Govt","ID_CUSIP")</f>
        <v>9128337K0</v>
      </c>
      <c r="T292" t="str">
        <f>_xll.BDP("9128337K Govt","IDX_RATIO")</f>
        <v>#N/A Field Not Applicable</v>
      </c>
    </row>
    <row r="293" spans="1:20" x14ac:dyDescent="0.25">
      <c r="A293" t="s">
        <v>14</v>
      </c>
      <c r="B293" t="str">
        <f>_xll.BDP("912833B8 Govt","TICKER")</f>
        <v>S</v>
      </c>
      <c r="C293">
        <f>_xll.BDP("912833B8 Govt","CPN")</f>
        <v>0</v>
      </c>
      <c r="D293" t="str">
        <f>_xll.BDP("912833B8 Govt","YLD_YTM_BID")</f>
        <v>#N/A N/A</v>
      </c>
      <c r="E293" t="str">
        <f>_xll.BDP("912833B8 Govt","MATURITY")</f>
        <v>6/15/2008</v>
      </c>
      <c r="F293" t="str">
        <f>_xll.BDP("912833B8 Govt","MTY_TYP")</f>
        <v>NORMAL</v>
      </c>
      <c r="G293" t="str">
        <f>_xll.BDP("912833B8 Govt","CRNCY")</f>
        <v>USD</v>
      </c>
      <c r="H293" t="str">
        <f>_xll.BDP("912833B8 Govt","COUNTRY_FULL_NAME")</f>
        <v>UNITED STATES</v>
      </c>
      <c r="I293" t="str">
        <f>_xll.BDP("912833B8 Govt","FIRST_CPN_DT")</f>
        <v>#N/A Field Not Applicable</v>
      </c>
      <c r="J293" t="str">
        <f>_xll.BDP("912833B8 Govt","COUPON_FREQUENCY_DESCRIPTION")</f>
        <v>#N/A Field Not Applicable</v>
      </c>
      <c r="K293" t="str">
        <f>_xll.BDP("912833B8 Govt","CPN_TYP")</f>
        <v>ZERO</v>
      </c>
      <c r="L293" t="str">
        <f>_xll.BDP("912833B8 Govt","ID_ISIN")</f>
        <v>US912833B824</v>
      </c>
      <c r="N293">
        <v>0</v>
      </c>
      <c r="O293" t="str">
        <f>_xll.BDP("912833B8 Govt","ISSUE_DT")</f>
        <v>12/15/2003</v>
      </c>
      <c r="P293" t="str">
        <f>_xll.BDP("912833B8 Govt","SECURITY_NAME")</f>
        <v>S 0 06/15/08</v>
      </c>
      <c r="Q293" t="str">
        <f>_xll.BDP("912833B8 Govt","DAY_CNT_DES")</f>
        <v>ACT/ACT</v>
      </c>
      <c r="R293">
        <v>100</v>
      </c>
      <c r="S293" t="str">
        <f>_xll.BDP("912833B8 Govt","ID_CUSIP")</f>
        <v>912833B82</v>
      </c>
      <c r="T293" t="str">
        <f>_xll.BDP("912833B8 Govt","IDX_RATIO")</f>
        <v>#N/A Field Not Applicable</v>
      </c>
    </row>
    <row r="294" spans="1:20" x14ac:dyDescent="0.25">
      <c r="A294" t="s">
        <v>14</v>
      </c>
      <c r="B294" t="str">
        <f>_xll.BDP("912833C7 Govt","TICKER")</f>
        <v>S</v>
      </c>
      <c r="C294">
        <f>_xll.BDP("912833C7 Govt","CPN")</f>
        <v>0</v>
      </c>
      <c r="D294" t="str">
        <f>_xll.BDP("912833C7 Govt","YLD_YTM_BID")</f>
        <v>#N/A N/A</v>
      </c>
      <c r="E294" t="str">
        <f>_xll.BDP("912833C7 Govt","MATURITY")</f>
        <v>1/15/2009</v>
      </c>
      <c r="F294" t="str">
        <f>_xll.BDP("912833C7 Govt","MTY_TYP")</f>
        <v>NORMAL</v>
      </c>
      <c r="G294" t="str">
        <f>_xll.BDP("912833C7 Govt","CRNCY")</f>
        <v>USD</v>
      </c>
      <c r="H294" t="str">
        <f>_xll.BDP("912833C7 Govt","COUNTRY_FULL_NAME")</f>
        <v>UNITED STATES</v>
      </c>
      <c r="I294" t="str">
        <f>_xll.BDP("912833C7 Govt","FIRST_CPN_DT")</f>
        <v>#N/A Field Not Applicable</v>
      </c>
      <c r="J294" t="str">
        <f>_xll.BDP("912833C7 Govt","COUPON_FREQUENCY_DESCRIPTION")</f>
        <v>#N/A Field Not Applicable</v>
      </c>
      <c r="K294" t="str">
        <f>_xll.BDP("912833C7 Govt","CPN_TYP")</f>
        <v>ZERO</v>
      </c>
      <c r="L294" t="str">
        <f>_xll.BDP("912833C7 Govt","ID_ISIN")</f>
        <v>US912833C731</v>
      </c>
      <c r="N294">
        <v>0</v>
      </c>
      <c r="O294" t="str">
        <f>_xll.BDP("912833C7 Govt","ISSUE_DT")</f>
        <v>1/15/2004</v>
      </c>
      <c r="P294" t="str">
        <f>_xll.BDP("912833C7 Govt","SECURITY_NAME")</f>
        <v>S 0 01/15/09</v>
      </c>
      <c r="Q294" t="str">
        <f>_xll.BDP("912833C7 Govt","DAY_CNT_DES")</f>
        <v>ACT/ACT</v>
      </c>
      <c r="R294">
        <v>100</v>
      </c>
      <c r="S294" t="str">
        <f>_xll.BDP("912833C7 Govt","ID_CUSIP")</f>
        <v>912833C73</v>
      </c>
      <c r="T294" t="str">
        <f>_xll.BDP("912833C7 Govt","IDX_RATIO")</f>
        <v>#N/A Field Not Applicable</v>
      </c>
    </row>
    <row r="295" spans="1:20" x14ac:dyDescent="0.25">
      <c r="A295" t="s">
        <v>14</v>
      </c>
      <c r="B295" t="str">
        <f>_xll.BDP("912833CD Govt","TICKER")</f>
        <v>S</v>
      </c>
      <c r="C295">
        <f>_xll.BDP("912833CD Govt","CPN")</f>
        <v>0</v>
      </c>
      <c r="D295" t="str">
        <f>_xll.BDP("912833CD Govt","YLD_YTM_BID")</f>
        <v>#N/A N/A</v>
      </c>
      <c r="E295" t="str">
        <f>_xll.BDP("912833CD Govt","MATURITY")</f>
        <v>2/15/2001</v>
      </c>
      <c r="F295" t="str">
        <f>_xll.BDP("912833CD Govt","MTY_TYP")</f>
        <v>NORMAL</v>
      </c>
      <c r="G295" t="str">
        <f>_xll.BDP("912833CD Govt","CRNCY")</f>
        <v>USD</v>
      </c>
      <c r="H295" t="str">
        <f>_xll.BDP("912833CD Govt","COUNTRY_FULL_NAME")</f>
        <v>UNITED STATES</v>
      </c>
      <c r="I295" t="str">
        <f>_xll.BDP("912833CD Govt","FIRST_CPN_DT")</f>
        <v>#N/A Field Not Applicable</v>
      </c>
      <c r="J295" t="str">
        <f>_xll.BDP("912833CD Govt","COUPON_FREQUENCY_DESCRIPTION")</f>
        <v>#N/A Field Not Applicable</v>
      </c>
      <c r="K295" t="str">
        <f>_xll.BDP("912833CD Govt","CPN_TYP")</f>
        <v>ZERO</v>
      </c>
      <c r="L295" t="str">
        <f>_xll.BDP("912833CD Govt","ID_ISIN")</f>
        <v>US912833CD02</v>
      </c>
      <c r="N295">
        <v>0</v>
      </c>
      <c r="O295" t="str">
        <f>_xll.BDP("912833CD Govt","ISSUE_DT")</f>
        <v>2/15/1985</v>
      </c>
      <c r="P295" t="str">
        <f>_xll.BDP("912833CD Govt","SECURITY_NAME")</f>
        <v>S 0 02/15/01</v>
      </c>
      <c r="Q295" t="str">
        <f>_xll.BDP("912833CD Govt","DAY_CNT_DES")</f>
        <v>ACT/ACT</v>
      </c>
      <c r="R295">
        <v>100</v>
      </c>
      <c r="S295" t="str">
        <f>_xll.BDP("912833CD Govt","ID_CUSIP")</f>
        <v>912833CD0</v>
      </c>
      <c r="T295" t="str">
        <f>_xll.BDP("912833CD Govt","IDX_RATIO")</f>
        <v>#N/A Field Not Applicable</v>
      </c>
    </row>
    <row r="296" spans="1:20" x14ac:dyDescent="0.25">
      <c r="A296" t="s">
        <v>14</v>
      </c>
      <c r="B296" t="str">
        <f>_xll.BDP("912833CG Govt","TICKER")</f>
        <v>S</v>
      </c>
      <c r="C296">
        <f>_xll.BDP("912833CG Govt","CPN")</f>
        <v>0</v>
      </c>
      <c r="D296" t="str">
        <f>_xll.BDP("912833CG Govt","YLD_YTM_BID")</f>
        <v>#N/A N/A</v>
      </c>
      <c r="E296" t="str">
        <f>_xll.BDP("912833CG Govt","MATURITY")</f>
        <v>8/15/2002</v>
      </c>
      <c r="F296" t="str">
        <f>_xll.BDP("912833CG Govt","MTY_TYP")</f>
        <v>NORMAL</v>
      </c>
      <c r="G296" t="str">
        <f>_xll.BDP("912833CG Govt","CRNCY")</f>
        <v>USD</v>
      </c>
      <c r="H296" t="str">
        <f>_xll.BDP("912833CG Govt","COUNTRY_FULL_NAME")</f>
        <v>UNITED STATES</v>
      </c>
      <c r="I296" t="str">
        <f>_xll.BDP("912833CG Govt","FIRST_CPN_DT")</f>
        <v>#N/A Field Not Applicable</v>
      </c>
      <c r="J296" t="str">
        <f>_xll.BDP("912833CG Govt","COUPON_FREQUENCY_DESCRIPTION")</f>
        <v>#N/A Field Not Applicable</v>
      </c>
      <c r="K296" t="str">
        <f>_xll.BDP("912833CG Govt","CPN_TYP")</f>
        <v>ZERO</v>
      </c>
      <c r="L296" t="str">
        <f>_xll.BDP("912833CG Govt","ID_ISIN")</f>
        <v>US912833CG33</v>
      </c>
      <c r="N296">
        <v>0</v>
      </c>
      <c r="O296" t="str">
        <f>_xll.BDP("912833CG Govt","ISSUE_DT")</f>
        <v>2/15/1985</v>
      </c>
      <c r="P296" t="str">
        <f>_xll.BDP("912833CG Govt","SECURITY_NAME")</f>
        <v>S 0 08/15/02</v>
      </c>
      <c r="Q296" t="str">
        <f>_xll.BDP("912833CG Govt","DAY_CNT_DES")</f>
        <v>ACT/ACT</v>
      </c>
      <c r="R296">
        <v>100</v>
      </c>
      <c r="S296" t="str">
        <f>_xll.BDP("912833CG Govt","ID_CUSIP")</f>
        <v>912833CG3</v>
      </c>
      <c r="T296" t="str">
        <f>_xll.BDP("912833CG Govt","IDX_RATIO")</f>
        <v>#N/A Field Not Applicable</v>
      </c>
    </row>
    <row r="297" spans="1:20" x14ac:dyDescent="0.25">
      <c r="A297" t="s">
        <v>14</v>
      </c>
      <c r="B297" t="str">
        <f>_xll.BDP("912833CJ Govt","TICKER")</f>
        <v>S</v>
      </c>
      <c r="C297">
        <f>_xll.BDP("912833CJ Govt","CPN")</f>
        <v>0</v>
      </c>
      <c r="D297" t="str">
        <f>_xll.BDP("912833CJ Govt","YLD_YTM_BID")</f>
        <v>#N/A N/A</v>
      </c>
      <c r="E297" t="str">
        <f>_xll.BDP("912833CJ Govt","MATURITY")</f>
        <v>8/15/2003</v>
      </c>
      <c r="F297" t="str">
        <f>_xll.BDP("912833CJ Govt","MTY_TYP")</f>
        <v>NORMAL</v>
      </c>
      <c r="G297" t="str">
        <f>_xll.BDP("912833CJ Govt","CRNCY")</f>
        <v>USD</v>
      </c>
      <c r="H297" t="str">
        <f>_xll.BDP("912833CJ Govt","COUNTRY_FULL_NAME")</f>
        <v>UNITED STATES</v>
      </c>
      <c r="I297" t="str">
        <f>_xll.BDP("912833CJ Govt","FIRST_CPN_DT")</f>
        <v>#N/A Field Not Applicable</v>
      </c>
      <c r="J297" t="str">
        <f>_xll.BDP("912833CJ Govt","COUPON_FREQUENCY_DESCRIPTION")</f>
        <v>#N/A Field Not Applicable</v>
      </c>
      <c r="K297" t="str">
        <f>_xll.BDP("912833CJ Govt","CPN_TYP")</f>
        <v>ZERO</v>
      </c>
      <c r="L297" t="str">
        <f>_xll.BDP("912833CJ Govt","ID_ISIN")</f>
        <v>US912833CJ71</v>
      </c>
      <c r="N297">
        <v>0</v>
      </c>
      <c r="O297" t="str">
        <f>_xll.BDP("912833CJ Govt","ISSUE_DT")</f>
        <v>2/15/1985</v>
      </c>
      <c r="P297" t="str">
        <f>_xll.BDP("912833CJ Govt","SECURITY_NAME")</f>
        <v>S 0 08/15/03</v>
      </c>
      <c r="Q297" t="str">
        <f>_xll.BDP("912833CJ Govt","DAY_CNT_DES")</f>
        <v>ACT/ACT</v>
      </c>
      <c r="R297">
        <v>100</v>
      </c>
      <c r="S297" t="str">
        <f>_xll.BDP("912833CJ Govt","ID_CUSIP")</f>
        <v>912833CJ7</v>
      </c>
      <c r="T297" t="str">
        <f>_xll.BDP("912833CJ Govt","IDX_RATIO")</f>
        <v>#N/A Field Not Applicable</v>
      </c>
    </row>
    <row r="298" spans="1:20" x14ac:dyDescent="0.25">
      <c r="A298" t="s">
        <v>14</v>
      </c>
      <c r="B298" t="str">
        <f>_xll.BDP("912833CS Govt","TICKER")</f>
        <v>S</v>
      </c>
      <c r="C298">
        <f>_xll.BDP("912833CS Govt","CPN")</f>
        <v>0</v>
      </c>
      <c r="D298" t="str">
        <f>_xll.BDP("912833CS Govt","YLD_YTM_BID")</f>
        <v>#N/A N/A</v>
      </c>
      <c r="E298" t="str">
        <f>_xll.BDP("912833CS Govt","MATURITY")</f>
        <v>8/15/2007</v>
      </c>
      <c r="F298" t="str">
        <f>_xll.BDP("912833CS Govt","MTY_TYP")</f>
        <v>NORMAL</v>
      </c>
      <c r="G298" t="str">
        <f>_xll.BDP("912833CS Govt","CRNCY")</f>
        <v>USD</v>
      </c>
      <c r="H298" t="str">
        <f>_xll.BDP("912833CS Govt","COUNTRY_FULL_NAME")</f>
        <v>UNITED STATES</v>
      </c>
      <c r="I298" t="str">
        <f>_xll.BDP("912833CS Govt","FIRST_CPN_DT")</f>
        <v>#N/A Field Not Applicable</v>
      </c>
      <c r="J298" t="str">
        <f>_xll.BDP("912833CS Govt","COUPON_FREQUENCY_DESCRIPTION")</f>
        <v>#N/A Field Not Applicable</v>
      </c>
      <c r="K298" t="str">
        <f>_xll.BDP("912833CS Govt","CPN_TYP")</f>
        <v>ZERO</v>
      </c>
      <c r="L298" t="str">
        <f>_xll.BDP("912833CS Govt","ID_ISIN")</f>
        <v>US912833CS70</v>
      </c>
      <c r="N298">
        <v>0</v>
      </c>
      <c r="O298" t="str">
        <f>_xll.BDP("912833CS Govt","ISSUE_DT")</f>
        <v>2/15/1985</v>
      </c>
      <c r="P298" t="str">
        <f>_xll.BDP("912833CS Govt","SECURITY_NAME")</f>
        <v>S 0 08/15/07</v>
      </c>
      <c r="Q298" t="str">
        <f>_xll.BDP("912833CS Govt","DAY_CNT_DES")</f>
        <v>ACT/ACT</v>
      </c>
      <c r="R298">
        <v>100</v>
      </c>
      <c r="S298" t="str">
        <f>_xll.BDP("912833CS Govt","ID_CUSIP")</f>
        <v>912833CS7</v>
      </c>
      <c r="T298" t="str">
        <f>_xll.BDP("912833CS Govt","IDX_RATIO")</f>
        <v>#N/A Field Not Applicable</v>
      </c>
    </row>
    <row r="299" spans="1:20" x14ac:dyDescent="0.25">
      <c r="A299" t="s">
        <v>14</v>
      </c>
      <c r="B299" t="str">
        <f>_xll.BDP("912833CU Govt","TICKER")</f>
        <v>S</v>
      </c>
      <c r="C299">
        <f>_xll.BDP("912833CU Govt","CPN")</f>
        <v>0</v>
      </c>
      <c r="D299" t="str">
        <f>_xll.BDP("912833CU Govt","YLD_YTM_BID")</f>
        <v>#N/A N/A</v>
      </c>
      <c r="E299" t="str">
        <f>_xll.BDP("912833CU Govt","MATURITY")</f>
        <v>8/15/2008</v>
      </c>
      <c r="F299" t="str">
        <f>_xll.BDP("912833CU Govt","MTY_TYP")</f>
        <v>NORMAL</v>
      </c>
      <c r="G299" t="str">
        <f>_xll.BDP("912833CU Govt","CRNCY")</f>
        <v>USD</v>
      </c>
      <c r="H299" t="str">
        <f>_xll.BDP("912833CU Govt","COUNTRY_FULL_NAME")</f>
        <v>UNITED STATES</v>
      </c>
      <c r="I299" t="str">
        <f>_xll.BDP("912833CU Govt","FIRST_CPN_DT")</f>
        <v>#N/A Field Not Applicable</v>
      </c>
      <c r="J299" t="str">
        <f>_xll.BDP("912833CU Govt","COUPON_FREQUENCY_DESCRIPTION")</f>
        <v>#N/A Field Not Applicable</v>
      </c>
      <c r="K299" t="str">
        <f>_xll.BDP("912833CU Govt","CPN_TYP")</f>
        <v>ZERO</v>
      </c>
      <c r="L299" t="str">
        <f>_xll.BDP("912833CU Govt","ID_ISIN")</f>
        <v>US912833CU27</v>
      </c>
      <c r="N299">
        <v>0</v>
      </c>
      <c r="O299" t="str">
        <f>_xll.BDP("912833CU Govt","ISSUE_DT")</f>
        <v>2/15/1985</v>
      </c>
      <c r="P299" t="str">
        <f>_xll.BDP("912833CU Govt","SECURITY_NAME")</f>
        <v>S 0 08/15/08</v>
      </c>
      <c r="Q299" t="str">
        <f>_xll.BDP("912833CU Govt","DAY_CNT_DES")</f>
        <v>ACT/ACT</v>
      </c>
      <c r="R299">
        <v>100</v>
      </c>
      <c r="S299" t="str">
        <f>_xll.BDP("912833CU Govt","ID_CUSIP")</f>
        <v>912833CU2</v>
      </c>
      <c r="T299" t="str">
        <f>_xll.BDP("912833CU Govt","IDX_RATIO")</f>
        <v>#N/A Field Not Applicable</v>
      </c>
    </row>
    <row r="300" spans="1:20" x14ac:dyDescent="0.25">
      <c r="A300" t="s">
        <v>14</v>
      </c>
      <c r="B300" t="str">
        <f>_xll.BDP("912833KD Govt","TICKER")</f>
        <v>S</v>
      </c>
      <c r="C300">
        <f>_xll.BDP("912833KD Govt","CPN")</f>
        <v>0</v>
      </c>
      <c r="D300" t="str">
        <f>_xll.BDP("912833KD Govt","YLD_YTM_BID")</f>
        <v>#N/A N/A</v>
      </c>
      <c r="E300" t="str">
        <f>_xll.BDP("912833KD Govt","MATURITY")</f>
        <v>11/15/2014</v>
      </c>
      <c r="F300" t="str">
        <f>_xll.BDP("912833KD Govt","MTY_TYP")</f>
        <v>NORMAL</v>
      </c>
      <c r="G300" t="str">
        <f>_xll.BDP("912833KD Govt","CRNCY")</f>
        <v>USD</v>
      </c>
      <c r="H300" t="str">
        <f>_xll.BDP("912833KD Govt","COUNTRY_FULL_NAME")</f>
        <v>UNITED STATES</v>
      </c>
      <c r="I300" t="str">
        <f>_xll.BDP("912833KD Govt","FIRST_CPN_DT")</f>
        <v>#N/A Field Not Applicable</v>
      </c>
      <c r="J300" t="str">
        <f>_xll.BDP("912833KD Govt","COUPON_FREQUENCY_DESCRIPTION")</f>
        <v>#N/A Field Not Applicable</v>
      </c>
      <c r="K300" t="str">
        <f>_xll.BDP("912833KD Govt","CPN_TYP")</f>
        <v>ZERO</v>
      </c>
      <c r="L300" t="str">
        <f>_xll.BDP("912833KD Govt","ID_ISIN")</f>
        <v>US912833KD10</v>
      </c>
      <c r="N300">
        <v>0</v>
      </c>
      <c r="O300" t="str">
        <f>_xll.BDP("912833KD Govt","ISSUE_DT")</f>
        <v>11/15/1985</v>
      </c>
      <c r="P300" t="str">
        <f>_xll.BDP("912833KD Govt","SECURITY_NAME")</f>
        <v>S 0 11/15/14</v>
      </c>
      <c r="Q300" t="str">
        <f>_xll.BDP("912833KD Govt","DAY_CNT_DES")</f>
        <v>ACT/ACT</v>
      </c>
      <c r="R300">
        <v>100</v>
      </c>
      <c r="S300" t="str">
        <f>_xll.BDP("912833KD Govt","ID_CUSIP")</f>
        <v>912833KD1</v>
      </c>
      <c r="T300" t="str">
        <f>_xll.BDP("912833KD Govt","IDX_RATIO")</f>
        <v>#N/A Field Not Applicable</v>
      </c>
    </row>
    <row r="301" spans="1:20" x14ac:dyDescent="0.25">
      <c r="A301" t="s">
        <v>14</v>
      </c>
      <c r="B301" t="str">
        <f>_xll.BDP("912833KK Govt","TICKER")</f>
        <v>S</v>
      </c>
      <c r="C301">
        <f>_xll.BDP("912833KK Govt","CPN")</f>
        <v>0</v>
      </c>
      <c r="D301" t="str">
        <f>_xll.BDP("912833KK Govt","YLD_YTM_BID")</f>
        <v>#N/A N/A</v>
      </c>
      <c r="E301" t="str">
        <f>_xll.BDP("912833KK Govt","MATURITY")</f>
        <v>11/15/2016</v>
      </c>
      <c r="F301" t="str">
        <f>_xll.BDP("912833KK Govt","MTY_TYP")</f>
        <v>NORMAL</v>
      </c>
      <c r="G301" t="str">
        <f>_xll.BDP("912833KK Govt","CRNCY")</f>
        <v>USD</v>
      </c>
      <c r="H301" t="str">
        <f>_xll.BDP("912833KK Govt","COUNTRY_FULL_NAME")</f>
        <v>UNITED STATES</v>
      </c>
      <c r="I301" t="str">
        <f>_xll.BDP("912833KK Govt","FIRST_CPN_DT")</f>
        <v>#N/A Field Not Applicable</v>
      </c>
      <c r="J301" t="str">
        <f>_xll.BDP("912833KK Govt","COUPON_FREQUENCY_DESCRIPTION")</f>
        <v>#N/A Field Not Applicable</v>
      </c>
      <c r="K301" t="str">
        <f>_xll.BDP("912833KK Govt","CPN_TYP")</f>
        <v>ZERO</v>
      </c>
      <c r="L301" t="str">
        <f>_xll.BDP("912833KK Govt","ID_ISIN")</f>
        <v>US912833KK52</v>
      </c>
      <c r="N301">
        <v>0</v>
      </c>
      <c r="O301" t="str">
        <f>_xll.BDP("912833KK Govt","ISSUE_DT")</f>
        <v>11/15/1986</v>
      </c>
      <c r="P301" t="str">
        <f>_xll.BDP("912833KK Govt","SECURITY_NAME")</f>
        <v>S 0 11/15/16</v>
      </c>
      <c r="Q301" t="str">
        <f>_xll.BDP("912833KK Govt","DAY_CNT_DES")</f>
        <v>ACT/ACT</v>
      </c>
      <c r="R301">
        <v>100</v>
      </c>
      <c r="S301" t="str">
        <f>_xll.BDP("912833KK Govt","ID_CUSIP")</f>
        <v>912833KK5</v>
      </c>
      <c r="T301" t="str">
        <f>_xll.BDP("912833KK Govt","IDX_RATIO")</f>
        <v>#N/A Field Not Applicable</v>
      </c>
    </row>
    <row r="302" spans="1:20" x14ac:dyDescent="0.25">
      <c r="A302" t="s">
        <v>14</v>
      </c>
      <c r="B302" t="str">
        <f>_xll.BDP("912833KL Govt","TICKER")</f>
        <v>S</v>
      </c>
      <c r="C302">
        <f>_xll.BDP("912833KL Govt","CPN")</f>
        <v>0</v>
      </c>
      <c r="D302" t="str">
        <f>_xll.BDP("912833KL Govt","YLD_YTM_BID")</f>
        <v>#N/A N/A</v>
      </c>
      <c r="E302" t="str">
        <f>_xll.BDP("912833KL Govt","MATURITY")</f>
        <v>2/15/2017</v>
      </c>
      <c r="F302" t="str">
        <f>_xll.BDP("912833KL Govt","MTY_TYP")</f>
        <v>NORMAL</v>
      </c>
      <c r="G302" t="str">
        <f>_xll.BDP("912833KL Govt","CRNCY")</f>
        <v>USD</v>
      </c>
      <c r="H302" t="str">
        <f>_xll.BDP("912833KL Govt","COUNTRY_FULL_NAME")</f>
        <v>UNITED STATES</v>
      </c>
      <c r="I302" t="str">
        <f>_xll.BDP("912833KL Govt","FIRST_CPN_DT")</f>
        <v>#N/A Field Not Applicable</v>
      </c>
      <c r="J302" t="str">
        <f>_xll.BDP("912833KL Govt","COUPON_FREQUENCY_DESCRIPTION")</f>
        <v>#N/A Field Not Applicable</v>
      </c>
      <c r="K302" t="str">
        <f>_xll.BDP("912833KL Govt","CPN_TYP")</f>
        <v>ZERO</v>
      </c>
      <c r="L302" t="str">
        <f>_xll.BDP("912833KL Govt","ID_ISIN")</f>
        <v>US912833KL36</v>
      </c>
      <c r="N302">
        <v>0</v>
      </c>
      <c r="O302" t="str">
        <f>_xll.BDP("912833KL Govt","ISSUE_DT")</f>
        <v>8/15/1987</v>
      </c>
      <c r="P302" t="str">
        <f>_xll.BDP("912833KL Govt","SECURITY_NAME")</f>
        <v>S 0 02/15/17</v>
      </c>
      <c r="Q302" t="str">
        <f>_xll.BDP("912833KL Govt","DAY_CNT_DES")</f>
        <v>ACT/ACT</v>
      </c>
      <c r="R302">
        <v>100</v>
      </c>
      <c r="S302" t="str">
        <f>_xll.BDP("912833KL Govt","ID_CUSIP")</f>
        <v>912833KL3</v>
      </c>
      <c r="T302" t="str">
        <f>_xll.BDP("912833KL Govt","IDX_RATIO")</f>
        <v>#N/A Field Not Applicable</v>
      </c>
    </row>
    <row r="303" spans="1:20" x14ac:dyDescent="0.25">
      <c r="A303" t="s">
        <v>14</v>
      </c>
      <c r="B303" t="str">
        <f>_xll.BDP("912833KM Govt","TICKER")</f>
        <v>S</v>
      </c>
      <c r="C303">
        <f>_xll.BDP("912833KM Govt","CPN")</f>
        <v>0</v>
      </c>
      <c r="D303" t="str">
        <f>_xll.BDP("912833KM Govt","YLD_YTM_BID")</f>
        <v>#N/A N/A</v>
      </c>
      <c r="E303" t="str">
        <f>_xll.BDP("912833KM Govt","MATURITY")</f>
        <v>5/15/2017</v>
      </c>
      <c r="F303" t="str">
        <f>_xll.BDP("912833KM Govt","MTY_TYP")</f>
        <v>NORMAL</v>
      </c>
      <c r="G303" t="str">
        <f>_xll.BDP("912833KM Govt","CRNCY")</f>
        <v>USD</v>
      </c>
      <c r="H303" t="str">
        <f>_xll.BDP("912833KM Govt","COUNTRY_FULL_NAME")</f>
        <v>UNITED STATES</v>
      </c>
      <c r="I303" t="str">
        <f>_xll.BDP("912833KM Govt","FIRST_CPN_DT")</f>
        <v>#N/A Field Not Applicable</v>
      </c>
      <c r="J303" t="str">
        <f>_xll.BDP("912833KM Govt","COUPON_FREQUENCY_DESCRIPTION")</f>
        <v>#N/A Field Not Applicable</v>
      </c>
      <c r="K303" t="str">
        <f>_xll.BDP("912833KM Govt","CPN_TYP")</f>
        <v>ZERO</v>
      </c>
      <c r="L303" t="str">
        <f>_xll.BDP("912833KM Govt","ID_ISIN")</f>
        <v>US912833KM19</v>
      </c>
      <c r="N303">
        <v>0</v>
      </c>
      <c r="O303" t="str">
        <f>_xll.BDP("912833KM Govt","ISSUE_DT")</f>
        <v>5/15/1987</v>
      </c>
      <c r="P303" t="str">
        <f>_xll.BDP("912833KM Govt","SECURITY_NAME")</f>
        <v>S 0 05/15/17</v>
      </c>
      <c r="Q303" t="str">
        <f>_xll.BDP("912833KM Govt","DAY_CNT_DES")</f>
        <v>ACT/ACT</v>
      </c>
      <c r="R303">
        <v>100</v>
      </c>
      <c r="S303" t="str">
        <f>_xll.BDP("912833KM Govt","ID_CUSIP")</f>
        <v>912833KM1</v>
      </c>
      <c r="T303" t="str">
        <f>_xll.BDP("912833KM Govt","IDX_RATIO")</f>
        <v>#N/A Field Not Applicable</v>
      </c>
    </row>
    <row r="304" spans="1:20" x14ac:dyDescent="0.25">
      <c r="A304" t="s">
        <v>14</v>
      </c>
      <c r="B304" t="str">
        <f>_xll.BDP("912833MD Govt","TICKER")</f>
        <v>S</v>
      </c>
      <c r="C304">
        <f>_xll.BDP("912833MD Govt","CPN")</f>
        <v>0</v>
      </c>
      <c r="D304" t="str">
        <f>_xll.BDP("912833MD Govt","YLD_YTM_BID")</f>
        <v>#N/A N/A</v>
      </c>
      <c r="E304" t="str">
        <f>_xll.BDP("912833MD Govt","MATURITY")</f>
        <v>10/15/1997</v>
      </c>
      <c r="F304" t="str">
        <f>_xll.BDP("912833MD Govt","MTY_TYP")</f>
        <v>NORMAL</v>
      </c>
      <c r="G304" t="str">
        <f>_xll.BDP("912833MD Govt","CRNCY")</f>
        <v>USD</v>
      </c>
      <c r="H304" t="str">
        <f>_xll.BDP("912833MD Govt","COUNTRY_FULL_NAME")</f>
        <v>UNITED STATES</v>
      </c>
      <c r="I304" t="str">
        <f>_xll.BDP("912833MD Govt","FIRST_CPN_DT")</f>
        <v>#N/A Field Not Applicable</v>
      </c>
      <c r="J304" t="str">
        <f>_xll.BDP("912833MD Govt","COUPON_FREQUENCY_DESCRIPTION")</f>
        <v>#N/A Field Not Applicable</v>
      </c>
      <c r="K304" t="str">
        <f>_xll.BDP("912833MD Govt","CPN_TYP")</f>
        <v>ZERO</v>
      </c>
      <c r="L304" t="str">
        <f>_xll.BDP("912833MD Govt","ID_ISIN")</f>
        <v>US912833MD91</v>
      </c>
      <c r="N304">
        <v>0</v>
      </c>
      <c r="O304" t="str">
        <f>_xll.BDP("912833MD Govt","ISSUE_DT")</f>
        <v>10/15/1996</v>
      </c>
      <c r="P304" t="str">
        <f>_xll.BDP("912833MD Govt","SECURITY_NAME")</f>
        <v>S 0 10/15/97</v>
      </c>
      <c r="Q304" t="str">
        <f>_xll.BDP("912833MD Govt","DAY_CNT_DES")</f>
        <v>ACT/ACT</v>
      </c>
      <c r="R304">
        <v>100</v>
      </c>
      <c r="S304" t="str">
        <f>_xll.BDP("912833MD Govt","ID_CUSIP")</f>
        <v>912833MD9</v>
      </c>
      <c r="T304" t="str">
        <f>_xll.BDP("912833MD Govt","IDX_RATIO")</f>
        <v>#N/A Field Not Applicable</v>
      </c>
    </row>
    <row r="305" spans="1:20" x14ac:dyDescent="0.25">
      <c r="A305" t="s">
        <v>14</v>
      </c>
      <c r="B305" t="str">
        <f>_xll.BDP("912833MF Govt","TICKER")</f>
        <v>S</v>
      </c>
      <c r="C305">
        <f>_xll.BDP("912833MF Govt","CPN")</f>
        <v>0</v>
      </c>
      <c r="D305" t="str">
        <f>_xll.BDP("912833MF Govt","YLD_YTM_BID")</f>
        <v>#N/A N/A</v>
      </c>
      <c r="E305" t="str">
        <f>_xll.BDP("912833MF Govt","MATURITY")</f>
        <v>4/15/1998</v>
      </c>
      <c r="F305" t="str">
        <f>_xll.BDP("912833MF Govt","MTY_TYP")</f>
        <v>NORMAL</v>
      </c>
      <c r="G305" t="str">
        <f>_xll.BDP("912833MF Govt","CRNCY")</f>
        <v>USD</v>
      </c>
      <c r="H305" t="str">
        <f>_xll.BDP("912833MF Govt","COUNTRY_FULL_NAME")</f>
        <v>UNITED STATES</v>
      </c>
      <c r="I305" t="str">
        <f>_xll.BDP("912833MF Govt","FIRST_CPN_DT")</f>
        <v>#N/A Field Not Applicable</v>
      </c>
      <c r="J305" t="str">
        <f>_xll.BDP("912833MF Govt","COUPON_FREQUENCY_DESCRIPTION")</f>
        <v>#N/A Field Not Applicable</v>
      </c>
      <c r="K305" t="str">
        <f>_xll.BDP("912833MF Govt","CPN_TYP")</f>
        <v>ZERO</v>
      </c>
      <c r="L305" t="str">
        <f>_xll.BDP("912833MF Govt","ID_ISIN")</f>
        <v>US912833MF40</v>
      </c>
      <c r="N305">
        <v>0</v>
      </c>
      <c r="O305" t="str">
        <f>_xll.BDP("912833MF Govt","ISSUE_DT")</f>
        <v>10/15/1996</v>
      </c>
      <c r="P305" t="str">
        <f>_xll.BDP("912833MF Govt","SECURITY_NAME")</f>
        <v>S 0 04/15/98</v>
      </c>
      <c r="Q305" t="str">
        <f>_xll.BDP("912833MF Govt","DAY_CNT_DES")</f>
        <v>ACT/ACT</v>
      </c>
      <c r="R305">
        <v>100</v>
      </c>
      <c r="S305" t="str">
        <f>_xll.BDP("912833MF Govt","ID_CUSIP")</f>
        <v>912833MF4</v>
      </c>
      <c r="T305" t="str">
        <f>_xll.BDP("912833MF Govt","IDX_RATIO")</f>
        <v>#N/A Field Not Applicable</v>
      </c>
    </row>
    <row r="306" spans="1:20" x14ac:dyDescent="0.25">
      <c r="A306" t="s">
        <v>14</v>
      </c>
      <c r="B306" t="str">
        <f>_xll.BDP("912833MH Govt","TICKER")</f>
        <v>S</v>
      </c>
      <c r="C306">
        <f>_xll.BDP("912833MH Govt","CPN")</f>
        <v>0</v>
      </c>
      <c r="D306" t="str">
        <f>_xll.BDP("912833MH Govt","YLD_YTM_BID")</f>
        <v>#N/A N/A</v>
      </c>
      <c r="E306" t="str">
        <f>_xll.BDP("912833MH Govt","MATURITY")</f>
        <v>10/15/1998</v>
      </c>
      <c r="F306" t="str">
        <f>_xll.BDP("912833MH Govt","MTY_TYP")</f>
        <v>NORMAL</v>
      </c>
      <c r="G306" t="str">
        <f>_xll.BDP("912833MH Govt","CRNCY")</f>
        <v>USD</v>
      </c>
      <c r="H306" t="str">
        <f>_xll.BDP("912833MH Govt","COUNTRY_FULL_NAME")</f>
        <v>UNITED STATES</v>
      </c>
      <c r="I306" t="str">
        <f>_xll.BDP("912833MH Govt","FIRST_CPN_DT")</f>
        <v>#N/A Field Not Applicable</v>
      </c>
      <c r="J306" t="str">
        <f>_xll.BDP("912833MH Govt","COUPON_FREQUENCY_DESCRIPTION")</f>
        <v>#N/A Field Not Applicable</v>
      </c>
      <c r="K306" t="str">
        <f>_xll.BDP("912833MH Govt","CPN_TYP")</f>
        <v>ZERO</v>
      </c>
      <c r="L306" t="str">
        <f>_xll.BDP("912833MH Govt","ID_ISIN")</f>
        <v>US912833MH06</v>
      </c>
      <c r="N306">
        <v>0</v>
      </c>
      <c r="O306" t="str">
        <f>_xll.BDP("912833MH Govt","ISSUE_DT")</f>
        <v>10/15/1996</v>
      </c>
      <c r="P306" t="str">
        <f>_xll.BDP("912833MH Govt","SECURITY_NAME")</f>
        <v>S 0 10/15/98</v>
      </c>
      <c r="Q306" t="str">
        <f>_xll.BDP("912833MH Govt","DAY_CNT_DES")</f>
        <v>ACT/ACT</v>
      </c>
      <c r="R306">
        <v>100</v>
      </c>
      <c r="S306" t="str">
        <f>_xll.BDP("912833MH Govt","ID_CUSIP")</f>
        <v>912833MH0</v>
      </c>
      <c r="T306" t="str">
        <f>_xll.BDP("912833MH Govt","IDX_RATIO")</f>
        <v>#N/A Field Not Applicable</v>
      </c>
    </row>
    <row r="307" spans="1:20" x14ac:dyDescent="0.25">
      <c r="A307" t="s">
        <v>14</v>
      </c>
      <c r="B307" t="str">
        <f>_xll.BDP("912833QT Govt","TICKER")</f>
        <v>S</v>
      </c>
      <c r="C307">
        <f>_xll.BDP("912833QT Govt","CPN")</f>
        <v>0</v>
      </c>
      <c r="D307" t="str">
        <f>_xll.BDP("912833QT Govt","YLD_YTM_BID")</f>
        <v>#N/A N/A</v>
      </c>
      <c r="E307" t="str">
        <f>_xll.BDP("912833QT Govt","MATURITY")</f>
        <v>12/31/2000</v>
      </c>
      <c r="F307" t="str">
        <f>_xll.BDP("912833QT Govt","MTY_TYP")</f>
        <v>NORMAL</v>
      </c>
      <c r="G307" t="str">
        <f>_xll.BDP("912833QT Govt","CRNCY")</f>
        <v>USD</v>
      </c>
      <c r="H307" t="str">
        <f>_xll.BDP("912833QT Govt","COUNTRY_FULL_NAME")</f>
        <v>UNITED STATES</v>
      </c>
      <c r="I307" t="str">
        <f>_xll.BDP("912833QT Govt","FIRST_CPN_DT")</f>
        <v>#N/A Field Not Applicable</v>
      </c>
      <c r="J307" t="str">
        <f>_xll.BDP("912833QT Govt","COUPON_FREQUENCY_DESCRIPTION")</f>
        <v>#N/A Field Not Applicable</v>
      </c>
      <c r="K307" t="str">
        <f>_xll.BDP("912833QT Govt","CPN_TYP")</f>
        <v>ZERO</v>
      </c>
      <c r="L307" t="str">
        <f>_xll.BDP("912833QT Govt","ID_ISIN")</f>
        <v>US912833QT08</v>
      </c>
      <c r="N307">
        <v>0</v>
      </c>
      <c r="O307" t="str">
        <f>_xll.BDP("912833QT Govt","ISSUE_DT")</f>
        <v>12/31/1997</v>
      </c>
      <c r="P307" t="str">
        <f>_xll.BDP("912833QT Govt","SECURITY_NAME")</f>
        <v>S 0 12/31/00</v>
      </c>
      <c r="Q307" t="str">
        <f>_xll.BDP("912833QT Govt","DAY_CNT_DES")</f>
        <v>ACT/ACT</v>
      </c>
      <c r="R307">
        <v>100</v>
      </c>
      <c r="S307" t="str">
        <f>_xll.BDP("912833QT Govt","ID_CUSIP")</f>
        <v>912833QT0</v>
      </c>
      <c r="T307" t="str">
        <f>_xll.BDP("912833QT Govt","IDX_RATIO")</f>
        <v>#N/A Field Not Applicable</v>
      </c>
    </row>
    <row r="308" spans="1:20" x14ac:dyDescent="0.25">
      <c r="A308" t="s">
        <v>14</v>
      </c>
      <c r="B308" t="str">
        <f>_xll.BDP("912834BK Govt","TICKER")</f>
        <v>S</v>
      </c>
      <c r="C308">
        <f>_xll.BDP("912834BK Govt","CPN")</f>
        <v>0</v>
      </c>
      <c r="D308" t="str">
        <f>_xll.BDP("912834BK Govt","YLD_YTM_BID")</f>
        <v>#N/A N/A</v>
      </c>
      <c r="E308" t="str">
        <f>_xll.BDP("912834BK Govt","MATURITY")</f>
        <v>10/15/2011</v>
      </c>
      <c r="F308" t="str">
        <f>_xll.BDP("912834BK Govt","MTY_TYP")</f>
        <v>NORMAL</v>
      </c>
      <c r="G308" t="str">
        <f>_xll.BDP("912834BK Govt","CRNCY")</f>
        <v>USD</v>
      </c>
      <c r="H308" t="str">
        <f>_xll.BDP("912834BK Govt","COUNTRY_FULL_NAME")</f>
        <v>UNITED STATES</v>
      </c>
      <c r="I308" t="str">
        <f>_xll.BDP("912834BK Govt","FIRST_CPN_DT")</f>
        <v>#N/A Field Not Applicable</v>
      </c>
      <c r="J308" t="str">
        <f>_xll.BDP("912834BK Govt","COUPON_FREQUENCY_DESCRIPTION")</f>
        <v>#N/A Field Not Applicable</v>
      </c>
      <c r="K308" t="str">
        <f>_xll.BDP("912834BK Govt","CPN_TYP")</f>
        <v>ZERO</v>
      </c>
      <c r="L308" t="str">
        <f>_xll.BDP("912834BK Govt","ID_ISIN")</f>
        <v>US912834BK37</v>
      </c>
      <c r="N308">
        <v>0</v>
      </c>
      <c r="O308" t="str">
        <f>_xll.BDP("912834BK Govt","ISSUE_DT")</f>
        <v>4/15/2009</v>
      </c>
      <c r="P308" t="str">
        <f>_xll.BDP("912834BK Govt","SECURITY_NAME")</f>
        <v>S 0 10/15/11</v>
      </c>
      <c r="Q308" t="str">
        <f>_xll.BDP("912834BK Govt","DAY_CNT_DES")</f>
        <v>ACT/ACT</v>
      </c>
      <c r="R308">
        <v>100</v>
      </c>
      <c r="S308" t="str">
        <f>_xll.BDP("912834BK Govt","ID_CUSIP")</f>
        <v>912834BK3</v>
      </c>
      <c r="T308" t="str">
        <f>_xll.BDP("912834BK Govt","IDX_RATIO")</f>
        <v>#N/A Field Not Applicable</v>
      </c>
    </row>
    <row r="309" spans="1:20" x14ac:dyDescent="0.25">
      <c r="A309" t="s">
        <v>14</v>
      </c>
      <c r="B309" t="str">
        <f>_xll.BDP("912834EH Govt","TICKER")</f>
        <v>S</v>
      </c>
      <c r="C309">
        <f>_xll.BDP("912834EH Govt","CPN")</f>
        <v>0</v>
      </c>
      <c r="D309" t="str">
        <f>_xll.BDP("912834EH Govt","YLD_YTM_BID")</f>
        <v>#N/A N/A</v>
      </c>
      <c r="E309" t="str">
        <f>_xll.BDP("912834EH Govt","MATURITY")</f>
        <v>7/15/2012</v>
      </c>
      <c r="F309" t="str">
        <f>_xll.BDP("912834EH Govt","MTY_TYP")</f>
        <v>NORMAL</v>
      </c>
      <c r="G309" t="str">
        <f>_xll.BDP("912834EH Govt","CRNCY")</f>
        <v>USD</v>
      </c>
      <c r="H309" t="str">
        <f>_xll.BDP("912834EH Govt","COUNTRY_FULL_NAME")</f>
        <v>UNITED STATES</v>
      </c>
      <c r="I309" t="str">
        <f>_xll.BDP("912834EH Govt","FIRST_CPN_DT")</f>
        <v>#N/A Field Not Applicable</v>
      </c>
      <c r="J309" t="str">
        <f>_xll.BDP("912834EH Govt","COUPON_FREQUENCY_DESCRIPTION")</f>
        <v>#N/A Field Not Applicable</v>
      </c>
      <c r="K309" t="str">
        <f>_xll.BDP("912834EH Govt","CPN_TYP")</f>
        <v>ZERO</v>
      </c>
      <c r="L309" t="str">
        <f>_xll.BDP("912834EH Govt","ID_ISIN")</f>
        <v>US912834EH70</v>
      </c>
      <c r="N309">
        <v>0</v>
      </c>
      <c r="O309" t="str">
        <f>_xll.BDP("912834EH Govt","ISSUE_DT")</f>
        <v>7/15/2009</v>
      </c>
      <c r="P309" t="str">
        <f>_xll.BDP("912834EH Govt","SECURITY_NAME")</f>
        <v>S 0 07/15/12</v>
      </c>
      <c r="Q309" t="str">
        <f>_xll.BDP("912834EH Govt","DAY_CNT_DES")</f>
        <v>ACT/ACT</v>
      </c>
      <c r="R309">
        <v>100</v>
      </c>
      <c r="S309" t="str">
        <f>_xll.BDP("912834EH Govt","ID_CUSIP")</f>
        <v>912834EH7</v>
      </c>
      <c r="T309" t="str">
        <f>_xll.BDP("912834EH Govt","IDX_RATIO")</f>
        <v>#N/A Field Not Applicable</v>
      </c>
    </row>
    <row r="310" spans="1:20" x14ac:dyDescent="0.25">
      <c r="A310" t="s">
        <v>14</v>
      </c>
      <c r="B310" t="str">
        <f>_xll.BDP("912834EN Govt","TICKER")</f>
        <v>S</v>
      </c>
      <c r="C310">
        <f>_xll.BDP("912834EN Govt","CPN")</f>
        <v>0</v>
      </c>
      <c r="D310" t="str">
        <f>_xll.BDP("912834EN Govt","YLD_YTM_BID")</f>
        <v>#N/A N/A</v>
      </c>
      <c r="E310" t="str">
        <f>_xll.BDP("912834EN Govt","MATURITY")</f>
        <v>7/31/2016</v>
      </c>
      <c r="F310" t="str">
        <f>_xll.BDP("912834EN Govt","MTY_TYP")</f>
        <v>NORMAL</v>
      </c>
      <c r="G310" t="str">
        <f>_xll.BDP("912834EN Govt","CRNCY")</f>
        <v>USD</v>
      </c>
      <c r="H310" t="str">
        <f>_xll.BDP("912834EN Govt","COUNTRY_FULL_NAME")</f>
        <v>UNITED STATES</v>
      </c>
      <c r="I310" t="str">
        <f>_xll.BDP("912834EN Govt","FIRST_CPN_DT")</f>
        <v>#N/A Field Not Applicable</v>
      </c>
      <c r="J310" t="str">
        <f>_xll.BDP("912834EN Govt","COUPON_FREQUENCY_DESCRIPTION")</f>
        <v>#N/A Field Not Applicable</v>
      </c>
      <c r="K310" t="str">
        <f>_xll.BDP("912834EN Govt","CPN_TYP")</f>
        <v>ZERO</v>
      </c>
      <c r="L310" t="str">
        <f>_xll.BDP("912834EN Govt","ID_ISIN")</f>
        <v>US912834EN49</v>
      </c>
      <c r="N310">
        <v>0</v>
      </c>
      <c r="O310" t="str">
        <f>_xll.BDP("912834EN Govt","ISSUE_DT")</f>
        <v>7/31/2009</v>
      </c>
      <c r="P310" t="str">
        <f>_xll.BDP("912834EN Govt","SECURITY_NAME")</f>
        <v>S 0 07/31/16</v>
      </c>
      <c r="Q310" t="str">
        <f>_xll.BDP("912834EN Govt","DAY_CNT_DES")</f>
        <v>ACT/ACT</v>
      </c>
      <c r="R310">
        <v>100</v>
      </c>
      <c r="S310" t="str">
        <f>_xll.BDP("912834EN Govt","ID_CUSIP")</f>
        <v>912834EN4</v>
      </c>
      <c r="T310" t="str">
        <f>_xll.BDP("912834EN Govt","IDX_RATIO")</f>
        <v>#N/A Field Not Applicable</v>
      </c>
    </row>
    <row r="311" spans="1:20" x14ac:dyDescent="0.25">
      <c r="A311" t="s">
        <v>14</v>
      </c>
      <c r="B311" t="str">
        <f>_xll.BDP("912834EQ Govt","TICKER")</f>
        <v>S</v>
      </c>
      <c r="C311">
        <f>_xll.BDP("912834EQ Govt","CPN")</f>
        <v>0</v>
      </c>
      <c r="D311" t="str">
        <f>_xll.BDP("912834EQ Govt","YLD_YTM_BID")</f>
        <v>#N/A N/A</v>
      </c>
      <c r="E311" t="str">
        <f>_xll.BDP("912834EQ Govt","MATURITY")</f>
        <v>8/31/2016</v>
      </c>
      <c r="F311" t="str">
        <f>_xll.BDP("912834EQ Govt","MTY_TYP")</f>
        <v>NORMAL</v>
      </c>
      <c r="G311" t="str">
        <f>_xll.BDP("912834EQ Govt","CRNCY")</f>
        <v>USD</v>
      </c>
      <c r="H311" t="str">
        <f>_xll.BDP("912834EQ Govt","COUNTRY_FULL_NAME")</f>
        <v>UNITED STATES</v>
      </c>
      <c r="I311" t="str">
        <f>_xll.BDP("912834EQ Govt","FIRST_CPN_DT")</f>
        <v>#N/A Field Not Applicable</v>
      </c>
      <c r="J311" t="str">
        <f>_xll.BDP("912834EQ Govt","COUPON_FREQUENCY_DESCRIPTION")</f>
        <v>#N/A Field Not Applicable</v>
      </c>
      <c r="K311" t="str">
        <f>_xll.BDP("912834EQ Govt","CPN_TYP")</f>
        <v>ZERO</v>
      </c>
      <c r="L311" t="str">
        <f>_xll.BDP("912834EQ Govt","ID_ISIN")</f>
        <v>US912834EQ79</v>
      </c>
      <c r="N311">
        <v>0</v>
      </c>
      <c r="O311" t="str">
        <f>_xll.BDP("912834EQ Govt","ISSUE_DT")</f>
        <v>8/31/2009</v>
      </c>
      <c r="P311" t="str">
        <f>_xll.BDP("912834EQ Govt","SECURITY_NAME")</f>
        <v>S 0 08/31/16</v>
      </c>
      <c r="Q311" t="str">
        <f>_xll.BDP("912834EQ Govt","DAY_CNT_DES")</f>
        <v>ACT/ACT</v>
      </c>
      <c r="R311">
        <v>100</v>
      </c>
      <c r="S311" t="str">
        <f>_xll.BDP("912834EQ Govt","ID_CUSIP")</f>
        <v>912834EQ7</v>
      </c>
      <c r="T311" t="str">
        <f>_xll.BDP("912834EQ Govt","IDX_RATIO")</f>
        <v>#N/A Field Not Applicable</v>
      </c>
    </row>
    <row r="312" spans="1:20" x14ac:dyDescent="0.25">
      <c r="A312" t="s">
        <v>14</v>
      </c>
      <c r="B312" t="str">
        <f>_xll.BDP("912834EW Govt","TICKER")</f>
        <v>S</v>
      </c>
      <c r="C312">
        <f>_xll.BDP("912834EW Govt","CPN")</f>
        <v>0</v>
      </c>
      <c r="D312" t="str">
        <f>_xll.BDP("912834EW Govt","YLD_YTM_BID")</f>
        <v>#N/A N/A</v>
      </c>
      <c r="E312" t="str">
        <f>_xll.BDP("912834EW Govt","MATURITY")</f>
        <v>11/30/2016</v>
      </c>
      <c r="F312" t="str">
        <f>_xll.BDP("912834EW Govt","MTY_TYP")</f>
        <v>NORMAL</v>
      </c>
      <c r="G312" t="str">
        <f>_xll.BDP("912834EW Govt","CRNCY")</f>
        <v>USD</v>
      </c>
      <c r="H312" t="str">
        <f>_xll.BDP("912834EW Govt","COUNTRY_FULL_NAME")</f>
        <v>UNITED STATES</v>
      </c>
      <c r="I312" t="str">
        <f>_xll.BDP("912834EW Govt","FIRST_CPN_DT")</f>
        <v>#N/A Field Not Applicable</v>
      </c>
      <c r="J312" t="str">
        <f>_xll.BDP("912834EW Govt","COUPON_FREQUENCY_DESCRIPTION")</f>
        <v>#N/A Field Not Applicable</v>
      </c>
      <c r="K312" t="str">
        <f>_xll.BDP("912834EW Govt","CPN_TYP")</f>
        <v>ZERO</v>
      </c>
      <c r="L312" t="str">
        <f>_xll.BDP("912834EW Govt","ID_ISIN")</f>
        <v>US912834EW48</v>
      </c>
      <c r="N312">
        <v>0</v>
      </c>
      <c r="O312" t="str">
        <f>_xll.BDP("912834EW Govt","ISSUE_DT")</f>
        <v>11/30/2009</v>
      </c>
      <c r="P312" t="str">
        <f>_xll.BDP("912834EW Govt","SECURITY_NAME")</f>
        <v>S 0 11/30/16</v>
      </c>
      <c r="Q312" t="str">
        <f>_xll.BDP("912834EW Govt","DAY_CNT_DES")</f>
        <v>ACT/ACT</v>
      </c>
      <c r="R312">
        <v>100</v>
      </c>
      <c r="S312" t="str">
        <f>_xll.BDP("912834EW Govt","ID_CUSIP")</f>
        <v>912834EW4</v>
      </c>
      <c r="T312" t="str">
        <f>_xll.BDP("912834EW Govt","IDX_RATIO")</f>
        <v>#N/A Field Not Applicable</v>
      </c>
    </row>
    <row r="313" spans="1:20" x14ac:dyDescent="0.25">
      <c r="A313" t="s">
        <v>14</v>
      </c>
      <c r="B313" t="str">
        <f>_xll.BDP("912834EY Govt","TICKER")</f>
        <v>S</v>
      </c>
      <c r="C313">
        <f>_xll.BDP("912834EY Govt","CPN")</f>
        <v>0</v>
      </c>
      <c r="D313" t="str">
        <f>_xll.BDP("912834EY Govt","YLD_YTM_BID")</f>
        <v>#N/A N/A</v>
      </c>
      <c r="E313" t="str">
        <f>_xll.BDP("912834EY Govt","MATURITY")</f>
        <v>12/31/2016</v>
      </c>
      <c r="F313" t="str">
        <f>_xll.BDP("912834EY Govt","MTY_TYP")</f>
        <v>NORMAL</v>
      </c>
      <c r="G313" t="str">
        <f>_xll.BDP("912834EY Govt","CRNCY")</f>
        <v>USD</v>
      </c>
      <c r="H313" t="str">
        <f>_xll.BDP("912834EY Govt","COUNTRY_FULL_NAME")</f>
        <v>UNITED STATES</v>
      </c>
      <c r="I313" t="str">
        <f>_xll.BDP("912834EY Govt","FIRST_CPN_DT")</f>
        <v>#N/A Field Not Applicable</v>
      </c>
      <c r="J313" t="str">
        <f>_xll.BDP("912834EY Govt","COUPON_FREQUENCY_DESCRIPTION")</f>
        <v>#N/A Field Not Applicable</v>
      </c>
      <c r="K313" t="str">
        <f>_xll.BDP("912834EY Govt","CPN_TYP")</f>
        <v>ZERO</v>
      </c>
      <c r="L313" t="str">
        <f>_xll.BDP("912834EY Govt","ID_ISIN")</f>
        <v>US912834EY04</v>
      </c>
      <c r="N313">
        <v>0</v>
      </c>
      <c r="O313" t="str">
        <f>_xll.BDP("912834EY Govt","ISSUE_DT")</f>
        <v>12/31/2009</v>
      </c>
      <c r="P313" t="str">
        <f>_xll.BDP("912834EY Govt","SECURITY_NAME")</f>
        <v>S 0 12/31/16</v>
      </c>
      <c r="Q313" t="str">
        <f>_xll.BDP("912834EY Govt","DAY_CNT_DES")</f>
        <v>ACT/ACT</v>
      </c>
      <c r="R313">
        <v>100</v>
      </c>
      <c r="S313" t="str">
        <f>_xll.BDP("912834EY Govt","ID_CUSIP")</f>
        <v>912834EY0</v>
      </c>
      <c r="T313" t="str">
        <f>_xll.BDP("912834EY Govt","IDX_RATIO")</f>
        <v>#N/A Field Not Applicable</v>
      </c>
    </row>
    <row r="314" spans="1:20" x14ac:dyDescent="0.25">
      <c r="A314" t="s">
        <v>14</v>
      </c>
      <c r="B314" t="str">
        <f>_xll.BDP("912834JD Govt","TICKER")</f>
        <v>S</v>
      </c>
      <c r="C314">
        <f>_xll.BDP("912834JD Govt","CPN")</f>
        <v>0</v>
      </c>
      <c r="D314" t="str">
        <f>_xll.BDP("912834JD Govt","YLD_YTM_BID")</f>
        <v>#N/A N/A</v>
      </c>
      <c r="E314" t="str">
        <f>_xll.BDP("912834JD Govt","MATURITY")</f>
        <v>9/15/2013</v>
      </c>
      <c r="F314" t="str">
        <f>_xll.BDP("912834JD Govt","MTY_TYP")</f>
        <v>NORMAL</v>
      </c>
      <c r="G314" t="str">
        <f>_xll.BDP("912834JD Govt","CRNCY")</f>
        <v>USD</v>
      </c>
      <c r="H314" t="str">
        <f>_xll.BDP("912834JD Govt","COUNTRY_FULL_NAME")</f>
        <v>UNITED STATES</v>
      </c>
      <c r="I314" t="str">
        <f>_xll.BDP("912834JD Govt","FIRST_CPN_DT")</f>
        <v>#N/A Field Not Applicable</v>
      </c>
      <c r="J314" t="str">
        <f>_xll.BDP("912834JD Govt","COUPON_FREQUENCY_DESCRIPTION")</f>
        <v>#N/A Field Not Applicable</v>
      </c>
      <c r="K314" t="str">
        <f>_xll.BDP("912834JD Govt","CPN_TYP")</f>
        <v>ZERO</v>
      </c>
      <c r="L314" t="str">
        <f>_xll.BDP("912834JD Govt","ID_ISIN")</f>
        <v>US912834JD12</v>
      </c>
      <c r="N314">
        <v>0</v>
      </c>
      <c r="O314" t="str">
        <f>_xll.BDP("912834JD Govt","ISSUE_DT")</f>
        <v>9/15/2010</v>
      </c>
      <c r="P314" t="str">
        <f>_xll.BDP("912834JD Govt","SECURITY_NAME")</f>
        <v>S 0 09/15/13</v>
      </c>
      <c r="Q314" t="str">
        <f>_xll.BDP("912834JD Govt","DAY_CNT_DES")</f>
        <v>ACT/ACT</v>
      </c>
      <c r="R314">
        <v>100</v>
      </c>
      <c r="S314" t="str">
        <f>_xll.BDP("912834JD Govt","ID_CUSIP")</f>
        <v>912834JD1</v>
      </c>
      <c r="T314" t="str">
        <f>_xll.BDP("912834JD Govt","IDX_RATIO")</f>
        <v>#N/A Field Not Applicable</v>
      </c>
    </row>
    <row r="315" spans="1:20" x14ac:dyDescent="0.25">
      <c r="A315" t="s">
        <v>14</v>
      </c>
      <c r="B315" t="str">
        <f>_xll.BDP("912834JS Govt","TICKER")</f>
        <v>S</v>
      </c>
      <c r="C315">
        <f>_xll.BDP("912834JS Govt","CPN")</f>
        <v>0</v>
      </c>
      <c r="D315" t="str">
        <f>_xll.BDP("912834JS Govt","YLD_YTM_BID")</f>
        <v>#N/A N/A</v>
      </c>
      <c r="E315" t="str">
        <f>_xll.BDP("912834JS Govt","MATURITY")</f>
        <v>2/28/2018</v>
      </c>
      <c r="F315" t="str">
        <f>_xll.BDP("912834JS Govt","MTY_TYP")</f>
        <v>NORMAL</v>
      </c>
      <c r="G315" t="str">
        <f>_xll.BDP("912834JS Govt","CRNCY")</f>
        <v>USD</v>
      </c>
      <c r="H315" t="str">
        <f>_xll.BDP("912834JS Govt","COUNTRY_FULL_NAME")</f>
        <v>UNITED STATES</v>
      </c>
      <c r="I315" t="str">
        <f>_xll.BDP("912834JS Govt","FIRST_CPN_DT")</f>
        <v>#N/A Field Not Applicable</v>
      </c>
      <c r="J315" t="str">
        <f>_xll.BDP("912834JS Govt","COUPON_FREQUENCY_DESCRIPTION")</f>
        <v>#N/A Field Not Applicable</v>
      </c>
      <c r="K315" t="str">
        <f>_xll.BDP("912834JS Govt","CPN_TYP")</f>
        <v>ZERO</v>
      </c>
      <c r="L315" t="str">
        <f>_xll.BDP("912834JS Govt","ID_ISIN")</f>
        <v>US912834JS80</v>
      </c>
      <c r="N315">
        <v>0</v>
      </c>
      <c r="O315" t="str">
        <f>_xll.BDP("912834JS Govt","ISSUE_DT")</f>
        <v>2/28/2011</v>
      </c>
      <c r="P315" t="str">
        <f>_xll.BDP("912834JS Govt","SECURITY_NAME")</f>
        <v>S 0 02/28/18</v>
      </c>
      <c r="Q315" t="str">
        <f>_xll.BDP("912834JS Govt","DAY_CNT_DES")</f>
        <v>ACT/ACT</v>
      </c>
      <c r="R315">
        <v>100</v>
      </c>
      <c r="S315" t="str">
        <f>_xll.BDP("912834JS Govt","ID_CUSIP")</f>
        <v>912834JS8</v>
      </c>
      <c r="T315" t="str">
        <f>_xll.BDP("912834JS Govt","IDX_RATIO")</f>
        <v>#N/A Field Not Applicable</v>
      </c>
    </row>
    <row r="316" spans="1:20" x14ac:dyDescent="0.25">
      <c r="A316" t="s">
        <v>14</v>
      </c>
      <c r="B316" t="str">
        <f>_xll.BDP("912834KE Govt","TICKER")</f>
        <v>S</v>
      </c>
      <c r="C316">
        <f>_xll.BDP("912834KE Govt","CPN")</f>
        <v>0</v>
      </c>
      <c r="D316" t="str">
        <f>_xll.BDP("912834KE Govt","YLD_YTM_BID")</f>
        <v>#N/A N/A</v>
      </c>
      <c r="E316" t="str">
        <f>_xll.BDP("912834KE Govt","MATURITY")</f>
        <v>3/31/2018</v>
      </c>
      <c r="F316" t="str">
        <f>_xll.BDP("912834KE Govt","MTY_TYP")</f>
        <v>NORMAL</v>
      </c>
      <c r="G316" t="str">
        <f>_xll.BDP("912834KE Govt","CRNCY")</f>
        <v>USD</v>
      </c>
      <c r="H316" t="str">
        <f>_xll.BDP("912834KE Govt","COUNTRY_FULL_NAME")</f>
        <v>UNITED STATES</v>
      </c>
      <c r="I316" t="str">
        <f>_xll.BDP("912834KE Govt","FIRST_CPN_DT")</f>
        <v>#N/A Field Not Applicable</v>
      </c>
      <c r="J316" t="str">
        <f>_xll.BDP("912834KE Govt","COUPON_FREQUENCY_DESCRIPTION")</f>
        <v>#N/A Field Not Applicable</v>
      </c>
      <c r="K316" t="str">
        <f>_xll.BDP("912834KE Govt","CPN_TYP")</f>
        <v>ZERO</v>
      </c>
      <c r="L316" t="str">
        <f>_xll.BDP("912834KE Govt","ID_ISIN")</f>
        <v>US912834KE75</v>
      </c>
      <c r="N316">
        <v>0</v>
      </c>
      <c r="O316" t="str">
        <f>_xll.BDP("912834KE Govt","ISSUE_DT")</f>
        <v>3/31/2011</v>
      </c>
      <c r="P316" t="str">
        <f>_xll.BDP("912834KE Govt","SECURITY_NAME")</f>
        <v>S 0 03/31/18</v>
      </c>
      <c r="Q316" t="str">
        <f>_xll.BDP("912834KE Govt","DAY_CNT_DES")</f>
        <v>ACT/ACT</v>
      </c>
      <c r="R316">
        <v>100</v>
      </c>
      <c r="S316" t="str">
        <f>_xll.BDP("912834KE Govt","ID_CUSIP")</f>
        <v>912834KE7</v>
      </c>
      <c r="T316" t="str">
        <f>_xll.BDP("912834KE Govt","IDX_RATIO")</f>
        <v>#N/A Field Not Applicable</v>
      </c>
    </row>
    <row r="317" spans="1:20" x14ac:dyDescent="0.25">
      <c r="A317" t="s">
        <v>14</v>
      </c>
      <c r="B317" t="str">
        <f>_xll.BDP("912834KK Govt","TICKER")</f>
        <v>S</v>
      </c>
      <c r="C317">
        <f>_xll.BDP("912834KK Govt","CPN")</f>
        <v>0</v>
      </c>
      <c r="D317" t="str">
        <f>_xll.BDP("912834KK Govt","YLD_YTM_BID")</f>
        <v>#N/A N/A</v>
      </c>
      <c r="E317" t="str">
        <f>_xll.BDP("912834KK Govt","MATURITY")</f>
        <v>6/15/2014</v>
      </c>
      <c r="F317" t="str">
        <f>_xll.BDP("912834KK Govt","MTY_TYP")</f>
        <v>NORMAL</v>
      </c>
      <c r="G317" t="str">
        <f>_xll.BDP("912834KK Govt","CRNCY")</f>
        <v>USD</v>
      </c>
      <c r="H317" t="str">
        <f>_xll.BDP("912834KK Govt","COUNTRY_FULL_NAME")</f>
        <v>UNITED STATES</v>
      </c>
      <c r="I317" t="str">
        <f>_xll.BDP("912834KK Govt","FIRST_CPN_DT")</f>
        <v>#N/A Field Not Applicable</v>
      </c>
      <c r="J317" t="str">
        <f>_xll.BDP("912834KK Govt","COUPON_FREQUENCY_DESCRIPTION")</f>
        <v>#N/A Field Not Applicable</v>
      </c>
      <c r="K317" t="str">
        <f>_xll.BDP("912834KK Govt","CPN_TYP")</f>
        <v>ZERO</v>
      </c>
      <c r="L317" t="str">
        <f>_xll.BDP("912834KK Govt","ID_ISIN")</f>
        <v>US912834KK36</v>
      </c>
      <c r="N317">
        <v>0</v>
      </c>
      <c r="O317" t="str">
        <f>_xll.BDP("912834KK Govt","ISSUE_DT")</f>
        <v>6/15/2011</v>
      </c>
      <c r="P317" t="str">
        <f>_xll.BDP("912834KK Govt","SECURITY_NAME")</f>
        <v>S 0 06/15/14</v>
      </c>
      <c r="Q317" t="str">
        <f>_xll.BDP("912834KK Govt","DAY_CNT_DES")</f>
        <v>ACT/ACT</v>
      </c>
      <c r="R317">
        <v>100</v>
      </c>
      <c r="S317" t="str">
        <f>_xll.BDP("912834KK Govt","ID_CUSIP")</f>
        <v>912834KK3</v>
      </c>
      <c r="T317" t="str">
        <f>_xll.BDP("912834KK Govt","IDX_RATIO")</f>
        <v>#N/A Field Not Applicable</v>
      </c>
    </row>
    <row r="318" spans="1:20" x14ac:dyDescent="0.25">
      <c r="A318" t="s">
        <v>14</v>
      </c>
      <c r="B318" t="str">
        <f>_xll.BDP("912834KQ Govt","TICKER")</f>
        <v>S</v>
      </c>
      <c r="C318">
        <f>_xll.BDP("912834KQ Govt","CPN")</f>
        <v>0</v>
      </c>
      <c r="D318" t="str">
        <f>_xll.BDP("912834KQ Govt","YLD_YTM_BID")</f>
        <v>#N/A N/A</v>
      </c>
      <c r="E318" t="str">
        <f>_xll.BDP("912834KQ Govt","MATURITY")</f>
        <v>8/31/2018</v>
      </c>
      <c r="F318" t="str">
        <f>_xll.BDP("912834KQ Govt","MTY_TYP")</f>
        <v>NORMAL</v>
      </c>
      <c r="G318" t="str">
        <f>_xll.BDP("912834KQ Govt","CRNCY")</f>
        <v>USD</v>
      </c>
      <c r="H318" t="str">
        <f>_xll.BDP("912834KQ Govt","COUNTRY_FULL_NAME")</f>
        <v>UNITED STATES</v>
      </c>
      <c r="I318" t="str">
        <f>_xll.BDP("912834KQ Govt","FIRST_CPN_DT")</f>
        <v>#N/A Field Not Applicable</v>
      </c>
      <c r="J318" t="str">
        <f>_xll.BDP("912834KQ Govt","COUPON_FREQUENCY_DESCRIPTION")</f>
        <v>#N/A Field Not Applicable</v>
      </c>
      <c r="K318" t="str">
        <f>_xll.BDP("912834KQ Govt","CPN_TYP")</f>
        <v>ZERO</v>
      </c>
      <c r="L318" t="str">
        <f>_xll.BDP("912834KQ Govt","ID_ISIN")</f>
        <v>US912834KQ06</v>
      </c>
      <c r="N318">
        <v>0</v>
      </c>
      <c r="O318" t="str">
        <f>_xll.BDP("912834KQ Govt","ISSUE_DT")</f>
        <v>8/31/2011</v>
      </c>
      <c r="P318" t="str">
        <f>_xll.BDP("912834KQ Govt","SECURITY_NAME")</f>
        <v>S 0 08/31/18</v>
      </c>
      <c r="Q318" t="str">
        <f>_xll.BDP("912834KQ Govt","DAY_CNT_DES")</f>
        <v>ACT/ACT</v>
      </c>
      <c r="R318">
        <v>100</v>
      </c>
      <c r="S318" t="str">
        <f>_xll.BDP("912834KQ Govt","ID_CUSIP")</f>
        <v>912834KQ0</v>
      </c>
      <c r="T318" t="str">
        <f>_xll.BDP("912834KQ Govt","IDX_RATIO")</f>
        <v>#N/A Field Not Applicable</v>
      </c>
    </row>
    <row r="319" spans="1:20" x14ac:dyDescent="0.25">
      <c r="A319" t="s">
        <v>14</v>
      </c>
      <c r="B319" t="str">
        <f>_xll.BDP("912834KT Govt","TICKER")</f>
        <v>S</v>
      </c>
      <c r="C319">
        <f>_xll.BDP("912834KT Govt","CPN")</f>
        <v>0</v>
      </c>
      <c r="D319" t="str">
        <f>_xll.BDP("912834KT Govt","YLD_YTM_BID")</f>
        <v>#N/A N/A</v>
      </c>
      <c r="E319" t="str">
        <f>_xll.BDP("912834KT Govt","MATURITY")</f>
        <v>10/15/2014</v>
      </c>
      <c r="F319" t="str">
        <f>_xll.BDP("912834KT Govt","MTY_TYP")</f>
        <v>NORMAL</v>
      </c>
      <c r="G319" t="str">
        <f>_xll.BDP("912834KT Govt","CRNCY")</f>
        <v>USD</v>
      </c>
      <c r="H319" t="str">
        <f>_xll.BDP("912834KT Govt","COUNTRY_FULL_NAME")</f>
        <v>UNITED STATES</v>
      </c>
      <c r="I319" t="str">
        <f>_xll.BDP("912834KT Govt","FIRST_CPN_DT")</f>
        <v>#N/A Field Not Applicable</v>
      </c>
      <c r="J319" t="str">
        <f>_xll.BDP("912834KT Govt","COUPON_FREQUENCY_DESCRIPTION")</f>
        <v>#N/A Field Not Applicable</v>
      </c>
      <c r="K319" t="str">
        <f>_xll.BDP("912834KT Govt","CPN_TYP")</f>
        <v>ZERO</v>
      </c>
      <c r="L319" t="str">
        <f>_xll.BDP("912834KT Govt","ID_ISIN")</f>
        <v>US912834KT45</v>
      </c>
      <c r="N319">
        <v>0</v>
      </c>
      <c r="O319" t="str">
        <f>_xll.BDP("912834KT Govt","ISSUE_DT")</f>
        <v>10/17/2011</v>
      </c>
      <c r="P319" t="str">
        <f>_xll.BDP("912834KT Govt","SECURITY_NAME")</f>
        <v>S 0 10/15/14</v>
      </c>
      <c r="Q319" t="str">
        <f>_xll.BDP("912834KT Govt","DAY_CNT_DES")</f>
        <v>ACT/ACT</v>
      </c>
      <c r="R319">
        <v>100</v>
      </c>
      <c r="S319" t="str">
        <f>_xll.BDP("912834KT Govt","ID_CUSIP")</f>
        <v>912834KT4</v>
      </c>
      <c r="T319" t="str">
        <f>_xll.BDP("912834KT Govt","IDX_RATIO")</f>
        <v>#N/A Field Not Applicable</v>
      </c>
    </row>
    <row r="320" spans="1:20" x14ac:dyDescent="0.25">
      <c r="A320" t="s">
        <v>14</v>
      </c>
      <c r="B320" t="str">
        <f>_xll.BDP("912834LF Govt","TICKER")</f>
        <v>S</v>
      </c>
      <c r="C320">
        <f>_xll.BDP("912834LF Govt","CPN")</f>
        <v>0</v>
      </c>
      <c r="D320" t="str">
        <f>_xll.BDP("912834LF Govt","YLD_YTM_BID")</f>
        <v>#N/A N/A</v>
      </c>
      <c r="E320" t="str">
        <f>_xll.BDP("912834LF Govt","MATURITY")</f>
        <v>3/15/2015</v>
      </c>
      <c r="F320" t="str">
        <f>_xll.BDP("912834LF Govt","MTY_TYP")</f>
        <v>NORMAL</v>
      </c>
      <c r="G320" t="str">
        <f>_xll.BDP("912834LF Govt","CRNCY")</f>
        <v>USD</v>
      </c>
      <c r="H320" t="str">
        <f>_xll.BDP("912834LF Govt","COUNTRY_FULL_NAME")</f>
        <v>UNITED STATES</v>
      </c>
      <c r="I320" t="str">
        <f>_xll.BDP("912834LF Govt","FIRST_CPN_DT")</f>
        <v>#N/A Field Not Applicable</v>
      </c>
      <c r="J320" t="str">
        <f>_xll.BDP("912834LF Govt","COUPON_FREQUENCY_DESCRIPTION")</f>
        <v>#N/A Field Not Applicable</v>
      </c>
      <c r="K320" t="str">
        <f>_xll.BDP("912834LF Govt","CPN_TYP")</f>
        <v>ZERO</v>
      </c>
      <c r="L320" t="str">
        <f>_xll.BDP("912834LF Govt","ID_ISIN")</f>
        <v>US912834LF32</v>
      </c>
      <c r="N320">
        <v>0</v>
      </c>
      <c r="O320" t="str">
        <f>_xll.BDP("912834LF Govt","ISSUE_DT")</f>
        <v>3/15/2012</v>
      </c>
      <c r="P320" t="str">
        <f>_xll.BDP("912834LF Govt","SECURITY_NAME")</f>
        <v>S 0 03/15/15</v>
      </c>
      <c r="Q320" t="str">
        <f>_xll.BDP("912834LF Govt","DAY_CNT_DES")</f>
        <v>ACT/ACT</v>
      </c>
      <c r="R320">
        <v>100</v>
      </c>
      <c r="S320" t="str">
        <f>_xll.BDP("912834LF Govt","ID_CUSIP")</f>
        <v>912834LF3</v>
      </c>
      <c r="T320" t="str">
        <f>_xll.BDP("912834LF Govt","IDX_RATIO")</f>
        <v>#N/A Field Not Applicable</v>
      </c>
    </row>
    <row r="321" spans="1:20" x14ac:dyDescent="0.25">
      <c r="A321" t="s">
        <v>14</v>
      </c>
      <c r="B321" t="str">
        <f>_xll.BDP("912834LG Govt","TICKER")</f>
        <v>S</v>
      </c>
      <c r="C321">
        <f>_xll.BDP("912834LG Govt","CPN")</f>
        <v>0</v>
      </c>
      <c r="D321" t="str">
        <f>_xll.BDP("912834LG Govt","YLD_YTM_BID")</f>
        <v>#N/A N/A</v>
      </c>
      <c r="E321" t="str">
        <f>_xll.BDP("912834LG Govt","MATURITY")</f>
        <v>3/31/2019</v>
      </c>
      <c r="F321" t="str">
        <f>_xll.BDP("912834LG Govt","MTY_TYP")</f>
        <v>NORMAL</v>
      </c>
      <c r="G321" t="str">
        <f>_xll.BDP("912834LG Govt","CRNCY")</f>
        <v>USD</v>
      </c>
      <c r="H321" t="str">
        <f>_xll.BDP("912834LG Govt","COUNTRY_FULL_NAME")</f>
        <v>UNITED STATES</v>
      </c>
      <c r="I321" t="str">
        <f>_xll.BDP("912834LG Govt","FIRST_CPN_DT")</f>
        <v>#N/A Field Not Applicable</v>
      </c>
      <c r="J321" t="str">
        <f>_xll.BDP("912834LG Govt","COUPON_FREQUENCY_DESCRIPTION")</f>
        <v>#N/A Field Not Applicable</v>
      </c>
      <c r="K321" t="str">
        <f>_xll.BDP("912834LG Govt","CPN_TYP")</f>
        <v>ZERO</v>
      </c>
      <c r="L321" t="str">
        <f>_xll.BDP("912834LG Govt","ID_ISIN")</f>
        <v>US912834LG15</v>
      </c>
      <c r="N321">
        <v>0</v>
      </c>
      <c r="O321" t="str">
        <f>_xll.BDP("912834LG Govt","ISSUE_DT")</f>
        <v>4/2/2012</v>
      </c>
      <c r="P321" t="str">
        <f>_xll.BDP("912834LG Govt","SECURITY_NAME")</f>
        <v>S 0 03/31/19</v>
      </c>
      <c r="Q321" t="str">
        <f>_xll.BDP("912834LG Govt","DAY_CNT_DES")</f>
        <v>ACT/ACT</v>
      </c>
      <c r="R321">
        <v>100</v>
      </c>
      <c r="S321" t="str">
        <f>_xll.BDP("912834LG Govt","ID_CUSIP")</f>
        <v>912834LG1</v>
      </c>
      <c r="T321" t="str">
        <f>_xll.BDP("912834LG Govt","IDX_RATIO")</f>
        <v>#N/A Field Not Applicable</v>
      </c>
    </row>
    <row r="322" spans="1:20" x14ac:dyDescent="0.25">
      <c r="A322" t="s">
        <v>14</v>
      </c>
      <c r="B322" t="str">
        <f>_xll.BDP("912834LH Govt","TICKER")</f>
        <v>S</v>
      </c>
      <c r="C322">
        <f>_xll.BDP("912834LH Govt","CPN")</f>
        <v>0</v>
      </c>
      <c r="D322" t="str">
        <f>_xll.BDP("912834LH Govt","YLD_YTM_BID")</f>
        <v>#N/A N/A</v>
      </c>
      <c r="E322" t="str">
        <f>_xll.BDP("912834LH Govt","MATURITY")</f>
        <v>4/15/2015</v>
      </c>
      <c r="F322" t="str">
        <f>_xll.BDP("912834LH Govt","MTY_TYP")</f>
        <v>NORMAL</v>
      </c>
      <c r="G322" t="str">
        <f>_xll.BDP("912834LH Govt","CRNCY")</f>
        <v>USD</v>
      </c>
      <c r="H322" t="str">
        <f>_xll.BDP("912834LH Govt","COUNTRY_FULL_NAME")</f>
        <v>UNITED STATES</v>
      </c>
      <c r="I322" t="str">
        <f>_xll.BDP("912834LH Govt","FIRST_CPN_DT")</f>
        <v>#N/A Field Not Applicable</v>
      </c>
      <c r="J322" t="str">
        <f>_xll.BDP("912834LH Govt","COUPON_FREQUENCY_DESCRIPTION")</f>
        <v>#N/A Field Not Applicable</v>
      </c>
      <c r="K322" t="str">
        <f>_xll.BDP("912834LH Govt","CPN_TYP")</f>
        <v>ZERO</v>
      </c>
      <c r="L322" t="str">
        <f>_xll.BDP("912834LH Govt","ID_ISIN")</f>
        <v>US912834LH97</v>
      </c>
      <c r="N322">
        <v>0</v>
      </c>
      <c r="O322" t="str">
        <f>_xll.BDP("912834LH Govt","ISSUE_DT")</f>
        <v>4/16/2012</v>
      </c>
      <c r="P322" t="str">
        <f>_xll.BDP("912834LH Govt","SECURITY_NAME")</f>
        <v>S 0 04/15/15</v>
      </c>
      <c r="Q322" t="str">
        <f>_xll.BDP("912834LH Govt","DAY_CNT_DES")</f>
        <v>ACT/ACT</v>
      </c>
      <c r="R322">
        <v>100</v>
      </c>
      <c r="S322" t="str">
        <f>_xll.BDP("912834LH Govt","ID_CUSIP")</f>
        <v>912834LH9</v>
      </c>
      <c r="T322" t="str">
        <f>_xll.BDP("912834LH Govt","IDX_RATIO")</f>
        <v>#N/A Field Not Applicable</v>
      </c>
    </row>
    <row r="323" spans="1:20" x14ac:dyDescent="0.25">
      <c r="A323" t="s">
        <v>14</v>
      </c>
      <c r="B323" t="str">
        <f>_xll.BDP("912834LL Govt","TICKER")</f>
        <v>S</v>
      </c>
      <c r="C323">
        <f>_xll.BDP("912834LL Govt","CPN")</f>
        <v>0</v>
      </c>
      <c r="D323" t="str">
        <f>_xll.BDP("912834LL Govt","YLD_YTM_BID")</f>
        <v>#N/A N/A</v>
      </c>
      <c r="E323" t="str">
        <f>_xll.BDP("912834LL Govt","MATURITY")</f>
        <v>5/31/2019</v>
      </c>
      <c r="F323" t="str">
        <f>_xll.BDP("912834LL Govt","MTY_TYP")</f>
        <v>NORMAL</v>
      </c>
      <c r="G323" t="str">
        <f>_xll.BDP("912834LL Govt","CRNCY")</f>
        <v>USD</v>
      </c>
      <c r="H323" t="str">
        <f>_xll.BDP("912834LL Govt","COUNTRY_FULL_NAME")</f>
        <v>UNITED STATES</v>
      </c>
      <c r="I323" t="str">
        <f>_xll.BDP("912834LL Govt","FIRST_CPN_DT")</f>
        <v>#N/A Field Not Applicable</v>
      </c>
      <c r="J323" t="str">
        <f>_xll.BDP("912834LL Govt","COUPON_FREQUENCY_DESCRIPTION")</f>
        <v>#N/A Field Not Applicable</v>
      </c>
      <c r="K323" t="str">
        <f>_xll.BDP("912834LL Govt","CPN_TYP")</f>
        <v>ZERO</v>
      </c>
      <c r="L323" t="str">
        <f>_xll.BDP("912834LL Govt","ID_ISIN")</f>
        <v>US912834LL00</v>
      </c>
      <c r="N323">
        <v>0</v>
      </c>
      <c r="O323" t="str">
        <f>_xll.BDP("912834LL Govt","ISSUE_DT")</f>
        <v>5/31/2012</v>
      </c>
      <c r="P323" t="str">
        <f>_xll.BDP("912834LL Govt","SECURITY_NAME")</f>
        <v>S 0 05/31/19</v>
      </c>
      <c r="Q323" t="str">
        <f>_xll.BDP("912834LL Govt","DAY_CNT_DES")</f>
        <v>ACT/ACT</v>
      </c>
      <c r="R323">
        <v>100</v>
      </c>
      <c r="S323" t="str">
        <f>_xll.BDP("912834LL Govt","ID_CUSIP")</f>
        <v>912834LL0</v>
      </c>
      <c r="T323" t="str">
        <f>_xll.BDP("912834LL Govt","IDX_RATIO")</f>
        <v>#N/A Field Not Applicable</v>
      </c>
    </row>
    <row r="324" spans="1:20" x14ac:dyDescent="0.25">
      <c r="A324" t="s">
        <v>14</v>
      </c>
      <c r="B324" t="str">
        <f>_xll.BDP("912834LM Govt","TICKER")</f>
        <v>S</v>
      </c>
      <c r="C324">
        <f>_xll.BDP("912834LM Govt","CPN")</f>
        <v>0</v>
      </c>
      <c r="D324" t="str">
        <f>_xll.BDP("912834LM Govt","YLD_YTM_BID")</f>
        <v>#N/A N/A</v>
      </c>
      <c r="E324" t="str">
        <f>_xll.BDP("912834LM Govt","MATURITY")</f>
        <v>6/15/2015</v>
      </c>
      <c r="F324" t="str">
        <f>_xll.BDP("912834LM Govt","MTY_TYP")</f>
        <v>NORMAL</v>
      </c>
      <c r="G324" t="str">
        <f>_xll.BDP("912834LM Govt","CRNCY")</f>
        <v>USD</v>
      </c>
      <c r="H324" t="str">
        <f>_xll.BDP("912834LM Govt","COUNTRY_FULL_NAME")</f>
        <v>UNITED STATES</v>
      </c>
      <c r="I324" t="str">
        <f>_xll.BDP("912834LM Govt","FIRST_CPN_DT")</f>
        <v>#N/A Field Not Applicable</v>
      </c>
      <c r="J324" t="str">
        <f>_xll.BDP("912834LM Govt","COUPON_FREQUENCY_DESCRIPTION")</f>
        <v>#N/A Field Not Applicable</v>
      </c>
      <c r="K324" t="str">
        <f>_xll.BDP("912834LM Govt","CPN_TYP")</f>
        <v>ZERO</v>
      </c>
      <c r="L324" t="str">
        <f>_xll.BDP("912834LM Govt","ID_ISIN")</f>
        <v>US912834LM82</v>
      </c>
      <c r="N324">
        <v>0</v>
      </c>
      <c r="O324" t="str">
        <f>_xll.BDP("912834LM Govt","ISSUE_DT")</f>
        <v>6/15/2012</v>
      </c>
      <c r="P324" t="str">
        <f>_xll.BDP("912834LM Govt","SECURITY_NAME")</f>
        <v>S 0 06/15/15</v>
      </c>
      <c r="Q324" t="str">
        <f>_xll.BDP("912834LM Govt","DAY_CNT_DES")</f>
        <v>ACT/ACT</v>
      </c>
      <c r="R324">
        <v>100</v>
      </c>
      <c r="S324" t="str">
        <f>_xll.BDP("912834LM Govt","ID_CUSIP")</f>
        <v>912834LM8</v>
      </c>
      <c r="T324" t="str">
        <f>_xll.BDP("912834LM Govt","IDX_RATIO")</f>
        <v>#N/A Field Not Applicable</v>
      </c>
    </row>
    <row r="325" spans="1:20" x14ac:dyDescent="0.25">
      <c r="A325" t="s">
        <v>14</v>
      </c>
      <c r="B325" t="str">
        <f>_xll.BDP("912834LZ Govt","TICKER")</f>
        <v>S</v>
      </c>
      <c r="C325">
        <f>_xll.BDP("912834LZ Govt","CPN")</f>
        <v>0</v>
      </c>
      <c r="D325" t="str">
        <f>_xll.BDP("912834LZ Govt","YLD_YTM_BID")</f>
        <v>#N/A N/A</v>
      </c>
      <c r="E325" t="str">
        <f>_xll.BDP("912834LZ Govt","MATURITY")</f>
        <v>12/15/2015</v>
      </c>
      <c r="F325" t="str">
        <f>_xll.BDP("912834LZ Govt","MTY_TYP")</f>
        <v>NORMAL</v>
      </c>
      <c r="G325" t="str">
        <f>_xll.BDP("912834LZ Govt","CRNCY")</f>
        <v>USD</v>
      </c>
      <c r="H325" t="str">
        <f>_xll.BDP("912834LZ Govt","COUNTRY_FULL_NAME")</f>
        <v>UNITED STATES</v>
      </c>
      <c r="I325" t="str">
        <f>_xll.BDP("912834LZ Govt","FIRST_CPN_DT")</f>
        <v>#N/A Field Not Applicable</v>
      </c>
      <c r="J325" t="str">
        <f>_xll.BDP("912834LZ Govt","COUPON_FREQUENCY_DESCRIPTION")</f>
        <v>#N/A Field Not Applicable</v>
      </c>
      <c r="K325" t="str">
        <f>_xll.BDP("912834LZ Govt","CPN_TYP")</f>
        <v>ZERO</v>
      </c>
      <c r="L325" t="str">
        <f>_xll.BDP("912834LZ Govt","ID_ISIN")</f>
        <v>US912834LZ95</v>
      </c>
      <c r="N325">
        <v>0</v>
      </c>
      <c r="O325" t="str">
        <f>_xll.BDP("912834LZ Govt","ISSUE_DT")</f>
        <v>12/15/2012</v>
      </c>
      <c r="P325" t="str">
        <f>_xll.BDP("912834LZ Govt","SECURITY_NAME")</f>
        <v>S 0 12/15/15</v>
      </c>
      <c r="Q325" t="str">
        <f>_xll.BDP("912834LZ Govt","DAY_CNT_DES")</f>
        <v>ACT/ACT</v>
      </c>
      <c r="R325">
        <v>100</v>
      </c>
      <c r="S325" t="str">
        <f>_xll.BDP("912834LZ Govt","ID_CUSIP")</f>
        <v>912834LZ9</v>
      </c>
      <c r="T325" t="str">
        <f>_xll.BDP("912834LZ Govt","IDX_RATIO")</f>
        <v>#N/A Field Not Applicable</v>
      </c>
    </row>
    <row r="326" spans="1:20" x14ac:dyDescent="0.25">
      <c r="A326" t="s">
        <v>14</v>
      </c>
      <c r="B326" t="str">
        <f>_xll.BDP("912834MH Govt","TICKER")</f>
        <v>S</v>
      </c>
      <c r="C326">
        <f>_xll.BDP("912834MH Govt","CPN")</f>
        <v>0</v>
      </c>
      <c r="D326" t="str">
        <f>_xll.BDP("912834MH Govt","YLD_YTM_BID")</f>
        <v>#N/A N/A</v>
      </c>
      <c r="E326" t="str">
        <f>_xll.BDP("912834MH Govt","MATURITY")</f>
        <v>3/15/2016</v>
      </c>
      <c r="F326" t="str">
        <f>_xll.BDP("912834MH Govt","MTY_TYP")</f>
        <v>NORMAL</v>
      </c>
      <c r="G326" t="str">
        <f>_xll.BDP("912834MH Govt","CRNCY")</f>
        <v>USD</v>
      </c>
      <c r="H326" t="str">
        <f>_xll.BDP("912834MH Govt","COUNTRY_FULL_NAME")</f>
        <v>UNITED STATES</v>
      </c>
      <c r="I326" t="str">
        <f>_xll.BDP("912834MH Govt","FIRST_CPN_DT")</f>
        <v>#N/A Field Not Applicable</v>
      </c>
      <c r="J326" t="str">
        <f>_xll.BDP("912834MH Govt","COUPON_FREQUENCY_DESCRIPTION")</f>
        <v>#N/A Field Not Applicable</v>
      </c>
      <c r="K326" t="str">
        <f>_xll.BDP("912834MH Govt","CPN_TYP")</f>
        <v>ZERO</v>
      </c>
      <c r="L326" t="str">
        <f>_xll.BDP("912834MH Govt","ID_ISIN")</f>
        <v>US912834MH88</v>
      </c>
      <c r="N326">
        <v>0</v>
      </c>
      <c r="O326" t="str">
        <f>_xll.BDP("912834MH Govt","ISSUE_DT")</f>
        <v>3/15/2013</v>
      </c>
      <c r="P326" t="str">
        <f>_xll.BDP("912834MH Govt","SECURITY_NAME")</f>
        <v>S 0 03/15/16</v>
      </c>
      <c r="Q326" t="str">
        <f>_xll.BDP("912834MH Govt","DAY_CNT_DES")</f>
        <v>ACT/ACT</v>
      </c>
      <c r="R326">
        <v>100</v>
      </c>
      <c r="S326" t="str">
        <f>_xll.BDP("912834MH Govt","ID_CUSIP")</f>
        <v>912834MH8</v>
      </c>
      <c r="T326" t="str">
        <f>_xll.BDP("912834MH Govt","IDX_RATIO")</f>
        <v>#N/A Field Not Applicable</v>
      </c>
    </row>
    <row r="327" spans="1:20" x14ac:dyDescent="0.25">
      <c r="A327" t="s">
        <v>14</v>
      </c>
      <c r="B327" t="str">
        <f>_xll.BDP("912834MX Govt","TICKER")</f>
        <v>S</v>
      </c>
      <c r="C327">
        <f>_xll.BDP("912834MX Govt","CPN")</f>
        <v>0</v>
      </c>
      <c r="D327" t="str">
        <f>_xll.BDP("912834MX Govt","YLD_YTM_BID")</f>
        <v>#N/A N/A</v>
      </c>
      <c r="E327" t="str">
        <f>_xll.BDP("912834MX Govt","MATURITY")</f>
        <v>10/15/2016</v>
      </c>
      <c r="F327" t="str">
        <f>_xll.BDP("912834MX Govt","MTY_TYP")</f>
        <v>NORMAL</v>
      </c>
      <c r="G327" t="str">
        <f>_xll.BDP("912834MX Govt","CRNCY")</f>
        <v>USD</v>
      </c>
      <c r="H327" t="str">
        <f>_xll.BDP("912834MX Govt","COUNTRY_FULL_NAME")</f>
        <v>UNITED STATES</v>
      </c>
      <c r="I327" t="str">
        <f>_xll.BDP("912834MX Govt","FIRST_CPN_DT")</f>
        <v>#N/A Field Not Applicable</v>
      </c>
      <c r="J327" t="str">
        <f>_xll.BDP("912834MX Govt","COUPON_FREQUENCY_DESCRIPTION")</f>
        <v>#N/A Field Not Applicable</v>
      </c>
      <c r="K327" t="str">
        <f>_xll.BDP("912834MX Govt","CPN_TYP")</f>
        <v>ZERO</v>
      </c>
      <c r="L327" t="str">
        <f>_xll.BDP("912834MX Govt","ID_ISIN")</f>
        <v>US912834MX39</v>
      </c>
      <c r="N327">
        <v>0</v>
      </c>
      <c r="O327" t="str">
        <f>_xll.BDP("912834MX Govt","ISSUE_DT")</f>
        <v>10/15/2013</v>
      </c>
      <c r="P327" t="str">
        <f>_xll.BDP("912834MX Govt","SECURITY_NAME")</f>
        <v>S 0 10/15/16</v>
      </c>
      <c r="Q327" t="str">
        <f>_xll.BDP("912834MX Govt","DAY_CNT_DES")</f>
        <v>ACT/ACT</v>
      </c>
      <c r="R327">
        <v>100</v>
      </c>
      <c r="S327" t="str">
        <f>_xll.BDP("912834MX Govt","ID_CUSIP")</f>
        <v>912834MX3</v>
      </c>
      <c r="T327" t="str">
        <f>_xll.BDP("912834MX Govt","IDX_RATIO")</f>
        <v>#N/A Field Not Applicable</v>
      </c>
    </row>
    <row r="328" spans="1:20" x14ac:dyDescent="0.25">
      <c r="A328" t="s">
        <v>14</v>
      </c>
      <c r="B328" t="str">
        <f>_xll.BDP("912834MY Govt","TICKER")</f>
        <v>S</v>
      </c>
      <c r="C328">
        <f>_xll.BDP("912834MY Govt","CPN")</f>
        <v>0</v>
      </c>
      <c r="D328" t="str">
        <f>_xll.BDP("912834MY Govt","YLD_YTM_BID")</f>
        <v>#N/A N/A</v>
      </c>
      <c r="E328" t="str">
        <f>_xll.BDP("912834MY Govt","MATURITY")</f>
        <v>10/31/2020</v>
      </c>
      <c r="F328" t="str">
        <f>_xll.BDP("912834MY Govt","MTY_TYP")</f>
        <v>NORMAL</v>
      </c>
      <c r="G328" t="str">
        <f>_xll.BDP("912834MY Govt","CRNCY")</f>
        <v>USD</v>
      </c>
      <c r="H328" t="str">
        <f>_xll.BDP("912834MY Govt","COUNTRY_FULL_NAME")</f>
        <v>UNITED STATES</v>
      </c>
      <c r="I328" t="str">
        <f>_xll.BDP("912834MY Govt","FIRST_CPN_DT")</f>
        <v>#N/A Field Not Applicable</v>
      </c>
      <c r="J328" t="str">
        <f>_xll.BDP("912834MY Govt","COUPON_FREQUENCY_DESCRIPTION")</f>
        <v>#N/A Field Not Applicable</v>
      </c>
      <c r="K328" t="str">
        <f>_xll.BDP("912834MY Govt","CPN_TYP")</f>
        <v>ZERO</v>
      </c>
      <c r="L328" t="str">
        <f>_xll.BDP("912834MY Govt","ID_ISIN")</f>
        <v>US912834MY12</v>
      </c>
      <c r="N328">
        <v>0</v>
      </c>
      <c r="O328" t="str">
        <f>_xll.BDP("912834MY Govt","ISSUE_DT")</f>
        <v>10/31/2013</v>
      </c>
      <c r="P328" t="str">
        <f>_xll.BDP("912834MY Govt","SECURITY_NAME")</f>
        <v>S 0 10/31/20</v>
      </c>
      <c r="Q328" t="str">
        <f>_xll.BDP("912834MY Govt","DAY_CNT_DES")</f>
        <v>ACT/ACT</v>
      </c>
      <c r="R328">
        <v>100</v>
      </c>
      <c r="S328" t="str">
        <f>_xll.BDP("912834MY Govt","ID_CUSIP")</f>
        <v>912834MY1</v>
      </c>
      <c r="T328" t="str">
        <f>_xll.BDP("912834MY Govt","IDX_RATIO")</f>
        <v>#N/A Field Not Applicable</v>
      </c>
    </row>
    <row r="329" spans="1:20" x14ac:dyDescent="0.25">
      <c r="A329" t="s">
        <v>14</v>
      </c>
      <c r="B329" t="str">
        <f>_xll.BDP("912834PK Govt","TICKER")</f>
        <v>S</v>
      </c>
      <c r="C329">
        <f>_xll.BDP("912834PK Govt","CPN")</f>
        <v>0</v>
      </c>
      <c r="D329" t="str">
        <f>_xll.BDP("912834PK Govt","YLD_YTM_BID")</f>
        <v>#N/A N/A</v>
      </c>
      <c r="E329" t="str">
        <f>_xll.BDP("912834PK Govt","MATURITY")</f>
        <v>7/15/2018</v>
      </c>
      <c r="F329" t="str">
        <f>_xll.BDP("912834PK Govt","MTY_TYP")</f>
        <v>NORMAL</v>
      </c>
      <c r="G329" t="str">
        <f>_xll.BDP("912834PK Govt","CRNCY")</f>
        <v>USD</v>
      </c>
      <c r="H329" t="str">
        <f>_xll.BDP("912834PK Govt","COUNTRY_FULL_NAME")</f>
        <v>UNITED STATES</v>
      </c>
      <c r="I329" t="str">
        <f>_xll.BDP("912834PK Govt","FIRST_CPN_DT")</f>
        <v>#N/A Field Not Applicable</v>
      </c>
      <c r="J329" t="str">
        <f>_xll.BDP("912834PK Govt","COUPON_FREQUENCY_DESCRIPTION")</f>
        <v>#N/A Field Not Applicable</v>
      </c>
      <c r="K329" t="str">
        <f>_xll.BDP("912834PK Govt","CPN_TYP")</f>
        <v>ZERO</v>
      </c>
      <c r="L329" t="str">
        <f>_xll.BDP("912834PK Govt","ID_ISIN")</f>
        <v>US912834PK80</v>
      </c>
      <c r="N329">
        <v>0</v>
      </c>
      <c r="O329" t="str">
        <f>_xll.BDP("912834PK Govt","ISSUE_DT")</f>
        <v>7/15/2015</v>
      </c>
      <c r="P329" t="str">
        <f>_xll.BDP("912834PK Govt","SECURITY_NAME")</f>
        <v>S 0 07/15/18</v>
      </c>
      <c r="Q329" t="str">
        <f>_xll.BDP("912834PK Govt","DAY_CNT_DES")</f>
        <v>ACT/ACT</v>
      </c>
      <c r="R329">
        <v>100</v>
      </c>
      <c r="S329" t="str">
        <f>_xll.BDP("912834PK Govt","ID_CUSIP")</f>
        <v>912834PK8</v>
      </c>
      <c r="T329" t="str">
        <f>_xll.BDP("912834PK Govt","IDX_RATIO")</f>
        <v>#N/A Field Not Applicable</v>
      </c>
    </row>
    <row r="330" spans="1:20" x14ac:dyDescent="0.25">
      <c r="A330" t="s">
        <v>14</v>
      </c>
      <c r="B330" t="str">
        <f>_xll.BDP("912833A4 Govt","TICKER")</f>
        <v>S</v>
      </c>
      <c r="C330">
        <f>_xll.BDP("912833A4 Govt","CPN")</f>
        <v>0</v>
      </c>
      <c r="D330" t="str">
        <f>_xll.BDP("912833A4 Govt","YLD_YTM_BID")</f>
        <v>#N/A N/A</v>
      </c>
      <c r="E330" t="str">
        <f>_xll.BDP("912833A4 Govt","MATURITY")</f>
        <v>4/15/2008</v>
      </c>
      <c r="F330" t="str">
        <f>_xll.BDP("912833A4 Govt","MTY_TYP")</f>
        <v>NORMAL</v>
      </c>
      <c r="G330" t="str">
        <f>_xll.BDP("912833A4 Govt","CRNCY")</f>
        <v>USD</v>
      </c>
      <c r="H330" t="str">
        <f>_xll.BDP("912833A4 Govt","COUNTRY_FULL_NAME")</f>
        <v>UNITED STATES</v>
      </c>
      <c r="I330" t="str">
        <f>_xll.BDP("912833A4 Govt","FIRST_CPN_DT")</f>
        <v>#N/A Field Not Applicable</v>
      </c>
      <c r="J330" t="str">
        <f>_xll.BDP("912833A4 Govt","COUPON_FREQUENCY_DESCRIPTION")</f>
        <v>#N/A Field Not Applicable</v>
      </c>
      <c r="K330" t="str">
        <f>_xll.BDP("912833A4 Govt","CPN_TYP")</f>
        <v>ZERO</v>
      </c>
      <c r="L330" t="str">
        <f>_xll.BDP("912833A4 Govt","ID_ISIN")</f>
        <v>US912833A420</v>
      </c>
      <c r="N330">
        <v>0</v>
      </c>
      <c r="O330" t="str">
        <f>_xll.BDP("912833A4 Govt","ISSUE_DT")</f>
        <v>10/15/2003</v>
      </c>
      <c r="P330" t="str">
        <f>_xll.BDP("912833A4 Govt","SECURITY_NAME")</f>
        <v>S 0 04/15/08</v>
      </c>
      <c r="Q330" t="str">
        <f>_xll.BDP("912833A4 Govt","DAY_CNT_DES")</f>
        <v>ACT/ACT</v>
      </c>
      <c r="R330">
        <v>100</v>
      </c>
      <c r="S330" t="str">
        <f>_xll.BDP("912833A4 Govt","ID_CUSIP")</f>
        <v>912833A42</v>
      </c>
      <c r="T330" t="str">
        <f>_xll.BDP("912833A4 Govt","IDX_RATIO")</f>
        <v>#N/A Field Not Applicable</v>
      </c>
    </row>
    <row r="331" spans="1:20" x14ac:dyDescent="0.25">
      <c r="A331" t="s">
        <v>14</v>
      </c>
      <c r="B331" t="str">
        <f>_xll.BDP("912833B5 Govt","TICKER")</f>
        <v>S</v>
      </c>
      <c r="C331">
        <f>_xll.BDP("912833B5 Govt","CPN")</f>
        <v>0</v>
      </c>
      <c r="D331" t="str">
        <f>_xll.BDP("912833B5 Govt","YLD_YTM_BID")</f>
        <v>#N/A N/A</v>
      </c>
      <c r="E331" t="str">
        <f>_xll.BDP("912833B5 Govt","MATURITY")</f>
        <v>12/15/2006</v>
      </c>
      <c r="F331" t="str">
        <f>_xll.BDP("912833B5 Govt","MTY_TYP")</f>
        <v>NORMAL</v>
      </c>
      <c r="G331" t="str">
        <f>_xll.BDP("912833B5 Govt","CRNCY")</f>
        <v>USD</v>
      </c>
      <c r="H331" t="str">
        <f>_xll.BDP("912833B5 Govt","COUNTRY_FULL_NAME")</f>
        <v>UNITED STATES</v>
      </c>
      <c r="I331" t="str">
        <f>_xll.BDP("912833B5 Govt","FIRST_CPN_DT")</f>
        <v>#N/A Field Not Applicable</v>
      </c>
      <c r="J331" t="str">
        <f>_xll.BDP("912833B5 Govt","COUPON_FREQUENCY_DESCRIPTION")</f>
        <v>#N/A Field Not Applicable</v>
      </c>
      <c r="K331" t="str">
        <f>_xll.BDP("912833B5 Govt","CPN_TYP")</f>
        <v>ZERO</v>
      </c>
      <c r="L331" t="str">
        <f>_xll.BDP("912833B5 Govt","ID_ISIN")</f>
        <v>US912833B584</v>
      </c>
      <c r="N331">
        <v>0</v>
      </c>
      <c r="O331" t="str">
        <f>_xll.BDP("912833B5 Govt","ISSUE_DT")</f>
        <v>12/15/2003</v>
      </c>
      <c r="P331" t="str">
        <f>_xll.BDP("912833B5 Govt","SECURITY_NAME")</f>
        <v>S 0 12/15/06</v>
      </c>
      <c r="Q331" t="str">
        <f>_xll.BDP("912833B5 Govt","DAY_CNT_DES")</f>
        <v>ACT/ACT</v>
      </c>
      <c r="R331">
        <v>100</v>
      </c>
      <c r="S331" t="str">
        <f>_xll.BDP("912833B5 Govt","ID_CUSIP")</f>
        <v>912833B58</v>
      </c>
      <c r="T331" t="str">
        <f>_xll.BDP("912833B5 Govt","IDX_RATIO")</f>
        <v>#N/A Field Not Applicable</v>
      </c>
    </row>
    <row r="332" spans="1:20" x14ac:dyDescent="0.25">
      <c r="A332" t="s">
        <v>14</v>
      </c>
      <c r="B332" t="str">
        <f>_xll.BDP("912833LB Govt","TICKER")</f>
        <v>S</v>
      </c>
      <c r="C332">
        <f>_xll.BDP("912833LB Govt","CPN")</f>
        <v>0</v>
      </c>
      <c r="D332" t="str">
        <f>_xll.BDP("912833LB Govt","YLD_YTM_BID")</f>
        <v>#N/A N/A</v>
      </c>
      <c r="E332" t="str">
        <f>_xll.BDP("912833LB Govt","MATURITY")</f>
        <v>11/15/2020</v>
      </c>
      <c r="F332" t="str">
        <f>_xll.BDP("912833LB Govt","MTY_TYP")</f>
        <v>NORMAL</v>
      </c>
      <c r="G332" t="str">
        <f>_xll.BDP("912833LB Govt","CRNCY")</f>
        <v>USD</v>
      </c>
      <c r="H332" t="str">
        <f>_xll.BDP("912833LB Govt","COUNTRY_FULL_NAME")</f>
        <v>UNITED STATES</v>
      </c>
      <c r="I332" t="str">
        <f>_xll.BDP("912833LB Govt","FIRST_CPN_DT")</f>
        <v>#N/A Field Not Applicable</v>
      </c>
      <c r="J332" t="str">
        <f>_xll.BDP("912833LB Govt","COUPON_FREQUENCY_DESCRIPTION")</f>
        <v>#N/A Field Not Applicable</v>
      </c>
      <c r="K332" t="str">
        <f>_xll.BDP("912833LB Govt","CPN_TYP")</f>
        <v>ZERO</v>
      </c>
      <c r="L332" t="str">
        <f>_xll.BDP("912833LB Govt","ID_ISIN")</f>
        <v>US912833LB45</v>
      </c>
      <c r="N332">
        <v>0</v>
      </c>
      <c r="O332" t="str">
        <f>_xll.BDP("912833LB Govt","ISSUE_DT")</f>
        <v>11/15/1990</v>
      </c>
      <c r="P332" t="str">
        <f>_xll.BDP("912833LB Govt","SECURITY_NAME")</f>
        <v>S 0 11/15/20</v>
      </c>
      <c r="Q332" t="str">
        <f>_xll.BDP("912833LB Govt","DAY_CNT_DES")</f>
        <v>ACT/ACT</v>
      </c>
      <c r="R332">
        <v>100</v>
      </c>
      <c r="S332" t="str">
        <f>_xll.BDP("912833LB Govt","ID_CUSIP")</f>
        <v>912833LB4</v>
      </c>
      <c r="T332" t="str">
        <f>_xll.BDP("912833LB Govt","IDX_RATIO")</f>
        <v>#N/A Field Not Applicable</v>
      </c>
    </row>
    <row r="333" spans="1:20" x14ac:dyDescent="0.25">
      <c r="A333" t="s">
        <v>14</v>
      </c>
      <c r="B333" t="str">
        <f>_xll.BDP("912833MR Govt","TICKER")</f>
        <v>S</v>
      </c>
      <c r="C333">
        <f>_xll.BDP("912833MR Govt","CPN")</f>
        <v>0</v>
      </c>
      <c r="D333" t="str">
        <f>_xll.BDP("912833MR Govt","YLD_YTM_BID")</f>
        <v>#N/A N/A</v>
      </c>
      <c r="E333" t="str">
        <f>_xll.BDP("912833MR Govt","MATURITY")</f>
        <v>10/15/2000</v>
      </c>
      <c r="F333" t="str">
        <f>_xll.BDP("912833MR Govt","MTY_TYP")</f>
        <v>NORMAL</v>
      </c>
      <c r="G333" t="str">
        <f>_xll.BDP("912833MR Govt","CRNCY")</f>
        <v>USD</v>
      </c>
      <c r="H333" t="str">
        <f>_xll.BDP("912833MR Govt","COUNTRY_FULL_NAME")</f>
        <v>UNITED STATES</v>
      </c>
      <c r="I333" t="str">
        <f>_xll.BDP("912833MR Govt","FIRST_CPN_DT")</f>
        <v>#N/A Field Not Applicable</v>
      </c>
      <c r="J333" t="str">
        <f>_xll.BDP("912833MR Govt","COUPON_FREQUENCY_DESCRIPTION")</f>
        <v>#N/A Field Not Applicable</v>
      </c>
      <c r="K333" t="str">
        <f>_xll.BDP("912833MR Govt","CPN_TYP")</f>
        <v>ZERO</v>
      </c>
      <c r="L333" t="str">
        <f>_xll.BDP("912833MR Govt","ID_ISIN")</f>
        <v>US912833MR87</v>
      </c>
      <c r="N333">
        <v>0</v>
      </c>
      <c r="O333" t="str">
        <f>_xll.BDP("912833MR Govt","ISSUE_DT")</f>
        <v>10/15/1996</v>
      </c>
      <c r="P333" t="str">
        <f>_xll.BDP("912833MR Govt","SECURITY_NAME")</f>
        <v>S 0 10/15/00</v>
      </c>
      <c r="Q333" t="str">
        <f>_xll.BDP("912833MR Govt","DAY_CNT_DES")</f>
        <v>ACT/ACT</v>
      </c>
      <c r="R333">
        <v>100</v>
      </c>
      <c r="S333" t="str">
        <f>_xll.BDP("912833MR Govt","ID_CUSIP")</f>
        <v>912833MR8</v>
      </c>
      <c r="T333" t="str">
        <f>_xll.BDP("912833MR Govt","IDX_RATIO")</f>
        <v>#N/A Field Not Applicable</v>
      </c>
    </row>
    <row r="334" spans="1:20" x14ac:dyDescent="0.25">
      <c r="A334" t="s">
        <v>14</v>
      </c>
      <c r="B334" t="str">
        <f>_xll.BDP("912833NJ Govt","TICKER")</f>
        <v>S</v>
      </c>
      <c r="C334">
        <f>_xll.BDP("912833NJ Govt","CPN")</f>
        <v>0</v>
      </c>
      <c r="D334" t="str">
        <f>_xll.BDP("912833NJ Govt","YLD_YTM_BID")</f>
        <v>#N/A N/A</v>
      </c>
      <c r="E334" t="str">
        <f>_xll.BDP("912833NJ Govt","MATURITY")</f>
        <v>1/15/2005</v>
      </c>
      <c r="F334" t="str">
        <f>_xll.BDP("912833NJ Govt","MTY_TYP")</f>
        <v>NORMAL</v>
      </c>
      <c r="G334" t="str">
        <f>_xll.BDP("912833NJ Govt","CRNCY")</f>
        <v>USD</v>
      </c>
      <c r="H334" t="str">
        <f>_xll.BDP("912833NJ Govt","COUNTRY_FULL_NAME")</f>
        <v>UNITED STATES</v>
      </c>
      <c r="I334" t="str">
        <f>_xll.BDP("912833NJ Govt","FIRST_CPN_DT")</f>
        <v>#N/A Field Not Applicable</v>
      </c>
      <c r="J334" t="str">
        <f>_xll.BDP("912833NJ Govt","COUPON_FREQUENCY_DESCRIPTION")</f>
        <v>#N/A Field Not Applicable</v>
      </c>
      <c r="K334" t="str">
        <f>_xll.BDP("912833NJ Govt","CPN_TYP")</f>
        <v>ZERO</v>
      </c>
      <c r="L334" t="str">
        <f>_xll.BDP("912833NJ Govt","ID_ISIN")</f>
        <v>US912833NJ52</v>
      </c>
      <c r="N334">
        <v>0</v>
      </c>
      <c r="O334" t="str">
        <f>_xll.BDP("912833NJ Govt","ISSUE_DT")</f>
        <v>7/15/1996</v>
      </c>
      <c r="P334" t="str">
        <f>_xll.BDP("912833NJ Govt","SECURITY_NAME")</f>
        <v>S 0 01/15/05</v>
      </c>
      <c r="Q334" t="str">
        <f>_xll.BDP("912833NJ Govt","DAY_CNT_DES")</f>
        <v>ACT/ACT</v>
      </c>
      <c r="R334">
        <v>100</v>
      </c>
      <c r="S334" t="str">
        <f>_xll.BDP("912833NJ Govt","ID_CUSIP")</f>
        <v>912833NJ5</v>
      </c>
      <c r="T334" t="str">
        <f>_xll.BDP("912833NJ Govt","IDX_RATIO")</f>
        <v>#N/A Field Not Applicable</v>
      </c>
    </row>
    <row r="335" spans="1:20" x14ac:dyDescent="0.25">
      <c r="A335" t="s">
        <v>14</v>
      </c>
      <c r="B335" t="str">
        <f>_xll.BDP("912833NL Govt","TICKER")</f>
        <v>S</v>
      </c>
      <c r="C335">
        <f>_xll.BDP("912833NL Govt","CPN")</f>
        <v>0</v>
      </c>
      <c r="D335" t="str">
        <f>_xll.BDP("912833NL Govt","YLD_YTM_BID")</f>
        <v>#N/A N/A</v>
      </c>
      <c r="E335" t="str">
        <f>_xll.BDP("912833NL Govt","MATURITY")</f>
        <v>7/15/2005</v>
      </c>
      <c r="F335" t="str">
        <f>_xll.BDP("912833NL Govt","MTY_TYP")</f>
        <v>NORMAL</v>
      </c>
      <c r="G335" t="str">
        <f>_xll.BDP("912833NL Govt","CRNCY")</f>
        <v>USD</v>
      </c>
      <c r="H335" t="str">
        <f>_xll.BDP("912833NL Govt","COUNTRY_FULL_NAME")</f>
        <v>UNITED STATES</v>
      </c>
      <c r="I335" t="str">
        <f>_xll.BDP("912833NL Govt","FIRST_CPN_DT")</f>
        <v>#N/A Field Not Applicable</v>
      </c>
      <c r="J335" t="str">
        <f>_xll.BDP("912833NL Govt","COUPON_FREQUENCY_DESCRIPTION")</f>
        <v>#N/A Field Not Applicable</v>
      </c>
      <c r="K335" t="str">
        <f>_xll.BDP("912833NL Govt","CPN_TYP")</f>
        <v>ZERO</v>
      </c>
      <c r="L335" t="str">
        <f>_xll.BDP("912833NL Govt","ID_ISIN")</f>
        <v>US912833NL09</v>
      </c>
      <c r="N335">
        <v>0</v>
      </c>
      <c r="O335" t="str">
        <f>_xll.BDP("912833NL Govt","ISSUE_DT")</f>
        <v>7/15/1996</v>
      </c>
      <c r="P335" t="str">
        <f>_xll.BDP("912833NL Govt","SECURITY_NAME")</f>
        <v>S 0 07/15/05</v>
      </c>
      <c r="Q335" t="str">
        <f>_xll.BDP("912833NL Govt","DAY_CNT_DES")</f>
        <v>ACT/ACT</v>
      </c>
      <c r="R335">
        <v>100</v>
      </c>
      <c r="S335" t="str">
        <f>_xll.BDP("912833NL Govt","ID_CUSIP")</f>
        <v>912833NL0</v>
      </c>
      <c r="T335" t="str">
        <f>_xll.BDP("912833NL Govt","IDX_RATIO")</f>
        <v>#N/A Field Not Applicable</v>
      </c>
    </row>
    <row r="336" spans="1:20" x14ac:dyDescent="0.25">
      <c r="A336" t="s">
        <v>14</v>
      </c>
      <c r="B336" t="str">
        <f>_xll.BDP("912833PH Govt","TICKER")</f>
        <v>S</v>
      </c>
      <c r="C336">
        <f>_xll.BDP("912833PH Govt","CPN")</f>
        <v>0</v>
      </c>
      <c r="D336" t="str">
        <f>_xll.BDP("912833PH Govt","YLD_YTM_BID")</f>
        <v>#N/A N/A</v>
      </c>
      <c r="E336" t="str">
        <f>_xll.BDP("912833PH Govt","MATURITY")</f>
        <v>3/31/1999</v>
      </c>
      <c r="F336" t="str">
        <f>_xll.BDP("912833PH Govt","MTY_TYP")</f>
        <v>NORMAL</v>
      </c>
      <c r="G336" t="str">
        <f>_xll.BDP("912833PH Govt","CRNCY")</f>
        <v>USD</v>
      </c>
      <c r="H336" t="str">
        <f>_xll.BDP("912833PH Govt","COUNTRY_FULL_NAME")</f>
        <v>UNITED STATES</v>
      </c>
      <c r="I336" t="str">
        <f>_xll.BDP("912833PH Govt","FIRST_CPN_DT")</f>
        <v>#N/A Field Not Applicable</v>
      </c>
      <c r="J336" t="str">
        <f>_xll.BDP("912833PH Govt","COUPON_FREQUENCY_DESCRIPTION")</f>
        <v>#N/A Field Not Applicable</v>
      </c>
      <c r="K336" t="str">
        <f>_xll.BDP("912833PH Govt","CPN_TYP")</f>
        <v>ZERO</v>
      </c>
      <c r="L336" t="str">
        <f>_xll.BDP("912833PH Govt","ID_ISIN")</f>
        <v>US912833PH78</v>
      </c>
      <c r="N336">
        <v>0</v>
      </c>
      <c r="O336" t="str">
        <f>_xll.BDP("912833PH Govt","ISSUE_DT")</f>
        <v>9/30/1997</v>
      </c>
      <c r="P336" t="str">
        <f>_xll.BDP("912833PH Govt","SECURITY_NAME")</f>
        <v>S 0 03/31/99</v>
      </c>
      <c r="Q336" t="str">
        <f>_xll.BDP("912833PH Govt","DAY_CNT_DES")</f>
        <v>ACT/ACT</v>
      </c>
      <c r="R336">
        <v>100</v>
      </c>
      <c r="S336" t="str">
        <f>_xll.BDP("912833PH Govt","ID_CUSIP")</f>
        <v>912833PH7</v>
      </c>
      <c r="T336" t="str">
        <f>_xll.BDP("912833PH Govt","IDX_RATIO")</f>
        <v>#N/A Field Not Applicable</v>
      </c>
    </row>
    <row r="337" spans="1:20" x14ac:dyDescent="0.25">
      <c r="A337" t="s">
        <v>14</v>
      </c>
      <c r="B337" t="str">
        <f>_xll.BDP("912833PP Govt","TICKER")</f>
        <v>S</v>
      </c>
      <c r="C337">
        <f>_xll.BDP("912833PP Govt","CPN")</f>
        <v>0</v>
      </c>
      <c r="D337" t="str">
        <f>_xll.BDP("912833PP Govt","YLD_YTM_BID")</f>
        <v>#N/A N/A</v>
      </c>
      <c r="E337" t="str">
        <f>_xll.BDP("912833PP Govt","MATURITY")</f>
        <v>3/31/2002</v>
      </c>
      <c r="F337" t="str">
        <f>_xll.BDP("912833PP Govt","MTY_TYP")</f>
        <v>NORMAL</v>
      </c>
      <c r="G337" t="str">
        <f>_xll.BDP("912833PP Govt","CRNCY")</f>
        <v>USD</v>
      </c>
      <c r="H337" t="str">
        <f>_xll.BDP("912833PP Govt","COUNTRY_FULL_NAME")</f>
        <v>UNITED STATES</v>
      </c>
      <c r="I337" t="str">
        <f>_xll.BDP("912833PP Govt","FIRST_CPN_DT")</f>
        <v>#N/A Field Not Applicable</v>
      </c>
      <c r="J337" t="str">
        <f>_xll.BDP("912833PP Govt","COUPON_FREQUENCY_DESCRIPTION")</f>
        <v>#N/A Field Not Applicable</v>
      </c>
      <c r="K337" t="str">
        <f>_xll.BDP("912833PP Govt","CPN_TYP")</f>
        <v>ZERO</v>
      </c>
      <c r="L337" t="str">
        <f>_xll.BDP("912833PP Govt","ID_ISIN")</f>
        <v>US912833PP94</v>
      </c>
      <c r="N337">
        <v>0</v>
      </c>
      <c r="O337" t="str">
        <f>_xll.BDP("912833PP Govt","ISSUE_DT")</f>
        <v>9/30/1997</v>
      </c>
      <c r="P337" t="str">
        <f>_xll.BDP("912833PP Govt","SECURITY_NAME")</f>
        <v>S 0 03/31/02</v>
      </c>
      <c r="Q337" t="str">
        <f>_xll.BDP("912833PP Govt","DAY_CNT_DES")</f>
        <v>ACT/ACT</v>
      </c>
      <c r="R337">
        <v>100</v>
      </c>
      <c r="S337" t="str">
        <f>_xll.BDP("912833PP Govt","ID_CUSIP")</f>
        <v>912833PP9</v>
      </c>
      <c r="T337" t="str">
        <f>_xll.BDP("912833PP Govt","IDX_RATIO")</f>
        <v>#N/A Field Not Applicable</v>
      </c>
    </row>
    <row r="338" spans="1:20" x14ac:dyDescent="0.25">
      <c r="A338" t="s">
        <v>14</v>
      </c>
      <c r="B338" t="str">
        <f>_xll.BDP("912833PV Govt","TICKER")</f>
        <v>S</v>
      </c>
      <c r="C338">
        <f>_xll.BDP("912833PV Govt","CPN")</f>
        <v>0</v>
      </c>
      <c r="D338" t="str">
        <f>_xll.BDP("912833PV Govt","YLD_YTM_BID")</f>
        <v>#N/A N/A</v>
      </c>
      <c r="E338" t="str">
        <f>_xll.BDP("912833PV Govt","MATURITY")</f>
        <v>4/30/2000</v>
      </c>
      <c r="F338" t="str">
        <f>_xll.BDP("912833PV Govt","MTY_TYP")</f>
        <v>NORMAL</v>
      </c>
      <c r="G338" t="str">
        <f>_xll.BDP("912833PV Govt","CRNCY")</f>
        <v>USD</v>
      </c>
      <c r="H338" t="str">
        <f>_xll.BDP("912833PV Govt","COUNTRY_FULL_NAME")</f>
        <v>UNITED STATES</v>
      </c>
      <c r="I338" t="str">
        <f>_xll.BDP("912833PV Govt","FIRST_CPN_DT")</f>
        <v>#N/A Field Not Applicable</v>
      </c>
      <c r="J338" t="str">
        <f>_xll.BDP("912833PV Govt","COUPON_FREQUENCY_DESCRIPTION")</f>
        <v>#N/A Field Not Applicable</v>
      </c>
      <c r="K338" t="str">
        <f>_xll.BDP("912833PV Govt","CPN_TYP")</f>
        <v>ZERO</v>
      </c>
      <c r="L338" t="str">
        <f>_xll.BDP("912833PV Govt","ID_ISIN")</f>
        <v>US912833PV62</v>
      </c>
      <c r="N338">
        <v>0</v>
      </c>
      <c r="O338" t="str">
        <f>_xll.BDP("912833PV Govt","ISSUE_DT")</f>
        <v>10/31/1997</v>
      </c>
      <c r="P338" t="str">
        <f>_xll.BDP("912833PV Govt","SECURITY_NAME")</f>
        <v>S 0 04/30/00</v>
      </c>
      <c r="Q338" t="str">
        <f>_xll.BDP("912833PV Govt","DAY_CNT_DES")</f>
        <v>ACT/ACT</v>
      </c>
      <c r="R338">
        <v>100</v>
      </c>
      <c r="S338" t="str">
        <f>_xll.BDP("912833PV Govt","ID_CUSIP")</f>
        <v>912833PV6</v>
      </c>
      <c r="T338" t="str">
        <f>_xll.BDP("912833PV Govt","IDX_RATIO")</f>
        <v>#N/A Field Not Applicable</v>
      </c>
    </row>
    <row r="339" spans="1:20" x14ac:dyDescent="0.25">
      <c r="A339" t="s">
        <v>14</v>
      </c>
      <c r="B339" t="str">
        <f>_xll.BDP("912833PX Govt","TICKER")</f>
        <v>S</v>
      </c>
      <c r="C339">
        <f>_xll.BDP("912833PX Govt","CPN")</f>
        <v>0</v>
      </c>
      <c r="D339" t="str">
        <f>_xll.BDP("912833PX Govt","YLD_YTM_BID")</f>
        <v>#N/A N/A</v>
      </c>
      <c r="E339" t="str">
        <f>_xll.BDP("912833PX Govt","MATURITY")</f>
        <v>4/30/2001</v>
      </c>
      <c r="F339" t="str">
        <f>_xll.BDP("912833PX Govt","MTY_TYP")</f>
        <v>NORMAL</v>
      </c>
      <c r="G339" t="str">
        <f>_xll.BDP("912833PX Govt","CRNCY")</f>
        <v>USD</v>
      </c>
      <c r="H339" t="str">
        <f>_xll.BDP("912833PX Govt","COUNTRY_FULL_NAME")</f>
        <v>UNITED STATES</v>
      </c>
      <c r="I339" t="str">
        <f>_xll.BDP("912833PX Govt","FIRST_CPN_DT")</f>
        <v>#N/A Field Not Applicable</v>
      </c>
      <c r="J339" t="str">
        <f>_xll.BDP("912833PX Govt","COUPON_FREQUENCY_DESCRIPTION")</f>
        <v>#N/A Field Not Applicable</v>
      </c>
      <c r="K339" t="str">
        <f>_xll.BDP("912833PX Govt","CPN_TYP")</f>
        <v>ZERO</v>
      </c>
      <c r="L339" t="str">
        <f>_xll.BDP("912833PX Govt","ID_ISIN")</f>
        <v>US912833PX29</v>
      </c>
      <c r="N339">
        <v>0</v>
      </c>
      <c r="O339" t="str">
        <f>_xll.BDP("912833PX Govt","ISSUE_DT")</f>
        <v>10/31/1997</v>
      </c>
      <c r="P339" t="str">
        <f>_xll.BDP("912833PX Govt","SECURITY_NAME")</f>
        <v>S 0 04/30/01</v>
      </c>
      <c r="Q339" t="str">
        <f>_xll.BDP("912833PX Govt","DAY_CNT_DES")</f>
        <v>ACT/ACT</v>
      </c>
      <c r="R339">
        <v>100</v>
      </c>
      <c r="S339" t="str">
        <f>_xll.BDP("912833PX Govt","ID_CUSIP")</f>
        <v>912833PX2</v>
      </c>
      <c r="T339" t="str">
        <f>_xll.BDP("912833PX Govt","IDX_RATIO")</f>
        <v>#N/A Field Not Applicable</v>
      </c>
    </row>
    <row r="340" spans="1:20" x14ac:dyDescent="0.25">
      <c r="A340" t="s">
        <v>14</v>
      </c>
      <c r="B340" t="str">
        <f>_xll.BDP("912833PY Govt","TICKER")</f>
        <v>S</v>
      </c>
      <c r="C340">
        <f>_xll.BDP("912833PY Govt","CPN")</f>
        <v>0</v>
      </c>
      <c r="D340" t="str">
        <f>_xll.BDP("912833PY Govt","YLD_YTM_BID")</f>
        <v>#N/A N/A</v>
      </c>
      <c r="E340" t="str">
        <f>_xll.BDP("912833PY Govt","MATURITY")</f>
        <v>10/31/2001</v>
      </c>
      <c r="F340" t="str">
        <f>_xll.BDP("912833PY Govt","MTY_TYP")</f>
        <v>NORMAL</v>
      </c>
      <c r="G340" t="str">
        <f>_xll.BDP("912833PY Govt","CRNCY")</f>
        <v>USD</v>
      </c>
      <c r="H340" t="str">
        <f>_xll.BDP("912833PY Govt","COUNTRY_FULL_NAME")</f>
        <v>UNITED STATES</v>
      </c>
      <c r="I340" t="str">
        <f>_xll.BDP("912833PY Govt","FIRST_CPN_DT")</f>
        <v>#N/A Field Not Applicable</v>
      </c>
      <c r="J340" t="str">
        <f>_xll.BDP("912833PY Govt","COUPON_FREQUENCY_DESCRIPTION")</f>
        <v>#N/A Field Not Applicable</v>
      </c>
      <c r="K340" t="str">
        <f>_xll.BDP("912833PY Govt","CPN_TYP")</f>
        <v>ZERO</v>
      </c>
      <c r="L340" t="str">
        <f>_xll.BDP("912833PY Govt","ID_ISIN")</f>
        <v>US912833PY02</v>
      </c>
      <c r="N340">
        <v>0</v>
      </c>
      <c r="O340" t="str">
        <f>_xll.BDP("912833PY Govt","ISSUE_DT")</f>
        <v>10/31/1997</v>
      </c>
      <c r="P340" t="str">
        <f>_xll.BDP("912833PY Govt","SECURITY_NAME")</f>
        <v>S 0 10/31/01</v>
      </c>
      <c r="Q340" t="str">
        <f>_xll.BDP("912833PY Govt","DAY_CNT_DES")</f>
        <v>ACT/ACT</v>
      </c>
      <c r="R340">
        <v>100</v>
      </c>
      <c r="S340" t="str">
        <f>_xll.BDP("912833PY Govt","ID_CUSIP")</f>
        <v>912833PY0</v>
      </c>
      <c r="T340" t="str">
        <f>_xll.BDP("912833PY Govt","IDX_RATIO")</f>
        <v>#N/A Field Not Applicable</v>
      </c>
    </row>
    <row r="341" spans="1:20" x14ac:dyDescent="0.25">
      <c r="A341" t="s">
        <v>14</v>
      </c>
      <c r="B341" t="str">
        <f>_xll.BDP("912833QC Govt","TICKER")</f>
        <v>S</v>
      </c>
      <c r="C341">
        <f>_xll.BDP("912833QC Govt","CPN")</f>
        <v>0</v>
      </c>
      <c r="D341" t="str">
        <f>_xll.BDP("912833QC Govt","YLD_YTM_BID")</f>
        <v>#N/A N/A</v>
      </c>
      <c r="E341" t="str">
        <f>_xll.BDP("912833QC Govt","MATURITY")</f>
        <v>5/31/1998</v>
      </c>
      <c r="F341" t="str">
        <f>_xll.BDP("912833QC Govt","MTY_TYP")</f>
        <v>NORMAL</v>
      </c>
      <c r="G341" t="str">
        <f>_xll.BDP("912833QC Govt","CRNCY")</f>
        <v>USD</v>
      </c>
      <c r="H341" t="str">
        <f>_xll.BDP("912833QC Govt","COUNTRY_FULL_NAME")</f>
        <v>UNITED STATES</v>
      </c>
      <c r="I341" t="str">
        <f>_xll.BDP("912833QC Govt","FIRST_CPN_DT")</f>
        <v>#N/A Field Not Applicable</v>
      </c>
      <c r="J341" t="str">
        <f>_xll.BDP("912833QC Govt","COUPON_FREQUENCY_DESCRIPTION")</f>
        <v>#N/A Field Not Applicable</v>
      </c>
      <c r="K341" t="str">
        <f>_xll.BDP("912833QC Govt","CPN_TYP")</f>
        <v>ZERO</v>
      </c>
      <c r="L341" t="str">
        <f>_xll.BDP("912833QC Govt","ID_ISIN")</f>
        <v>US912833QC72</v>
      </c>
      <c r="N341">
        <v>0</v>
      </c>
      <c r="O341" t="str">
        <f>_xll.BDP("912833QC Govt","ISSUE_DT")</f>
        <v>12/1/1997</v>
      </c>
      <c r="P341" t="str">
        <f>_xll.BDP("912833QC Govt","SECURITY_NAME")</f>
        <v>S 0 05/31/98</v>
      </c>
      <c r="Q341" t="str">
        <f>_xll.BDP("912833QC Govt","DAY_CNT_DES")</f>
        <v>ACT/ACT</v>
      </c>
      <c r="R341">
        <v>100</v>
      </c>
      <c r="S341" t="str">
        <f>_xll.BDP("912833QC Govt","ID_CUSIP")</f>
        <v>912833QC7</v>
      </c>
      <c r="T341" t="str">
        <f>_xll.BDP("912833QC Govt","IDX_RATIO")</f>
        <v>#N/A Field Not Applicable</v>
      </c>
    </row>
    <row r="342" spans="1:20" x14ac:dyDescent="0.25">
      <c r="A342" t="s">
        <v>14</v>
      </c>
      <c r="B342" t="str">
        <f>_xll.BDP("912833RA Govt","TICKER")</f>
        <v>S</v>
      </c>
      <c r="C342">
        <f>_xll.BDP("912833RA Govt","CPN")</f>
        <v>0</v>
      </c>
      <c r="D342" t="str">
        <f>_xll.BDP("912833RA Govt","YLD_YTM_BID")</f>
        <v>#N/A N/A</v>
      </c>
      <c r="E342" t="str">
        <f>_xll.BDP("912833RA Govt","MATURITY")</f>
        <v>7/31/1999</v>
      </c>
      <c r="F342" t="str">
        <f>_xll.BDP("912833RA Govt","MTY_TYP")</f>
        <v>NORMAL</v>
      </c>
      <c r="G342" t="str">
        <f>_xll.BDP("912833RA Govt","CRNCY")</f>
        <v>USD</v>
      </c>
      <c r="H342" t="str">
        <f>_xll.BDP("912833RA Govt","COUNTRY_FULL_NAME")</f>
        <v>UNITED STATES</v>
      </c>
      <c r="I342" t="str">
        <f>_xll.BDP("912833RA Govt","FIRST_CPN_DT")</f>
        <v>#N/A Field Not Applicable</v>
      </c>
      <c r="J342" t="str">
        <f>_xll.BDP("912833RA Govt","COUPON_FREQUENCY_DESCRIPTION")</f>
        <v>#N/A Field Not Applicable</v>
      </c>
      <c r="K342" t="str">
        <f>_xll.BDP("912833RA Govt","CPN_TYP")</f>
        <v>ZERO</v>
      </c>
      <c r="L342" t="str">
        <f>_xll.BDP("912833RA Govt","ID_ISIN")</f>
        <v>US912833RA08</v>
      </c>
      <c r="N342">
        <v>0</v>
      </c>
      <c r="O342" t="str">
        <f>_xll.BDP("912833RA Govt","ISSUE_DT")</f>
        <v>2/2/1998</v>
      </c>
      <c r="P342" t="str">
        <f>_xll.BDP("912833RA Govt","SECURITY_NAME")</f>
        <v>S 0 07/31/99</v>
      </c>
      <c r="Q342" t="str">
        <f>_xll.BDP("912833RA Govt","DAY_CNT_DES")</f>
        <v>ACT/ACT</v>
      </c>
      <c r="R342">
        <v>100</v>
      </c>
      <c r="S342" t="str">
        <f>_xll.BDP("912833RA Govt","ID_CUSIP")</f>
        <v>912833RA0</v>
      </c>
      <c r="T342" t="str">
        <f>_xll.BDP("912833RA Govt","IDX_RATIO")</f>
        <v>#N/A Field Not Applicable</v>
      </c>
    </row>
    <row r="343" spans="1:20" x14ac:dyDescent="0.25">
      <c r="A343" t="s">
        <v>14</v>
      </c>
      <c r="B343" t="str">
        <f>_xll.BDP("912833YL Govt","TICKER")</f>
        <v>S</v>
      </c>
      <c r="C343">
        <f>_xll.BDP("912833YL Govt","CPN")</f>
        <v>0</v>
      </c>
      <c r="D343" t="str">
        <f>_xll.BDP("912833YL Govt","YLD_YTM_BID")</f>
        <v>#N/A N/A</v>
      </c>
      <c r="E343" t="str">
        <f>_xll.BDP("912833YL Govt","MATURITY")</f>
        <v>11/30/2003</v>
      </c>
      <c r="F343" t="str">
        <f>_xll.BDP("912833YL Govt","MTY_TYP")</f>
        <v>NORMAL</v>
      </c>
      <c r="G343" t="str">
        <f>_xll.BDP("912833YL Govt","CRNCY")</f>
        <v>USD</v>
      </c>
      <c r="H343" t="str">
        <f>_xll.BDP("912833YL Govt","COUNTRY_FULL_NAME")</f>
        <v>UNITED STATES</v>
      </c>
      <c r="I343" t="str">
        <f>_xll.BDP("912833YL Govt","FIRST_CPN_DT")</f>
        <v>#N/A Field Not Applicable</v>
      </c>
      <c r="J343" t="str">
        <f>_xll.BDP("912833YL Govt","COUPON_FREQUENCY_DESCRIPTION")</f>
        <v>#N/A Field Not Applicable</v>
      </c>
      <c r="K343" t="str">
        <f>_xll.BDP("912833YL Govt","CPN_TYP")</f>
        <v>ZERO</v>
      </c>
      <c r="L343" t="str">
        <f>_xll.BDP("912833YL Govt","ID_ISIN")</f>
        <v>US912833YL89</v>
      </c>
      <c r="N343">
        <v>0</v>
      </c>
      <c r="O343" t="str">
        <f>_xll.BDP("912833YL Govt","ISSUE_DT")</f>
        <v>11/30/2001</v>
      </c>
      <c r="P343" t="str">
        <f>_xll.BDP("912833YL Govt","SECURITY_NAME")</f>
        <v>S 0 11/30/03</v>
      </c>
      <c r="Q343" t="str">
        <f>_xll.BDP("912833YL Govt","DAY_CNT_DES")</f>
        <v>ACT/ACT</v>
      </c>
      <c r="R343">
        <v>100</v>
      </c>
      <c r="S343" t="str">
        <f>_xll.BDP("912833YL Govt","ID_CUSIP")</f>
        <v>912833YL8</v>
      </c>
      <c r="T343" t="str">
        <f>_xll.BDP("912833YL Govt","IDX_RATIO")</f>
        <v>#N/A Field Not Applicable</v>
      </c>
    </row>
    <row r="344" spans="1:20" x14ac:dyDescent="0.25">
      <c r="A344" t="s">
        <v>14</v>
      </c>
      <c r="B344" t="str">
        <f>_xll.BDP("912833YQ Govt","TICKER")</f>
        <v>S</v>
      </c>
      <c r="C344">
        <f>_xll.BDP("912833YQ Govt","CPN")</f>
        <v>0</v>
      </c>
      <c r="D344" t="str">
        <f>_xll.BDP("912833YQ Govt","YLD_YTM_BID")</f>
        <v>#N/A N/A</v>
      </c>
      <c r="E344" t="str">
        <f>_xll.BDP("912833YQ Govt","MATURITY")</f>
        <v>1/31/2004</v>
      </c>
      <c r="F344" t="str">
        <f>_xll.BDP("912833YQ Govt","MTY_TYP")</f>
        <v>NORMAL</v>
      </c>
      <c r="G344" t="str">
        <f>_xll.BDP("912833YQ Govt","CRNCY")</f>
        <v>USD</v>
      </c>
      <c r="H344" t="str">
        <f>_xll.BDP("912833YQ Govt","COUNTRY_FULL_NAME")</f>
        <v>UNITED STATES</v>
      </c>
      <c r="I344" t="str">
        <f>_xll.BDP("912833YQ Govt","FIRST_CPN_DT")</f>
        <v>#N/A Field Not Applicable</v>
      </c>
      <c r="J344" t="str">
        <f>_xll.BDP("912833YQ Govt","COUPON_FREQUENCY_DESCRIPTION")</f>
        <v>#N/A Field Not Applicable</v>
      </c>
      <c r="K344" t="str">
        <f>_xll.BDP("912833YQ Govt","CPN_TYP")</f>
        <v>ZERO</v>
      </c>
      <c r="L344" t="str">
        <f>_xll.BDP("912833YQ Govt","ID_ISIN")</f>
        <v>US912833YQ76</v>
      </c>
      <c r="N344">
        <v>0</v>
      </c>
      <c r="O344" t="str">
        <f>_xll.BDP("912833YQ Govt","ISSUE_DT")</f>
        <v>1/31/2002</v>
      </c>
      <c r="P344" t="str">
        <f>_xll.BDP("912833YQ Govt","SECURITY_NAME")</f>
        <v>S 0 01/31/04</v>
      </c>
      <c r="Q344" t="str">
        <f>_xll.BDP("912833YQ Govt","DAY_CNT_DES")</f>
        <v>ACT/ACT</v>
      </c>
      <c r="R344">
        <v>100</v>
      </c>
      <c r="S344" t="str">
        <f>_xll.BDP("912833YQ Govt","ID_CUSIP")</f>
        <v>912833YQ7</v>
      </c>
      <c r="T344" t="str">
        <f>_xll.BDP("912833YQ Govt","IDX_RATIO")</f>
        <v>#N/A Field Not Applicable</v>
      </c>
    </row>
    <row r="345" spans="1:20" x14ac:dyDescent="0.25">
      <c r="A345" t="s">
        <v>14</v>
      </c>
      <c r="B345" t="str">
        <f>_xll.BDP("912833YR Govt","TICKER")</f>
        <v>S</v>
      </c>
      <c r="C345">
        <f>_xll.BDP("912833YR Govt","CPN")</f>
        <v>0</v>
      </c>
      <c r="D345" t="str">
        <f>_xll.BDP("912833YR Govt","YLD_YTM_BID")</f>
        <v>#N/A N/A</v>
      </c>
      <c r="E345" t="str">
        <f>_xll.BDP("912833YR Govt","MATURITY")</f>
        <v>2/29/2004</v>
      </c>
      <c r="F345" t="str">
        <f>_xll.BDP("912833YR Govt","MTY_TYP")</f>
        <v>NORMAL</v>
      </c>
      <c r="G345" t="str">
        <f>_xll.BDP("912833YR Govt","CRNCY")</f>
        <v>USD</v>
      </c>
      <c r="H345" t="str">
        <f>_xll.BDP("912833YR Govt","COUNTRY_FULL_NAME")</f>
        <v>UNITED STATES</v>
      </c>
      <c r="I345" t="str">
        <f>_xll.BDP("912833YR Govt","FIRST_CPN_DT")</f>
        <v>#N/A Field Not Applicable</v>
      </c>
      <c r="J345" t="str">
        <f>_xll.BDP("912833YR Govt","COUPON_FREQUENCY_DESCRIPTION")</f>
        <v>#N/A Field Not Applicable</v>
      </c>
      <c r="K345" t="str">
        <f>_xll.BDP("912833YR Govt","CPN_TYP")</f>
        <v>ZERO</v>
      </c>
      <c r="L345" t="str">
        <f>_xll.BDP("912833YR Govt","ID_ISIN")</f>
        <v>US912833YR59</v>
      </c>
      <c r="N345">
        <v>0</v>
      </c>
      <c r="O345" t="str">
        <f>_xll.BDP("912833YR Govt","ISSUE_DT")</f>
        <v>2/28/2002</v>
      </c>
      <c r="P345" t="str">
        <f>_xll.BDP("912833YR Govt","SECURITY_NAME")</f>
        <v>S 0 02/29/04</v>
      </c>
      <c r="Q345" t="str">
        <f>_xll.BDP("912833YR Govt","DAY_CNT_DES")</f>
        <v>ACT/ACT</v>
      </c>
      <c r="R345">
        <v>100</v>
      </c>
      <c r="S345" t="str">
        <f>_xll.BDP("912833YR Govt","ID_CUSIP")</f>
        <v>912833YR5</v>
      </c>
      <c r="T345" t="str">
        <f>_xll.BDP("912833YR Govt","IDX_RATIO")</f>
        <v>#N/A Field Not Applicable</v>
      </c>
    </row>
    <row r="346" spans="1:20" x14ac:dyDescent="0.25">
      <c r="A346" t="s">
        <v>14</v>
      </c>
      <c r="B346" t="str">
        <f>_xll.BDP("912833ZC Govt","TICKER")</f>
        <v>S</v>
      </c>
      <c r="C346">
        <f>_xll.BDP("912833ZC Govt","CPN")</f>
        <v>0</v>
      </c>
      <c r="D346" t="str">
        <f>_xll.BDP("912833ZC Govt","YLD_YTM_BID")</f>
        <v>#N/A N/A</v>
      </c>
      <c r="E346" t="str">
        <f>_xll.BDP("912833ZC Govt","MATURITY")</f>
        <v>12/31/2004</v>
      </c>
      <c r="F346" t="str">
        <f>_xll.BDP("912833ZC Govt","MTY_TYP")</f>
        <v>NORMAL</v>
      </c>
      <c r="G346" t="str">
        <f>_xll.BDP("912833ZC Govt","CRNCY")</f>
        <v>USD</v>
      </c>
      <c r="H346" t="str">
        <f>_xll.BDP("912833ZC Govt","COUNTRY_FULL_NAME")</f>
        <v>UNITED STATES</v>
      </c>
      <c r="I346" t="str">
        <f>_xll.BDP("912833ZC Govt","FIRST_CPN_DT")</f>
        <v>#N/A Field Not Applicable</v>
      </c>
      <c r="J346" t="str">
        <f>_xll.BDP("912833ZC Govt","COUPON_FREQUENCY_DESCRIPTION")</f>
        <v>#N/A Field Not Applicable</v>
      </c>
      <c r="K346" t="str">
        <f>_xll.BDP("912833ZC Govt","CPN_TYP")</f>
        <v>ZERO</v>
      </c>
      <c r="L346" t="str">
        <f>_xll.BDP("912833ZC Govt","ID_ISIN")</f>
        <v>US912833ZC71</v>
      </c>
      <c r="N346">
        <v>0</v>
      </c>
      <c r="O346" t="str">
        <f>_xll.BDP("912833ZC Govt","ISSUE_DT")</f>
        <v>12/31/2002</v>
      </c>
      <c r="P346" t="str">
        <f>_xll.BDP("912833ZC Govt","SECURITY_NAME")</f>
        <v>S 0 12/31/04</v>
      </c>
      <c r="Q346" t="str">
        <f>_xll.BDP("912833ZC Govt","DAY_CNT_DES")</f>
        <v>ACT/ACT</v>
      </c>
      <c r="R346">
        <v>100</v>
      </c>
      <c r="S346" t="str">
        <f>_xll.BDP("912833ZC Govt","ID_CUSIP")</f>
        <v>912833ZC7</v>
      </c>
      <c r="T346" t="str">
        <f>_xll.BDP("912833ZC Govt","IDX_RATIO")</f>
        <v>#N/A Field Not Applicable</v>
      </c>
    </row>
    <row r="347" spans="1:20" x14ac:dyDescent="0.25">
      <c r="A347" t="s">
        <v>14</v>
      </c>
      <c r="B347" t="str">
        <f>_xll.BDP("912833ZT Govt","TICKER")</f>
        <v>S</v>
      </c>
      <c r="C347">
        <f>_xll.BDP("912833ZT Govt","CPN")</f>
        <v>0</v>
      </c>
      <c r="D347" t="str">
        <f>_xll.BDP("912833ZT Govt","YLD_YTM_BID")</f>
        <v>#N/A N/A</v>
      </c>
      <c r="E347" t="str">
        <f>_xll.BDP("912833ZT Govt","MATURITY")</f>
        <v>3/15/2006</v>
      </c>
      <c r="F347" t="str">
        <f>_xll.BDP("912833ZT Govt","MTY_TYP")</f>
        <v>NORMAL</v>
      </c>
      <c r="G347" t="str">
        <f>_xll.BDP("912833ZT Govt","CRNCY")</f>
        <v>USD</v>
      </c>
      <c r="H347" t="str">
        <f>_xll.BDP("912833ZT Govt","COUNTRY_FULL_NAME")</f>
        <v>UNITED STATES</v>
      </c>
      <c r="I347" t="str">
        <f>_xll.BDP("912833ZT Govt","FIRST_CPN_DT")</f>
        <v>#N/A Field Not Applicable</v>
      </c>
      <c r="J347" t="str">
        <f>_xll.BDP("912833ZT Govt","COUPON_FREQUENCY_DESCRIPTION")</f>
        <v>#N/A Field Not Applicable</v>
      </c>
      <c r="K347" t="str">
        <f>_xll.BDP("912833ZT Govt","CPN_TYP")</f>
        <v>ZERO</v>
      </c>
      <c r="L347" t="str">
        <f>_xll.BDP("912833ZT Govt","ID_ISIN")</f>
        <v>US912833ZT07</v>
      </c>
      <c r="N347">
        <v>0</v>
      </c>
      <c r="O347" t="str">
        <f>_xll.BDP("912833ZT Govt","ISSUE_DT")</f>
        <v>9/15/2003</v>
      </c>
      <c r="P347" t="str">
        <f>_xll.BDP("912833ZT Govt","SECURITY_NAME")</f>
        <v>S 0 03/15/06</v>
      </c>
      <c r="Q347" t="str">
        <f>_xll.BDP("912833ZT Govt","DAY_CNT_DES")</f>
        <v>ACT/ACT</v>
      </c>
      <c r="R347">
        <v>100</v>
      </c>
      <c r="S347" t="str">
        <f>_xll.BDP("912833ZT Govt","ID_CUSIP")</f>
        <v>912833ZT0</v>
      </c>
      <c r="T347" t="str">
        <f>_xll.BDP("912833ZT Govt","IDX_RATIO")</f>
        <v>#N/A Field Not Applicable</v>
      </c>
    </row>
    <row r="348" spans="1:20" x14ac:dyDescent="0.25">
      <c r="A348" t="s">
        <v>14</v>
      </c>
      <c r="B348" t="str">
        <f>_xll.BDP("912833ZU Govt","TICKER")</f>
        <v>S</v>
      </c>
      <c r="C348">
        <f>_xll.BDP("912833ZU Govt","CPN")</f>
        <v>0</v>
      </c>
      <c r="D348" t="str">
        <f>_xll.BDP("912833ZU Govt","YLD_YTM_BID")</f>
        <v>#N/A N/A</v>
      </c>
      <c r="E348" t="str">
        <f>_xll.BDP("912833ZU Govt","MATURITY")</f>
        <v>9/15/2006</v>
      </c>
      <c r="F348" t="str">
        <f>_xll.BDP("912833ZU Govt","MTY_TYP")</f>
        <v>NORMAL</v>
      </c>
      <c r="G348" t="str">
        <f>_xll.BDP("912833ZU Govt","CRNCY")</f>
        <v>USD</v>
      </c>
      <c r="H348" t="str">
        <f>_xll.BDP("912833ZU Govt","COUNTRY_FULL_NAME")</f>
        <v>UNITED STATES</v>
      </c>
      <c r="I348" t="str">
        <f>_xll.BDP("912833ZU Govt","FIRST_CPN_DT")</f>
        <v>#N/A Field Not Applicable</v>
      </c>
      <c r="J348" t="str">
        <f>_xll.BDP("912833ZU Govt","COUPON_FREQUENCY_DESCRIPTION")</f>
        <v>#N/A Field Not Applicable</v>
      </c>
      <c r="K348" t="str">
        <f>_xll.BDP("912833ZU Govt","CPN_TYP")</f>
        <v>ZERO</v>
      </c>
      <c r="L348" t="str">
        <f>_xll.BDP("912833ZU Govt","ID_ISIN")</f>
        <v>US912833ZU79</v>
      </c>
      <c r="N348">
        <v>0</v>
      </c>
      <c r="O348" t="str">
        <f>_xll.BDP("912833ZU Govt","ISSUE_DT")</f>
        <v>9/15/2003</v>
      </c>
      <c r="P348" t="str">
        <f>_xll.BDP("912833ZU Govt","SECURITY_NAME")</f>
        <v>S 0 09/15/06</v>
      </c>
      <c r="Q348" t="str">
        <f>_xll.BDP("912833ZU Govt","DAY_CNT_DES")</f>
        <v>ACT/ACT</v>
      </c>
      <c r="R348">
        <v>100</v>
      </c>
      <c r="S348" t="str">
        <f>_xll.BDP("912833ZU Govt","ID_CUSIP")</f>
        <v>912833ZU7</v>
      </c>
      <c r="T348" t="str">
        <f>_xll.BDP("912833ZU Govt","IDX_RATIO")</f>
        <v>#N/A Field Not Applicable</v>
      </c>
    </row>
    <row r="349" spans="1:20" x14ac:dyDescent="0.25">
      <c r="A349" t="s">
        <v>14</v>
      </c>
      <c r="B349" t="str">
        <f>_xll.BDP("912834BB Govt","TICKER")</f>
        <v>S</v>
      </c>
      <c r="C349">
        <f>_xll.BDP("912834BB Govt","CPN")</f>
        <v>0</v>
      </c>
      <c r="D349" t="str">
        <f>_xll.BDP("912834BB Govt","YLD_YTM_BID")</f>
        <v>#N/A N/A</v>
      </c>
      <c r="E349" t="str">
        <f>_xll.BDP("912834BB Govt","MATURITY")</f>
        <v>9/15/2011</v>
      </c>
      <c r="F349" t="str">
        <f>_xll.BDP("912834BB Govt","MTY_TYP")</f>
        <v>NORMAL</v>
      </c>
      <c r="G349" t="str">
        <f>_xll.BDP("912834BB Govt","CRNCY")</f>
        <v>USD</v>
      </c>
      <c r="H349" t="str">
        <f>_xll.BDP("912834BB Govt","COUNTRY_FULL_NAME")</f>
        <v>UNITED STATES</v>
      </c>
      <c r="I349" t="str">
        <f>_xll.BDP("912834BB Govt","FIRST_CPN_DT")</f>
        <v>#N/A Field Not Applicable</v>
      </c>
      <c r="J349" t="str">
        <f>_xll.BDP("912834BB Govt","COUPON_FREQUENCY_DESCRIPTION")</f>
        <v>#N/A Field Not Applicable</v>
      </c>
      <c r="K349" t="str">
        <f>_xll.BDP("912834BB Govt","CPN_TYP")</f>
        <v>ZERO</v>
      </c>
      <c r="L349" t="str">
        <f>_xll.BDP("912834BB Govt","ID_ISIN")</f>
        <v>US912834BB38</v>
      </c>
      <c r="N349">
        <v>0</v>
      </c>
      <c r="O349" t="str">
        <f>_xll.BDP("912834BB Govt","ISSUE_DT")</f>
        <v>3/16/2009</v>
      </c>
      <c r="P349" t="str">
        <f>_xll.BDP("912834BB Govt","SECURITY_NAME")</f>
        <v>S 0 09/15/11</v>
      </c>
      <c r="Q349" t="str">
        <f>_xll.BDP("912834BB Govt","DAY_CNT_DES")</f>
        <v>ACT/ACT</v>
      </c>
      <c r="R349">
        <v>100</v>
      </c>
      <c r="S349" t="str">
        <f>_xll.BDP("912834BB Govt","ID_CUSIP")</f>
        <v>912834BB3</v>
      </c>
      <c r="T349" t="str">
        <f>_xll.BDP("912834BB Govt","IDX_RATIO")</f>
        <v>#N/A Field Not Applicable</v>
      </c>
    </row>
    <row r="350" spans="1:20" x14ac:dyDescent="0.25">
      <c r="A350" t="s">
        <v>14</v>
      </c>
      <c r="B350" t="str">
        <f>_xll.BDP("912834BF Govt","TICKER")</f>
        <v>S</v>
      </c>
      <c r="C350">
        <f>_xll.BDP("912834BF Govt","CPN")</f>
        <v>0</v>
      </c>
      <c r="D350" t="str">
        <f>_xll.BDP("912834BF Govt","YLD_YTM_BID")</f>
        <v>#N/A N/A</v>
      </c>
      <c r="E350" t="str">
        <f>_xll.BDP("912834BF Govt","MATURITY")</f>
        <v>3/31/2015</v>
      </c>
      <c r="F350" t="str">
        <f>_xll.BDP("912834BF Govt","MTY_TYP")</f>
        <v>NORMAL</v>
      </c>
      <c r="G350" t="str">
        <f>_xll.BDP("912834BF Govt","CRNCY")</f>
        <v>USD</v>
      </c>
      <c r="H350" t="str">
        <f>_xll.BDP("912834BF Govt","COUNTRY_FULL_NAME")</f>
        <v>UNITED STATES</v>
      </c>
      <c r="I350" t="str">
        <f>_xll.BDP("912834BF Govt","FIRST_CPN_DT")</f>
        <v>#N/A Field Not Applicable</v>
      </c>
      <c r="J350" t="str">
        <f>_xll.BDP("912834BF Govt","COUPON_FREQUENCY_DESCRIPTION")</f>
        <v>#N/A Field Not Applicable</v>
      </c>
      <c r="K350" t="str">
        <f>_xll.BDP("912834BF Govt","CPN_TYP")</f>
        <v>ZERO</v>
      </c>
      <c r="L350" t="str">
        <f>_xll.BDP("912834BF Govt","ID_ISIN")</f>
        <v>US912834BF42</v>
      </c>
      <c r="N350">
        <v>0</v>
      </c>
      <c r="O350" t="str">
        <f>_xll.BDP("912834BF Govt","ISSUE_DT")</f>
        <v>3/31/2009</v>
      </c>
      <c r="P350" t="str">
        <f>_xll.BDP("912834BF Govt","SECURITY_NAME")</f>
        <v>S 0 03/31/15</v>
      </c>
      <c r="Q350" t="str">
        <f>_xll.BDP("912834BF Govt","DAY_CNT_DES")</f>
        <v>ACT/ACT</v>
      </c>
      <c r="R350">
        <v>100</v>
      </c>
      <c r="S350" t="str">
        <f>_xll.BDP("912834BF Govt","ID_CUSIP")</f>
        <v>912834BF4</v>
      </c>
      <c r="T350" t="str">
        <f>_xll.BDP("912834BF Govt","IDX_RATIO")</f>
        <v>#N/A Field Not Applicable</v>
      </c>
    </row>
    <row r="351" spans="1:20" x14ac:dyDescent="0.25">
      <c r="A351" t="s">
        <v>14</v>
      </c>
      <c r="B351" t="str">
        <f>_xll.BDP("912834BH Govt","TICKER")</f>
        <v>S</v>
      </c>
      <c r="C351">
        <f>_xll.BDP("912834BH Govt","CPN")</f>
        <v>0</v>
      </c>
      <c r="D351" t="str">
        <f>_xll.BDP("912834BH Govt","YLD_YTM_BID")</f>
        <v>#N/A N/A</v>
      </c>
      <c r="E351" t="str">
        <f>_xll.BDP("912834BH Govt","MATURITY")</f>
        <v>3/31/2016</v>
      </c>
      <c r="F351" t="str">
        <f>_xll.BDP("912834BH Govt","MTY_TYP")</f>
        <v>NORMAL</v>
      </c>
      <c r="G351" t="str">
        <f>_xll.BDP("912834BH Govt","CRNCY")</f>
        <v>USD</v>
      </c>
      <c r="H351" t="str">
        <f>_xll.BDP("912834BH Govt","COUNTRY_FULL_NAME")</f>
        <v>UNITED STATES</v>
      </c>
      <c r="I351" t="str">
        <f>_xll.BDP("912834BH Govt","FIRST_CPN_DT")</f>
        <v>#N/A Field Not Applicable</v>
      </c>
      <c r="J351" t="str">
        <f>_xll.BDP("912834BH Govt","COUPON_FREQUENCY_DESCRIPTION")</f>
        <v>#N/A Field Not Applicable</v>
      </c>
      <c r="K351" t="str">
        <f>_xll.BDP("912834BH Govt","CPN_TYP")</f>
        <v>ZERO</v>
      </c>
      <c r="L351" t="str">
        <f>_xll.BDP("912834BH Govt","ID_ISIN")</f>
        <v>US912834BH08</v>
      </c>
      <c r="N351">
        <v>0</v>
      </c>
      <c r="O351" t="str">
        <f>_xll.BDP("912834BH Govt","ISSUE_DT")</f>
        <v>3/31/2009</v>
      </c>
      <c r="P351" t="str">
        <f>_xll.BDP("912834BH Govt","SECURITY_NAME")</f>
        <v>S 0 03/31/16</v>
      </c>
      <c r="Q351" t="str">
        <f>_xll.BDP("912834BH Govt","DAY_CNT_DES")</f>
        <v>ACT/ACT</v>
      </c>
      <c r="R351">
        <v>100</v>
      </c>
      <c r="S351" t="str">
        <f>_xll.BDP("912834BH Govt","ID_CUSIP")</f>
        <v>912834BH0</v>
      </c>
      <c r="T351" t="str">
        <f>_xll.BDP("912834BH Govt","IDX_RATIO")</f>
        <v>#N/A Field Not Applicable</v>
      </c>
    </row>
    <row r="352" spans="1:20" x14ac:dyDescent="0.25">
      <c r="A352" t="s">
        <v>14</v>
      </c>
      <c r="B352" t="str">
        <f>_xll.BDP("912834BJ Govt","TICKER")</f>
        <v>S</v>
      </c>
      <c r="C352">
        <f>_xll.BDP("912834BJ Govt","CPN")</f>
        <v>0</v>
      </c>
      <c r="D352" t="str">
        <f>_xll.BDP("912834BJ Govt","YLD_YTM_BID")</f>
        <v>#N/A N/A</v>
      </c>
      <c r="E352" t="str">
        <f>_xll.BDP("912834BJ Govt","MATURITY")</f>
        <v>4/15/2011</v>
      </c>
      <c r="F352" t="str">
        <f>_xll.BDP("912834BJ Govt","MTY_TYP")</f>
        <v>NORMAL</v>
      </c>
      <c r="G352" t="str">
        <f>_xll.BDP("912834BJ Govt","CRNCY")</f>
        <v>USD</v>
      </c>
      <c r="H352" t="str">
        <f>_xll.BDP("912834BJ Govt","COUNTRY_FULL_NAME")</f>
        <v>UNITED STATES</v>
      </c>
      <c r="I352" t="str">
        <f>_xll.BDP("912834BJ Govt","FIRST_CPN_DT")</f>
        <v>#N/A Field Not Applicable</v>
      </c>
      <c r="J352" t="str">
        <f>_xll.BDP("912834BJ Govt","COUPON_FREQUENCY_DESCRIPTION")</f>
        <v>#N/A Field Not Applicable</v>
      </c>
      <c r="K352" t="str">
        <f>_xll.BDP("912834BJ Govt","CPN_TYP")</f>
        <v>ZERO</v>
      </c>
      <c r="L352" t="str">
        <f>_xll.BDP("912834BJ Govt","ID_ISIN")</f>
        <v>US912834BJ63</v>
      </c>
      <c r="N352">
        <v>0</v>
      </c>
      <c r="O352" t="str">
        <f>_xll.BDP("912834BJ Govt","ISSUE_DT")</f>
        <v>4/15/2009</v>
      </c>
      <c r="P352" t="str">
        <f>_xll.BDP("912834BJ Govt","SECURITY_NAME")</f>
        <v>S 0 04/15/11</v>
      </c>
      <c r="Q352" t="str">
        <f>_xll.BDP("912834BJ Govt","DAY_CNT_DES")</f>
        <v>ACT/ACT</v>
      </c>
      <c r="R352">
        <v>100</v>
      </c>
      <c r="S352" t="str">
        <f>_xll.BDP("912834BJ Govt","ID_CUSIP")</f>
        <v>912834BJ6</v>
      </c>
      <c r="T352" t="str">
        <f>_xll.BDP("912834BJ Govt","IDX_RATIO")</f>
        <v>#N/A Field Not Applicable</v>
      </c>
    </row>
    <row r="353" spans="1:20" x14ac:dyDescent="0.25">
      <c r="A353" t="s">
        <v>14</v>
      </c>
      <c r="B353" t="str">
        <f>_xll.BDP("912834BM Govt","TICKER")</f>
        <v>S</v>
      </c>
      <c r="C353">
        <f>_xll.BDP("912834BM Govt","CPN")</f>
        <v>0</v>
      </c>
      <c r="D353" t="str">
        <f>_xll.BDP("912834BM Govt","YLD_YTM_BID")</f>
        <v>#N/A N/A</v>
      </c>
      <c r="E353" t="str">
        <f>_xll.BDP("912834BM Govt","MATURITY")</f>
        <v>4/30/2014</v>
      </c>
      <c r="F353" t="str">
        <f>_xll.BDP("912834BM Govt","MTY_TYP")</f>
        <v>NORMAL</v>
      </c>
      <c r="G353" t="str">
        <f>_xll.BDP("912834BM Govt","CRNCY")</f>
        <v>USD</v>
      </c>
      <c r="H353" t="str">
        <f>_xll.BDP("912834BM Govt","COUNTRY_FULL_NAME")</f>
        <v>UNITED STATES</v>
      </c>
      <c r="I353" t="str">
        <f>_xll.BDP("912834BM Govt","FIRST_CPN_DT")</f>
        <v>#N/A Field Not Applicable</v>
      </c>
      <c r="J353" t="str">
        <f>_xll.BDP("912834BM Govt","COUPON_FREQUENCY_DESCRIPTION")</f>
        <v>#N/A Field Not Applicable</v>
      </c>
      <c r="K353" t="str">
        <f>_xll.BDP("912834BM Govt","CPN_TYP")</f>
        <v>ZERO</v>
      </c>
      <c r="L353" t="str">
        <f>_xll.BDP("912834BM Govt","ID_ISIN")</f>
        <v>US912834BM92</v>
      </c>
      <c r="N353">
        <v>0</v>
      </c>
      <c r="O353" t="str">
        <f>_xll.BDP("912834BM Govt","ISSUE_DT")</f>
        <v>4/30/2009</v>
      </c>
      <c r="P353" t="str">
        <f>_xll.BDP("912834BM Govt","SECURITY_NAME")</f>
        <v>S 0 04/30/14</v>
      </c>
      <c r="Q353" t="str">
        <f>_xll.BDP("912834BM Govt","DAY_CNT_DES")</f>
        <v>ACT/ACT</v>
      </c>
      <c r="R353">
        <v>100</v>
      </c>
      <c r="S353" t="str">
        <f>_xll.BDP("912834BM Govt","ID_CUSIP")</f>
        <v>912834BM9</v>
      </c>
      <c r="T353" t="str">
        <f>_xll.BDP("912834BM Govt","IDX_RATIO")</f>
        <v>#N/A Field Not Applicable</v>
      </c>
    </row>
    <row r="354" spans="1:20" x14ac:dyDescent="0.25">
      <c r="A354" t="s">
        <v>14</v>
      </c>
      <c r="B354" t="str">
        <f>_xll.BDP("912834EX Govt","TICKER")</f>
        <v>S</v>
      </c>
      <c r="C354">
        <f>_xll.BDP("912834EX Govt","CPN")</f>
        <v>0</v>
      </c>
      <c r="D354" t="str">
        <f>_xll.BDP("912834EX Govt","YLD_YTM_BID")</f>
        <v>#N/A N/A</v>
      </c>
      <c r="E354" t="str">
        <f>_xll.BDP("912834EX Govt","MATURITY")</f>
        <v>12/15/2012</v>
      </c>
      <c r="F354" t="str">
        <f>_xll.BDP("912834EX Govt","MTY_TYP")</f>
        <v>NORMAL</v>
      </c>
      <c r="G354" t="str">
        <f>_xll.BDP("912834EX Govt","CRNCY")</f>
        <v>USD</v>
      </c>
      <c r="H354" t="str">
        <f>_xll.BDP("912834EX Govt","COUNTRY_FULL_NAME")</f>
        <v>UNITED STATES</v>
      </c>
      <c r="I354" t="str">
        <f>_xll.BDP("912834EX Govt","FIRST_CPN_DT")</f>
        <v>#N/A Field Not Applicable</v>
      </c>
      <c r="J354" t="str">
        <f>_xll.BDP("912834EX Govt","COUPON_FREQUENCY_DESCRIPTION")</f>
        <v>#N/A Field Not Applicable</v>
      </c>
      <c r="K354" t="str">
        <f>_xll.BDP("912834EX Govt","CPN_TYP")</f>
        <v>ZERO</v>
      </c>
      <c r="L354" t="str">
        <f>_xll.BDP("912834EX Govt","ID_ISIN")</f>
        <v>US912834EX21</v>
      </c>
      <c r="N354">
        <v>0</v>
      </c>
      <c r="O354" t="str">
        <f>_xll.BDP("912834EX Govt","ISSUE_DT")</f>
        <v>12/15/2009</v>
      </c>
      <c r="P354" t="str">
        <f>_xll.BDP("912834EX Govt","SECURITY_NAME")</f>
        <v>S 0 12/15/12</v>
      </c>
      <c r="Q354" t="str">
        <f>_xll.BDP("912834EX Govt","DAY_CNT_DES")</f>
        <v>ACT/ACT</v>
      </c>
      <c r="R354">
        <v>100</v>
      </c>
      <c r="S354" t="str">
        <f>_xll.BDP("912834EX Govt","ID_CUSIP")</f>
        <v>912834EX2</v>
      </c>
      <c r="T354" t="str">
        <f>_xll.BDP("912834EX Govt","IDX_RATIO")</f>
        <v>#N/A Field Not Applicable</v>
      </c>
    </row>
    <row r="355" spans="1:20" x14ac:dyDescent="0.25">
      <c r="A355" t="s">
        <v>14</v>
      </c>
      <c r="B355" t="str">
        <f>_xll.BDP("912834HT Govt","TICKER")</f>
        <v>S</v>
      </c>
      <c r="C355">
        <f>_xll.BDP("912834HT Govt","CPN")</f>
        <v>0</v>
      </c>
      <c r="D355" t="str">
        <f>_xll.BDP("912834HT Govt","YLD_YTM_BID")</f>
        <v>#N/A N/A</v>
      </c>
      <c r="E355" t="str">
        <f>_xll.BDP("912834HT Govt","MATURITY")</f>
        <v>4/15/2013</v>
      </c>
      <c r="F355" t="str">
        <f>_xll.BDP("912834HT Govt","MTY_TYP")</f>
        <v>NORMAL</v>
      </c>
      <c r="G355" t="str">
        <f>_xll.BDP("912834HT Govt","CRNCY")</f>
        <v>USD</v>
      </c>
      <c r="H355" t="str">
        <f>_xll.BDP("912834HT Govt","COUNTRY_FULL_NAME")</f>
        <v>UNITED STATES</v>
      </c>
      <c r="I355" t="str">
        <f>_xll.BDP("912834HT Govt","FIRST_CPN_DT")</f>
        <v>#N/A Field Not Applicable</v>
      </c>
      <c r="J355" t="str">
        <f>_xll.BDP("912834HT Govt","COUPON_FREQUENCY_DESCRIPTION")</f>
        <v>#N/A Field Not Applicable</v>
      </c>
      <c r="K355" t="str">
        <f>_xll.BDP("912834HT Govt","CPN_TYP")</f>
        <v>ZERO</v>
      </c>
      <c r="L355" t="str">
        <f>_xll.BDP("912834HT Govt","ID_ISIN")</f>
        <v>US912834HT81</v>
      </c>
      <c r="N355">
        <v>0</v>
      </c>
      <c r="O355" t="str">
        <f>_xll.BDP("912834HT Govt","ISSUE_DT")</f>
        <v>4/15/2010</v>
      </c>
      <c r="P355" t="str">
        <f>_xll.BDP("912834HT Govt","SECURITY_NAME")</f>
        <v>S 0 04/15/13</v>
      </c>
      <c r="Q355" t="str">
        <f>_xll.BDP("912834HT Govt","DAY_CNT_DES")</f>
        <v>ACT/ACT</v>
      </c>
      <c r="R355">
        <v>100</v>
      </c>
      <c r="S355" t="str">
        <f>_xll.BDP("912834HT Govt","ID_CUSIP")</f>
        <v>912834HT8</v>
      </c>
      <c r="T355" t="str">
        <f>_xll.BDP("912834HT Govt","IDX_RATIO")</f>
        <v>#N/A Field Not Applicable</v>
      </c>
    </row>
    <row r="356" spans="1:20" x14ac:dyDescent="0.25">
      <c r="A356" t="s">
        <v>14</v>
      </c>
      <c r="B356" t="str">
        <f>_xll.BDP("912834HX Govt","TICKER")</f>
        <v>S</v>
      </c>
      <c r="C356">
        <f>_xll.BDP("912834HX Govt","CPN")</f>
        <v>0</v>
      </c>
      <c r="D356" t="str">
        <f>_xll.BDP("912834HX Govt","YLD_YTM_BID")</f>
        <v>#N/A N/A</v>
      </c>
      <c r="E356" t="str">
        <f>_xll.BDP("912834HX Govt","MATURITY")</f>
        <v>6/15/2013</v>
      </c>
      <c r="F356" t="str">
        <f>_xll.BDP("912834HX Govt","MTY_TYP")</f>
        <v>NORMAL</v>
      </c>
      <c r="G356" t="str">
        <f>_xll.BDP("912834HX Govt","CRNCY")</f>
        <v>USD</v>
      </c>
      <c r="H356" t="str">
        <f>_xll.BDP("912834HX Govt","COUNTRY_FULL_NAME")</f>
        <v>UNITED STATES</v>
      </c>
      <c r="I356" t="str">
        <f>_xll.BDP("912834HX Govt","FIRST_CPN_DT")</f>
        <v>#N/A Field Not Applicable</v>
      </c>
      <c r="J356" t="str">
        <f>_xll.BDP("912834HX Govt","COUPON_FREQUENCY_DESCRIPTION")</f>
        <v>#N/A Field Not Applicable</v>
      </c>
      <c r="K356" t="str">
        <f>_xll.BDP("912834HX Govt","CPN_TYP")</f>
        <v>ZERO</v>
      </c>
      <c r="L356" t="str">
        <f>_xll.BDP("912834HX Govt","ID_ISIN")</f>
        <v>US912834HX93</v>
      </c>
      <c r="N356">
        <v>0</v>
      </c>
      <c r="O356" t="str">
        <f>_xll.BDP("912834HX Govt","ISSUE_DT")</f>
        <v>6/15/2010</v>
      </c>
      <c r="P356" t="str">
        <f>_xll.BDP("912834HX Govt","SECURITY_NAME")</f>
        <v>S 0 06/15/13</v>
      </c>
      <c r="Q356" t="str">
        <f>_xll.BDP("912834HX Govt","DAY_CNT_DES")</f>
        <v>ACT/ACT</v>
      </c>
      <c r="R356">
        <v>100</v>
      </c>
      <c r="S356" t="str">
        <f>_xll.BDP("912834HX Govt","ID_CUSIP")</f>
        <v>912834HX9</v>
      </c>
      <c r="T356" t="str">
        <f>_xll.BDP("912834HX Govt","IDX_RATIO")</f>
        <v>#N/A Field Not Applicable</v>
      </c>
    </row>
    <row r="357" spans="1:20" x14ac:dyDescent="0.25">
      <c r="A357" t="s">
        <v>14</v>
      </c>
      <c r="B357" t="str">
        <f>_xll.BDP("912834JN Govt","TICKER")</f>
        <v>S</v>
      </c>
      <c r="C357">
        <f>_xll.BDP("912834JN Govt","CPN")</f>
        <v>0</v>
      </c>
      <c r="D357" t="str">
        <f>_xll.BDP("912834JN Govt","YLD_YTM_BID")</f>
        <v>#N/A N/A</v>
      </c>
      <c r="E357" t="str">
        <f>_xll.BDP("912834JN Govt","MATURITY")</f>
        <v>1/31/2018</v>
      </c>
      <c r="F357" t="str">
        <f>_xll.BDP("912834JN Govt","MTY_TYP")</f>
        <v>NORMAL</v>
      </c>
      <c r="G357" t="str">
        <f>_xll.BDP("912834JN Govt","CRNCY")</f>
        <v>USD</v>
      </c>
      <c r="H357" t="str">
        <f>_xll.BDP("912834JN Govt","COUNTRY_FULL_NAME")</f>
        <v>UNITED STATES</v>
      </c>
      <c r="I357" t="str">
        <f>_xll.BDP("912834JN Govt","FIRST_CPN_DT")</f>
        <v>#N/A Field Not Applicable</v>
      </c>
      <c r="J357" t="str">
        <f>_xll.BDP("912834JN Govt","COUPON_FREQUENCY_DESCRIPTION")</f>
        <v>#N/A Field Not Applicable</v>
      </c>
      <c r="K357" t="str">
        <f>_xll.BDP("912834JN Govt","CPN_TYP")</f>
        <v>ZERO</v>
      </c>
      <c r="L357" t="str">
        <f>_xll.BDP("912834JN Govt","ID_ISIN")</f>
        <v>US912834JN93</v>
      </c>
      <c r="N357">
        <v>0</v>
      </c>
      <c r="O357" t="str">
        <f>_xll.BDP("912834JN Govt","ISSUE_DT")</f>
        <v>1/31/2011</v>
      </c>
      <c r="P357" t="str">
        <f>_xll.BDP("912834JN Govt","SECURITY_NAME")</f>
        <v>S 0 01/31/18</v>
      </c>
      <c r="Q357" t="str">
        <f>_xll.BDP("912834JN Govt","DAY_CNT_DES")</f>
        <v>ACT/ACT</v>
      </c>
      <c r="R357">
        <v>100</v>
      </c>
      <c r="S357" t="str">
        <f>_xll.BDP("912834JN Govt","ID_CUSIP")</f>
        <v>912834JN9</v>
      </c>
      <c r="T357" t="str">
        <f>_xll.BDP("912834JN Govt","IDX_RATIO")</f>
        <v>#N/A Field Not Applicable</v>
      </c>
    </row>
    <row r="358" spans="1:20" x14ac:dyDescent="0.25">
      <c r="A358" t="s">
        <v>14</v>
      </c>
      <c r="B358" t="str">
        <f>_xll.BDP("912834LT Govt","TICKER")</f>
        <v>S</v>
      </c>
      <c r="C358">
        <f>_xll.BDP("912834LT Govt","CPN")</f>
        <v>0</v>
      </c>
      <c r="D358" t="str">
        <f>_xll.BDP("912834LT Govt","YLD_YTM_BID")</f>
        <v>#N/A N/A</v>
      </c>
      <c r="E358" t="str">
        <f>_xll.BDP("912834LT Govt","MATURITY")</f>
        <v>9/15/2015</v>
      </c>
      <c r="F358" t="str">
        <f>_xll.BDP("912834LT Govt","MTY_TYP")</f>
        <v>NORMAL</v>
      </c>
      <c r="G358" t="str">
        <f>_xll.BDP("912834LT Govt","CRNCY")</f>
        <v>USD</v>
      </c>
      <c r="H358" t="str">
        <f>_xll.BDP("912834LT Govt","COUNTRY_FULL_NAME")</f>
        <v>UNITED STATES</v>
      </c>
      <c r="I358" t="str">
        <f>_xll.BDP("912834LT Govt","FIRST_CPN_DT")</f>
        <v>#N/A Field Not Applicable</v>
      </c>
      <c r="J358" t="str">
        <f>_xll.BDP("912834LT Govt","COUPON_FREQUENCY_DESCRIPTION")</f>
        <v>#N/A Field Not Applicable</v>
      </c>
      <c r="K358" t="str">
        <f>_xll.BDP("912834LT Govt","CPN_TYP")</f>
        <v>ZERO</v>
      </c>
      <c r="L358" t="str">
        <f>_xll.BDP("912834LT Govt","ID_ISIN")</f>
        <v>US912834LT36</v>
      </c>
      <c r="N358">
        <v>0</v>
      </c>
      <c r="O358" t="str">
        <f>_xll.BDP("912834LT Govt","ISSUE_DT")</f>
        <v>9/17/2012</v>
      </c>
      <c r="P358" t="str">
        <f>_xll.BDP("912834LT Govt","SECURITY_NAME")</f>
        <v>S 0 09/15/15</v>
      </c>
      <c r="Q358" t="str">
        <f>_xll.BDP("912834LT Govt","DAY_CNT_DES")</f>
        <v>ACT/ACT</v>
      </c>
      <c r="R358">
        <v>100</v>
      </c>
      <c r="S358" t="str">
        <f>_xll.BDP("912834LT Govt","ID_CUSIP")</f>
        <v>912834LT3</v>
      </c>
      <c r="T358" t="str">
        <f>_xll.BDP("912834LT Govt","IDX_RATIO")</f>
        <v>#N/A Field Not Applicable</v>
      </c>
    </row>
    <row r="359" spans="1:20" x14ac:dyDescent="0.25">
      <c r="A359" t="s">
        <v>14</v>
      </c>
      <c r="B359" t="str">
        <f>_xll.BDP("912834LU Govt","TICKER")</f>
        <v>S</v>
      </c>
      <c r="C359">
        <f>_xll.BDP("912834LU Govt","CPN")</f>
        <v>0</v>
      </c>
      <c r="D359" t="str">
        <f>_xll.BDP("912834LU Govt","YLD_YTM_BID")</f>
        <v>#N/A N/A</v>
      </c>
      <c r="E359" t="str">
        <f>_xll.BDP("912834LU Govt","MATURITY")</f>
        <v>9/30/2019</v>
      </c>
      <c r="F359" t="str">
        <f>_xll.BDP("912834LU Govt","MTY_TYP")</f>
        <v>NORMAL</v>
      </c>
      <c r="G359" t="str">
        <f>_xll.BDP("912834LU Govt","CRNCY")</f>
        <v>USD</v>
      </c>
      <c r="H359" t="str">
        <f>_xll.BDP("912834LU Govt","COUNTRY_FULL_NAME")</f>
        <v>UNITED STATES</v>
      </c>
      <c r="I359" t="str">
        <f>_xll.BDP("912834LU Govt","FIRST_CPN_DT")</f>
        <v>#N/A Field Not Applicable</v>
      </c>
      <c r="J359" t="str">
        <f>_xll.BDP("912834LU Govt","COUPON_FREQUENCY_DESCRIPTION")</f>
        <v>#N/A Field Not Applicable</v>
      </c>
      <c r="K359" t="str">
        <f>_xll.BDP("912834LU Govt","CPN_TYP")</f>
        <v>ZERO</v>
      </c>
      <c r="L359" t="str">
        <f>_xll.BDP("912834LU Govt","ID_ISIN")</f>
        <v>US912834LU09</v>
      </c>
      <c r="N359">
        <v>0</v>
      </c>
      <c r="O359" t="str">
        <f>_xll.BDP("912834LU Govt","ISSUE_DT")</f>
        <v>10/1/2012</v>
      </c>
      <c r="P359" t="str">
        <f>_xll.BDP("912834LU Govt","SECURITY_NAME")</f>
        <v>S 0 09/30/19</v>
      </c>
      <c r="Q359" t="str">
        <f>_xll.BDP("912834LU Govt","DAY_CNT_DES")</f>
        <v>ACT/ACT</v>
      </c>
      <c r="R359">
        <v>100</v>
      </c>
      <c r="S359" t="str">
        <f>_xll.BDP("912834LU Govt","ID_CUSIP")</f>
        <v>912834LU0</v>
      </c>
      <c r="T359" t="str">
        <f>_xll.BDP("912834LU Govt","IDX_RATIO")</f>
        <v>#N/A Field Not Applicable</v>
      </c>
    </row>
    <row r="360" spans="1:20" x14ac:dyDescent="0.25">
      <c r="A360" t="s">
        <v>14</v>
      </c>
      <c r="B360" t="str">
        <f>_xll.BDP("912834LW Govt","TICKER")</f>
        <v>S</v>
      </c>
      <c r="C360">
        <f>_xll.BDP("912834LW Govt","CPN")</f>
        <v>0</v>
      </c>
      <c r="D360" t="str">
        <f>_xll.BDP("912834LW Govt","YLD_YTM_BID")</f>
        <v>#N/A N/A</v>
      </c>
      <c r="E360" t="str">
        <f>_xll.BDP("912834LW Govt","MATURITY")</f>
        <v>10/31/2019</v>
      </c>
      <c r="F360" t="str">
        <f>_xll.BDP("912834LW Govt","MTY_TYP")</f>
        <v>NORMAL</v>
      </c>
      <c r="G360" t="str">
        <f>_xll.BDP("912834LW Govt","CRNCY")</f>
        <v>USD</v>
      </c>
      <c r="H360" t="str">
        <f>_xll.BDP("912834LW Govt","COUNTRY_FULL_NAME")</f>
        <v>UNITED STATES</v>
      </c>
      <c r="I360" t="str">
        <f>_xll.BDP("912834LW Govt","FIRST_CPN_DT")</f>
        <v>#N/A Field Not Applicable</v>
      </c>
      <c r="J360" t="str">
        <f>_xll.BDP("912834LW Govt","COUPON_FREQUENCY_DESCRIPTION")</f>
        <v>#N/A Field Not Applicable</v>
      </c>
      <c r="K360" t="str">
        <f>_xll.BDP("912834LW Govt","CPN_TYP")</f>
        <v>ZERO</v>
      </c>
      <c r="L360" t="str">
        <f>_xll.BDP("912834LW Govt","ID_ISIN")</f>
        <v>US912834LW64</v>
      </c>
      <c r="N360">
        <v>0</v>
      </c>
      <c r="O360" t="str">
        <f>_xll.BDP("912834LW Govt","ISSUE_DT")</f>
        <v>10/31/2012</v>
      </c>
      <c r="P360" t="str">
        <f>_xll.BDP("912834LW Govt","SECURITY_NAME")</f>
        <v>S 0 10/31/19</v>
      </c>
      <c r="Q360" t="str">
        <f>_xll.BDP("912834LW Govt","DAY_CNT_DES")</f>
        <v>ACT/ACT</v>
      </c>
      <c r="R360">
        <v>100</v>
      </c>
      <c r="S360" t="str">
        <f>_xll.BDP("912834LW Govt","ID_CUSIP")</f>
        <v>912834LW6</v>
      </c>
      <c r="T360" t="str">
        <f>_xll.BDP("912834LW Govt","IDX_RATIO")</f>
        <v>#N/A Field Not Applicable</v>
      </c>
    </row>
    <row r="361" spans="1:20" x14ac:dyDescent="0.25">
      <c r="A361" t="s">
        <v>14</v>
      </c>
      <c r="B361" t="str">
        <f>_xll.BDP("912833BX Govt","TICKER")</f>
        <v>S</v>
      </c>
      <c r="C361">
        <f>_xll.BDP("912833BX Govt","CPN")</f>
        <v>0</v>
      </c>
      <c r="D361" t="str">
        <f>_xll.BDP("912833BX Govt","YLD_YTM_BID")</f>
        <v>#N/A N/A</v>
      </c>
      <c r="E361" t="str">
        <f>_xll.BDP("912833BX Govt","MATURITY")</f>
        <v>2/15/1998</v>
      </c>
      <c r="F361" t="str">
        <f>_xll.BDP("912833BX Govt","MTY_TYP")</f>
        <v>NORMAL</v>
      </c>
      <c r="G361" t="str">
        <f>_xll.BDP("912833BX Govt","CRNCY")</f>
        <v>USD</v>
      </c>
      <c r="H361" t="str">
        <f>_xll.BDP("912833BX Govt","COUNTRY_FULL_NAME")</f>
        <v>UNITED STATES</v>
      </c>
      <c r="I361" t="str">
        <f>_xll.BDP("912833BX Govt","FIRST_CPN_DT")</f>
        <v>#N/A Field Not Applicable</v>
      </c>
      <c r="J361" t="str">
        <f>_xll.BDP("912833BX Govt","COUPON_FREQUENCY_DESCRIPTION")</f>
        <v>#N/A Field Not Applicable</v>
      </c>
      <c r="K361" t="str">
        <f>_xll.BDP("912833BX Govt","CPN_TYP")</f>
        <v>ZERO</v>
      </c>
      <c r="L361" t="str">
        <f>_xll.BDP("912833BX Govt","ID_ISIN")</f>
        <v>US912833BX74</v>
      </c>
      <c r="N361">
        <v>0</v>
      </c>
      <c r="O361" t="str">
        <f>_xll.BDP("912833BX Govt","ISSUE_DT")</f>
        <v>2/15/1985</v>
      </c>
      <c r="P361" t="str">
        <f>_xll.BDP("912833BX Govt","SECURITY_NAME")</f>
        <v>S 0 02/15/98</v>
      </c>
      <c r="Q361" t="str">
        <f>_xll.BDP("912833BX Govt","DAY_CNT_DES")</f>
        <v>ACT/ACT</v>
      </c>
      <c r="R361">
        <v>100</v>
      </c>
      <c r="S361" t="str">
        <f>_xll.BDP("912833BX Govt","ID_CUSIP")</f>
        <v>912833BX7</v>
      </c>
      <c r="T361" t="str">
        <f>_xll.BDP("912833BX Govt","IDX_RATIO")</f>
        <v>#N/A Field Not Applicable</v>
      </c>
    </row>
    <row r="362" spans="1:20" x14ac:dyDescent="0.25">
      <c r="A362" t="s">
        <v>14</v>
      </c>
      <c r="B362" t="str">
        <f>_xll.BDP("912833C3 Govt","TICKER")</f>
        <v>S</v>
      </c>
      <c r="C362">
        <f>_xll.BDP("912833C3 Govt","CPN")</f>
        <v>0</v>
      </c>
      <c r="D362" t="str">
        <f>_xll.BDP("912833C3 Govt","YLD_YTM_BID")</f>
        <v>#N/A N/A</v>
      </c>
      <c r="E362" t="str">
        <f>_xll.BDP("912833C3 Govt","MATURITY")</f>
        <v>1/15/2007</v>
      </c>
      <c r="F362" t="str">
        <f>_xll.BDP("912833C3 Govt","MTY_TYP")</f>
        <v>NORMAL</v>
      </c>
      <c r="G362" t="str">
        <f>_xll.BDP("912833C3 Govt","CRNCY")</f>
        <v>USD</v>
      </c>
      <c r="H362" t="str">
        <f>_xll.BDP("912833C3 Govt","COUNTRY_FULL_NAME")</f>
        <v>UNITED STATES</v>
      </c>
      <c r="I362" t="str">
        <f>_xll.BDP("912833C3 Govt","FIRST_CPN_DT")</f>
        <v>#N/A Field Not Applicable</v>
      </c>
      <c r="J362" t="str">
        <f>_xll.BDP("912833C3 Govt","COUPON_FREQUENCY_DESCRIPTION")</f>
        <v>#N/A Field Not Applicable</v>
      </c>
      <c r="K362" t="str">
        <f>_xll.BDP("912833C3 Govt","CPN_TYP")</f>
        <v>ZERO</v>
      </c>
      <c r="L362" t="str">
        <f>_xll.BDP("912833C3 Govt","ID_ISIN")</f>
        <v>US912833C327</v>
      </c>
      <c r="N362">
        <v>0</v>
      </c>
      <c r="O362" t="str">
        <f>_xll.BDP("912833C3 Govt","ISSUE_DT")</f>
        <v>1/15/2004</v>
      </c>
      <c r="P362" t="str">
        <f>_xll.BDP("912833C3 Govt","SECURITY_NAME")</f>
        <v>S 0 01/15/07</v>
      </c>
      <c r="Q362" t="str">
        <f>_xll.BDP("912833C3 Govt","DAY_CNT_DES")</f>
        <v>ACT/ACT</v>
      </c>
      <c r="R362">
        <v>100</v>
      </c>
      <c r="S362" t="str">
        <f>_xll.BDP("912833C3 Govt","ID_CUSIP")</f>
        <v>912833C32</v>
      </c>
      <c r="T362" t="str">
        <f>_xll.BDP("912833C3 Govt","IDX_RATIO")</f>
        <v>#N/A Field Not Applicable</v>
      </c>
    </row>
    <row r="363" spans="1:20" x14ac:dyDescent="0.25">
      <c r="A363" t="s">
        <v>14</v>
      </c>
      <c r="B363" t="str">
        <f>_xll.BDP("912833CY Govt","TICKER")</f>
        <v>S</v>
      </c>
      <c r="C363">
        <f>_xll.BDP("912833CY Govt","CPN")</f>
        <v>0</v>
      </c>
      <c r="D363" t="str">
        <f>_xll.BDP("912833CY Govt","YLD_YTM_BID")</f>
        <v>#N/A N/A</v>
      </c>
      <c r="E363" t="str">
        <f>_xll.BDP("912833CY Govt","MATURITY")</f>
        <v>8/15/2010</v>
      </c>
      <c r="F363" t="str">
        <f>_xll.BDP("912833CY Govt","MTY_TYP")</f>
        <v>NORMAL</v>
      </c>
      <c r="G363" t="str">
        <f>_xll.BDP("912833CY Govt","CRNCY")</f>
        <v>USD</v>
      </c>
      <c r="H363" t="str">
        <f>_xll.BDP("912833CY Govt","COUNTRY_FULL_NAME")</f>
        <v>UNITED STATES</v>
      </c>
      <c r="I363" t="str">
        <f>_xll.BDP("912833CY Govt","FIRST_CPN_DT")</f>
        <v>#N/A Field Not Applicable</v>
      </c>
      <c r="J363" t="str">
        <f>_xll.BDP("912833CY Govt","COUPON_FREQUENCY_DESCRIPTION")</f>
        <v>#N/A Field Not Applicable</v>
      </c>
      <c r="K363" t="str">
        <f>_xll.BDP("912833CY Govt","CPN_TYP")</f>
        <v>ZERO</v>
      </c>
      <c r="L363" t="str">
        <f>_xll.BDP("912833CY Govt","ID_ISIN")</f>
        <v>US912833CY49</v>
      </c>
      <c r="N363">
        <v>0</v>
      </c>
      <c r="O363" t="str">
        <f>_xll.BDP("912833CY Govt","ISSUE_DT")</f>
        <v>2/15/1985</v>
      </c>
      <c r="P363" t="str">
        <f>_xll.BDP("912833CY Govt","SECURITY_NAME")</f>
        <v>S 0 08/15/10</v>
      </c>
      <c r="Q363" t="str">
        <f>_xll.BDP("912833CY Govt","DAY_CNT_DES")</f>
        <v>ACT/ACT</v>
      </c>
      <c r="R363">
        <v>100</v>
      </c>
      <c r="S363" t="str">
        <f>_xll.BDP("912833CY Govt","ID_CUSIP")</f>
        <v>912833CY4</v>
      </c>
      <c r="T363" t="str">
        <f>_xll.BDP("912833CY Govt","IDX_RATIO")</f>
        <v>#N/A Field Not Applicable</v>
      </c>
    </row>
    <row r="364" spans="1:20" x14ac:dyDescent="0.25">
      <c r="A364" t="s">
        <v>14</v>
      </c>
      <c r="B364" t="str">
        <f>_xll.BDP("912833FR Govt","TICKER")</f>
        <v>S</v>
      </c>
      <c r="C364">
        <f>_xll.BDP("912833FR Govt","CPN")</f>
        <v>0</v>
      </c>
      <c r="D364" t="str">
        <f>_xll.BDP("912833FR Govt","YLD_YTM_BID")</f>
        <v>#N/A N/A</v>
      </c>
      <c r="E364" t="str">
        <f>_xll.BDP("912833FR Govt","MATURITY")</f>
        <v>11/15/2002</v>
      </c>
      <c r="F364" t="str">
        <f>_xll.BDP("912833FR Govt","MTY_TYP")</f>
        <v>NORMAL</v>
      </c>
      <c r="G364" t="str">
        <f>_xll.BDP("912833FR Govt","CRNCY")</f>
        <v>USD</v>
      </c>
      <c r="H364" t="str">
        <f>_xll.BDP("912833FR Govt","COUNTRY_FULL_NAME")</f>
        <v>UNITED STATES</v>
      </c>
      <c r="I364" t="str">
        <f>_xll.BDP("912833FR Govt","FIRST_CPN_DT")</f>
        <v>#N/A Field Not Applicable</v>
      </c>
      <c r="J364" t="str">
        <f>_xll.BDP("912833FR Govt","COUPON_FREQUENCY_DESCRIPTION")</f>
        <v>#N/A Field Not Applicable</v>
      </c>
      <c r="K364" t="str">
        <f>_xll.BDP("912833FR Govt","CPN_TYP")</f>
        <v>ZERO</v>
      </c>
      <c r="L364" t="str">
        <f>_xll.BDP("912833FR Govt","ID_ISIN")</f>
        <v>US912833FR60</v>
      </c>
      <c r="N364">
        <v>0</v>
      </c>
      <c r="O364" t="str">
        <f>_xll.BDP("912833FR Govt","ISSUE_DT")</f>
        <v>11/15/1984</v>
      </c>
      <c r="P364" t="str">
        <f>_xll.BDP("912833FR Govt","SECURITY_NAME")</f>
        <v>S 0 11/15/02</v>
      </c>
      <c r="Q364" t="str">
        <f>_xll.BDP("912833FR Govt","DAY_CNT_DES")</f>
        <v>ACT/ACT</v>
      </c>
      <c r="R364">
        <v>100</v>
      </c>
      <c r="S364" t="str">
        <f>_xll.BDP("912833FR Govt","ID_CUSIP")</f>
        <v>912833FR6</v>
      </c>
      <c r="T364" t="str">
        <f>_xll.BDP("912833FR Govt","IDX_RATIO")</f>
        <v>#N/A Field Not Applicable</v>
      </c>
    </row>
    <row r="365" spans="1:20" x14ac:dyDescent="0.25">
      <c r="A365" t="s">
        <v>14</v>
      </c>
      <c r="B365" t="str">
        <f>_xll.BDP("912833GD Govt","TICKER")</f>
        <v>S</v>
      </c>
      <c r="C365">
        <f>_xll.BDP("912833GD Govt","CPN")</f>
        <v>0</v>
      </c>
      <c r="D365" t="str">
        <f>_xll.BDP("912833GD Govt","YLD_YTM_BID")</f>
        <v>#N/A N/A</v>
      </c>
      <c r="E365" t="str">
        <f>_xll.BDP("912833GD Govt","MATURITY")</f>
        <v>11/15/2008</v>
      </c>
      <c r="F365" t="str">
        <f>_xll.BDP("912833GD Govt","MTY_TYP")</f>
        <v>NORMAL</v>
      </c>
      <c r="G365" t="str">
        <f>_xll.BDP("912833GD Govt","CRNCY")</f>
        <v>USD</v>
      </c>
      <c r="H365" t="str">
        <f>_xll.BDP("912833GD Govt","COUNTRY_FULL_NAME")</f>
        <v>UNITED STATES</v>
      </c>
      <c r="I365" t="str">
        <f>_xll.BDP("912833GD Govt","FIRST_CPN_DT")</f>
        <v>#N/A Field Not Applicable</v>
      </c>
      <c r="J365" t="str">
        <f>_xll.BDP("912833GD Govt","COUPON_FREQUENCY_DESCRIPTION")</f>
        <v>#N/A Field Not Applicable</v>
      </c>
      <c r="K365" t="str">
        <f>_xll.BDP("912833GD Govt","CPN_TYP")</f>
        <v>ZERO</v>
      </c>
      <c r="L365" t="str">
        <f>_xll.BDP("912833GD Govt","ID_ISIN")</f>
        <v>US912833GD65</v>
      </c>
      <c r="N365">
        <v>0</v>
      </c>
      <c r="O365" t="str">
        <f>_xll.BDP("912833GD Govt","ISSUE_DT")</f>
        <v>11/15/1984</v>
      </c>
      <c r="P365" t="str">
        <f>_xll.BDP("912833GD Govt","SECURITY_NAME")</f>
        <v>S 0 11/15/08</v>
      </c>
      <c r="Q365" t="str">
        <f>_xll.BDP("912833GD Govt","DAY_CNT_DES")</f>
        <v>ACT/ACT</v>
      </c>
      <c r="R365">
        <v>100</v>
      </c>
      <c r="S365" t="str">
        <f>_xll.BDP("912833GD Govt","ID_CUSIP")</f>
        <v>912833GD6</v>
      </c>
      <c r="T365" t="str">
        <f>_xll.BDP("912833GD Govt","IDX_RATIO")</f>
        <v>#N/A Field Not Applicable</v>
      </c>
    </row>
    <row r="366" spans="1:20" x14ac:dyDescent="0.25">
      <c r="A366" t="s">
        <v>14</v>
      </c>
      <c r="B366" t="str">
        <f>_xll.BDP("912833JU Govt","TICKER")</f>
        <v>S</v>
      </c>
      <c r="C366">
        <f>_xll.BDP("912833JU Govt","CPN")</f>
        <v>0</v>
      </c>
      <c r="D366" t="str">
        <f>_xll.BDP("912833JU Govt","YLD_YTM_BID")</f>
        <v>#N/A N/A</v>
      </c>
      <c r="E366" t="str">
        <f>_xll.BDP("912833JU Govt","MATURITY")</f>
        <v>5/15/2010</v>
      </c>
      <c r="F366" t="str">
        <f>_xll.BDP("912833JU Govt","MTY_TYP")</f>
        <v>NORMAL</v>
      </c>
      <c r="G366" t="str">
        <f>_xll.BDP("912833JU Govt","CRNCY")</f>
        <v>USD</v>
      </c>
      <c r="H366" t="str">
        <f>_xll.BDP("912833JU Govt","COUNTRY_FULL_NAME")</f>
        <v>UNITED STATES</v>
      </c>
      <c r="I366" t="str">
        <f>_xll.BDP("912833JU Govt","FIRST_CPN_DT")</f>
        <v>#N/A Field Not Applicable</v>
      </c>
      <c r="J366" t="str">
        <f>_xll.BDP("912833JU Govt","COUPON_FREQUENCY_DESCRIPTION")</f>
        <v>#N/A Field Not Applicable</v>
      </c>
      <c r="K366" t="str">
        <f>_xll.BDP("912833JU Govt","CPN_TYP")</f>
        <v>ZERO</v>
      </c>
      <c r="L366" t="str">
        <f>_xll.BDP("912833JU Govt","ID_ISIN")</f>
        <v>US912833JU53</v>
      </c>
      <c r="N366">
        <v>0</v>
      </c>
      <c r="O366" t="str">
        <f>_xll.BDP("912833JU Govt","ISSUE_DT")</f>
        <v>11/15/1985</v>
      </c>
      <c r="P366" t="str">
        <f>_xll.BDP("912833JU Govt","SECURITY_NAME")</f>
        <v>S 0 05/15/10</v>
      </c>
      <c r="Q366" t="str">
        <f>_xll.BDP("912833JU Govt","DAY_CNT_DES")</f>
        <v>ACT/ACT</v>
      </c>
      <c r="R366">
        <v>100</v>
      </c>
      <c r="S366" t="str">
        <f>_xll.BDP("912833JU Govt","ID_CUSIP")</f>
        <v>912833JU5</v>
      </c>
      <c r="T366" t="str">
        <f>_xll.BDP("912833JU Govt","IDX_RATIO")</f>
        <v>#N/A Field Not Applicable</v>
      </c>
    </row>
    <row r="367" spans="1:20" x14ac:dyDescent="0.25">
      <c r="A367" t="s">
        <v>14</v>
      </c>
      <c r="B367" t="str">
        <f>_xll.BDP("912833KB Govt","TICKER")</f>
        <v>S</v>
      </c>
      <c r="C367">
        <f>_xll.BDP("912833KB Govt","CPN")</f>
        <v>0</v>
      </c>
      <c r="D367" t="str">
        <f>_xll.BDP("912833KB Govt","YLD_YTM_BID")</f>
        <v>#N/A N/A</v>
      </c>
      <c r="E367" t="str">
        <f>_xll.BDP("912833KB Govt","MATURITY")</f>
        <v>11/15/2013</v>
      </c>
      <c r="F367" t="str">
        <f>_xll.BDP("912833KB Govt","MTY_TYP")</f>
        <v>NORMAL</v>
      </c>
      <c r="G367" t="str">
        <f>_xll.BDP("912833KB Govt","CRNCY")</f>
        <v>USD</v>
      </c>
      <c r="H367" t="str">
        <f>_xll.BDP("912833KB Govt","COUNTRY_FULL_NAME")</f>
        <v>UNITED STATES</v>
      </c>
      <c r="I367" t="str">
        <f>_xll.BDP("912833KB Govt","FIRST_CPN_DT")</f>
        <v>#N/A Field Not Applicable</v>
      </c>
      <c r="J367" t="str">
        <f>_xll.BDP("912833KB Govt","COUPON_FREQUENCY_DESCRIPTION")</f>
        <v>#N/A Field Not Applicable</v>
      </c>
      <c r="K367" t="str">
        <f>_xll.BDP("912833KB Govt","CPN_TYP")</f>
        <v>ZERO</v>
      </c>
      <c r="L367" t="str">
        <f>_xll.BDP("912833KB Govt","ID_ISIN")</f>
        <v>US912833KB53</v>
      </c>
      <c r="N367">
        <v>0</v>
      </c>
      <c r="O367" t="str">
        <f>_xll.BDP("912833KB Govt","ISSUE_DT")</f>
        <v>11/15/1985</v>
      </c>
      <c r="P367" t="str">
        <f>_xll.BDP("912833KB Govt","SECURITY_NAME")</f>
        <v>S 0 11/15/13</v>
      </c>
      <c r="Q367" t="str">
        <f>_xll.BDP("912833KB Govt","DAY_CNT_DES")</f>
        <v>ACT/ACT</v>
      </c>
      <c r="R367">
        <v>100</v>
      </c>
      <c r="S367" t="str">
        <f>_xll.BDP("912833KB Govt","ID_CUSIP")</f>
        <v>912833KB5</v>
      </c>
      <c r="T367" t="str">
        <f>_xll.BDP("912833KB Govt","IDX_RATIO")</f>
        <v>#N/A Field Not Applicable</v>
      </c>
    </row>
    <row r="368" spans="1:20" x14ac:dyDescent="0.25">
      <c r="A368" t="s">
        <v>14</v>
      </c>
      <c r="B368" t="str">
        <f>_xll.BDP("912833KF Govt","TICKER")</f>
        <v>S</v>
      </c>
      <c r="C368">
        <f>_xll.BDP("912833KF Govt","CPN")</f>
        <v>0</v>
      </c>
      <c r="D368" t="str">
        <f>_xll.BDP("912833KF Govt","YLD_YTM_BID")</f>
        <v>#N/A N/A</v>
      </c>
      <c r="E368" t="str">
        <f>_xll.BDP("912833KF Govt","MATURITY")</f>
        <v>11/15/2015</v>
      </c>
      <c r="F368" t="str">
        <f>_xll.BDP("912833KF Govt","MTY_TYP")</f>
        <v>NORMAL</v>
      </c>
      <c r="G368" t="str">
        <f>_xll.BDP("912833KF Govt","CRNCY")</f>
        <v>USD</v>
      </c>
      <c r="H368" t="str">
        <f>_xll.BDP("912833KF Govt","COUNTRY_FULL_NAME")</f>
        <v>UNITED STATES</v>
      </c>
      <c r="I368" t="str">
        <f>_xll.BDP("912833KF Govt","FIRST_CPN_DT")</f>
        <v>#N/A Field Not Applicable</v>
      </c>
      <c r="J368" t="str">
        <f>_xll.BDP("912833KF Govt","COUPON_FREQUENCY_DESCRIPTION")</f>
        <v>#N/A Field Not Applicable</v>
      </c>
      <c r="K368" t="str">
        <f>_xll.BDP("912833KF Govt","CPN_TYP")</f>
        <v>ZERO</v>
      </c>
      <c r="L368" t="str">
        <f>_xll.BDP("912833KF Govt","ID_ISIN")</f>
        <v>US912833KF67</v>
      </c>
      <c r="N368">
        <v>0</v>
      </c>
      <c r="O368" t="str">
        <f>_xll.BDP("912833KF Govt","ISSUE_DT")</f>
        <v>11/15/1985</v>
      </c>
      <c r="P368" t="str">
        <f>_xll.BDP("912833KF Govt","SECURITY_NAME")</f>
        <v>S 0 11/15/15</v>
      </c>
      <c r="Q368" t="str">
        <f>_xll.BDP("912833KF Govt","DAY_CNT_DES")</f>
        <v>ACT/ACT</v>
      </c>
      <c r="R368">
        <v>100</v>
      </c>
      <c r="S368" t="str">
        <f>_xll.BDP("912833KF Govt","ID_CUSIP")</f>
        <v>912833KF6</v>
      </c>
      <c r="T368" t="str">
        <f>_xll.BDP("912833KF Govt","IDX_RATIO")</f>
        <v>#N/A Field Not Applicable</v>
      </c>
    </row>
    <row r="369" spans="1:20" x14ac:dyDescent="0.25">
      <c r="A369" t="s">
        <v>14</v>
      </c>
      <c r="B369" t="str">
        <f>_xll.BDP("912833LA Govt","TICKER")</f>
        <v>S</v>
      </c>
      <c r="C369">
        <f>_xll.BDP("912833LA Govt","CPN")</f>
        <v>0</v>
      </c>
      <c r="D369" t="str">
        <f>_xll.BDP("912833LA Govt","YLD_YTM_BID")</f>
        <v>#N/A N/A</v>
      </c>
      <c r="E369" t="str">
        <f>_xll.BDP("912833LA Govt","MATURITY")</f>
        <v>8/15/2020</v>
      </c>
      <c r="F369" t="str">
        <f>_xll.BDP("912833LA Govt","MTY_TYP")</f>
        <v>NORMAL</v>
      </c>
      <c r="G369" t="str">
        <f>_xll.BDP("912833LA Govt","CRNCY")</f>
        <v>USD</v>
      </c>
      <c r="H369" t="str">
        <f>_xll.BDP("912833LA Govt","COUNTRY_FULL_NAME")</f>
        <v>UNITED STATES</v>
      </c>
      <c r="I369" t="str">
        <f>_xll.BDP("912833LA Govt","FIRST_CPN_DT")</f>
        <v>#N/A Field Not Applicable</v>
      </c>
      <c r="J369" t="str">
        <f>_xll.BDP("912833LA Govt","COUPON_FREQUENCY_DESCRIPTION")</f>
        <v>#N/A Field Not Applicable</v>
      </c>
      <c r="K369" t="str">
        <f>_xll.BDP("912833LA Govt","CPN_TYP")</f>
        <v>ZERO</v>
      </c>
      <c r="L369" t="str">
        <f>_xll.BDP("912833LA Govt","ID_ISIN")</f>
        <v>US912833LA61</v>
      </c>
      <c r="N369">
        <v>0</v>
      </c>
      <c r="O369" t="str">
        <f>_xll.BDP("912833LA Govt","ISSUE_DT")</f>
        <v>8/15/1990</v>
      </c>
      <c r="P369" t="str">
        <f>_xll.BDP("912833LA Govt","SECURITY_NAME")</f>
        <v>S 0 08/15/20</v>
      </c>
      <c r="Q369" t="str">
        <f>_xll.BDP("912833LA Govt","DAY_CNT_DES")</f>
        <v>ACT/ACT</v>
      </c>
      <c r="R369">
        <v>100</v>
      </c>
      <c r="S369" t="str">
        <f>_xll.BDP("912833LA Govt","ID_CUSIP")</f>
        <v>912833LA6</v>
      </c>
      <c r="T369" t="str">
        <f>_xll.BDP("912833LA Govt","IDX_RATIO")</f>
        <v>#N/A Field Not Applicable</v>
      </c>
    </row>
    <row r="370" spans="1:20" x14ac:dyDescent="0.25">
      <c r="A370" t="s">
        <v>14</v>
      </c>
      <c r="B370" t="str">
        <f>_xll.BDP("912833MJ Govt","TICKER")</f>
        <v>S</v>
      </c>
      <c r="C370">
        <f>_xll.BDP("912833MJ Govt","CPN")</f>
        <v>0</v>
      </c>
      <c r="D370" t="str">
        <f>_xll.BDP("912833MJ Govt","YLD_YTM_BID")</f>
        <v>#N/A N/A</v>
      </c>
      <c r="E370" t="str">
        <f>_xll.BDP("912833MJ Govt","MATURITY")</f>
        <v>1/15/1999</v>
      </c>
      <c r="F370" t="str">
        <f>_xll.BDP("912833MJ Govt","MTY_TYP")</f>
        <v>NORMAL</v>
      </c>
      <c r="G370" t="str">
        <f>_xll.BDP("912833MJ Govt","CRNCY")</f>
        <v>USD</v>
      </c>
      <c r="H370" t="str">
        <f>_xll.BDP("912833MJ Govt","COUNTRY_FULL_NAME")</f>
        <v>UNITED STATES</v>
      </c>
      <c r="I370" t="str">
        <f>_xll.BDP("912833MJ Govt","FIRST_CPN_DT")</f>
        <v>#N/A Field Not Applicable</v>
      </c>
      <c r="J370" t="str">
        <f>_xll.BDP("912833MJ Govt","COUPON_FREQUENCY_DESCRIPTION")</f>
        <v>#N/A Field Not Applicable</v>
      </c>
      <c r="K370" t="str">
        <f>_xll.BDP("912833MJ Govt","CPN_TYP")</f>
        <v>ZERO</v>
      </c>
      <c r="L370" t="str">
        <f>_xll.BDP("912833MJ Govt","ID_ISIN")</f>
        <v>US912833MJ61</v>
      </c>
      <c r="N370">
        <v>0</v>
      </c>
      <c r="O370" t="str">
        <f>_xll.BDP("912833MJ Govt","ISSUE_DT")</f>
        <v>7/15/1996</v>
      </c>
      <c r="P370" t="str">
        <f>_xll.BDP("912833MJ Govt","SECURITY_NAME")</f>
        <v>S 0 01/15/99</v>
      </c>
      <c r="Q370" t="str">
        <f>_xll.BDP("912833MJ Govt","DAY_CNT_DES")</f>
        <v>ACT/ACT</v>
      </c>
      <c r="R370">
        <v>100</v>
      </c>
      <c r="S370" t="str">
        <f>_xll.BDP("912833MJ Govt","ID_CUSIP")</f>
        <v>912833MJ6</v>
      </c>
      <c r="T370" t="str">
        <f>_xll.BDP("912833MJ Govt","IDX_RATIO")</f>
        <v>#N/A Field Not Applicable</v>
      </c>
    </row>
    <row r="371" spans="1:20" x14ac:dyDescent="0.25">
      <c r="A371" t="s">
        <v>14</v>
      </c>
      <c r="B371" t="str">
        <f>_xll.BDP("912833MM Govt","TICKER")</f>
        <v>S</v>
      </c>
      <c r="C371">
        <f>_xll.BDP("912833MM Govt","CPN")</f>
        <v>0</v>
      </c>
      <c r="D371" t="str">
        <f>_xll.BDP("912833MM Govt","YLD_YTM_BID")</f>
        <v>#N/A N/A</v>
      </c>
      <c r="E371" t="str">
        <f>_xll.BDP("912833MM Govt","MATURITY")</f>
        <v>10/15/1999</v>
      </c>
      <c r="F371" t="str">
        <f>_xll.BDP("912833MM Govt","MTY_TYP")</f>
        <v>NORMAL</v>
      </c>
      <c r="G371" t="str">
        <f>_xll.BDP("912833MM Govt","CRNCY")</f>
        <v>USD</v>
      </c>
      <c r="H371" t="str">
        <f>_xll.BDP("912833MM Govt","COUNTRY_FULL_NAME")</f>
        <v>UNITED STATES</v>
      </c>
      <c r="I371" t="str">
        <f>_xll.BDP("912833MM Govt","FIRST_CPN_DT")</f>
        <v>#N/A Field Not Applicable</v>
      </c>
      <c r="J371" t="str">
        <f>_xll.BDP("912833MM Govt","COUPON_FREQUENCY_DESCRIPTION")</f>
        <v>#N/A Field Not Applicable</v>
      </c>
      <c r="K371" t="str">
        <f>_xll.BDP("912833MM Govt","CPN_TYP")</f>
        <v>ZERO</v>
      </c>
      <c r="L371" t="str">
        <f>_xll.BDP("912833MM Govt","ID_ISIN")</f>
        <v>US912833MM90</v>
      </c>
      <c r="N371">
        <v>0</v>
      </c>
      <c r="O371" t="str">
        <f>_xll.BDP("912833MM Govt","ISSUE_DT")</f>
        <v>10/15/1996</v>
      </c>
      <c r="P371" t="str">
        <f>_xll.BDP("912833MM Govt","SECURITY_NAME")</f>
        <v>S 0 10/15/99</v>
      </c>
      <c r="Q371" t="str">
        <f>_xll.BDP("912833MM Govt","DAY_CNT_DES")</f>
        <v>ACT/ACT</v>
      </c>
      <c r="R371">
        <v>100</v>
      </c>
      <c r="S371" t="str">
        <f>_xll.BDP("912833MM Govt","ID_CUSIP")</f>
        <v>912833MM9</v>
      </c>
      <c r="T371" t="str">
        <f>_xll.BDP("912833MM Govt","IDX_RATIO")</f>
        <v>#N/A Field Not Applicable</v>
      </c>
    </row>
    <row r="372" spans="1:20" x14ac:dyDescent="0.25">
      <c r="A372" t="s">
        <v>14</v>
      </c>
      <c r="B372" t="str">
        <f>_xll.BDP("912833NK Govt","TICKER")</f>
        <v>S</v>
      </c>
      <c r="C372">
        <f>_xll.BDP("912833NK Govt","CPN")</f>
        <v>0</v>
      </c>
      <c r="D372" t="str">
        <f>_xll.BDP("912833NK Govt","YLD_YTM_BID")</f>
        <v>#N/A N/A</v>
      </c>
      <c r="E372" t="str">
        <f>_xll.BDP("912833NK Govt","MATURITY")</f>
        <v>4/15/2005</v>
      </c>
      <c r="F372" t="str">
        <f>_xll.BDP("912833NK Govt","MTY_TYP")</f>
        <v>NORMAL</v>
      </c>
      <c r="G372" t="str">
        <f>_xll.BDP("912833NK Govt","CRNCY")</f>
        <v>USD</v>
      </c>
      <c r="H372" t="str">
        <f>_xll.BDP("912833NK Govt","COUNTRY_FULL_NAME")</f>
        <v>UNITED STATES</v>
      </c>
      <c r="I372" t="str">
        <f>_xll.BDP("912833NK Govt","FIRST_CPN_DT")</f>
        <v>#N/A Field Not Applicable</v>
      </c>
      <c r="J372" t="str">
        <f>_xll.BDP("912833NK Govt","COUPON_FREQUENCY_DESCRIPTION")</f>
        <v>#N/A Field Not Applicable</v>
      </c>
      <c r="K372" t="str">
        <f>_xll.BDP("912833NK Govt","CPN_TYP")</f>
        <v>ZERO</v>
      </c>
      <c r="L372" t="str">
        <f>_xll.BDP("912833NK Govt","ID_ISIN")</f>
        <v>US912833NK26</v>
      </c>
      <c r="N372">
        <v>0</v>
      </c>
      <c r="O372" t="str">
        <f>_xll.BDP("912833NK Govt","ISSUE_DT")</f>
        <v>10/15/1996</v>
      </c>
      <c r="P372" t="str">
        <f>_xll.BDP("912833NK Govt","SECURITY_NAME")</f>
        <v>S 0 04/15/05</v>
      </c>
      <c r="Q372" t="str">
        <f>_xll.BDP("912833NK Govt","DAY_CNT_DES")</f>
        <v>ACT/ACT</v>
      </c>
      <c r="R372">
        <v>100</v>
      </c>
      <c r="S372" t="str">
        <f>_xll.BDP("912833NK Govt","ID_CUSIP")</f>
        <v>912833NK2</v>
      </c>
      <c r="T372" t="str">
        <f>_xll.BDP("912833NK Govt","IDX_RATIO")</f>
        <v>#N/A Field Not Applicable</v>
      </c>
    </row>
    <row r="373" spans="1:20" x14ac:dyDescent="0.25">
      <c r="A373" t="s">
        <v>14</v>
      </c>
      <c r="B373" t="str">
        <f>_xll.BDP("912833NP Govt","TICKER")</f>
        <v>S</v>
      </c>
      <c r="C373">
        <f>_xll.BDP("912833NP Govt","CPN")</f>
        <v>0</v>
      </c>
      <c r="D373" t="str">
        <f>_xll.BDP("912833NP Govt","YLD_YTM_BID")</f>
        <v>#N/A N/A</v>
      </c>
      <c r="E373" t="str">
        <f>_xll.BDP("912833NP Govt","MATURITY")</f>
        <v>4/15/2006</v>
      </c>
      <c r="F373" t="str">
        <f>_xll.BDP("912833NP Govt","MTY_TYP")</f>
        <v>NORMAL</v>
      </c>
      <c r="G373" t="str">
        <f>_xll.BDP("912833NP Govt","CRNCY")</f>
        <v>USD</v>
      </c>
      <c r="H373" t="str">
        <f>_xll.BDP("912833NP Govt","COUNTRY_FULL_NAME")</f>
        <v>UNITED STATES</v>
      </c>
      <c r="I373" t="str">
        <f>_xll.BDP("912833NP Govt","FIRST_CPN_DT")</f>
        <v>#N/A Field Not Applicable</v>
      </c>
      <c r="J373" t="str">
        <f>_xll.BDP("912833NP Govt","COUPON_FREQUENCY_DESCRIPTION")</f>
        <v>#N/A Field Not Applicable</v>
      </c>
      <c r="K373" t="str">
        <f>_xll.BDP("912833NP Govt","CPN_TYP")</f>
        <v>ZERO</v>
      </c>
      <c r="L373" t="str">
        <f>_xll.BDP("912833NP Govt","ID_ISIN")</f>
        <v>US912833NP13</v>
      </c>
      <c r="N373">
        <v>0</v>
      </c>
      <c r="O373" t="str">
        <f>_xll.BDP("912833NP Govt","ISSUE_DT")</f>
        <v>10/15/1996</v>
      </c>
      <c r="P373" t="str">
        <f>_xll.BDP("912833NP Govt","SECURITY_NAME")</f>
        <v>S 0 04/15/06</v>
      </c>
      <c r="Q373" t="str">
        <f>_xll.BDP("912833NP Govt","DAY_CNT_DES")</f>
        <v>ACT/ACT</v>
      </c>
      <c r="R373">
        <v>100</v>
      </c>
      <c r="S373" t="str">
        <f>_xll.BDP("912833NP Govt","ID_CUSIP")</f>
        <v>912833NP1</v>
      </c>
      <c r="T373" t="str">
        <f>_xll.BDP("912833NP Govt","IDX_RATIO")</f>
        <v>#N/A Field Not Applicable</v>
      </c>
    </row>
    <row r="374" spans="1:20" x14ac:dyDescent="0.25">
      <c r="A374" t="s">
        <v>14</v>
      </c>
      <c r="B374" t="str">
        <f>_xll.BDP("912833PL Govt","TICKER")</f>
        <v>S</v>
      </c>
      <c r="C374">
        <f>_xll.BDP("912833PL Govt","CPN")</f>
        <v>0</v>
      </c>
      <c r="D374" t="str">
        <f>_xll.BDP("912833PL Govt","YLD_YTM_BID")</f>
        <v>#N/A N/A</v>
      </c>
      <c r="E374" t="str">
        <f>_xll.BDP("912833PL Govt","MATURITY")</f>
        <v>9/30/2000</v>
      </c>
      <c r="F374" t="str">
        <f>_xll.BDP("912833PL Govt","MTY_TYP")</f>
        <v>NORMAL</v>
      </c>
      <c r="G374" t="str">
        <f>_xll.BDP("912833PL Govt","CRNCY")</f>
        <v>USD</v>
      </c>
      <c r="H374" t="str">
        <f>_xll.BDP("912833PL Govt","COUNTRY_FULL_NAME")</f>
        <v>UNITED STATES</v>
      </c>
      <c r="I374" t="str">
        <f>_xll.BDP("912833PL Govt","FIRST_CPN_DT")</f>
        <v>#N/A Field Not Applicable</v>
      </c>
      <c r="J374" t="str">
        <f>_xll.BDP("912833PL Govt","COUPON_FREQUENCY_DESCRIPTION")</f>
        <v>#N/A Field Not Applicable</v>
      </c>
      <c r="K374" t="str">
        <f>_xll.BDP("912833PL Govt","CPN_TYP")</f>
        <v>ZERO</v>
      </c>
      <c r="L374" t="str">
        <f>_xll.BDP("912833PL Govt","ID_ISIN")</f>
        <v>US912833PL80</v>
      </c>
      <c r="N374">
        <v>0</v>
      </c>
      <c r="O374" t="str">
        <f>_xll.BDP("912833PL Govt","ISSUE_DT")</f>
        <v>9/30/1997</v>
      </c>
      <c r="P374" t="str">
        <f>_xll.BDP("912833PL Govt","SECURITY_NAME")</f>
        <v>S 0 09/30/00</v>
      </c>
      <c r="Q374" t="str">
        <f>_xll.BDP("912833PL Govt","DAY_CNT_DES")</f>
        <v>ACT/ACT</v>
      </c>
      <c r="R374">
        <v>100</v>
      </c>
      <c r="S374" t="str">
        <f>_xll.BDP("912833PL Govt","ID_CUSIP")</f>
        <v>912833PL8</v>
      </c>
      <c r="T374" t="str">
        <f>_xll.BDP("912833PL Govt","IDX_RATIO")</f>
        <v>#N/A Field Not Applicable</v>
      </c>
    </row>
    <row r="375" spans="1:20" x14ac:dyDescent="0.25">
      <c r="A375" t="s">
        <v>14</v>
      </c>
      <c r="B375" t="str">
        <f>_xll.BDP("912833PR Govt","TICKER")</f>
        <v>S</v>
      </c>
      <c r="C375">
        <f>_xll.BDP("912833PR Govt","CPN")</f>
        <v>0</v>
      </c>
      <c r="D375" t="str">
        <f>_xll.BDP("912833PR Govt","YLD_YTM_BID")</f>
        <v>#N/A N/A</v>
      </c>
      <c r="E375" t="str">
        <f>_xll.BDP("912833PR Govt","MATURITY")</f>
        <v>4/30/1998</v>
      </c>
      <c r="F375" t="str">
        <f>_xll.BDP("912833PR Govt","MTY_TYP")</f>
        <v>NORMAL</v>
      </c>
      <c r="G375" t="str">
        <f>_xll.BDP("912833PR Govt","CRNCY")</f>
        <v>USD</v>
      </c>
      <c r="H375" t="str">
        <f>_xll.BDP("912833PR Govt","COUNTRY_FULL_NAME")</f>
        <v>UNITED STATES</v>
      </c>
      <c r="I375" t="str">
        <f>_xll.BDP("912833PR Govt","FIRST_CPN_DT")</f>
        <v>#N/A Field Not Applicable</v>
      </c>
      <c r="J375" t="str">
        <f>_xll.BDP("912833PR Govt","COUPON_FREQUENCY_DESCRIPTION")</f>
        <v>#N/A Field Not Applicable</v>
      </c>
      <c r="K375" t="str">
        <f>_xll.BDP("912833PR Govt","CPN_TYP")</f>
        <v>ZERO</v>
      </c>
      <c r="L375" t="str">
        <f>_xll.BDP("912833PR Govt","ID_ISIN")</f>
        <v>US912833PR50</v>
      </c>
      <c r="N375">
        <v>0</v>
      </c>
      <c r="O375" t="str">
        <f>_xll.BDP("912833PR Govt","ISSUE_DT")</f>
        <v>10/31/1997</v>
      </c>
      <c r="P375" t="str">
        <f>_xll.BDP("912833PR Govt","SECURITY_NAME")</f>
        <v>S 0 04/30/98</v>
      </c>
      <c r="Q375" t="str">
        <f>_xll.BDP("912833PR Govt","DAY_CNT_DES")</f>
        <v>ACT/ACT</v>
      </c>
      <c r="R375">
        <v>100</v>
      </c>
      <c r="S375" t="str">
        <f>_xll.BDP("912833PR Govt","ID_CUSIP")</f>
        <v>912833PR5</v>
      </c>
      <c r="T375" t="str">
        <f>_xll.BDP("912833PR Govt","IDX_RATIO")</f>
        <v>#N/A Field Not Applicable</v>
      </c>
    </row>
    <row r="376" spans="1:20" x14ac:dyDescent="0.25">
      <c r="A376" t="s">
        <v>14</v>
      </c>
      <c r="B376" t="str">
        <f>_xll.BDP("912833QA Govt","TICKER")</f>
        <v>S</v>
      </c>
      <c r="C376">
        <f>_xll.BDP("912833QA Govt","CPN")</f>
        <v>0</v>
      </c>
      <c r="D376" t="str">
        <f>_xll.BDP("912833QA Govt","YLD_YTM_BID")</f>
        <v>#N/A N/A</v>
      </c>
      <c r="E376" t="str">
        <f>_xll.BDP("912833QA Govt","MATURITY")</f>
        <v>10/31/2002</v>
      </c>
      <c r="F376" t="str">
        <f>_xll.BDP("912833QA Govt","MTY_TYP")</f>
        <v>NORMAL</v>
      </c>
      <c r="G376" t="str">
        <f>_xll.BDP("912833QA Govt","CRNCY")</f>
        <v>USD</v>
      </c>
      <c r="H376" t="str">
        <f>_xll.BDP("912833QA Govt","COUNTRY_FULL_NAME")</f>
        <v>UNITED STATES</v>
      </c>
      <c r="I376" t="str">
        <f>_xll.BDP("912833QA Govt","FIRST_CPN_DT")</f>
        <v>#N/A Field Not Applicable</v>
      </c>
      <c r="J376" t="str">
        <f>_xll.BDP("912833QA Govt","COUPON_FREQUENCY_DESCRIPTION")</f>
        <v>#N/A Field Not Applicable</v>
      </c>
      <c r="K376" t="str">
        <f>_xll.BDP("912833QA Govt","CPN_TYP")</f>
        <v>ZERO</v>
      </c>
      <c r="L376" t="str">
        <f>_xll.BDP("912833QA Govt","ID_ISIN")</f>
        <v>US912833QA17</v>
      </c>
      <c r="N376">
        <v>0</v>
      </c>
      <c r="O376" t="str">
        <f>_xll.BDP("912833QA Govt","ISSUE_DT")</f>
        <v>10/31/1997</v>
      </c>
      <c r="P376" t="str">
        <f>_xll.BDP("912833QA Govt","SECURITY_NAME")</f>
        <v>S 0 10/31/02</v>
      </c>
      <c r="Q376" t="str">
        <f>_xll.BDP("912833QA Govt","DAY_CNT_DES")</f>
        <v>ACT/ACT</v>
      </c>
      <c r="R376">
        <v>100</v>
      </c>
      <c r="S376" t="str">
        <f>_xll.BDP("912833QA Govt","ID_CUSIP")</f>
        <v>912833QA1</v>
      </c>
      <c r="T376" t="str">
        <f>_xll.BDP("912833QA Govt","IDX_RATIO")</f>
        <v>#N/A Field Not Applicable</v>
      </c>
    </row>
    <row r="377" spans="1:20" x14ac:dyDescent="0.25">
      <c r="A377" t="s">
        <v>14</v>
      </c>
      <c r="B377" t="str">
        <f>_xll.BDP("912833QQ Govt","TICKER")</f>
        <v>S</v>
      </c>
      <c r="C377">
        <f>_xll.BDP("912833QQ Govt","CPN")</f>
        <v>0</v>
      </c>
      <c r="D377" t="str">
        <f>_xll.BDP("912833QQ Govt","YLD_YTM_BID")</f>
        <v>#N/A N/A</v>
      </c>
      <c r="E377" t="str">
        <f>_xll.BDP("912833QQ Govt","MATURITY")</f>
        <v>6/30/1999</v>
      </c>
      <c r="F377" t="str">
        <f>_xll.BDP("912833QQ Govt","MTY_TYP")</f>
        <v>NORMAL</v>
      </c>
      <c r="G377" t="str">
        <f>_xll.BDP("912833QQ Govt","CRNCY")</f>
        <v>USD</v>
      </c>
      <c r="H377" t="str">
        <f>_xll.BDP("912833QQ Govt","COUNTRY_FULL_NAME")</f>
        <v>UNITED STATES</v>
      </c>
      <c r="I377" t="str">
        <f>_xll.BDP("912833QQ Govt","FIRST_CPN_DT")</f>
        <v>#N/A Field Not Applicable</v>
      </c>
      <c r="J377" t="str">
        <f>_xll.BDP("912833QQ Govt","COUPON_FREQUENCY_DESCRIPTION")</f>
        <v>#N/A Field Not Applicable</v>
      </c>
      <c r="K377" t="str">
        <f>_xll.BDP("912833QQ Govt","CPN_TYP")</f>
        <v>ZERO</v>
      </c>
      <c r="L377" t="str">
        <f>_xll.BDP("912833QQ Govt","ID_ISIN")</f>
        <v>US912833QQ68</v>
      </c>
      <c r="N377">
        <v>0</v>
      </c>
      <c r="O377" t="str">
        <f>_xll.BDP("912833QQ Govt","ISSUE_DT")</f>
        <v>12/31/1997</v>
      </c>
      <c r="P377" t="str">
        <f>_xll.BDP("912833QQ Govt","SECURITY_NAME")</f>
        <v>S 0 06/30/99</v>
      </c>
      <c r="Q377" t="str">
        <f>_xll.BDP("912833QQ Govt","DAY_CNT_DES")</f>
        <v>ACT/ACT</v>
      </c>
      <c r="R377">
        <v>100</v>
      </c>
      <c r="S377" t="str">
        <f>_xll.BDP("912833QQ Govt","ID_CUSIP")</f>
        <v>912833QQ6</v>
      </c>
      <c r="T377" t="str">
        <f>_xll.BDP("912833QQ Govt","IDX_RATIO")</f>
        <v>#N/A Field Not Applicable</v>
      </c>
    </row>
    <row r="378" spans="1:20" x14ac:dyDescent="0.25">
      <c r="A378" t="s">
        <v>14</v>
      </c>
      <c r="B378" t="str">
        <f>_xll.BDP("912833QW Govt","TICKER")</f>
        <v>S</v>
      </c>
      <c r="C378">
        <f>_xll.BDP("912833QW Govt","CPN")</f>
        <v>0</v>
      </c>
      <c r="D378" t="str">
        <f>_xll.BDP("912833QW Govt","YLD_YTM_BID")</f>
        <v>#N/A N/A</v>
      </c>
      <c r="E378" t="str">
        <f>_xll.BDP("912833QW Govt","MATURITY")</f>
        <v>6/30/2002</v>
      </c>
      <c r="F378" t="str">
        <f>_xll.BDP("912833QW Govt","MTY_TYP")</f>
        <v>NORMAL</v>
      </c>
      <c r="G378" t="str">
        <f>_xll.BDP("912833QW Govt","CRNCY")</f>
        <v>USD</v>
      </c>
      <c r="H378" t="str">
        <f>_xll.BDP("912833QW Govt","COUNTRY_FULL_NAME")</f>
        <v>UNITED STATES</v>
      </c>
      <c r="I378" t="str">
        <f>_xll.BDP("912833QW Govt","FIRST_CPN_DT")</f>
        <v>#N/A Field Not Applicable</v>
      </c>
      <c r="J378" t="str">
        <f>_xll.BDP("912833QW Govt","COUPON_FREQUENCY_DESCRIPTION")</f>
        <v>#N/A Field Not Applicable</v>
      </c>
      <c r="K378" t="str">
        <f>_xll.BDP("912833QW Govt","CPN_TYP")</f>
        <v>ZERO</v>
      </c>
      <c r="L378" t="str">
        <f>_xll.BDP("912833QW Govt","ID_ISIN")</f>
        <v>US912833QW37</v>
      </c>
      <c r="N378">
        <v>0</v>
      </c>
      <c r="O378" t="str">
        <f>_xll.BDP("912833QW Govt","ISSUE_DT")</f>
        <v>12/31/1997</v>
      </c>
      <c r="P378" t="str">
        <f>_xll.BDP("912833QW Govt","SECURITY_NAME")</f>
        <v>S 0 06/30/02</v>
      </c>
      <c r="Q378" t="str">
        <f>_xll.BDP("912833QW Govt","DAY_CNT_DES")</f>
        <v>ACT/ACT</v>
      </c>
      <c r="R378">
        <v>100</v>
      </c>
      <c r="S378" t="str">
        <f>_xll.BDP("912833QW Govt","ID_CUSIP")</f>
        <v>912833QW3</v>
      </c>
      <c r="T378" t="str">
        <f>_xll.BDP("912833QW Govt","IDX_RATIO")</f>
        <v>#N/A Field Not Applicable</v>
      </c>
    </row>
    <row r="379" spans="1:20" x14ac:dyDescent="0.25">
      <c r="A379" t="s">
        <v>14</v>
      </c>
      <c r="B379" t="str">
        <f>_xll.BDP("912833QZ Govt","TICKER")</f>
        <v>S</v>
      </c>
      <c r="C379">
        <f>_xll.BDP("912833QZ Govt","CPN")</f>
        <v>0</v>
      </c>
      <c r="D379" t="str">
        <f>_xll.BDP("912833QZ Govt","YLD_YTM_BID")</f>
        <v>#N/A N/A</v>
      </c>
      <c r="E379" t="str">
        <f>_xll.BDP("912833QZ Govt","MATURITY")</f>
        <v>1/31/1999</v>
      </c>
      <c r="F379" t="str">
        <f>_xll.BDP("912833QZ Govt","MTY_TYP")</f>
        <v>NORMAL</v>
      </c>
      <c r="G379" t="str">
        <f>_xll.BDP("912833QZ Govt","CRNCY")</f>
        <v>USD</v>
      </c>
      <c r="H379" t="str">
        <f>_xll.BDP("912833QZ Govt","COUNTRY_FULL_NAME")</f>
        <v>UNITED STATES</v>
      </c>
      <c r="I379" t="str">
        <f>_xll.BDP("912833QZ Govt","FIRST_CPN_DT")</f>
        <v>#N/A Field Not Applicable</v>
      </c>
      <c r="J379" t="str">
        <f>_xll.BDP("912833QZ Govt","COUPON_FREQUENCY_DESCRIPTION")</f>
        <v>#N/A Field Not Applicable</v>
      </c>
      <c r="K379" t="str">
        <f>_xll.BDP("912833QZ Govt","CPN_TYP")</f>
        <v>ZERO</v>
      </c>
      <c r="L379" t="str">
        <f>_xll.BDP("912833QZ Govt","ID_ISIN")</f>
        <v>US912833QZ67</v>
      </c>
      <c r="N379">
        <v>0</v>
      </c>
      <c r="O379" t="str">
        <f>_xll.BDP("912833QZ Govt","ISSUE_DT")</f>
        <v>2/2/1998</v>
      </c>
      <c r="P379" t="str">
        <f>_xll.BDP("912833QZ Govt","SECURITY_NAME")</f>
        <v>S 0 01/31/99</v>
      </c>
      <c r="Q379" t="str">
        <f>_xll.BDP("912833QZ Govt","DAY_CNT_DES")</f>
        <v>ACT/ACT</v>
      </c>
      <c r="R379">
        <v>100</v>
      </c>
      <c r="S379" t="str">
        <f>_xll.BDP("912833QZ Govt","ID_CUSIP")</f>
        <v>912833QZ6</v>
      </c>
      <c r="T379" t="str">
        <f>_xll.BDP("912833QZ Govt","IDX_RATIO")</f>
        <v>#N/A Field Not Applicable</v>
      </c>
    </row>
    <row r="380" spans="1:20" x14ac:dyDescent="0.25">
      <c r="A380" t="s">
        <v>14</v>
      </c>
      <c r="B380" t="str">
        <f>_xll.BDP("912833RD Govt","TICKER")</f>
        <v>S</v>
      </c>
      <c r="C380">
        <f>_xll.BDP("912833RD Govt","CPN")</f>
        <v>0</v>
      </c>
      <c r="D380" t="str">
        <f>_xll.BDP("912833RD Govt","YLD_YTM_BID")</f>
        <v>#N/A N/A</v>
      </c>
      <c r="E380" t="str">
        <f>_xll.BDP("912833RD Govt","MATURITY")</f>
        <v>1/31/2001</v>
      </c>
      <c r="F380" t="str">
        <f>_xll.BDP("912833RD Govt","MTY_TYP")</f>
        <v>NORMAL</v>
      </c>
      <c r="G380" t="str">
        <f>_xll.BDP("912833RD Govt","CRNCY")</f>
        <v>USD</v>
      </c>
      <c r="H380" t="str">
        <f>_xll.BDP("912833RD Govt","COUNTRY_FULL_NAME")</f>
        <v>UNITED STATES</v>
      </c>
      <c r="I380" t="str">
        <f>_xll.BDP("912833RD Govt","FIRST_CPN_DT")</f>
        <v>#N/A Field Not Applicable</v>
      </c>
      <c r="J380" t="str">
        <f>_xll.BDP("912833RD Govt","COUPON_FREQUENCY_DESCRIPTION")</f>
        <v>#N/A Field Not Applicable</v>
      </c>
      <c r="K380" t="str">
        <f>_xll.BDP("912833RD Govt","CPN_TYP")</f>
        <v>ZERO</v>
      </c>
      <c r="L380" t="str">
        <f>_xll.BDP("912833RD Govt","ID_ISIN")</f>
        <v>US912833RD47</v>
      </c>
      <c r="N380">
        <v>0</v>
      </c>
      <c r="O380" t="str">
        <f>_xll.BDP("912833RD Govt","ISSUE_DT")</f>
        <v>2/2/1998</v>
      </c>
      <c r="P380" t="str">
        <f>_xll.BDP("912833RD Govt","SECURITY_NAME")</f>
        <v>S 0 01/31/01</v>
      </c>
      <c r="Q380" t="str">
        <f>_xll.BDP("912833RD Govt","DAY_CNT_DES")</f>
        <v>ACT/ACT</v>
      </c>
      <c r="R380">
        <v>100</v>
      </c>
      <c r="S380" t="str">
        <f>_xll.BDP("912833RD Govt","ID_CUSIP")</f>
        <v>912833RD4</v>
      </c>
      <c r="T380" t="str">
        <f>_xll.BDP("912833RD Govt","IDX_RATIO")</f>
        <v>#N/A Field Not Applicable</v>
      </c>
    </row>
    <row r="381" spans="1:20" x14ac:dyDescent="0.25">
      <c r="A381" t="s">
        <v>14</v>
      </c>
      <c r="B381" t="str">
        <f>_xll.BDP("912833YX Govt","TICKER")</f>
        <v>S</v>
      </c>
      <c r="C381">
        <f>_xll.BDP("912833YX Govt","CPN")</f>
        <v>0</v>
      </c>
      <c r="D381" t="str">
        <f>_xll.BDP("912833YX Govt","YLD_YTM_BID")</f>
        <v>#N/A N/A</v>
      </c>
      <c r="E381" t="str">
        <f>_xll.BDP("912833YX Govt","MATURITY")</f>
        <v>7/31/2004</v>
      </c>
      <c r="F381" t="str">
        <f>_xll.BDP("912833YX Govt","MTY_TYP")</f>
        <v>NORMAL</v>
      </c>
      <c r="G381" t="str">
        <f>_xll.BDP("912833YX Govt","CRNCY")</f>
        <v>USD</v>
      </c>
      <c r="H381" t="str">
        <f>_xll.BDP("912833YX Govt","COUNTRY_FULL_NAME")</f>
        <v>UNITED STATES</v>
      </c>
      <c r="I381" t="str">
        <f>_xll.BDP("912833YX Govt","FIRST_CPN_DT")</f>
        <v>#N/A Field Not Applicable</v>
      </c>
      <c r="J381" t="str">
        <f>_xll.BDP("912833YX Govt","COUPON_FREQUENCY_DESCRIPTION")</f>
        <v>#N/A Field Not Applicable</v>
      </c>
      <c r="K381" t="str">
        <f>_xll.BDP("912833YX Govt","CPN_TYP")</f>
        <v>ZERO</v>
      </c>
      <c r="L381" t="str">
        <f>_xll.BDP("912833YX Govt","ID_ISIN")</f>
        <v>US912833YX28</v>
      </c>
      <c r="N381">
        <v>0</v>
      </c>
      <c r="O381" t="str">
        <f>_xll.BDP("912833YX Govt","ISSUE_DT")</f>
        <v>7/31/2002</v>
      </c>
      <c r="P381" t="str">
        <f>_xll.BDP("912833YX Govt","SECURITY_NAME")</f>
        <v>S 0 07/31/04</v>
      </c>
      <c r="Q381" t="str">
        <f>_xll.BDP("912833YX Govt","DAY_CNT_DES")</f>
        <v>ACT/ACT</v>
      </c>
      <c r="R381">
        <v>100</v>
      </c>
      <c r="S381" t="str">
        <f>_xll.BDP("912833YX Govt","ID_CUSIP")</f>
        <v>912833YX2</v>
      </c>
      <c r="T381" t="str">
        <f>_xll.BDP("912833YX Govt","IDX_RATIO")</f>
        <v>#N/A Field Not Applicable</v>
      </c>
    </row>
    <row r="382" spans="1:20" x14ac:dyDescent="0.25">
      <c r="A382" t="s">
        <v>14</v>
      </c>
      <c r="B382" t="str">
        <f>_xll.BDP("912833Z4 Govt","TICKER")</f>
        <v>S</v>
      </c>
      <c r="C382">
        <f>_xll.BDP("912833Z4 Govt","CPN")</f>
        <v>0</v>
      </c>
      <c r="D382" t="str">
        <f>_xll.BDP("912833Z4 Govt","YLD_YTM_BID")</f>
        <v>#N/A N/A</v>
      </c>
      <c r="E382" t="str">
        <f>_xll.BDP("912833Z4 Govt","MATURITY")</f>
        <v>1/31/2013</v>
      </c>
      <c r="F382" t="str">
        <f>_xll.BDP("912833Z4 Govt","MTY_TYP")</f>
        <v>NORMAL</v>
      </c>
      <c r="G382" t="str">
        <f>_xll.BDP("912833Z4 Govt","CRNCY")</f>
        <v>USD</v>
      </c>
      <c r="H382" t="str">
        <f>_xll.BDP("912833Z4 Govt","COUNTRY_FULL_NAME")</f>
        <v>UNITED STATES</v>
      </c>
      <c r="I382" t="str">
        <f>_xll.BDP("912833Z4 Govt","FIRST_CPN_DT")</f>
        <v>#N/A Field Not Applicable</v>
      </c>
      <c r="J382" t="str">
        <f>_xll.BDP("912833Z4 Govt","COUPON_FREQUENCY_DESCRIPTION")</f>
        <v>#N/A Field Not Applicable</v>
      </c>
      <c r="K382" t="str">
        <f>_xll.BDP("912833Z4 Govt","CPN_TYP")</f>
        <v>ZERO</v>
      </c>
      <c r="L382" t="str">
        <f>_xll.BDP("912833Z4 Govt","ID_ISIN")</f>
        <v>US912833Z450</v>
      </c>
      <c r="N382">
        <v>0</v>
      </c>
      <c r="O382" t="str">
        <f>_xll.BDP("912833Z4 Govt","ISSUE_DT")</f>
        <v>1/31/2008</v>
      </c>
      <c r="P382" t="str">
        <f>_xll.BDP("912833Z4 Govt","SECURITY_NAME")</f>
        <v>S 0 01/31/13</v>
      </c>
      <c r="Q382" t="str">
        <f>_xll.BDP("912833Z4 Govt","DAY_CNT_DES")</f>
        <v>ACT/ACT</v>
      </c>
      <c r="R382">
        <v>100</v>
      </c>
      <c r="S382" t="str">
        <f>_xll.BDP("912833Z4 Govt","ID_CUSIP")</f>
        <v>912833Z45</v>
      </c>
      <c r="T382" t="str">
        <f>_xll.BDP("912833Z4 Govt","IDX_RATIO")</f>
        <v>#N/A Field Not Applicable</v>
      </c>
    </row>
    <row r="383" spans="1:20" x14ac:dyDescent="0.25">
      <c r="A383" t="s">
        <v>14</v>
      </c>
      <c r="B383" t="str">
        <f>_xll.BDP("912833ZR Govt","TICKER")</f>
        <v>S</v>
      </c>
      <c r="C383">
        <f>_xll.BDP("912833ZR Govt","CPN")</f>
        <v>0</v>
      </c>
      <c r="D383" t="str">
        <f>_xll.BDP("912833ZR Govt","YLD_YTM_BID")</f>
        <v>#N/A N/A</v>
      </c>
      <c r="E383" t="str">
        <f>_xll.BDP("912833ZR Govt","MATURITY")</f>
        <v>3/15/2005</v>
      </c>
      <c r="F383" t="str">
        <f>_xll.BDP("912833ZR Govt","MTY_TYP")</f>
        <v>NORMAL</v>
      </c>
      <c r="G383" t="str">
        <f>_xll.BDP("912833ZR Govt","CRNCY")</f>
        <v>USD</v>
      </c>
      <c r="H383" t="str">
        <f>_xll.BDP("912833ZR Govt","COUNTRY_FULL_NAME")</f>
        <v>UNITED STATES</v>
      </c>
      <c r="I383" t="str">
        <f>_xll.BDP("912833ZR Govt","FIRST_CPN_DT")</f>
        <v>#N/A Field Not Applicable</v>
      </c>
      <c r="J383" t="str">
        <f>_xll.BDP("912833ZR Govt","COUPON_FREQUENCY_DESCRIPTION")</f>
        <v>#N/A Field Not Applicable</v>
      </c>
      <c r="K383" t="str">
        <f>_xll.BDP("912833ZR Govt","CPN_TYP")</f>
        <v>ZERO</v>
      </c>
      <c r="L383" t="str">
        <f>_xll.BDP("912833ZR Govt","ID_ISIN")</f>
        <v>US912833ZR41</v>
      </c>
      <c r="N383">
        <v>0</v>
      </c>
      <c r="O383" t="str">
        <f>_xll.BDP("912833ZR Govt","ISSUE_DT")</f>
        <v>9/15/2003</v>
      </c>
      <c r="P383" t="str">
        <f>_xll.BDP("912833ZR Govt","SECURITY_NAME")</f>
        <v>S 0 03/15/05</v>
      </c>
      <c r="Q383" t="str">
        <f>_xll.BDP("912833ZR Govt","DAY_CNT_DES")</f>
        <v>ACT/ACT</v>
      </c>
      <c r="R383">
        <v>100</v>
      </c>
      <c r="S383" t="str">
        <f>_xll.BDP("912833ZR Govt","ID_CUSIP")</f>
        <v>912833ZR4</v>
      </c>
      <c r="T383" t="str">
        <f>_xll.BDP("912833ZR Govt","IDX_RATIO")</f>
        <v>#N/A Field Not Applicable</v>
      </c>
    </row>
    <row r="384" spans="1:20" x14ac:dyDescent="0.25">
      <c r="A384" t="s">
        <v>14</v>
      </c>
      <c r="B384" t="str">
        <f>_xll.BDP("912834AC Govt","TICKER")</f>
        <v>S</v>
      </c>
      <c r="C384">
        <f>_xll.BDP("912834AC Govt","CPN")</f>
        <v>0</v>
      </c>
      <c r="D384" t="str">
        <f>_xll.BDP("912834AC Govt","YLD_YTM_BID")</f>
        <v>#N/A N/A</v>
      </c>
      <c r="E384" t="str">
        <f>_xll.BDP("912834AC Govt","MATURITY")</f>
        <v>7/31/2013</v>
      </c>
      <c r="F384" t="str">
        <f>_xll.BDP("912834AC Govt","MTY_TYP")</f>
        <v>NORMAL</v>
      </c>
      <c r="G384" t="str">
        <f>_xll.BDP("912834AC Govt","CRNCY")</f>
        <v>USD</v>
      </c>
      <c r="H384" t="str">
        <f>_xll.BDP("912834AC Govt","COUNTRY_FULL_NAME")</f>
        <v>UNITED STATES</v>
      </c>
      <c r="I384" t="str">
        <f>_xll.BDP("912834AC Govt","FIRST_CPN_DT")</f>
        <v>#N/A Field Not Applicable</v>
      </c>
      <c r="J384" t="str">
        <f>_xll.BDP("912834AC Govt","COUPON_FREQUENCY_DESCRIPTION")</f>
        <v>#N/A Field Not Applicable</v>
      </c>
      <c r="K384" t="str">
        <f>_xll.BDP("912834AC Govt","CPN_TYP")</f>
        <v>ZERO</v>
      </c>
      <c r="L384" t="str">
        <f>_xll.BDP("912834AC Govt","ID_ISIN")</f>
        <v>US912834AC20</v>
      </c>
      <c r="N384">
        <v>0</v>
      </c>
      <c r="O384" t="str">
        <f>_xll.BDP("912834AC Govt","ISSUE_DT")</f>
        <v>7/31/2008</v>
      </c>
      <c r="P384" t="str">
        <f>_xll.BDP("912834AC Govt","SECURITY_NAME")</f>
        <v>S 0 07/31/13</v>
      </c>
      <c r="Q384" t="str">
        <f>_xll.BDP("912834AC Govt","DAY_CNT_DES")</f>
        <v>ACT/ACT</v>
      </c>
      <c r="R384">
        <v>100</v>
      </c>
      <c r="S384" t="str">
        <f>_xll.BDP("912834AC Govt","ID_CUSIP")</f>
        <v>912834AC2</v>
      </c>
      <c r="T384" t="str">
        <f>_xll.BDP("912834AC Govt","IDX_RATIO")</f>
        <v>#N/A Field Not Applicable</v>
      </c>
    </row>
    <row r="385" spans="1:20" x14ac:dyDescent="0.25">
      <c r="A385" t="s">
        <v>14</v>
      </c>
      <c r="B385" t="str">
        <f>_xll.BDP("912834AH Govt","TICKER")</f>
        <v>S</v>
      </c>
      <c r="C385">
        <f>_xll.BDP("912834AH Govt","CPN")</f>
        <v>0</v>
      </c>
      <c r="D385" t="str">
        <f>_xll.BDP("912834AH Govt","YLD_YTM_BID")</f>
        <v>#N/A N/A</v>
      </c>
      <c r="E385" t="str">
        <f>_xll.BDP("912834AH Govt","MATURITY")</f>
        <v>10/31/2013</v>
      </c>
      <c r="F385" t="str">
        <f>_xll.BDP("912834AH Govt","MTY_TYP")</f>
        <v>NORMAL</v>
      </c>
      <c r="G385" t="str">
        <f>_xll.BDP("912834AH Govt","CRNCY")</f>
        <v>USD</v>
      </c>
      <c r="H385" t="str">
        <f>_xll.BDP("912834AH Govt","COUNTRY_FULL_NAME")</f>
        <v>UNITED STATES</v>
      </c>
      <c r="I385" t="str">
        <f>_xll.BDP("912834AH Govt","FIRST_CPN_DT")</f>
        <v>#N/A Field Not Applicable</v>
      </c>
      <c r="J385" t="str">
        <f>_xll.BDP("912834AH Govt","COUPON_FREQUENCY_DESCRIPTION")</f>
        <v>#N/A Field Not Applicable</v>
      </c>
      <c r="K385" t="str">
        <f>_xll.BDP("912834AH Govt","CPN_TYP")</f>
        <v>ZERO</v>
      </c>
      <c r="L385" t="str">
        <f>_xll.BDP("912834AH Govt","ID_ISIN")</f>
        <v>US912834AH17</v>
      </c>
      <c r="N385">
        <v>0</v>
      </c>
      <c r="O385" t="str">
        <f>_xll.BDP("912834AH Govt","ISSUE_DT")</f>
        <v>10/31/2008</v>
      </c>
      <c r="P385" t="str">
        <f>_xll.BDP("912834AH Govt","SECURITY_NAME")</f>
        <v>S 0 10/31/13</v>
      </c>
      <c r="Q385" t="str">
        <f>_xll.BDP("912834AH Govt","DAY_CNT_DES")</f>
        <v>ACT/ACT</v>
      </c>
      <c r="R385">
        <v>100</v>
      </c>
      <c r="S385" t="str">
        <f>_xll.BDP("912834AH Govt","ID_CUSIP")</f>
        <v>912834AH1</v>
      </c>
      <c r="T385" t="str">
        <f>_xll.BDP("912834AH Govt","IDX_RATIO")</f>
        <v>#N/A Field Not Applicable</v>
      </c>
    </row>
    <row r="386" spans="1:20" x14ac:dyDescent="0.25">
      <c r="A386" t="s">
        <v>14</v>
      </c>
      <c r="B386" t="str">
        <f>_xll.BDP("912834AP Govt","TICKER")</f>
        <v>S</v>
      </c>
      <c r="C386">
        <f>_xll.BDP("912834AP Govt","CPN")</f>
        <v>0</v>
      </c>
      <c r="D386" t="str">
        <f>_xll.BDP("912834AP Govt","YLD_YTM_BID")</f>
        <v>#N/A N/A</v>
      </c>
      <c r="E386" t="str">
        <f>_xll.BDP("912834AP Govt","MATURITY")</f>
        <v>1/15/2012</v>
      </c>
      <c r="F386" t="str">
        <f>_xll.BDP("912834AP Govt","MTY_TYP")</f>
        <v>NORMAL</v>
      </c>
      <c r="G386" t="str">
        <f>_xll.BDP("912834AP Govt","CRNCY")</f>
        <v>USD</v>
      </c>
      <c r="H386" t="str">
        <f>_xll.BDP("912834AP Govt","COUNTRY_FULL_NAME")</f>
        <v>UNITED STATES</v>
      </c>
      <c r="I386" t="str">
        <f>_xll.BDP("912834AP Govt","FIRST_CPN_DT")</f>
        <v>#N/A Field Not Applicable</v>
      </c>
      <c r="J386" t="str">
        <f>_xll.BDP("912834AP Govt","COUPON_FREQUENCY_DESCRIPTION")</f>
        <v>#N/A Field Not Applicable</v>
      </c>
      <c r="K386" t="str">
        <f>_xll.BDP("912834AP Govt","CPN_TYP")</f>
        <v>ZERO</v>
      </c>
      <c r="L386" t="str">
        <f>_xll.BDP("912834AP Govt","ID_ISIN")</f>
        <v>US912834AP33</v>
      </c>
      <c r="N386">
        <v>0</v>
      </c>
      <c r="O386" t="str">
        <f>_xll.BDP("912834AP Govt","ISSUE_DT")</f>
        <v>1/15/2009</v>
      </c>
      <c r="P386" t="str">
        <f>_xll.BDP("912834AP Govt","SECURITY_NAME")</f>
        <v>S 0 01/15/12</v>
      </c>
      <c r="Q386" t="str">
        <f>_xll.BDP("912834AP Govt","DAY_CNT_DES")</f>
        <v>ACT/ACT</v>
      </c>
      <c r="R386">
        <v>100</v>
      </c>
      <c r="S386" t="str">
        <f>_xll.BDP("912834AP Govt","ID_CUSIP")</f>
        <v>912834AP3</v>
      </c>
      <c r="T386" t="str">
        <f>_xll.BDP("912834AP Govt","IDX_RATIO")</f>
        <v>#N/A Field Not Applicable</v>
      </c>
    </row>
    <row r="387" spans="1:20" x14ac:dyDescent="0.25">
      <c r="A387" t="s">
        <v>14</v>
      </c>
      <c r="B387" t="str">
        <f>_xll.BDP("912834AV Govt","TICKER")</f>
        <v>S</v>
      </c>
      <c r="C387">
        <f>_xll.BDP("912834AV Govt","CPN")</f>
        <v>0</v>
      </c>
      <c r="D387" t="str">
        <f>_xll.BDP("912834AV Govt","YLD_YTM_BID")</f>
        <v>#N/A N/A</v>
      </c>
      <c r="E387" t="str">
        <f>_xll.BDP("912834AV Govt","MATURITY")</f>
        <v>2/28/2014</v>
      </c>
      <c r="F387" t="str">
        <f>_xll.BDP("912834AV Govt","MTY_TYP")</f>
        <v>NORMAL</v>
      </c>
      <c r="G387" t="str">
        <f>_xll.BDP("912834AV Govt","CRNCY")</f>
        <v>USD</v>
      </c>
      <c r="H387" t="str">
        <f>_xll.BDP("912834AV Govt","COUNTRY_FULL_NAME")</f>
        <v>UNITED STATES</v>
      </c>
      <c r="I387" t="str">
        <f>_xll.BDP("912834AV Govt","FIRST_CPN_DT")</f>
        <v>#N/A Field Not Applicable</v>
      </c>
      <c r="J387" t="str">
        <f>_xll.BDP("912834AV Govt","COUPON_FREQUENCY_DESCRIPTION")</f>
        <v>#N/A Field Not Applicable</v>
      </c>
      <c r="K387" t="str">
        <f>_xll.BDP("912834AV Govt","CPN_TYP")</f>
        <v>ZERO</v>
      </c>
      <c r="L387" t="str">
        <f>_xll.BDP("912834AV Govt","ID_ISIN")</f>
        <v>US912834AV01</v>
      </c>
      <c r="N387">
        <v>0</v>
      </c>
      <c r="O387" t="str">
        <f>_xll.BDP("912834AV Govt","ISSUE_DT")</f>
        <v>3/2/2009</v>
      </c>
      <c r="P387" t="str">
        <f>_xll.BDP("912834AV Govt","SECURITY_NAME")</f>
        <v>S 0 02/28/14</v>
      </c>
      <c r="Q387" t="str">
        <f>_xll.BDP("912834AV Govt","DAY_CNT_DES")</f>
        <v>ACT/ACT</v>
      </c>
      <c r="R387">
        <v>100</v>
      </c>
      <c r="S387" t="str">
        <f>_xll.BDP("912834AV Govt","ID_CUSIP")</f>
        <v>912834AV0</v>
      </c>
      <c r="T387" t="str">
        <f>_xll.BDP("912834AV Govt","IDX_RATIO")</f>
        <v>#N/A Field Not Applicable</v>
      </c>
    </row>
    <row r="388" spans="1:20" x14ac:dyDescent="0.25">
      <c r="A388" t="s">
        <v>14</v>
      </c>
      <c r="B388" t="str">
        <f>_xll.BDP("912834AX Govt","TICKER")</f>
        <v>S</v>
      </c>
      <c r="C388">
        <f>_xll.BDP("912834AX Govt","CPN")</f>
        <v>0</v>
      </c>
      <c r="D388" t="str">
        <f>_xll.BDP("912834AX Govt","YLD_YTM_BID")</f>
        <v>#N/A N/A</v>
      </c>
      <c r="E388" t="str">
        <f>_xll.BDP("912834AX Govt","MATURITY")</f>
        <v>2/28/2015</v>
      </c>
      <c r="F388" t="str">
        <f>_xll.BDP("912834AX Govt","MTY_TYP")</f>
        <v>NORMAL</v>
      </c>
      <c r="G388" t="str">
        <f>_xll.BDP("912834AX Govt","CRNCY")</f>
        <v>USD</v>
      </c>
      <c r="H388" t="str">
        <f>_xll.BDP("912834AX Govt","COUNTRY_FULL_NAME")</f>
        <v>UNITED STATES</v>
      </c>
      <c r="I388" t="str">
        <f>_xll.BDP("912834AX Govt","FIRST_CPN_DT")</f>
        <v>#N/A Field Not Applicable</v>
      </c>
      <c r="J388" t="str">
        <f>_xll.BDP("912834AX Govt","COUPON_FREQUENCY_DESCRIPTION")</f>
        <v>#N/A Field Not Applicable</v>
      </c>
      <c r="K388" t="str">
        <f>_xll.BDP("912834AX Govt","CPN_TYP")</f>
        <v>ZERO</v>
      </c>
      <c r="L388" t="str">
        <f>_xll.BDP("912834AX Govt","ID_ISIN")</f>
        <v>US912834AX66</v>
      </c>
      <c r="N388">
        <v>0</v>
      </c>
      <c r="O388" t="str">
        <f>_xll.BDP("912834AX Govt","ISSUE_DT")</f>
        <v>3/2/2009</v>
      </c>
      <c r="P388" t="str">
        <f>_xll.BDP("912834AX Govt","SECURITY_NAME")</f>
        <v>S 0 02/28/15</v>
      </c>
      <c r="Q388" t="str">
        <f>_xll.BDP("912834AX Govt","DAY_CNT_DES")</f>
        <v>ACT/ACT</v>
      </c>
      <c r="R388">
        <v>100</v>
      </c>
      <c r="S388" t="str">
        <f>_xll.BDP("912834AX Govt","ID_CUSIP")</f>
        <v>912834AX6</v>
      </c>
      <c r="T388" t="str">
        <f>_xll.BDP("912834AX Govt","IDX_RATIO")</f>
        <v>#N/A Field Not Applicable</v>
      </c>
    </row>
    <row r="389" spans="1:20" x14ac:dyDescent="0.25">
      <c r="A389" t="s">
        <v>14</v>
      </c>
      <c r="B389" t="str">
        <f>_xll.BDP("912834BP Govt","TICKER")</f>
        <v>S</v>
      </c>
      <c r="C389">
        <f>_xll.BDP("912834BP Govt","CPN")</f>
        <v>0</v>
      </c>
      <c r="D389" t="str">
        <f>_xll.BDP("912834BP Govt","YLD_YTM_BID")</f>
        <v>#N/A N/A</v>
      </c>
      <c r="E389" t="str">
        <f>_xll.BDP("912834BP Govt","MATURITY")</f>
        <v>4/30/2015</v>
      </c>
      <c r="F389" t="str">
        <f>_xll.BDP("912834BP Govt","MTY_TYP")</f>
        <v>NORMAL</v>
      </c>
      <c r="G389" t="str">
        <f>_xll.BDP("912834BP Govt","CRNCY")</f>
        <v>USD</v>
      </c>
      <c r="H389" t="str">
        <f>_xll.BDP("912834BP Govt","COUNTRY_FULL_NAME")</f>
        <v>UNITED STATES</v>
      </c>
      <c r="I389" t="str">
        <f>_xll.BDP("912834BP Govt","FIRST_CPN_DT")</f>
        <v>#N/A Field Not Applicable</v>
      </c>
      <c r="J389" t="str">
        <f>_xll.BDP("912834BP Govt","COUPON_FREQUENCY_DESCRIPTION")</f>
        <v>#N/A Field Not Applicable</v>
      </c>
      <c r="K389" t="str">
        <f>_xll.BDP("912834BP Govt","CPN_TYP")</f>
        <v>ZERO</v>
      </c>
      <c r="L389" t="str">
        <f>_xll.BDP("912834BP Govt","ID_ISIN")</f>
        <v>US912834BP24</v>
      </c>
      <c r="N389">
        <v>0</v>
      </c>
      <c r="O389" t="str">
        <f>_xll.BDP("912834BP Govt","ISSUE_DT")</f>
        <v>4/30/2009</v>
      </c>
      <c r="P389" t="str">
        <f>_xll.BDP("912834BP Govt","SECURITY_NAME")</f>
        <v>S 0 04/30/15</v>
      </c>
      <c r="Q389" t="str">
        <f>_xll.BDP("912834BP Govt","DAY_CNT_DES")</f>
        <v>ACT/ACT</v>
      </c>
      <c r="R389">
        <v>100</v>
      </c>
      <c r="S389" t="str">
        <f>_xll.BDP("912834BP Govt","ID_CUSIP")</f>
        <v>912834BP2</v>
      </c>
      <c r="T389" t="str">
        <f>_xll.BDP("912834BP Govt","IDX_RATIO")</f>
        <v>#N/A Field Not Applicable</v>
      </c>
    </row>
    <row r="390" spans="1:20" x14ac:dyDescent="0.25">
      <c r="A390" t="s">
        <v>14</v>
      </c>
      <c r="B390" t="str">
        <f>_xll.BDP("912834DW Govt","TICKER")</f>
        <v>S</v>
      </c>
      <c r="C390">
        <f>_xll.BDP("912834DW Govt","CPN")</f>
        <v>0</v>
      </c>
      <c r="D390" t="str">
        <f>_xll.BDP("912834DW Govt","YLD_YTM_BID")</f>
        <v>#N/A N/A</v>
      </c>
      <c r="E390" t="str">
        <f>_xll.BDP("912834DW Govt","MATURITY")</f>
        <v>5/31/2014</v>
      </c>
      <c r="F390" t="str">
        <f>_xll.BDP("912834DW Govt","MTY_TYP")</f>
        <v>NORMAL</v>
      </c>
      <c r="G390" t="str">
        <f>_xll.BDP("912834DW Govt","CRNCY")</f>
        <v>USD</v>
      </c>
      <c r="H390" t="str">
        <f>_xll.BDP("912834DW Govt","COUNTRY_FULL_NAME")</f>
        <v>UNITED STATES</v>
      </c>
      <c r="I390" t="str">
        <f>_xll.BDP("912834DW Govt","FIRST_CPN_DT")</f>
        <v>#N/A Field Not Applicable</v>
      </c>
      <c r="J390" t="str">
        <f>_xll.BDP("912834DW Govt","COUPON_FREQUENCY_DESCRIPTION")</f>
        <v>#N/A Field Not Applicable</v>
      </c>
      <c r="K390" t="str">
        <f>_xll.BDP("912834DW Govt","CPN_TYP")</f>
        <v>ZERO</v>
      </c>
      <c r="L390" t="str">
        <f>_xll.BDP("912834DW Govt","ID_ISIN")</f>
        <v>US912834DW56</v>
      </c>
      <c r="N390">
        <v>0</v>
      </c>
      <c r="O390" t="str">
        <f>_xll.BDP("912834DW Govt","ISSUE_DT")</f>
        <v>6/1/2009</v>
      </c>
      <c r="P390" t="str">
        <f>_xll.BDP("912834DW Govt","SECURITY_NAME")</f>
        <v>S 0 05/31/14</v>
      </c>
      <c r="Q390" t="str">
        <f>_xll.BDP("912834DW Govt","DAY_CNT_DES")</f>
        <v>ACT/ACT</v>
      </c>
      <c r="R390">
        <v>100</v>
      </c>
      <c r="S390" t="str">
        <f>_xll.BDP("912834DW Govt","ID_CUSIP")</f>
        <v>912834DW5</v>
      </c>
      <c r="T390" t="str">
        <f>_xll.BDP("912834DW Govt","IDX_RATIO")</f>
        <v>#N/A Field Not Applicable</v>
      </c>
    </row>
    <row r="391" spans="1:20" x14ac:dyDescent="0.25">
      <c r="A391" t="s">
        <v>14</v>
      </c>
      <c r="B391" t="str">
        <f>_xll.BDP("912834DX Govt","TICKER")</f>
        <v>S</v>
      </c>
      <c r="C391">
        <f>_xll.BDP("912834DX Govt","CPN")</f>
        <v>0</v>
      </c>
      <c r="D391" t="str">
        <f>_xll.BDP("912834DX Govt","YLD_YTM_BID")</f>
        <v>#N/A N/A</v>
      </c>
      <c r="E391" t="str">
        <f>_xll.BDP("912834DX Govt","MATURITY")</f>
        <v>11/30/2014</v>
      </c>
      <c r="F391" t="str">
        <f>_xll.BDP("912834DX Govt","MTY_TYP")</f>
        <v>NORMAL</v>
      </c>
      <c r="G391" t="str">
        <f>_xll.BDP("912834DX Govt","CRNCY")</f>
        <v>USD</v>
      </c>
      <c r="H391" t="str">
        <f>_xll.BDP("912834DX Govt","COUNTRY_FULL_NAME")</f>
        <v>UNITED STATES</v>
      </c>
      <c r="I391" t="str">
        <f>_xll.BDP("912834DX Govt","FIRST_CPN_DT")</f>
        <v>#N/A Field Not Applicable</v>
      </c>
      <c r="J391" t="str">
        <f>_xll.BDP("912834DX Govt","COUPON_FREQUENCY_DESCRIPTION")</f>
        <v>#N/A Field Not Applicable</v>
      </c>
      <c r="K391" t="str">
        <f>_xll.BDP("912834DX Govt","CPN_TYP")</f>
        <v>ZERO</v>
      </c>
      <c r="L391" t="str">
        <f>_xll.BDP("912834DX Govt","ID_ISIN")</f>
        <v>US912834DX30</v>
      </c>
      <c r="N391">
        <v>0</v>
      </c>
      <c r="O391" t="str">
        <f>_xll.BDP("912834DX Govt","ISSUE_DT")</f>
        <v>6/1/2009</v>
      </c>
      <c r="P391" t="str">
        <f>_xll.BDP("912834DX Govt","SECURITY_NAME")</f>
        <v>S 0 11/30/14</v>
      </c>
      <c r="Q391" t="str">
        <f>_xll.BDP("912834DX Govt","DAY_CNT_DES")</f>
        <v>ACT/ACT</v>
      </c>
      <c r="R391">
        <v>100</v>
      </c>
      <c r="S391" t="str">
        <f>_xll.BDP("912834DX Govt","ID_CUSIP")</f>
        <v>912834DX3</v>
      </c>
      <c r="T391" t="str">
        <f>_xll.BDP("912834DX Govt","IDX_RATIO")</f>
        <v>#N/A Field Not Applicable</v>
      </c>
    </row>
    <row r="392" spans="1:20" x14ac:dyDescent="0.25">
      <c r="A392" t="s">
        <v>14</v>
      </c>
      <c r="B392" t="str">
        <f>_xll.BDP("912834EK Govt","TICKER")</f>
        <v>S</v>
      </c>
      <c r="C392">
        <f>_xll.BDP("912834EK Govt","CPN")</f>
        <v>0</v>
      </c>
      <c r="D392" t="str">
        <f>_xll.BDP("912834EK Govt","YLD_YTM_BID")</f>
        <v>#N/A N/A</v>
      </c>
      <c r="E392" t="str">
        <f>_xll.BDP("912834EK Govt","MATURITY")</f>
        <v>1/31/2015</v>
      </c>
      <c r="F392" t="str">
        <f>_xll.BDP("912834EK Govt","MTY_TYP")</f>
        <v>NORMAL</v>
      </c>
      <c r="G392" t="str">
        <f>_xll.BDP("912834EK Govt","CRNCY")</f>
        <v>USD</v>
      </c>
      <c r="H392" t="str">
        <f>_xll.BDP("912834EK Govt","COUNTRY_FULL_NAME")</f>
        <v>UNITED STATES</v>
      </c>
      <c r="I392" t="str">
        <f>_xll.BDP("912834EK Govt","FIRST_CPN_DT")</f>
        <v>#N/A Field Not Applicable</v>
      </c>
      <c r="J392" t="str">
        <f>_xll.BDP("912834EK Govt","COUPON_FREQUENCY_DESCRIPTION")</f>
        <v>#N/A Field Not Applicable</v>
      </c>
      <c r="K392" t="str">
        <f>_xll.BDP("912834EK Govt","CPN_TYP")</f>
        <v>ZERO</v>
      </c>
      <c r="L392" t="str">
        <f>_xll.BDP("912834EK Govt","ID_ISIN")</f>
        <v>US912834EK00</v>
      </c>
      <c r="N392">
        <v>0</v>
      </c>
      <c r="O392" t="str">
        <f>_xll.BDP("912834EK Govt","ISSUE_DT")</f>
        <v>7/31/2009</v>
      </c>
      <c r="P392" t="str">
        <f>_xll.BDP("912834EK Govt","SECURITY_NAME")</f>
        <v>S 0 01/31/15</v>
      </c>
      <c r="Q392" t="str">
        <f>_xll.BDP("912834EK Govt","DAY_CNT_DES")</f>
        <v>ACT/ACT</v>
      </c>
      <c r="R392">
        <v>100</v>
      </c>
      <c r="S392" t="str">
        <f>_xll.BDP("912834EK Govt","ID_CUSIP")</f>
        <v>912834EK0</v>
      </c>
      <c r="T392" t="str">
        <f>_xll.BDP("912834EK Govt","IDX_RATIO")</f>
        <v>#N/A Field Not Applicable</v>
      </c>
    </row>
    <row r="393" spans="1:20" x14ac:dyDescent="0.25">
      <c r="A393" t="s">
        <v>14</v>
      </c>
      <c r="B393" t="str">
        <f>_xll.BDP("912834ET Govt","TICKER")</f>
        <v>S</v>
      </c>
      <c r="C393">
        <f>_xll.BDP("912834ET Govt","CPN")</f>
        <v>0</v>
      </c>
      <c r="D393" t="str">
        <f>_xll.BDP("912834ET Govt","YLD_YTM_BID")</f>
        <v>#N/A N/A</v>
      </c>
      <c r="E393" t="str">
        <f>_xll.BDP("912834ET Govt","MATURITY")</f>
        <v>10/15/2012</v>
      </c>
      <c r="F393" t="str">
        <f>_xll.BDP("912834ET Govt","MTY_TYP")</f>
        <v>NORMAL</v>
      </c>
      <c r="G393" t="str">
        <f>_xll.BDP("912834ET Govt","CRNCY")</f>
        <v>USD</v>
      </c>
      <c r="H393" t="str">
        <f>_xll.BDP("912834ET Govt","COUNTRY_FULL_NAME")</f>
        <v>UNITED STATES</v>
      </c>
      <c r="I393" t="str">
        <f>_xll.BDP("912834ET Govt","FIRST_CPN_DT")</f>
        <v>#N/A Field Not Applicable</v>
      </c>
      <c r="J393" t="str">
        <f>_xll.BDP("912834ET Govt","COUPON_FREQUENCY_DESCRIPTION")</f>
        <v>#N/A Field Not Applicable</v>
      </c>
      <c r="K393" t="str">
        <f>_xll.BDP("912834ET Govt","CPN_TYP")</f>
        <v>ZERO</v>
      </c>
      <c r="L393" t="str">
        <f>_xll.BDP("912834ET Govt","ID_ISIN")</f>
        <v>US912834ET19</v>
      </c>
      <c r="N393">
        <v>0</v>
      </c>
      <c r="O393" t="str">
        <f>_xll.BDP("912834ET Govt","ISSUE_DT")</f>
        <v>10/15/2009</v>
      </c>
      <c r="P393" t="str">
        <f>_xll.BDP("912834ET Govt","SECURITY_NAME")</f>
        <v>S 0 10/15/12</v>
      </c>
      <c r="Q393" t="str">
        <f>_xll.BDP("912834ET Govt","DAY_CNT_DES")</f>
        <v>ACT/ACT</v>
      </c>
      <c r="R393">
        <v>100</v>
      </c>
      <c r="S393" t="str">
        <f>_xll.BDP("912834ET Govt","ID_CUSIP")</f>
        <v>912834ET1</v>
      </c>
      <c r="T393" t="str">
        <f>_xll.BDP("912834ET Govt","IDX_RATIO")</f>
        <v>#N/A Field Not Applicable</v>
      </c>
    </row>
    <row r="394" spans="1:20" x14ac:dyDescent="0.25">
      <c r="A394" t="s">
        <v>14</v>
      </c>
      <c r="B394" t="str">
        <f>_xll.BDP("912834EZ Govt","TICKER")</f>
        <v>S</v>
      </c>
      <c r="C394">
        <f>_xll.BDP("912834EZ Govt","CPN")</f>
        <v>0</v>
      </c>
      <c r="D394" t="str">
        <f>_xll.BDP("912834EZ Govt","YLD_YTM_BID")</f>
        <v>#N/A N/A</v>
      </c>
      <c r="E394" t="str">
        <f>_xll.BDP("912834EZ Govt","MATURITY")</f>
        <v>1/15/2013</v>
      </c>
      <c r="F394" t="str">
        <f>_xll.BDP("912834EZ Govt","MTY_TYP")</f>
        <v>NORMAL</v>
      </c>
      <c r="G394" t="str">
        <f>_xll.BDP("912834EZ Govt","CRNCY")</f>
        <v>USD</v>
      </c>
      <c r="H394" t="str">
        <f>_xll.BDP("912834EZ Govt","COUNTRY_FULL_NAME")</f>
        <v>UNITED STATES</v>
      </c>
      <c r="I394" t="str">
        <f>_xll.BDP("912834EZ Govt","FIRST_CPN_DT")</f>
        <v>#N/A Field Not Applicable</v>
      </c>
      <c r="J394" t="str">
        <f>_xll.BDP("912834EZ Govt","COUPON_FREQUENCY_DESCRIPTION")</f>
        <v>#N/A Field Not Applicable</v>
      </c>
      <c r="K394" t="str">
        <f>_xll.BDP("912834EZ Govt","CPN_TYP")</f>
        <v>ZERO</v>
      </c>
      <c r="L394" t="str">
        <f>_xll.BDP("912834EZ Govt","ID_ISIN")</f>
        <v>US912834EZ78</v>
      </c>
      <c r="N394">
        <v>0</v>
      </c>
      <c r="O394" t="str">
        <f>_xll.BDP("912834EZ Govt","ISSUE_DT")</f>
        <v>1/15/2010</v>
      </c>
      <c r="P394" t="str">
        <f>_xll.BDP("912834EZ Govt","SECURITY_NAME")</f>
        <v>S 0 01/15/13</v>
      </c>
      <c r="Q394" t="str">
        <f>_xll.BDP("912834EZ Govt","DAY_CNT_DES")</f>
        <v>ACT/ACT</v>
      </c>
      <c r="R394">
        <v>100</v>
      </c>
      <c r="S394" t="str">
        <f>_xll.BDP("912834EZ Govt","ID_CUSIP")</f>
        <v>912834EZ7</v>
      </c>
      <c r="T394" t="str">
        <f>_xll.BDP("912834EZ Govt","IDX_RATIO")</f>
        <v>#N/A Field Not Applicable</v>
      </c>
    </row>
    <row r="395" spans="1:20" x14ac:dyDescent="0.25">
      <c r="A395" t="s">
        <v>14</v>
      </c>
      <c r="B395" t="str">
        <f>_xll.BDP("912834FA Govt","TICKER")</f>
        <v>S</v>
      </c>
      <c r="C395">
        <f>_xll.BDP("912834FA Govt","CPN")</f>
        <v>0</v>
      </c>
      <c r="D395" t="str">
        <f>_xll.BDP("912834FA Govt","YLD_YTM_BID")</f>
        <v>#N/A N/A</v>
      </c>
      <c r="E395" t="str">
        <f>_xll.BDP("912834FA Govt","MATURITY")</f>
        <v>1/31/2017</v>
      </c>
      <c r="F395" t="str">
        <f>_xll.BDP("912834FA Govt","MTY_TYP")</f>
        <v>NORMAL</v>
      </c>
      <c r="G395" t="str">
        <f>_xll.BDP("912834FA Govt","CRNCY")</f>
        <v>USD</v>
      </c>
      <c r="H395" t="str">
        <f>_xll.BDP("912834FA Govt","COUNTRY_FULL_NAME")</f>
        <v>UNITED STATES</v>
      </c>
      <c r="I395" t="str">
        <f>_xll.BDP("912834FA Govt","FIRST_CPN_DT")</f>
        <v>#N/A Field Not Applicable</v>
      </c>
      <c r="J395" t="str">
        <f>_xll.BDP("912834FA Govt","COUPON_FREQUENCY_DESCRIPTION")</f>
        <v>#N/A Field Not Applicable</v>
      </c>
      <c r="K395" t="str">
        <f>_xll.BDP("912834FA Govt","CPN_TYP")</f>
        <v>ZERO</v>
      </c>
      <c r="L395" t="str">
        <f>_xll.BDP("912834FA Govt","ID_ISIN")</f>
        <v>US912834FA19</v>
      </c>
      <c r="N395">
        <v>0</v>
      </c>
      <c r="O395" t="str">
        <f>_xll.BDP("912834FA Govt","ISSUE_DT")</f>
        <v>1/31/2010</v>
      </c>
      <c r="P395" t="str">
        <f>_xll.BDP("912834FA Govt","SECURITY_NAME")</f>
        <v>S 0 01/31/17</v>
      </c>
      <c r="Q395" t="str">
        <f>_xll.BDP("912834FA Govt","DAY_CNT_DES")</f>
        <v>ACT/ACT</v>
      </c>
      <c r="R395">
        <v>100</v>
      </c>
      <c r="S395" t="str">
        <f>_xll.BDP("912834FA Govt","ID_CUSIP")</f>
        <v>912834FA1</v>
      </c>
      <c r="T395" t="str">
        <f>_xll.BDP("912834FA Govt","IDX_RATIO")</f>
        <v>#N/A Field Not Applicable</v>
      </c>
    </row>
    <row r="396" spans="1:20" x14ac:dyDescent="0.25">
      <c r="A396" t="s">
        <v>14</v>
      </c>
      <c r="B396" t="str">
        <f>_xll.BDP("912834HS Govt","TICKER")</f>
        <v>S</v>
      </c>
      <c r="C396">
        <f>_xll.BDP("912834HS Govt","CPN")</f>
        <v>0</v>
      </c>
      <c r="D396" t="str">
        <f>_xll.BDP("912834HS Govt","YLD_YTM_BID")</f>
        <v>#N/A N/A</v>
      </c>
      <c r="E396" t="str">
        <f>_xll.BDP("912834HS Govt","MATURITY")</f>
        <v>3/31/2017</v>
      </c>
      <c r="F396" t="str">
        <f>_xll.BDP("912834HS Govt","MTY_TYP")</f>
        <v>NORMAL</v>
      </c>
      <c r="G396" t="str">
        <f>_xll.BDP("912834HS Govt","CRNCY")</f>
        <v>USD</v>
      </c>
      <c r="H396" t="str">
        <f>_xll.BDP("912834HS Govt","COUNTRY_FULL_NAME")</f>
        <v>UNITED STATES</v>
      </c>
      <c r="I396" t="str">
        <f>_xll.BDP("912834HS Govt","FIRST_CPN_DT")</f>
        <v>#N/A Field Not Applicable</v>
      </c>
      <c r="J396" t="str">
        <f>_xll.BDP("912834HS Govt","COUPON_FREQUENCY_DESCRIPTION")</f>
        <v>#N/A Field Not Applicable</v>
      </c>
      <c r="K396" t="str">
        <f>_xll.BDP("912834HS Govt","CPN_TYP")</f>
        <v>ZERO</v>
      </c>
      <c r="L396" t="str">
        <f>_xll.BDP("912834HS Govt","ID_ISIN")</f>
        <v>US912834HS09</v>
      </c>
      <c r="N396">
        <v>0</v>
      </c>
      <c r="O396" t="str">
        <f>_xll.BDP("912834HS Govt","ISSUE_DT")</f>
        <v>3/31/2010</v>
      </c>
      <c r="P396" t="str">
        <f>_xll.BDP("912834HS Govt","SECURITY_NAME")</f>
        <v>S 0 03/31/17</v>
      </c>
      <c r="Q396" t="str">
        <f>_xll.BDP("912834HS Govt","DAY_CNT_DES")</f>
        <v>ACT/ACT</v>
      </c>
      <c r="R396">
        <v>100</v>
      </c>
      <c r="S396" t="str">
        <f>_xll.BDP("912834HS Govt","ID_CUSIP")</f>
        <v>912834HS0</v>
      </c>
      <c r="T396" t="str">
        <f>_xll.BDP("912834HS Govt","IDX_RATIO")</f>
        <v>#N/A Field Not Applicable</v>
      </c>
    </row>
    <row r="397" spans="1:20" x14ac:dyDescent="0.25">
      <c r="A397" t="s">
        <v>14</v>
      </c>
      <c r="B397" t="str">
        <f>_xll.BDP("912834JM Govt","TICKER")</f>
        <v>S</v>
      </c>
      <c r="C397">
        <f>_xll.BDP("912834JM Govt","CPN")</f>
        <v>0</v>
      </c>
      <c r="D397" t="str">
        <f>_xll.BDP("912834JM Govt","YLD_YTM_BID")</f>
        <v>#N/A N/A</v>
      </c>
      <c r="E397" t="str">
        <f>_xll.BDP("912834JM Govt","MATURITY")</f>
        <v>1/15/2014</v>
      </c>
      <c r="F397" t="str">
        <f>_xll.BDP("912834JM Govt","MTY_TYP")</f>
        <v>NORMAL</v>
      </c>
      <c r="G397" t="str">
        <f>_xll.BDP("912834JM Govt","CRNCY")</f>
        <v>USD</v>
      </c>
      <c r="H397" t="str">
        <f>_xll.BDP("912834JM Govt","COUNTRY_FULL_NAME")</f>
        <v>UNITED STATES</v>
      </c>
      <c r="I397" t="str">
        <f>_xll.BDP("912834JM Govt","FIRST_CPN_DT")</f>
        <v>#N/A Field Not Applicable</v>
      </c>
      <c r="J397" t="str">
        <f>_xll.BDP("912834JM Govt","COUPON_FREQUENCY_DESCRIPTION")</f>
        <v>#N/A Field Not Applicable</v>
      </c>
      <c r="K397" t="str">
        <f>_xll.BDP("912834JM Govt","CPN_TYP")</f>
        <v>ZERO</v>
      </c>
      <c r="L397" t="str">
        <f>_xll.BDP("912834JM Govt","ID_ISIN")</f>
        <v>US912834JM11</v>
      </c>
      <c r="N397">
        <v>0</v>
      </c>
      <c r="O397" t="str">
        <f>_xll.BDP("912834JM Govt","ISSUE_DT")</f>
        <v>1/15/2011</v>
      </c>
      <c r="P397" t="str">
        <f>_xll.BDP("912834JM Govt","SECURITY_NAME")</f>
        <v>S 0 01/15/14</v>
      </c>
      <c r="Q397" t="str">
        <f>_xll.BDP("912834JM Govt","DAY_CNT_DES")</f>
        <v>ACT/ACT</v>
      </c>
      <c r="R397">
        <v>100</v>
      </c>
      <c r="S397" t="str">
        <f>_xll.BDP("912834JM Govt","ID_CUSIP")</f>
        <v>912834JM1</v>
      </c>
      <c r="T397" t="str">
        <f>_xll.BDP("912834JM Govt","IDX_RATIO")</f>
        <v>#N/A Field Not Applicable</v>
      </c>
    </row>
    <row r="398" spans="1:20" x14ac:dyDescent="0.25">
      <c r="A398" t="s">
        <v>14</v>
      </c>
      <c r="B398" t="str">
        <f>_xll.BDP("912834KD Govt","TICKER")</f>
        <v>S</v>
      </c>
      <c r="C398">
        <f>_xll.BDP("912834KD Govt","CPN")</f>
        <v>0</v>
      </c>
      <c r="D398" t="str">
        <f>_xll.BDP("912834KD Govt","YLD_YTM_BID")</f>
        <v>#N/A N/A</v>
      </c>
      <c r="E398" t="str">
        <f>_xll.BDP("912834KD Govt","MATURITY")</f>
        <v>6/15/2018</v>
      </c>
      <c r="F398" t="str">
        <f>_xll.BDP("912834KD Govt","MTY_TYP")</f>
        <v>NORMAL</v>
      </c>
      <c r="G398" t="str">
        <f>_xll.BDP("912834KD Govt","CRNCY")</f>
        <v>USD</v>
      </c>
      <c r="H398" t="str">
        <f>_xll.BDP("912834KD Govt","COUNTRY_FULL_NAME")</f>
        <v>UNITED STATES</v>
      </c>
      <c r="I398" t="str">
        <f>_xll.BDP("912834KD Govt","FIRST_CPN_DT")</f>
        <v>#N/A Field Not Applicable</v>
      </c>
      <c r="J398" t="str">
        <f>_xll.BDP("912834KD Govt","COUPON_FREQUENCY_DESCRIPTION")</f>
        <v>#N/A Field Not Applicable</v>
      </c>
      <c r="K398" t="str">
        <f>_xll.BDP("912834KD Govt","CPN_TYP")</f>
        <v>ZERO</v>
      </c>
      <c r="L398" t="str">
        <f>_xll.BDP("912834KD Govt","ID_ISIN")</f>
        <v>US912834KD92</v>
      </c>
      <c r="N398">
        <v>0</v>
      </c>
      <c r="O398" t="str">
        <f>_xll.BDP("912834KD Govt","ISSUE_DT")</f>
        <v>6/15/2015</v>
      </c>
      <c r="P398" t="str">
        <f>_xll.BDP("912834KD Govt","SECURITY_NAME")</f>
        <v>S 0 06/15/18</v>
      </c>
      <c r="Q398" t="str">
        <f>_xll.BDP("912834KD Govt","DAY_CNT_DES")</f>
        <v>ACT/ACT</v>
      </c>
      <c r="R398">
        <v>100</v>
      </c>
      <c r="S398" t="str">
        <f>_xll.BDP("912834KD Govt","ID_CUSIP")</f>
        <v>912834KD9</v>
      </c>
      <c r="T398" t="str">
        <f>_xll.BDP("912834KD Govt","IDX_RATIO")</f>
        <v>#N/A Field Not Applicable</v>
      </c>
    </row>
    <row r="399" spans="1:20" x14ac:dyDescent="0.25">
      <c r="A399" t="s">
        <v>14</v>
      </c>
      <c r="B399" t="str">
        <f>_xll.BDP("912834KM Govt","TICKER")</f>
        <v>S</v>
      </c>
      <c r="C399">
        <f>_xll.BDP("912834KM Govt","CPN")</f>
        <v>0</v>
      </c>
      <c r="D399" t="str">
        <f>_xll.BDP("912834KM Govt","YLD_YTM_BID")</f>
        <v>#N/A N/A</v>
      </c>
      <c r="E399" t="str">
        <f>_xll.BDP("912834KM Govt","MATURITY")</f>
        <v>7/15/2014</v>
      </c>
      <c r="F399" t="str">
        <f>_xll.BDP("912834KM Govt","MTY_TYP")</f>
        <v>NORMAL</v>
      </c>
      <c r="G399" t="str">
        <f>_xll.BDP("912834KM Govt","CRNCY")</f>
        <v>USD</v>
      </c>
      <c r="H399" t="str">
        <f>_xll.BDP("912834KM Govt","COUNTRY_FULL_NAME")</f>
        <v>UNITED STATES</v>
      </c>
      <c r="I399" t="str">
        <f>_xll.BDP("912834KM Govt","FIRST_CPN_DT")</f>
        <v>#N/A Field Not Applicable</v>
      </c>
      <c r="J399" t="str">
        <f>_xll.BDP("912834KM Govt","COUPON_FREQUENCY_DESCRIPTION")</f>
        <v>#N/A Field Not Applicable</v>
      </c>
      <c r="K399" t="str">
        <f>_xll.BDP("912834KM Govt","CPN_TYP")</f>
        <v>ZERO</v>
      </c>
      <c r="L399" t="str">
        <f>_xll.BDP("912834KM Govt","ID_ISIN")</f>
        <v>US912834KM91</v>
      </c>
      <c r="N399">
        <v>0</v>
      </c>
      <c r="O399" t="str">
        <f>_xll.BDP("912834KM Govt","ISSUE_DT")</f>
        <v>7/15/2011</v>
      </c>
      <c r="P399" t="str">
        <f>_xll.BDP("912834KM Govt","SECURITY_NAME")</f>
        <v>S 0 07/15/14</v>
      </c>
      <c r="Q399" t="str">
        <f>_xll.BDP("912834KM Govt","DAY_CNT_DES")</f>
        <v>ACT/ACT</v>
      </c>
      <c r="R399">
        <v>100</v>
      </c>
      <c r="S399" t="str">
        <f>_xll.BDP("912834KM Govt","ID_CUSIP")</f>
        <v>912834KM9</v>
      </c>
      <c r="T399" t="str">
        <f>_xll.BDP("912834KM Govt","IDX_RATIO")</f>
        <v>#N/A Field Not Applicable</v>
      </c>
    </row>
    <row r="400" spans="1:20" x14ac:dyDescent="0.25">
      <c r="A400" t="s">
        <v>14</v>
      </c>
      <c r="B400" t="str">
        <f>_xll.BDP("912834KR Govt","TICKER")</f>
        <v>S</v>
      </c>
      <c r="C400">
        <f>_xll.BDP("912834KR Govt","CPN")</f>
        <v>0</v>
      </c>
      <c r="D400" t="str">
        <f>_xll.BDP("912834KR Govt","YLD_YTM_BID")</f>
        <v>#N/A N/A</v>
      </c>
      <c r="E400" t="str">
        <f>_xll.BDP("912834KR Govt","MATURITY")</f>
        <v>9/15/2014</v>
      </c>
      <c r="F400" t="str">
        <f>_xll.BDP("912834KR Govt","MTY_TYP")</f>
        <v>NORMAL</v>
      </c>
      <c r="G400" t="str">
        <f>_xll.BDP("912834KR Govt","CRNCY")</f>
        <v>USD</v>
      </c>
      <c r="H400" t="str">
        <f>_xll.BDP("912834KR Govt","COUNTRY_FULL_NAME")</f>
        <v>UNITED STATES</v>
      </c>
      <c r="I400" t="str">
        <f>_xll.BDP("912834KR Govt","FIRST_CPN_DT")</f>
        <v>#N/A Field Not Applicable</v>
      </c>
      <c r="J400" t="str">
        <f>_xll.BDP("912834KR Govt","COUPON_FREQUENCY_DESCRIPTION")</f>
        <v>#N/A Field Not Applicable</v>
      </c>
      <c r="K400" t="str">
        <f>_xll.BDP("912834KR Govt","CPN_TYP")</f>
        <v>ZERO</v>
      </c>
      <c r="L400" t="str">
        <f>_xll.BDP("912834KR Govt","ID_ISIN")</f>
        <v>US912834KR88</v>
      </c>
      <c r="N400">
        <v>0</v>
      </c>
      <c r="O400" t="str">
        <f>_xll.BDP("912834KR Govt","ISSUE_DT")</f>
        <v>9/15/2011</v>
      </c>
      <c r="P400" t="str">
        <f>_xll.BDP("912834KR Govt","SECURITY_NAME")</f>
        <v>S 0 09/15/14</v>
      </c>
      <c r="Q400" t="str">
        <f>_xll.BDP("912834KR Govt","DAY_CNT_DES")</f>
        <v>ACT/ACT</v>
      </c>
      <c r="R400">
        <v>100</v>
      </c>
      <c r="S400" t="str">
        <f>_xll.BDP("912834KR Govt","ID_CUSIP")</f>
        <v>912834KR8</v>
      </c>
      <c r="T400" t="str">
        <f>_xll.BDP("912834KR Govt","IDX_RATIO")</f>
        <v>#N/A Field Not Applicable</v>
      </c>
    </row>
    <row r="401" spans="1:20" x14ac:dyDescent="0.25">
      <c r="A401" t="s">
        <v>14</v>
      </c>
      <c r="B401" t="str">
        <f>_xll.BDP("912834KU Govt","TICKER")</f>
        <v>S</v>
      </c>
      <c r="C401">
        <f>_xll.BDP("912834KU Govt","CPN")</f>
        <v>0</v>
      </c>
      <c r="D401" t="str">
        <f>_xll.BDP("912834KU Govt","YLD_YTM_BID")</f>
        <v>#N/A N/A</v>
      </c>
      <c r="E401" t="str">
        <f>_xll.BDP("912834KU Govt","MATURITY")</f>
        <v>10/31/2018</v>
      </c>
      <c r="F401" t="str">
        <f>_xll.BDP("912834KU Govt","MTY_TYP")</f>
        <v>NORMAL</v>
      </c>
      <c r="G401" t="str">
        <f>_xll.BDP("912834KU Govt","CRNCY")</f>
        <v>USD</v>
      </c>
      <c r="H401" t="str">
        <f>_xll.BDP("912834KU Govt","COUNTRY_FULL_NAME")</f>
        <v>UNITED STATES</v>
      </c>
      <c r="I401" t="str">
        <f>_xll.BDP("912834KU Govt","FIRST_CPN_DT")</f>
        <v>#N/A Field Not Applicable</v>
      </c>
      <c r="J401" t="str">
        <f>_xll.BDP("912834KU Govt","COUPON_FREQUENCY_DESCRIPTION")</f>
        <v>#N/A Field Not Applicable</v>
      </c>
      <c r="K401" t="str">
        <f>_xll.BDP("912834KU Govt","CPN_TYP")</f>
        <v>ZERO</v>
      </c>
      <c r="L401" t="str">
        <f>_xll.BDP("912834KU Govt","ID_ISIN")</f>
        <v>US912834KU18</v>
      </c>
      <c r="N401">
        <v>0</v>
      </c>
      <c r="O401" t="str">
        <f>_xll.BDP("912834KU Govt","ISSUE_DT")</f>
        <v>10/31/2011</v>
      </c>
      <c r="P401" t="str">
        <f>_xll.BDP("912834KU Govt","SECURITY_NAME")</f>
        <v>S 0 10/31/18</v>
      </c>
      <c r="Q401" t="str">
        <f>_xll.BDP("912834KU Govt","DAY_CNT_DES")</f>
        <v>ACT/ACT</v>
      </c>
      <c r="R401">
        <v>100</v>
      </c>
      <c r="S401" t="str">
        <f>_xll.BDP("912834KU Govt","ID_CUSIP")</f>
        <v>912834KU1</v>
      </c>
      <c r="T401" t="str">
        <f>_xll.BDP("912834KU Govt","IDX_RATIO")</f>
        <v>#N/A Field Not Applicable</v>
      </c>
    </row>
    <row r="402" spans="1:20" x14ac:dyDescent="0.25">
      <c r="A402" t="s">
        <v>14</v>
      </c>
      <c r="B402" t="str">
        <f>_xll.BDP("912834LA Govt","TICKER")</f>
        <v>S</v>
      </c>
      <c r="C402">
        <f>_xll.BDP("912834LA Govt","CPN")</f>
        <v>0</v>
      </c>
      <c r="D402" t="str">
        <f>_xll.BDP("912834LA Govt","YLD_YTM_BID")</f>
        <v>#N/A N/A</v>
      </c>
      <c r="E402" t="str">
        <f>_xll.BDP("912834LA Govt","MATURITY")</f>
        <v>1/31/2019</v>
      </c>
      <c r="F402" t="str">
        <f>_xll.BDP("912834LA Govt","MTY_TYP")</f>
        <v>NORMAL</v>
      </c>
      <c r="G402" t="str">
        <f>_xll.BDP("912834LA Govt","CRNCY")</f>
        <v>USD</v>
      </c>
      <c r="H402" t="str">
        <f>_xll.BDP("912834LA Govt","COUNTRY_FULL_NAME")</f>
        <v>UNITED STATES</v>
      </c>
      <c r="I402" t="str">
        <f>_xll.BDP("912834LA Govt","FIRST_CPN_DT")</f>
        <v>#N/A Field Not Applicable</v>
      </c>
      <c r="J402" t="str">
        <f>_xll.BDP("912834LA Govt","COUPON_FREQUENCY_DESCRIPTION")</f>
        <v>#N/A Field Not Applicable</v>
      </c>
      <c r="K402" t="str">
        <f>_xll.BDP("912834LA Govt","CPN_TYP")</f>
        <v>ZERO</v>
      </c>
      <c r="L402" t="str">
        <f>_xll.BDP("912834LA Govt","ID_ISIN")</f>
        <v>US912834LA45</v>
      </c>
      <c r="N402">
        <v>0</v>
      </c>
      <c r="O402" t="str">
        <f>_xll.BDP("912834LA Govt","ISSUE_DT")</f>
        <v>1/31/2012</v>
      </c>
      <c r="P402" t="str">
        <f>_xll.BDP("912834LA Govt","SECURITY_NAME")</f>
        <v>S 0 01/31/19</v>
      </c>
      <c r="Q402" t="str">
        <f>_xll.BDP("912834LA Govt","DAY_CNT_DES")</f>
        <v>ACT/ACT</v>
      </c>
      <c r="R402">
        <v>100</v>
      </c>
      <c r="S402" t="str">
        <f>_xll.BDP("912834LA Govt","ID_CUSIP")</f>
        <v>912834LA4</v>
      </c>
      <c r="T402" t="str">
        <f>_xll.BDP("912834LA Govt","IDX_RATIO")</f>
        <v>#N/A Field Not Applicable</v>
      </c>
    </row>
    <row r="403" spans="1:20" x14ac:dyDescent="0.25">
      <c r="A403" t="s">
        <v>14</v>
      </c>
      <c r="B403" t="str">
        <f>_xll.BDP("912834LJ Govt","TICKER")</f>
        <v>S</v>
      </c>
      <c r="C403">
        <f>_xll.BDP("912834LJ Govt","CPN")</f>
        <v>0</v>
      </c>
      <c r="D403" t="str">
        <f>_xll.BDP("912834LJ Govt","YLD_YTM_BID")</f>
        <v>#N/A N/A</v>
      </c>
      <c r="E403" t="str">
        <f>_xll.BDP("912834LJ Govt","MATURITY")</f>
        <v>4/30/2019</v>
      </c>
      <c r="F403" t="str">
        <f>_xll.BDP("912834LJ Govt","MTY_TYP")</f>
        <v>NORMAL</v>
      </c>
      <c r="G403" t="str">
        <f>_xll.BDP("912834LJ Govt","CRNCY")</f>
        <v>USD</v>
      </c>
      <c r="H403" t="str">
        <f>_xll.BDP("912834LJ Govt","COUNTRY_FULL_NAME")</f>
        <v>UNITED STATES</v>
      </c>
      <c r="I403" t="str">
        <f>_xll.BDP("912834LJ Govt","FIRST_CPN_DT")</f>
        <v>#N/A Field Not Applicable</v>
      </c>
      <c r="J403" t="str">
        <f>_xll.BDP("912834LJ Govt","COUPON_FREQUENCY_DESCRIPTION")</f>
        <v>#N/A Field Not Applicable</v>
      </c>
      <c r="K403" t="str">
        <f>_xll.BDP("912834LJ Govt","CPN_TYP")</f>
        <v>ZERO</v>
      </c>
      <c r="L403" t="str">
        <f>_xll.BDP("912834LJ Govt","ID_ISIN")</f>
        <v>US912834LJ53</v>
      </c>
      <c r="N403">
        <v>0</v>
      </c>
      <c r="O403" t="str">
        <f>_xll.BDP("912834LJ Govt","ISSUE_DT")</f>
        <v>4/30/2012</v>
      </c>
      <c r="P403" t="str">
        <f>_xll.BDP("912834LJ Govt","SECURITY_NAME")</f>
        <v>S 0 04/30/19</v>
      </c>
      <c r="Q403" t="str">
        <f>_xll.BDP("912834LJ Govt","DAY_CNT_DES")</f>
        <v>ACT/ACT</v>
      </c>
      <c r="R403">
        <v>100</v>
      </c>
      <c r="S403" t="str">
        <f>_xll.BDP("912834LJ Govt","ID_CUSIP")</f>
        <v>912834LJ5</v>
      </c>
      <c r="T403" t="str">
        <f>_xll.BDP("912834LJ Govt","IDX_RATIO")</f>
        <v>#N/A Field Not Applicable</v>
      </c>
    </row>
    <row r="404" spans="1:20" x14ac:dyDescent="0.25">
      <c r="A404" t="s">
        <v>14</v>
      </c>
      <c r="B404" t="str">
        <f>_xll.BDP("912834LQ Govt","TICKER")</f>
        <v>S</v>
      </c>
      <c r="C404">
        <f>_xll.BDP("912834LQ Govt","CPN")</f>
        <v>0</v>
      </c>
      <c r="D404" t="str">
        <f>_xll.BDP("912834LQ Govt","YLD_YTM_BID")</f>
        <v>#N/A N/A</v>
      </c>
      <c r="E404" t="str">
        <f>_xll.BDP("912834LQ Govt","MATURITY")</f>
        <v>7/31/2019</v>
      </c>
      <c r="F404" t="str">
        <f>_xll.BDP("912834LQ Govt","MTY_TYP")</f>
        <v>NORMAL</v>
      </c>
      <c r="G404" t="str">
        <f>_xll.BDP("912834LQ Govt","CRNCY")</f>
        <v>USD</v>
      </c>
      <c r="H404" t="str">
        <f>_xll.BDP("912834LQ Govt","COUNTRY_FULL_NAME")</f>
        <v>UNITED STATES</v>
      </c>
      <c r="I404" t="str">
        <f>_xll.BDP("912834LQ Govt","FIRST_CPN_DT")</f>
        <v>#N/A Field Not Applicable</v>
      </c>
      <c r="J404" t="str">
        <f>_xll.BDP("912834LQ Govt","COUPON_FREQUENCY_DESCRIPTION")</f>
        <v>#N/A Field Not Applicable</v>
      </c>
      <c r="K404" t="str">
        <f>_xll.BDP("912834LQ Govt","CPN_TYP")</f>
        <v>ZERO</v>
      </c>
      <c r="L404" t="str">
        <f>_xll.BDP("912834LQ Govt","ID_ISIN")</f>
        <v>US912834LQ96</v>
      </c>
      <c r="N404">
        <v>0</v>
      </c>
      <c r="O404" t="str">
        <f>_xll.BDP("912834LQ Govt","ISSUE_DT")</f>
        <v>7/31/2012</v>
      </c>
      <c r="P404" t="str">
        <f>_xll.BDP("912834LQ Govt","SECURITY_NAME")</f>
        <v>S 0 07/31/19</v>
      </c>
      <c r="Q404" t="str">
        <f>_xll.BDP("912834LQ Govt","DAY_CNT_DES")</f>
        <v>ACT/ACT</v>
      </c>
      <c r="R404">
        <v>100</v>
      </c>
      <c r="S404" t="str">
        <f>_xll.BDP("912834LQ Govt","ID_CUSIP")</f>
        <v>912834LQ9</v>
      </c>
      <c r="T404" t="str">
        <f>_xll.BDP("912834LQ Govt","IDX_RATIO")</f>
        <v>#N/A Field Not Applicable</v>
      </c>
    </row>
    <row r="405" spans="1:20" x14ac:dyDescent="0.25">
      <c r="A405" t="s">
        <v>14</v>
      </c>
      <c r="B405" t="str">
        <f>_xll.BDP("912834MK Govt","TICKER")</f>
        <v>S</v>
      </c>
      <c r="C405">
        <f>_xll.BDP("912834MK Govt","CPN")</f>
        <v>0</v>
      </c>
      <c r="D405" t="str">
        <f>_xll.BDP("912834MK Govt","YLD_YTM_BID")</f>
        <v>#N/A N/A</v>
      </c>
      <c r="E405" t="str">
        <f>_xll.BDP("912834MK Govt","MATURITY")</f>
        <v>4/15/2016</v>
      </c>
      <c r="F405" t="str">
        <f>_xll.BDP("912834MK Govt","MTY_TYP")</f>
        <v>NORMAL</v>
      </c>
      <c r="G405" t="str">
        <f>_xll.BDP("912834MK Govt","CRNCY")</f>
        <v>USD</v>
      </c>
      <c r="H405" t="str">
        <f>_xll.BDP("912834MK Govt","COUNTRY_FULL_NAME")</f>
        <v>UNITED STATES</v>
      </c>
      <c r="I405" t="str">
        <f>_xll.BDP("912834MK Govt","FIRST_CPN_DT")</f>
        <v>#N/A Field Not Applicable</v>
      </c>
      <c r="J405" t="str">
        <f>_xll.BDP("912834MK Govt","COUPON_FREQUENCY_DESCRIPTION")</f>
        <v>#N/A Field Not Applicable</v>
      </c>
      <c r="K405" t="str">
        <f>_xll.BDP("912834MK Govt","CPN_TYP")</f>
        <v>ZERO</v>
      </c>
      <c r="L405" t="str">
        <f>_xll.BDP("912834MK Govt","ID_ISIN")</f>
        <v>US912834MK18</v>
      </c>
      <c r="N405">
        <v>0</v>
      </c>
      <c r="O405" t="str">
        <f>_xll.BDP("912834MK Govt","ISSUE_DT")</f>
        <v>4/15/2013</v>
      </c>
      <c r="P405" t="str">
        <f>_xll.BDP("912834MK Govt","SECURITY_NAME")</f>
        <v>S 0 04/15/16</v>
      </c>
      <c r="Q405" t="str">
        <f>_xll.BDP("912834MK Govt","DAY_CNT_DES")</f>
        <v>ACT/ACT</v>
      </c>
      <c r="R405">
        <v>100</v>
      </c>
      <c r="S405" t="str">
        <f>_xll.BDP("912834MK Govt","ID_CUSIP")</f>
        <v>912834MK1</v>
      </c>
      <c r="T405" t="str">
        <f>_xll.BDP("912834MK Govt","IDX_RATIO")</f>
        <v>#N/A Field Not Applicable</v>
      </c>
    </row>
    <row r="406" spans="1:20" x14ac:dyDescent="0.25">
      <c r="A406" t="s">
        <v>14</v>
      </c>
      <c r="B406" t="str">
        <f>_xll.BDP("912834MS Govt","TICKER")</f>
        <v>S</v>
      </c>
      <c r="C406">
        <f>_xll.BDP("912834MS Govt","CPN")</f>
        <v>0</v>
      </c>
      <c r="D406" t="str">
        <f>_xll.BDP("912834MS Govt","YLD_YTM_BID")</f>
        <v>#N/A N/A</v>
      </c>
      <c r="E406" t="str">
        <f>_xll.BDP("912834MS Govt","MATURITY")</f>
        <v>7/31/2020</v>
      </c>
      <c r="F406" t="str">
        <f>_xll.BDP("912834MS Govt","MTY_TYP")</f>
        <v>NORMAL</v>
      </c>
      <c r="G406" t="str">
        <f>_xll.BDP("912834MS Govt","CRNCY")</f>
        <v>USD</v>
      </c>
      <c r="H406" t="str">
        <f>_xll.BDP("912834MS Govt","COUNTRY_FULL_NAME")</f>
        <v>UNITED STATES</v>
      </c>
      <c r="I406" t="str">
        <f>_xll.BDP("912834MS Govt","FIRST_CPN_DT")</f>
        <v>#N/A Field Not Applicable</v>
      </c>
      <c r="J406" t="str">
        <f>_xll.BDP("912834MS Govt","COUPON_FREQUENCY_DESCRIPTION")</f>
        <v>#N/A Field Not Applicable</v>
      </c>
      <c r="K406" t="str">
        <f>_xll.BDP("912834MS Govt","CPN_TYP")</f>
        <v>ZERO</v>
      </c>
      <c r="L406" t="str">
        <f>_xll.BDP("912834MS Govt","ID_ISIN")</f>
        <v>US912834MS44</v>
      </c>
      <c r="N406">
        <v>0</v>
      </c>
      <c r="O406" t="str">
        <f>_xll.BDP("912834MS Govt","ISSUE_DT")</f>
        <v>7/31/2013</v>
      </c>
      <c r="P406" t="str">
        <f>_xll.BDP("912834MS Govt","SECURITY_NAME")</f>
        <v>S 0 07/31/20</v>
      </c>
      <c r="Q406" t="str">
        <f>_xll.BDP("912834MS Govt","DAY_CNT_DES")</f>
        <v>ACT/ACT</v>
      </c>
      <c r="R406">
        <v>100</v>
      </c>
      <c r="S406" t="str">
        <f>_xll.BDP("912834MS Govt","ID_CUSIP")</f>
        <v>912834MS4</v>
      </c>
      <c r="T406" t="str">
        <f>_xll.BDP("912834MS Govt","IDX_RATIO")</f>
        <v>#N/A Field Not Applicable</v>
      </c>
    </row>
    <row r="407" spans="1:20" x14ac:dyDescent="0.25">
      <c r="A407" t="s">
        <v>14</v>
      </c>
      <c r="B407" t="str">
        <f>_xll.BDP("912834NC Govt","TICKER")</f>
        <v>S</v>
      </c>
      <c r="C407">
        <f>_xll.BDP("912834NC Govt","CPN")</f>
        <v>0</v>
      </c>
      <c r="D407" t="str">
        <f>_xll.BDP("912834NC Govt","YLD_YTM_BID")</f>
        <v>#N/A N/A</v>
      </c>
      <c r="E407" t="str">
        <f>_xll.BDP("912834NC Govt","MATURITY")</f>
        <v>12/31/2020</v>
      </c>
      <c r="F407" t="str">
        <f>_xll.BDP("912834NC Govt","MTY_TYP")</f>
        <v>NORMAL</v>
      </c>
      <c r="G407" t="str">
        <f>_xll.BDP("912834NC Govt","CRNCY")</f>
        <v>USD</v>
      </c>
      <c r="H407" t="str">
        <f>_xll.BDP("912834NC Govt","COUNTRY_FULL_NAME")</f>
        <v>UNITED STATES</v>
      </c>
      <c r="I407" t="str">
        <f>_xll.BDP("912834NC Govt","FIRST_CPN_DT")</f>
        <v>#N/A Field Not Applicable</v>
      </c>
      <c r="J407" t="str">
        <f>_xll.BDP("912834NC Govt","COUPON_FREQUENCY_DESCRIPTION")</f>
        <v>#N/A Field Not Applicable</v>
      </c>
      <c r="K407" t="str">
        <f>_xll.BDP("912834NC Govt","CPN_TYP")</f>
        <v>ZERO</v>
      </c>
      <c r="L407" t="str">
        <f>_xll.BDP("912834NC Govt","ID_ISIN")</f>
        <v>US912834NC82</v>
      </c>
      <c r="N407">
        <v>0</v>
      </c>
      <c r="O407" t="str">
        <f>_xll.BDP("912834NC Govt","ISSUE_DT")</f>
        <v>12/31/2013</v>
      </c>
      <c r="P407" t="str">
        <f>_xll.BDP("912834NC Govt","SECURITY_NAME")</f>
        <v>S 0 12/31/20</v>
      </c>
      <c r="Q407" t="str">
        <f>_xll.BDP("912834NC Govt","DAY_CNT_DES")</f>
        <v>ACT/ACT</v>
      </c>
      <c r="R407">
        <v>100</v>
      </c>
      <c r="S407" t="str">
        <f>_xll.BDP("912834NC Govt","ID_CUSIP")</f>
        <v>912834NC8</v>
      </c>
      <c r="T407" t="str">
        <f>_xll.BDP("912834NC Govt","IDX_RATIO")</f>
        <v>#N/A Field Not Applicable</v>
      </c>
    </row>
    <row r="408" spans="1:20" x14ac:dyDescent="0.25">
      <c r="A408" t="s">
        <v>14</v>
      </c>
      <c r="B408" t="str">
        <f>_xll.BDP("912834NL Govt","TICKER")</f>
        <v>S</v>
      </c>
      <c r="C408">
        <f>_xll.BDP("912834NL Govt","CPN")</f>
        <v>0</v>
      </c>
      <c r="D408" t="str">
        <f>_xll.BDP("912834NL Govt","YLD_YTM_BID")</f>
        <v>#N/A N/A</v>
      </c>
      <c r="E408" t="str">
        <f>_xll.BDP("912834NL Govt","MATURITY")</f>
        <v>3/31/2021</v>
      </c>
      <c r="F408" t="str">
        <f>_xll.BDP("912834NL Govt","MTY_TYP")</f>
        <v>NORMAL</v>
      </c>
      <c r="G408" t="str">
        <f>_xll.BDP("912834NL Govt","CRNCY")</f>
        <v>USD</v>
      </c>
      <c r="H408" t="str">
        <f>_xll.BDP("912834NL Govt","COUNTRY_FULL_NAME")</f>
        <v>UNITED STATES</v>
      </c>
      <c r="I408" t="str">
        <f>_xll.BDP("912834NL Govt","FIRST_CPN_DT")</f>
        <v>#N/A Field Not Applicable</v>
      </c>
      <c r="J408" t="str">
        <f>_xll.BDP("912834NL Govt","COUPON_FREQUENCY_DESCRIPTION")</f>
        <v>#N/A Field Not Applicable</v>
      </c>
      <c r="K408" t="str">
        <f>_xll.BDP("912834NL Govt","CPN_TYP")</f>
        <v>ZERO</v>
      </c>
      <c r="L408" t="str">
        <f>_xll.BDP("912834NL Govt","ID_ISIN")</f>
        <v>US912834NL81</v>
      </c>
      <c r="N408">
        <v>0</v>
      </c>
      <c r="O408" t="str">
        <f>_xll.BDP("912834NL Govt","ISSUE_DT")</f>
        <v>3/31/2014</v>
      </c>
      <c r="P408" t="str">
        <f>_xll.BDP("912834NL Govt","SECURITY_NAME")</f>
        <v>S 0 03/31/21</v>
      </c>
      <c r="Q408" t="str">
        <f>_xll.BDP("912834NL Govt","DAY_CNT_DES")</f>
        <v>ACT/ACT</v>
      </c>
      <c r="R408">
        <v>100</v>
      </c>
      <c r="S408" t="str">
        <f>_xll.BDP("912834NL Govt","ID_CUSIP")</f>
        <v>912834NL8</v>
      </c>
      <c r="T408" t="str">
        <f>_xll.BDP("912834NL Govt","IDX_RATIO")</f>
        <v>#N/A Field Not Applicable</v>
      </c>
    </row>
    <row r="409" spans="1:20" x14ac:dyDescent="0.25">
      <c r="A409" t="s">
        <v>14</v>
      </c>
      <c r="B409" t="str">
        <f>_xll.BDP("912834NM Govt","TICKER")</f>
        <v>S</v>
      </c>
      <c r="C409">
        <f>_xll.BDP("912834NM Govt","CPN")</f>
        <v>0</v>
      </c>
      <c r="D409" t="str">
        <f>_xll.BDP("912834NM Govt","YLD_YTM_BID")</f>
        <v>#N/A N/A</v>
      </c>
      <c r="E409" t="str">
        <f>_xll.BDP("912834NM Govt","MATURITY")</f>
        <v>4/15/2017</v>
      </c>
      <c r="F409" t="str">
        <f>_xll.BDP("912834NM Govt","MTY_TYP")</f>
        <v>NORMAL</v>
      </c>
      <c r="G409" t="str">
        <f>_xll.BDP("912834NM Govt","CRNCY")</f>
        <v>USD</v>
      </c>
      <c r="H409" t="str">
        <f>_xll.BDP("912834NM Govt","COUNTRY_FULL_NAME")</f>
        <v>UNITED STATES</v>
      </c>
      <c r="I409" t="str">
        <f>_xll.BDP("912834NM Govt","FIRST_CPN_DT")</f>
        <v>#N/A Field Not Applicable</v>
      </c>
      <c r="J409" t="str">
        <f>_xll.BDP("912834NM Govt","COUPON_FREQUENCY_DESCRIPTION")</f>
        <v>#N/A Field Not Applicable</v>
      </c>
      <c r="K409" t="str">
        <f>_xll.BDP("912834NM Govt","CPN_TYP")</f>
        <v>ZERO</v>
      </c>
      <c r="L409" t="str">
        <f>_xll.BDP("912834NM Govt","ID_ISIN")</f>
        <v>US912834NM64</v>
      </c>
      <c r="N409">
        <v>0</v>
      </c>
      <c r="O409" t="str">
        <f>_xll.BDP("912834NM Govt","ISSUE_DT")</f>
        <v>4/15/2014</v>
      </c>
      <c r="P409" t="str">
        <f>_xll.BDP("912834NM Govt","SECURITY_NAME")</f>
        <v>S 0 04/15/17</v>
      </c>
      <c r="Q409" t="str">
        <f>_xll.BDP("912834NM Govt","DAY_CNT_DES")</f>
        <v>ACT/ACT</v>
      </c>
      <c r="R409">
        <v>100</v>
      </c>
      <c r="S409" t="str">
        <f>_xll.BDP("912834NM Govt","ID_CUSIP")</f>
        <v>912834NM6</v>
      </c>
      <c r="T409" t="str">
        <f>_xll.BDP("912834NM Govt","IDX_RATIO")</f>
        <v>#N/A Field Not Applicable</v>
      </c>
    </row>
    <row r="410" spans="1:20" x14ac:dyDescent="0.25">
      <c r="A410" t="s">
        <v>14</v>
      </c>
      <c r="B410" t="str">
        <f>_xll.BDP("912834NX Govt","TICKER")</f>
        <v>S</v>
      </c>
      <c r="C410">
        <f>_xll.BDP("912834NX Govt","CPN")</f>
        <v>0</v>
      </c>
      <c r="D410" t="str">
        <f>_xll.BDP("912834NX Govt","YLD_YTM_BID")</f>
        <v>#N/A N/A</v>
      </c>
      <c r="E410" t="str">
        <f>_xll.BDP("912834NX Govt","MATURITY")</f>
        <v>9/15/2017</v>
      </c>
      <c r="F410" t="str">
        <f>_xll.BDP("912834NX Govt","MTY_TYP")</f>
        <v>NORMAL</v>
      </c>
      <c r="G410" t="str">
        <f>_xll.BDP("912834NX Govt","CRNCY")</f>
        <v>USD</v>
      </c>
      <c r="H410" t="str">
        <f>_xll.BDP("912834NX Govt","COUNTRY_FULL_NAME")</f>
        <v>UNITED STATES</v>
      </c>
      <c r="I410" t="str">
        <f>_xll.BDP("912834NX Govt","FIRST_CPN_DT")</f>
        <v>#N/A Field Not Applicable</v>
      </c>
      <c r="J410" t="str">
        <f>_xll.BDP("912834NX Govt","COUPON_FREQUENCY_DESCRIPTION")</f>
        <v>#N/A Field Not Applicable</v>
      </c>
      <c r="K410" t="str">
        <f>_xll.BDP("912834NX Govt","CPN_TYP")</f>
        <v>ZERO</v>
      </c>
      <c r="L410" t="str">
        <f>_xll.BDP("912834NX Govt","ID_ISIN")</f>
        <v>US912834NX20</v>
      </c>
      <c r="N410">
        <v>0</v>
      </c>
      <c r="O410" t="str">
        <f>_xll.BDP("912834NX Govt","ISSUE_DT")</f>
        <v>9/15/2014</v>
      </c>
      <c r="P410" t="str">
        <f>_xll.BDP("912834NX Govt","SECURITY_NAME")</f>
        <v>S 0 09/15/17</v>
      </c>
      <c r="Q410" t="str">
        <f>_xll.BDP("912834NX Govt","DAY_CNT_DES")</f>
        <v>ACT/ACT</v>
      </c>
      <c r="R410">
        <v>100</v>
      </c>
      <c r="S410" t="str">
        <f>_xll.BDP("912834NX Govt","ID_CUSIP")</f>
        <v>912834NX2</v>
      </c>
      <c r="T410" t="str">
        <f>_xll.BDP("912834NX Govt","IDX_RATIO")</f>
        <v>#N/A Field Not Applicable</v>
      </c>
    </row>
    <row r="411" spans="1:20" x14ac:dyDescent="0.25">
      <c r="A411" t="s">
        <v>14</v>
      </c>
      <c r="B411" t="str">
        <f>_xll.BDP("912834PF Govt","TICKER")</f>
        <v>S</v>
      </c>
      <c r="C411">
        <f>_xll.BDP("912834PF Govt","CPN")</f>
        <v>0</v>
      </c>
      <c r="D411" t="str">
        <f>_xll.BDP("912834PF Govt","YLD_YTM_BID")</f>
        <v>#N/A N/A</v>
      </c>
      <c r="E411" t="str">
        <f>_xll.BDP("912834PF Govt","MATURITY")</f>
        <v>1/15/2018</v>
      </c>
      <c r="F411" t="str">
        <f>_xll.BDP("912834PF Govt","MTY_TYP")</f>
        <v>NORMAL</v>
      </c>
      <c r="G411" t="str">
        <f>_xll.BDP("912834PF Govt","CRNCY")</f>
        <v>USD</v>
      </c>
      <c r="H411" t="str">
        <f>_xll.BDP("912834PF Govt","COUNTRY_FULL_NAME")</f>
        <v>UNITED STATES</v>
      </c>
      <c r="I411" t="str">
        <f>_xll.BDP("912834PF Govt","FIRST_CPN_DT")</f>
        <v>#N/A Field Not Applicable</v>
      </c>
      <c r="J411" t="str">
        <f>_xll.BDP("912834PF Govt","COUPON_FREQUENCY_DESCRIPTION")</f>
        <v>#N/A Field Not Applicable</v>
      </c>
      <c r="K411" t="str">
        <f>_xll.BDP("912834PF Govt","CPN_TYP")</f>
        <v>ZERO</v>
      </c>
      <c r="L411" t="str">
        <f>_xll.BDP("912834PF Govt","ID_ISIN")</f>
        <v>US912834PF95</v>
      </c>
      <c r="N411">
        <v>0</v>
      </c>
      <c r="O411" t="str">
        <f>_xll.BDP("912834PF Govt","ISSUE_DT")</f>
        <v>1/15/2015</v>
      </c>
      <c r="P411" t="str">
        <f>_xll.BDP("912834PF Govt","SECURITY_NAME")</f>
        <v>S 0 01/15/18</v>
      </c>
      <c r="Q411" t="str">
        <f>_xll.BDP("912834PF Govt","DAY_CNT_DES")</f>
        <v>ACT/ACT</v>
      </c>
      <c r="R411">
        <v>100</v>
      </c>
      <c r="S411" t="str">
        <f>_xll.BDP("912834PF Govt","ID_CUSIP")</f>
        <v>912834PF9</v>
      </c>
      <c r="T411" t="str">
        <f>_xll.BDP("912834PF Govt","IDX_RATIO")</f>
        <v>#N/A Field Not Applicable</v>
      </c>
    </row>
    <row r="412" spans="1:20" x14ac:dyDescent="0.25">
      <c r="A412" t="s">
        <v>14</v>
      </c>
      <c r="B412" t="str">
        <f>_xll.BDP("912834PX Govt","TICKER")</f>
        <v>S</v>
      </c>
      <c r="C412">
        <f>_xll.BDP("912834PX Govt","CPN")</f>
        <v>0</v>
      </c>
      <c r="D412" t="str">
        <f>_xll.BDP("912834PX Govt","YLD_YTM_BID")</f>
        <v>#N/A N/A</v>
      </c>
      <c r="E412" t="str">
        <f>_xll.BDP("912834PX Govt","MATURITY")</f>
        <v>1/15/2019</v>
      </c>
      <c r="F412" t="str">
        <f>_xll.BDP("912834PX Govt","MTY_TYP")</f>
        <v>NORMAL</v>
      </c>
      <c r="G412" t="str">
        <f>_xll.BDP("912834PX Govt","CRNCY")</f>
        <v>USD</v>
      </c>
      <c r="H412" t="str">
        <f>_xll.BDP("912834PX Govt","COUNTRY_FULL_NAME")</f>
        <v>UNITED STATES</v>
      </c>
      <c r="I412" t="str">
        <f>_xll.BDP("912834PX Govt","FIRST_CPN_DT")</f>
        <v>#N/A Field Not Applicable</v>
      </c>
      <c r="J412" t="str">
        <f>_xll.BDP("912834PX Govt","COUPON_FREQUENCY_DESCRIPTION")</f>
        <v>#N/A Field Not Applicable</v>
      </c>
      <c r="K412" t="str">
        <f>_xll.BDP("912834PX Govt","CPN_TYP")</f>
        <v>ZERO</v>
      </c>
      <c r="L412" t="str">
        <f>_xll.BDP("912834PX Govt","ID_ISIN")</f>
        <v>US912834PX02</v>
      </c>
      <c r="N412">
        <v>0</v>
      </c>
      <c r="O412" t="str">
        <f>_xll.BDP("912834PX Govt","ISSUE_DT")</f>
        <v>1/15/2016</v>
      </c>
      <c r="P412" t="str">
        <f>_xll.BDP("912834PX Govt","SECURITY_NAME")</f>
        <v>S 0 01/15/19</v>
      </c>
      <c r="Q412" t="str">
        <f>_xll.BDP("912834PX Govt","DAY_CNT_DES")</f>
        <v>ACT/ACT</v>
      </c>
      <c r="R412">
        <v>100</v>
      </c>
      <c r="S412" t="str">
        <f>_xll.BDP("912834PX Govt","ID_CUSIP")</f>
        <v>912834PX0</v>
      </c>
      <c r="T412" t="str">
        <f>_xll.BDP("912834PX Govt","IDX_RATIO")</f>
        <v>#N/A Field Not Applicable</v>
      </c>
    </row>
    <row r="413" spans="1:20" x14ac:dyDescent="0.25">
      <c r="A413" t="s">
        <v>14</v>
      </c>
      <c r="B413" t="str">
        <f>_xll.BDP("912834QM Govt","TICKER")</f>
        <v>S</v>
      </c>
      <c r="C413">
        <f>_xll.BDP("912834QM Govt","CPN")</f>
        <v>0</v>
      </c>
      <c r="D413" t="str">
        <f>_xll.BDP("912834QM Govt","YLD_YTM_BID")</f>
        <v>#N/A N/A</v>
      </c>
      <c r="E413" t="str">
        <f>_xll.BDP("912834QM Govt","MATURITY")</f>
        <v>7/15/2019</v>
      </c>
      <c r="F413" t="str">
        <f>_xll.BDP("912834QM Govt","MTY_TYP")</f>
        <v>NORMAL</v>
      </c>
      <c r="G413" t="str">
        <f>_xll.BDP("912834QM Govt","CRNCY")</f>
        <v>USD</v>
      </c>
      <c r="H413" t="str">
        <f>_xll.BDP("912834QM Govt","COUNTRY_FULL_NAME")</f>
        <v>UNITED STATES</v>
      </c>
      <c r="I413" t="str">
        <f>_xll.BDP("912834QM Govt","FIRST_CPN_DT")</f>
        <v>#N/A Field Not Applicable</v>
      </c>
      <c r="J413" t="str">
        <f>_xll.BDP("912834QM Govt","COUPON_FREQUENCY_DESCRIPTION")</f>
        <v>#N/A Field Not Applicable</v>
      </c>
      <c r="K413" t="str">
        <f>_xll.BDP("912834QM Govt","CPN_TYP")</f>
        <v>ZERO</v>
      </c>
      <c r="L413" t="str">
        <f>_xll.BDP("912834QM Govt","ID_ISIN")</f>
        <v>US912834QM38</v>
      </c>
      <c r="N413">
        <v>0</v>
      </c>
      <c r="O413" t="str">
        <f>_xll.BDP("912834QM Govt","ISSUE_DT")</f>
        <v>7/15/2016</v>
      </c>
      <c r="P413" t="str">
        <f>_xll.BDP("912834QM Govt","SECURITY_NAME")</f>
        <v>S 0 07/15/19</v>
      </c>
      <c r="Q413" t="str">
        <f>_xll.BDP("912834QM Govt","DAY_CNT_DES")</f>
        <v>ACT/ACT</v>
      </c>
      <c r="R413">
        <v>100</v>
      </c>
      <c r="S413" t="str">
        <f>_xll.BDP("912834QM Govt","ID_CUSIP")</f>
        <v>912834QM3</v>
      </c>
      <c r="T413" t="str">
        <f>_xll.BDP("912834QM Govt","IDX_RATIO")</f>
        <v>#N/A Field Not Applicable</v>
      </c>
    </row>
    <row r="414" spans="1:20" x14ac:dyDescent="0.25">
      <c r="A414" t="s">
        <v>14</v>
      </c>
      <c r="B414" t="str">
        <f>_xll.BDP("912834QT Govt","TICKER")</f>
        <v>S</v>
      </c>
      <c r="C414">
        <f>_xll.BDP("912834QT Govt","CPN")</f>
        <v>0</v>
      </c>
      <c r="D414" t="str">
        <f>_xll.BDP("912834QT Govt","YLD_YTM_BID")</f>
        <v>#N/A N/A</v>
      </c>
      <c r="E414" t="str">
        <f>_xll.BDP("912834QT Govt","MATURITY")</f>
        <v>10/15/2019</v>
      </c>
      <c r="F414" t="str">
        <f>_xll.BDP("912834QT Govt","MTY_TYP")</f>
        <v>NORMAL</v>
      </c>
      <c r="G414" t="str">
        <f>_xll.BDP("912834QT Govt","CRNCY")</f>
        <v>USD</v>
      </c>
      <c r="H414" t="str">
        <f>_xll.BDP("912834QT Govt","COUNTRY_FULL_NAME")</f>
        <v>UNITED STATES</v>
      </c>
      <c r="I414" t="str">
        <f>_xll.BDP("912834QT Govt","FIRST_CPN_DT")</f>
        <v>#N/A Field Not Applicable</v>
      </c>
      <c r="J414" t="str">
        <f>_xll.BDP("912834QT Govt","COUPON_FREQUENCY_DESCRIPTION")</f>
        <v>#N/A Field Not Applicable</v>
      </c>
      <c r="K414" t="str">
        <f>_xll.BDP("912834QT Govt","CPN_TYP")</f>
        <v>ZERO</v>
      </c>
      <c r="L414" t="str">
        <f>_xll.BDP("912834QT Govt","ID_ISIN")</f>
        <v>US912834QT80</v>
      </c>
      <c r="N414">
        <v>0</v>
      </c>
      <c r="O414" t="str">
        <f>_xll.BDP("912834QT Govt","ISSUE_DT")</f>
        <v>10/17/2016</v>
      </c>
      <c r="P414" t="str">
        <f>_xll.BDP("912834QT Govt","SECURITY_NAME")</f>
        <v>S 0 10/15/19</v>
      </c>
      <c r="Q414" t="str">
        <f>_xll.BDP("912834QT Govt","DAY_CNT_DES")</f>
        <v>ACT/ACT</v>
      </c>
      <c r="R414">
        <v>100</v>
      </c>
      <c r="S414" t="str">
        <f>_xll.BDP("912834QT Govt","ID_CUSIP")</f>
        <v>912834QT8</v>
      </c>
      <c r="T414" t="str">
        <f>_xll.BDP("912834QT Govt","IDX_RATIO")</f>
        <v>#N/A Field Not Applicable</v>
      </c>
    </row>
    <row r="415" spans="1:20" x14ac:dyDescent="0.25">
      <c r="A415" t="s">
        <v>14</v>
      </c>
      <c r="B415" t="str">
        <f>_xll.BDP("912834RM Govt","TICKER")</f>
        <v>S</v>
      </c>
      <c r="C415">
        <f>_xll.BDP("912834RM Govt","CPN")</f>
        <v>0</v>
      </c>
      <c r="D415" t="str">
        <f>_xll.BDP("912834RM Govt","YLD_YTM_BID")</f>
        <v>#N/A N/A</v>
      </c>
      <c r="E415" t="str">
        <f>_xll.BDP("912834RM Govt","MATURITY")</f>
        <v>6/15/2020</v>
      </c>
      <c r="F415" t="str">
        <f>_xll.BDP("912834RM Govt","MTY_TYP")</f>
        <v>NORMAL</v>
      </c>
      <c r="G415" t="str">
        <f>_xll.BDP("912834RM Govt","CRNCY")</f>
        <v>USD</v>
      </c>
      <c r="H415" t="str">
        <f>_xll.BDP("912834RM Govt","COUNTRY_FULL_NAME")</f>
        <v>UNITED STATES</v>
      </c>
      <c r="I415" t="str">
        <f>_xll.BDP("912834RM Govt","FIRST_CPN_DT")</f>
        <v>#N/A Field Not Applicable</v>
      </c>
      <c r="J415" t="str">
        <f>_xll.BDP("912834RM Govt","COUPON_FREQUENCY_DESCRIPTION")</f>
        <v>#N/A Field Not Applicable</v>
      </c>
      <c r="K415" t="str">
        <f>_xll.BDP("912834RM Govt","CPN_TYP")</f>
        <v>ZERO</v>
      </c>
      <c r="L415" t="str">
        <f>_xll.BDP("912834RM Govt","ID_ISIN")</f>
        <v>US912834RM29</v>
      </c>
      <c r="N415">
        <v>0</v>
      </c>
      <c r="O415" t="str">
        <f>_xll.BDP("912834RM Govt","ISSUE_DT")</f>
        <v>6/15/2017</v>
      </c>
      <c r="P415" t="str">
        <f>_xll.BDP("912834RM Govt","SECURITY_NAME")</f>
        <v>S 0 06/15/20</v>
      </c>
      <c r="Q415" t="str">
        <f>_xll.BDP("912834RM Govt","DAY_CNT_DES")</f>
        <v>ACT/ACT</v>
      </c>
      <c r="R415">
        <v>100</v>
      </c>
      <c r="S415" t="str">
        <f>_xll.BDP("912834RM Govt","ID_CUSIP")</f>
        <v>912834RM2</v>
      </c>
      <c r="T415" t="str">
        <f>_xll.BDP("912834RM Govt","IDX_RATIO")</f>
        <v>#N/A Field Not Applicable</v>
      </c>
    </row>
    <row r="416" spans="1:20" x14ac:dyDescent="0.25">
      <c r="A416" t="s">
        <v>14</v>
      </c>
      <c r="B416" t="str">
        <f>_xll.BDP("912834RP Govt","TICKER")</f>
        <v>S</v>
      </c>
      <c r="C416">
        <f>_xll.BDP("912834RP Govt","CPN")</f>
        <v>0</v>
      </c>
      <c r="D416" t="str">
        <f>_xll.BDP("912834RP Govt","YLD_YTM_BID")</f>
        <v>#N/A N/A</v>
      </c>
      <c r="E416" t="str">
        <f>_xll.BDP("912834RP Govt","MATURITY")</f>
        <v>7/15/2020</v>
      </c>
      <c r="F416" t="str">
        <f>_xll.BDP("912834RP Govt","MTY_TYP")</f>
        <v>NORMAL</v>
      </c>
      <c r="G416" t="str">
        <f>_xll.BDP("912834RP Govt","CRNCY")</f>
        <v>USD</v>
      </c>
      <c r="H416" t="str">
        <f>_xll.BDP("912834RP Govt","COUNTRY_FULL_NAME")</f>
        <v>UNITED STATES</v>
      </c>
      <c r="I416" t="str">
        <f>_xll.BDP("912834RP Govt","FIRST_CPN_DT")</f>
        <v>#N/A Field Not Applicable</v>
      </c>
      <c r="J416" t="str">
        <f>_xll.BDP("912834RP Govt","COUPON_FREQUENCY_DESCRIPTION")</f>
        <v>#N/A Field Not Applicable</v>
      </c>
      <c r="K416" t="str">
        <f>_xll.BDP("912834RP Govt","CPN_TYP")</f>
        <v>ZERO</v>
      </c>
      <c r="L416" t="str">
        <f>_xll.BDP("912834RP Govt","ID_ISIN")</f>
        <v>US912834RP59</v>
      </c>
      <c r="N416">
        <v>0</v>
      </c>
      <c r="O416" t="str">
        <f>_xll.BDP("912834RP Govt","ISSUE_DT")</f>
        <v>7/17/2017</v>
      </c>
      <c r="P416" t="str">
        <f>_xll.BDP("912834RP Govt","SECURITY_NAME")</f>
        <v>S 0 07/15/20</v>
      </c>
      <c r="Q416" t="str">
        <f>_xll.BDP("912834RP Govt","DAY_CNT_DES")</f>
        <v>ACT/ACT</v>
      </c>
      <c r="R416">
        <v>100</v>
      </c>
      <c r="S416" t="str">
        <f>_xll.BDP("912834RP Govt","ID_CUSIP")</f>
        <v>912834RP5</v>
      </c>
      <c r="T416" t="str">
        <f>_xll.BDP("912834RP Govt","IDX_RATIO")</f>
        <v>#N/A Field Not Applicable</v>
      </c>
    </row>
    <row r="417" spans="1:20" x14ac:dyDescent="0.25">
      <c r="A417" t="s">
        <v>14</v>
      </c>
      <c r="B417" t="str">
        <f>_xll.BDP("912834MN Govt","TICKER")</f>
        <v>S</v>
      </c>
      <c r="C417">
        <f>_xll.BDP("912834MN Govt","CPN")</f>
        <v>0</v>
      </c>
      <c r="D417" t="str">
        <f>_xll.BDP("912834MN Govt","YLD_YTM_BID")</f>
        <v>#N/A N/A</v>
      </c>
      <c r="E417" t="str">
        <f>_xll.BDP("912834MN Govt","MATURITY")</f>
        <v>5/31/2020</v>
      </c>
      <c r="F417" t="str">
        <f>_xll.BDP("912834MN Govt","MTY_TYP")</f>
        <v>NORMAL</v>
      </c>
      <c r="G417" t="str">
        <f>_xll.BDP("912834MN Govt","CRNCY")</f>
        <v>USD</v>
      </c>
      <c r="H417" t="str">
        <f>_xll.BDP("912834MN Govt","COUNTRY_FULL_NAME")</f>
        <v>UNITED STATES</v>
      </c>
      <c r="I417" t="str">
        <f>_xll.BDP("912834MN Govt","FIRST_CPN_DT")</f>
        <v>#N/A Field Not Applicable</v>
      </c>
      <c r="J417" t="str">
        <f>_xll.BDP("912834MN Govt","COUPON_FREQUENCY_DESCRIPTION")</f>
        <v>#N/A Field Not Applicable</v>
      </c>
      <c r="K417" t="str">
        <f>_xll.BDP("912834MN Govt","CPN_TYP")</f>
        <v>ZERO</v>
      </c>
      <c r="L417" t="str">
        <f>_xll.BDP("912834MN Govt","ID_ISIN")</f>
        <v>US912834MN56</v>
      </c>
      <c r="N417">
        <v>0</v>
      </c>
      <c r="O417" t="str">
        <f>_xll.BDP("912834MN Govt","ISSUE_DT")</f>
        <v>5/31/2013</v>
      </c>
      <c r="P417" t="str">
        <f>_xll.BDP("912834MN Govt","SECURITY_NAME")</f>
        <v>S 0 05/31/20</v>
      </c>
      <c r="Q417" t="str">
        <f>_xll.BDP("912834MN Govt","DAY_CNT_DES")</f>
        <v>ACT/ACT</v>
      </c>
      <c r="R417">
        <v>100</v>
      </c>
      <c r="S417" t="str">
        <f>_xll.BDP("912834MN Govt","ID_CUSIP")</f>
        <v>912834MN5</v>
      </c>
      <c r="T417" t="str">
        <f>_xll.BDP("912834MN Govt","IDX_RATIO")</f>
        <v>#N/A Field Not Applicable</v>
      </c>
    </row>
    <row r="418" spans="1:20" x14ac:dyDescent="0.25">
      <c r="A418" t="s">
        <v>14</v>
      </c>
      <c r="B418" t="str">
        <f>_xll.BDP("912834MQ Govt","TICKER")</f>
        <v>S</v>
      </c>
      <c r="C418">
        <f>_xll.BDP("912834MQ Govt","CPN")</f>
        <v>0</v>
      </c>
      <c r="D418" t="str">
        <f>_xll.BDP("912834MQ Govt","YLD_YTM_BID")</f>
        <v>#N/A N/A</v>
      </c>
      <c r="E418" t="str">
        <f>_xll.BDP("912834MQ Govt","MATURITY")</f>
        <v>6/30/2020</v>
      </c>
      <c r="F418" t="str">
        <f>_xll.BDP("912834MQ Govt","MTY_TYP")</f>
        <v>NORMAL</v>
      </c>
      <c r="G418" t="str">
        <f>_xll.BDP("912834MQ Govt","CRNCY")</f>
        <v>USD</v>
      </c>
      <c r="H418" t="str">
        <f>_xll.BDP("912834MQ Govt","COUNTRY_FULL_NAME")</f>
        <v>UNITED STATES</v>
      </c>
      <c r="I418" t="str">
        <f>_xll.BDP("912834MQ Govt","FIRST_CPN_DT")</f>
        <v>#N/A Field Not Applicable</v>
      </c>
      <c r="J418" t="str">
        <f>_xll.BDP("912834MQ Govt","COUPON_FREQUENCY_DESCRIPTION")</f>
        <v>#N/A Field Not Applicable</v>
      </c>
      <c r="K418" t="str">
        <f>_xll.BDP("912834MQ Govt","CPN_TYP")</f>
        <v>ZERO</v>
      </c>
      <c r="L418" t="str">
        <f>_xll.BDP("912834MQ Govt","ID_ISIN")</f>
        <v>US912834MQ87</v>
      </c>
      <c r="N418">
        <v>0</v>
      </c>
      <c r="O418" t="str">
        <f>_xll.BDP("912834MQ Govt","ISSUE_DT")</f>
        <v>7/1/2013</v>
      </c>
      <c r="P418" t="str">
        <f>_xll.BDP("912834MQ Govt","SECURITY_NAME")</f>
        <v>S 0 06/30/20</v>
      </c>
      <c r="Q418" t="str">
        <f>_xll.BDP("912834MQ Govt","DAY_CNT_DES")</f>
        <v>ACT/ACT</v>
      </c>
      <c r="R418">
        <v>100</v>
      </c>
      <c r="S418" t="str">
        <f>_xll.BDP("912834MQ Govt","ID_CUSIP")</f>
        <v>912834MQ8</v>
      </c>
      <c r="T418" t="str">
        <f>_xll.BDP("912834MQ Govt","IDX_RATIO")</f>
        <v>#N/A Field Not Applicable</v>
      </c>
    </row>
    <row r="419" spans="1:20" x14ac:dyDescent="0.25">
      <c r="A419" t="s">
        <v>14</v>
      </c>
      <c r="B419" t="str">
        <f>_xll.BDP("912834MU Govt","TICKER")</f>
        <v>S</v>
      </c>
      <c r="C419">
        <f>_xll.BDP("912834MU Govt","CPN")</f>
        <v>0</v>
      </c>
      <c r="D419" t="str">
        <f>_xll.BDP("912834MU Govt","YLD_YTM_BID")</f>
        <v>#N/A N/A</v>
      </c>
      <c r="E419" t="str">
        <f>_xll.BDP("912834MU Govt","MATURITY")</f>
        <v>8/31/2020</v>
      </c>
      <c r="F419" t="str">
        <f>_xll.BDP("912834MU Govt","MTY_TYP")</f>
        <v>NORMAL</v>
      </c>
      <c r="G419" t="str">
        <f>_xll.BDP("912834MU Govt","CRNCY")</f>
        <v>USD</v>
      </c>
      <c r="H419" t="str">
        <f>_xll.BDP("912834MU Govt","COUNTRY_FULL_NAME")</f>
        <v>UNITED STATES</v>
      </c>
      <c r="I419" t="str">
        <f>_xll.BDP("912834MU Govt","FIRST_CPN_DT")</f>
        <v>#N/A Field Not Applicable</v>
      </c>
      <c r="J419" t="str">
        <f>_xll.BDP("912834MU Govt","COUPON_FREQUENCY_DESCRIPTION")</f>
        <v>#N/A Field Not Applicable</v>
      </c>
      <c r="K419" t="str">
        <f>_xll.BDP("912834MU Govt","CPN_TYP")</f>
        <v>ZERO</v>
      </c>
      <c r="L419" t="str">
        <f>_xll.BDP("912834MU Govt","ID_ISIN")</f>
        <v>US912834MU99</v>
      </c>
      <c r="N419">
        <v>0</v>
      </c>
      <c r="O419" t="str">
        <f>_xll.BDP("912834MU Govt","ISSUE_DT")</f>
        <v>9/3/2013</v>
      </c>
      <c r="P419" t="str">
        <f>_xll.BDP("912834MU Govt","SECURITY_NAME")</f>
        <v>S 0 08/31/20</v>
      </c>
      <c r="Q419" t="str">
        <f>_xll.BDP("912834MU Govt","DAY_CNT_DES")</f>
        <v>ACT/ACT</v>
      </c>
      <c r="R419">
        <v>100</v>
      </c>
      <c r="S419" t="str">
        <f>_xll.BDP("912834MU Govt","ID_CUSIP")</f>
        <v>912834MU9</v>
      </c>
      <c r="T419" t="str">
        <f>_xll.BDP("912834MU Govt","IDX_RATIO")</f>
        <v>#N/A Field Not Applicable</v>
      </c>
    </row>
    <row r="420" spans="1:20" x14ac:dyDescent="0.25">
      <c r="A420" t="s">
        <v>14</v>
      </c>
      <c r="B420" t="str">
        <f>_xll.BDP("912834NJ Govt","TICKER")</f>
        <v>S</v>
      </c>
      <c r="C420">
        <f>_xll.BDP("912834NJ Govt","CPN")</f>
        <v>0</v>
      </c>
      <c r="D420" t="str">
        <f>_xll.BDP("912834NJ Govt","YLD_YTM_BID")</f>
        <v>#N/A N/A</v>
      </c>
      <c r="E420" t="str">
        <f>_xll.BDP("912834NJ Govt","MATURITY")</f>
        <v>2/28/2021</v>
      </c>
      <c r="F420" t="str">
        <f>_xll.BDP("912834NJ Govt","MTY_TYP")</f>
        <v>NORMAL</v>
      </c>
      <c r="G420" t="str">
        <f>_xll.BDP("912834NJ Govt","CRNCY")</f>
        <v>USD</v>
      </c>
      <c r="H420" t="str">
        <f>_xll.BDP("912834NJ Govt","COUNTRY_FULL_NAME")</f>
        <v>UNITED STATES</v>
      </c>
      <c r="I420" t="str">
        <f>_xll.BDP("912834NJ Govt","FIRST_CPN_DT")</f>
        <v>#N/A Field Not Applicable</v>
      </c>
      <c r="J420" t="str">
        <f>_xll.BDP("912834NJ Govt","COUPON_FREQUENCY_DESCRIPTION")</f>
        <v>#N/A Field Not Applicable</v>
      </c>
      <c r="K420" t="str">
        <f>_xll.BDP("912834NJ Govt","CPN_TYP")</f>
        <v>ZERO</v>
      </c>
      <c r="L420" t="str">
        <f>_xll.BDP("912834NJ Govt","ID_ISIN")</f>
        <v>US912834NJ36</v>
      </c>
      <c r="N420">
        <v>0</v>
      </c>
      <c r="O420" t="str">
        <f>_xll.BDP("912834NJ Govt","ISSUE_DT")</f>
        <v>2/28/2014</v>
      </c>
      <c r="P420" t="str">
        <f>_xll.BDP("912834NJ Govt","SECURITY_NAME")</f>
        <v>S 0 02/28/21</v>
      </c>
      <c r="Q420" t="str">
        <f>_xll.BDP("912834NJ Govt","DAY_CNT_DES")</f>
        <v>ACT/ACT</v>
      </c>
      <c r="R420">
        <v>100</v>
      </c>
      <c r="S420" t="str">
        <f>_xll.BDP("912834NJ Govt","ID_CUSIP")</f>
        <v>912834NJ3</v>
      </c>
      <c r="T420" t="str">
        <f>_xll.BDP("912834NJ Govt","IDX_RATIO")</f>
        <v>#N/A Field Not Applicable</v>
      </c>
    </row>
    <row r="421" spans="1:20" x14ac:dyDescent="0.25">
      <c r="A421" t="s">
        <v>14</v>
      </c>
      <c r="B421" t="str">
        <f>_xll.BDP("912834NN Govt","TICKER")</f>
        <v>S</v>
      </c>
      <c r="C421">
        <f>_xll.BDP("912834NN Govt","CPN")</f>
        <v>0</v>
      </c>
      <c r="D421" t="str">
        <f>_xll.BDP("912834NN Govt","YLD_YTM_BID")</f>
        <v>#N/A N/A</v>
      </c>
      <c r="E421" t="str">
        <f>_xll.BDP("912834NN Govt","MATURITY")</f>
        <v>4/30/2021</v>
      </c>
      <c r="F421" t="str">
        <f>_xll.BDP("912834NN Govt","MTY_TYP")</f>
        <v>NORMAL</v>
      </c>
      <c r="G421" t="str">
        <f>_xll.BDP("912834NN Govt","CRNCY")</f>
        <v>USD</v>
      </c>
      <c r="H421" t="str">
        <f>_xll.BDP("912834NN Govt","COUNTRY_FULL_NAME")</f>
        <v>UNITED STATES</v>
      </c>
      <c r="I421" t="str">
        <f>_xll.BDP("912834NN Govt","FIRST_CPN_DT")</f>
        <v>#N/A Field Not Applicable</v>
      </c>
      <c r="J421" t="str">
        <f>_xll.BDP("912834NN Govt","COUPON_FREQUENCY_DESCRIPTION")</f>
        <v>#N/A Field Not Applicable</v>
      </c>
      <c r="K421" t="str">
        <f>_xll.BDP("912834NN Govt","CPN_TYP")</f>
        <v>ZERO</v>
      </c>
      <c r="L421" t="str">
        <f>_xll.BDP("912834NN Govt","ID_ISIN")</f>
        <v>US912834NN48</v>
      </c>
      <c r="N421">
        <v>0</v>
      </c>
      <c r="O421" t="str">
        <f>_xll.BDP("912834NN Govt","ISSUE_DT")</f>
        <v>4/30/2014</v>
      </c>
      <c r="P421" t="str">
        <f>_xll.BDP("912834NN Govt","SECURITY_NAME")</f>
        <v>S 0 04/30/21</v>
      </c>
      <c r="Q421" t="str">
        <f>_xll.BDP("912834NN Govt","DAY_CNT_DES")</f>
        <v>ACT/ACT</v>
      </c>
      <c r="R421">
        <v>100</v>
      </c>
      <c r="S421" t="str">
        <f>_xll.BDP("912834NN Govt","ID_CUSIP")</f>
        <v>912834NN4</v>
      </c>
      <c r="T421" t="str">
        <f>_xll.BDP("912834NN Govt","IDX_RATIO")</f>
        <v>#N/A Field Not Applicable</v>
      </c>
    </row>
    <row r="422" spans="1:20" x14ac:dyDescent="0.25">
      <c r="A422" t="s">
        <v>14</v>
      </c>
      <c r="B422" t="str">
        <f>_xll.BDP("912834NR Govt","TICKER")</f>
        <v>S</v>
      </c>
      <c r="C422">
        <f>_xll.BDP("912834NR Govt","CPN")</f>
        <v>0</v>
      </c>
      <c r="D422" t="str">
        <f>_xll.BDP("912834NR Govt","YLD_YTM_BID")</f>
        <v>#N/A N/A</v>
      </c>
      <c r="E422" t="str">
        <f>_xll.BDP("912834NR Govt","MATURITY")</f>
        <v>6/15/2017</v>
      </c>
      <c r="F422" t="str">
        <f>_xll.BDP("912834NR Govt","MTY_TYP")</f>
        <v>NORMAL</v>
      </c>
      <c r="G422" t="str">
        <f>_xll.BDP("912834NR Govt","CRNCY")</f>
        <v>USD</v>
      </c>
      <c r="H422" t="str">
        <f>_xll.BDP("912834NR Govt","COUNTRY_FULL_NAME")</f>
        <v>UNITED STATES</v>
      </c>
      <c r="I422" t="str">
        <f>_xll.BDP("912834NR Govt","FIRST_CPN_DT")</f>
        <v>#N/A Field Not Applicable</v>
      </c>
      <c r="J422" t="str">
        <f>_xll.BDP("912834NR Govt","COUPON_FREQUENCY_DESCRIPTION")</f>
        <v>#N/A Field Not Applicable</v>
      </c>
      <c r="K422" t="str">
        <f>_xll.BDP("912834NR Govt","CPN_TYP")</f>
        <v>ZERO</v>
      </c>
      <c r="L422" t="str">
        <f>_xll.BDP("912834NR Govt","ID_ISIN")</f>
        <v>US912834NR51</v>
      </c>
      <c r="N422">
        <v>0</v>
      </c>
      <c r="O422" t="str">
        <f>_xll.BDP("912834NR Govt","ISSUE_DT")</f>
        <v>6/16/2014</v>
      </c>
      <c r="P422" t="str">
        <f>_xll.BDP("912834NR Govt","SECURITY_NAME")</f>
        <v>S 0 06/15/17</v>
      </c>
      <c r="Q422" t="str">
        <f>_xll.BDP("912834NR Govt","DAY_CNT_DES")</f>
        <v>ACT/ACT</v>
      </c>
      <c r="R422">
        <v>100</v>
      </c>
      <c r="S422" t="str">
        <f>_xll.BDP("912834NR Govt","ID_CUSIP")</f>
        <v>912834NR5</v>
      </c>
      <c r="T422" t="str">
        <f>_xll.BDP("912834NR Govt","IDX_RATIO")</f>
        <v>#N/A Field Not Applicable</v>
      </c>
    </row>
    <row r="423" spans="1:20" x14ac:dyDescent="0.25">
      <c r="A423" t="s">
        <v>14</v>
      </c>
      <c r="B423" t="str">
        <f>_xll.BDP("912834QX Govt","TICKER")</f>
        <v>S</v>
      </c>
      <c r="C423">
        <f>_xll.BDP("912834QX Govt","CPN")</f>
        <v>0</v>
      </c>
      <c r="D423" t="str">
        <f>_xll.BDP("912834QX Govt","YLD_YTM_BID")</f>
        <v>#N/A N/A</v>
      </c>
      <c r="E423" t="str">
        <f>_xll.BDP("912834QX Govt","MATURITY")</f>
        <v>12/15/2019</v>
      </c>
      <c r="F423" t="str">
        <f>_xll.BDP("912834QX Govt","MTY_TYP")</f>
        <v>NORMAL</v>
      </c>
      <c r="G423" t="str">
        <f>_xll.BDP("912834QX Govt","CRNCY")</f>
        <v>USD</v>
      </c>
      <c r="H423" t="str">
        <f>_xll.BDP("912834QX Govt","COUNTRY_FULL_NAME")</f>
        <v>UNITED STATES</v>
      </c>
      <c r="I423" t="str">
        <f>_xll.BDP("912834QX Govt","FIRST_CPN_DT")</f>
        <v>#N/A Field Not Applicable</v>
      </c>
      <c r="J423" t="str">
        <f>_xll.BDP("912834QX Govt","COUPON_FREQUENCY_DESCRIPTION")</f>
        <v>#N/A Field Not Applicable</v>
      </c>
      <c r="K423" t="str">
        <f>_xll.BDP("912834QX Govt","CPN_TYP")</f>
        <v>ZERO</v>
      </c>
      <c r="L423" t="str">
        <f>_xll.BDP("912834QX Govt","ID_ISIN")</f>
        <v>US912834QX92</v>
      </c>
      <c r="N423">
        <v>0</v>
      </c>
      <c r="O423" t="str">
        <f>_xll.BDP("912834QX Govt","ISSUE_DT")</f>
        <v>12/15/2016</v>
      </c>
      <c r="P423" t="str">
        <f>_xll.BDP("912834QX Govt","SECURITY_NAME")</f>
        <v>S 0 12/15/19</v>
      </c>
      <c r="Q423" t="str">
        <f>_xll.BDP("912834QX Govt","DAY_CNT_DES")</f>
        <v>ACT/ACT</v>
      </c>
      <c r="R423">
        <v>100</v>
      </c>
      <c r="S423" t="str">
        <f>_xll.BDP("912834QX Govt","ID_CUSIP")</f>
        <v>912834QX9</v>
      </c>
      <c r="T423" t="str">
        <f>_xll.BDP("912834QX Govt","IDX_RATIO")</f>
        <v>#N/A Field Not Applicable</v>
      </c>
    </row>
    <row r="424" spans="1:20" x14ac:dyDescent="0.25">
      <c r="A424" t="s">
        <v>14</v>
      </c>
      <c r="B424" t="str">
        <f>_xll.BDP("912834TB Govt","TICKER")</f>
        <v>S</v>
      </c>
      <c r="C424">
        <f>_xll.BDP("912834TB Govt","CPN")</f>
        <v>0</v>
      </c>
      <c r="D424" t="str">
        <f>_xll.BDP("912834TB Govt","YLD_YTM_BID")</f>
        <v>#N/A N/A</v>
      </c>
      <c r="E424" t="str">
        <f>_xll.BDP("912834TB Govt","MATURITY")</f>
        <v>12/15/2020</v>
      </c>
      <c r="F424" t="str">
        <f>_xll.BDP("912834TB Govt","MTY_TYP")</f>
        <v>NORMAL</v>
      </c>
      <c r="G424" t="str">
        <f>_xll.BDP("912834TB Govt","CRNCY")</f>
        <v>USD</v>
      </c>
      <c r="H424" t="str">
        <f>_xll.BDP("912834TB Govt","COUNTRY_FULL_NAME")</f>
        <v>UNITED STATES</v>
      </c>
      <c r="I424" t="str">
        <f>_xll.BDP("912834TB Govt","FIRST_CPN_DT")</f>
        <v>#N/A Field Not Applicable</v>
      </c>
      <c r="J424" t="str">
        <f>_xll.BDP("912834TB Govt","COUPON_FREQUENCY_DESCRIPTION")</f>
        <v>#N/A Field Not Applicable</v>
      </c>
      <c r="K424" t="str">
        <f>_xll.BDP("912834TB Govt","CPN_TYP")</f>
        <v>ZERO</v>
      </c>
      <c r="L424" t="str">
        <f>_xll.BDP("912834TB Govt","ID_ISIN")</f>
        <v>US912834TB46</v>
      </c>
      <c r="N424">
        <v>0</v>
      </c>
      <c r="O424" t="str">
        <f>_xll.BDP("912834TB Govt","ISSUE_DT")</f>
        <v>12/15/2017</v>
      </c>
      <c r="P424" t="str">
        <f>_xll.BDP("912834TB Govt","SECURITY_NAME")</f>
        <v>S 0 12/15/20</v>
      </c>
      <c r="Q424" t="str">
        <f>_xll.BDP("912834TB Govt","DAY_CNT_DES")</f>
        <v>ACT/ACT</v>
      </c>
      <c r="R424">
        <v>100</v>
      </c>
      <c r="S424" t="str">
        <f>_xll.BDP("912834TB Govt","ID_CUSIP")</f>
        <v>912834TB4</v>
      </c>
      <c r="T424" t="str">
        <f>_xll.BDP("912834TB Govt","IDX_RATIO")</f>
        <v>#N/A Field Not Applicable</v>
      </c>
    </row>
    <row r="425" spans="1:20" x14ac:dyDescent="0.25">
      <c r="A425" t="s">
        <v>14</v>
      </c>
      <c r="B425" t="str">
        <f>_xll.BDP("912834TK Govt","TICKER")</f>
        <v>S</v>
      </c>
      <c r="C425">
        <f>_xll.BDP("912834TK Govt","CPN")</f>
        <v>0</v>
      </c>
      <c r="D425" t="str">
        <f>_xll.BDP("912834TK Govt","YLD_YTM_BID")</f>
        <v>#N/A N/A</v>
      </c>
      <c r="E425" t="str">
        <f>_xll.BDP("912834TK Govt","MATURITY")</f>
        <v>3/15/2021</v>
      </c>
      <c r="F425" t="str">
        <f>_xll.BDP("912834TK Govt","MTY_TYP")</f>
        <v>NORMAL</v>
      </c>
      <c r="G425" t="str">
        <f>_xll.BDP("912834TK Govt","CRNCY")</f>
        <v>USD</v>
      </c>
      <c r="H425" t="str">
        <f>_xll.BDP("912834TK Govt","COUNTRY_FULL_NAME")</f>
        <v>UNITED STATES</v>
      </c>
      <c r="I425" t="str">
        <f>_xll.BDP("912834TK Govt","FIRST_CPN_DT")</f>
        <v>#N/A Field Not Applicable</v>
      </c>
      <c r="J425" t="str">
        <f>_xll.BDP("912834TK Govt","COUPON_FREQUENCY_DESCRIPTION")</f>
        <v>#N/A Field Not Applicable</v>
      </c>
      <c r="K425" t="str">
        <f>_xll.BDP("912834TK Govt","CPN_TYP")</f>
        <v>ZERO</v>
      </c>
      <c r="L425" t="str">
        <f>_xll.BDP("912834TK Govt","ID_ISIN")</f>
        <v>US912834TK45</v>
      </c>
      <c r="N425">
        <v>0</v>
      </c>
      <c r="O425" t="str">
        <f>_xll.BDP("912834TK Govt","ISSUE_DT")</f>
        <v>3/15/2018</v>
      </c>
      <c r="P425" t="str">
        <f>_xll.BDP("912834TK Govt","SECURITY_NAME")</f>
        <v>S 0 03/15/21</v>
      </c>
      <c r="Q425" t="str">
        <f>_xll.BDP("912834TK Govt","DAY_CNT_DES")</f>
        <v>ACT/ACT</v>
      </c>
      <c r="R425">
        <v>100</v>
      </c>
      <c r="S425" t="str">
        <f>_xll.BDP("912834TK Govt","ID_CUSIP")</f>
        <v>912834TK4</v>
      </c>
      <c r="T425" t="str">
        <f>_xll.BDP("912834TK Govt","IDX_RATIO")</f>
        <v>#N/A Field Not Applicable</v>
      </c>
    </row>
    <row r="426" spans="1:20" x14ac:dyDescent="0.25">
      <c r="A426" t="s">
        <v>14</v>
      </c>
      <c r="B426" t="str">
        <f>_xll.BDP("912834TR Govt","TICKER")</f>
        <v>S</v>
      </c>
      <c r="C426">
        <f>_xll.BDP("912834TR Govt","CPN")</f>
        <v>0</v>
      </c>
      <c r="D426" t="str">
        <f>_xll.BDP("912834TR Govt","YLD_YTM_BID")</f>
        <v>#N/A N/A</v>
      </c>
      <c r="E426" t="str">
        <f>_xll.BDP("912834TR Govt","MATURITY")</f>
        <v>6/15/2021</v>
      </c>
      <c r="F426" t="str">
        <f>_xll.BDP("912834TR Govt","MTY_TYP")</f>
        <v>NORMAL</v>
      </c>
      <c r="G426" t="str">
        <f>_xll.BDP("912834TR Govt","CRNCY")</f>
        <v>USD</v>
      </c>
      <c r="H426" t="str">
        <f>_xll.BDP("912834TR Govt","COUNTRY_FULL_NAME")</f>
        <v>UNITED STATES</v>
      </c>
      <c r="I426" t="str">
        <f>_xll.BDP("912834TR Govt","FIRST_CPN_DT")</f>
        <v>#N/A Field Not Applicable</v>
      </c>
      <c r="J426" t="str">
        <f>_xll.BDP("912834TR Govt","COUPON_FREQUENCY_DESCRIPTION")</f>
        <v>#N/A Field Not Applicable</v>
      </c>
      <c r="K426" t="str">
        <f>_xll.BDP("912834TR Govt","CPN_TYP")</f>
        <v>ZERO</v>
      </c>
      <c r="L426" t="str">
        <f>_xll.BDP("912834TR Govt","ID_ISIN")</f>
        <v>US912834TR97</v>
      </c>
      <c r="N426">
        <v>0</v>
      </c>
      <c r="O426" t="str">
        <f>_xll.BDP("912834TR Govt","ISSUE_DT")</f>
        <v>6/15/2018</v>
      </c>
      <c r="P426" t="str">
        <f>_xll.BDP("912834TR Govt","SECURITY_NAME")</f>
        <v>S 0 06/15/21</v>
      </c>
      <c r="Q426" t="str">
        <f>_xll.BDP("912834TR Govt","DAY_CNT_DES")</f>
        <v>ACT/ACT</v>
      </c>
      <c r="R426">
        <v>100</v>
      </c>
      <c r="S426" t="str">
        <f>_xll.BDP("912834TR Govt","ID_CUSIP")</f>
        <v>912834TR9</v>
      </c>
      <c r="T426" t="str">
        <f>_xll.BDP("912834TR Govt","IDX_RATIO")</f>
        <v>#N/A Field Not Applicable</v>
      </c>
    </row>
    <row r="427" spans="1:20" x14ac:dyDescent="0.25">
      <c r="A427" t="s">
        <v>14</v>
      </c>
      <c r="B427" t="str">
        <f>_xll.BDP("9128333J Govt","TICKER")</f>
        <v>S</v>
      </c>
      <c r="C427">
        <f>_xll.BDP("9128333J Govt","CPN")</f>
        <v>0</v>
      </c>
      <c r="D427" t="str">
        <f>_xll.BDP("9128333J Govt","YLD_YTM_BID")</f>
        <v>#N/A N/A</v>
      </c>
      <c r="E427" t="str">
        <f>_xll.BDP("9128333J Govt","MATURITY")</f>
        <v>8/31/2006</v>
      </c>
      <c r="F427" t="str">
        <f>_xll.BDP("9128333J Govt","MTY_TYP")</f>
        <v>NORMAL</v>
      </c>
      <c r="G427" t="str">
        <f>_xll.BDP("9128333J Govt","CRNCY")</f>
        <v>USD</v>
      </c>
      <c r="H427" t="str">
        <f>_xll.BDP("9128333J Govt","COUNTRY_FULL_NAME")</f>
        <v>UNITED STATES</v>
      </c>
      <c r="I427" t="str">
        <f>_xll.BDP("9128333J Govt","FIRST_CPN_DT")</f>
        <v>#N/A Field Not Applicable</v>
      </c>
      <c r="J427" t="str">
        <f>_xll.BDP("9128333J Govt","COUPON_FREQUENCY_DESCRIPTION")</f>
        <v>#N/A Field Not Applicable</v>
      </c>
      <c r="K427" t="str">
        <f>_xll.BDP("9128333J Govt","CPN_TYP")</f>
        <v>ZERO</v>
      </c>
      <c r="L427" t="str">
        <f>_xll.BDP("9128333J Govt","ID_ISIN")</f>
        <v>US9128333J70</v>
      </c>
      <c r="N427">
        <v>0</v>
      </c>
      <c r="O427" t="str">
        <f>_xll.BDP("9128333J Govt","ISSUE_DT")</f>
        <v>8/31/2004</v>
      </c>
      <c r="P427" t="str">
        <f>_xll.BDP("9128333J Govt","SECURITY_NAME")</f>
        <v>S 0 08/31/06</v>
      </c>
      <c r="Q427" t="str">
        <f>_xll.BDP("9128333J Govt","DAY_CNT_DES")</f>
        <v>ACT/ACT</v>
      </c>
      <c r="R427">
        <v>100</v>
      </c>
      <c r="S427" t="str">
        <f>_xll.BDP("9128333J Govt","ID_CUSIP")</f>
        <v>9128333J7</v>
      </c>
      <c r="T427" t="str">
        <f>_xll.BDP("9128333J Govt","IDX_RATIO")</f>
        <v>#N/A Field Not Applicable</v>
      </c>
    </row>
    <row r="428" spans="1:20" x14ac:dyDescent="0.25">
      <c r="A428" t="s">
        <v>14</v>
      </c>
      <c r="B428" t="str">
        <f>_xll.BDP("9128333N Govt","TICKER")</f>
        <v>S</v>
      </c>
      <c r="C428">
        <f>_xll.BDP("9128333N Govt","CPN")</f>
        <v>0</v>
      </c>
      <c r="D428" t="str">
        <f>_xll.BDP("9128333N Govt","YLD_YTM_BID")</f>
        <v>#N/A N/A</v>
      </c>
      <c r="E428" t="str">
        <f>_xll.BDP("9128333N Govt","MATURITY")</f>
        <v>10/31/2006</v>
      </c>
      <c r="F428" t="str">
        <f>_xll.BDP("9128333N Govt","MTY_TYP")</f>
        <v>NORMAL</v>
      </c>
      <c r="G428" t="str">
        <f>_xll.BDP("9128333N Govt","CRNCY")</f>
        <v>USD</v>
      </c>
      <c r="H428" t="str">
        <f>_xll.BDP("9128333N Govt","COUNTRY_FULL_NAME")</f>
        <v>UNITED STATES</v>
      </c>
      <c r="I428" t="str">
        <f>_xll.BDP("9128333N Govt","FIRST_CPN_DT")</f>
        <v>#N/A Field Not Applicable</v>
      </c>
      <c r="J428" t="str">
        <f>_xll.BDP("9128333N Govt","COUPON_FREQUENCY_DESCRIPTION")</f>
        <v>#N/A Field Not Applicable</v>
      </c>
      <c r="K428" t="str">
        <f>_xll.BDP("9128333N Govt","CPN_TYP")</f>
        <v>ZERO</v>
      </c>
      <c r="L428" t="str">
        <f>_xll.BDP("9128333N Govt","ID_ISIN")</f>
        <v>US9128333N82</v>
      </c>
      <c r="N428">
        <v>0</v>
      </c>
      <c r="O428" t="str">
        <f>_xll.BDP("9128333N Govt","ISSUE_DT")</f>
        <v>11/1/2004</v>
      </c>
      <c r="P428" t="str">
        <f>_xll.BDP("9128333N Govt","SECURITY_NAME")</f>
        <v>S 0 10/31/06</v>
      </c>
      <c r="Q428" t="str">
        <f>_xll.BDP("9128333N Govt","DAY_CNT_DES")</f>
        <v>ACT/ACT</v>
      </c>
      <c r="R428">
        <v>100</v>
      </c>
      <c r="S428" t="str">
        <f>_xll.BDP("9128333N Govt","ID_CUSIP")</f>
        <v>9128333N8</v>
      </c>
      <c r="T428" t="str">
        <f>_xll.BDP("9128333N Govt","IDX_RATIO")</f>
        <v>#N/A Field Not Applicable</v>
      </c>
    </row>
    <row r="429" spans="1:20" x14ac:dyDescent="0.25">
      <c r="A429" t="s">
        <v>14</v>
      </c>
      <c r="B429" t="str">
        <f>_xll.BDP("9128336Y Govt","TICKER")</f>
        <v>S</v>
      </c>
      <c r="C429">
        <f>_xll.BDP("9128336Y Govt","CPN")</f>
        <v>0</v>
      </c>
      <c r="D429" t="str">
        <f>_xll.BDP("9128336Y Govt","YLD_YTM_BID")</f>
        <v>#N/A N/A</v>
      </c>
      <c r="E429" t="str">
        <f>_xll.BDP("9128336Y Govt","MATURITY")</f>
        <v>10/31/2011</v>
      </c>
      <c r="F429" t="str">
        <f>_xll.BDP("9128336Y Govt","MTY_TYP")</f>
        <v>NORMAL</v>
      </c>
      <c r="G429" t="str">
        <f>_xll.BDP("9128336Y Govt","CRNCY")</f>
        <v>USD</v>
      </c>
      <c r="H429" t="str">
        <f>_xll.BDP("9128336Y Govt","COUNTRY_FULL_NAME")</f>
        <v>UNITED STATES</v>
      </c>
      <c r="I429" t="str">
        <f>_xll.BDP("9128336Y Govt","FIRST_CPN_DT")</f>
        <v>#N/A Field Not Applicable</v>
      </c>
      <c r="J429" t="str">
        <f>_xll.BDP("9128336Y Govt","COUPON_FREQUENCY_DESCRIPTION")</f>
        <v>#N/A Field Not Applicable</v>
      </c>
      <c r="K429" t="str">
        <f>_xll.BDP("9128336Y Govt","CPN_TYP")</f>
        <v>ZERO</v>
      </c>
      <c r="L429" t="str">
        <f>_xll.BDP("9128336Y Govt","ID_ISIN")</f>
        <v>US9128336Y11</v>
      </c>
      <c r="N429">
        <v>0</v>
      </c>
      <c r="O429" t="str">
        <f>_xll.BDP("9128336Y Govt","ISSUE_DT")</f>
        <v>10/31/2006</v>
      </c>
      <c r="P429" t="str">
        <f>_xll.BDP("9128336Y Govt","SECURITY_NAME")</f>
        <v>S 0 10/31/11</v>
      </c>
      <c r="Q429" t="str">
        <f>_xll.BDP("9128336Y Govt","DAY_CNT_DES")</f>
        <v>ACT/ACT</v>
      </c>
      <c r="R429">
        <v>100</v>
      </c>
      <c r="S429" t="str">
        <f>_xll.BDP("9128336Y Govt","ID_CUSIP")</f>
        <v>9128336Y1</v>
      </c>
      <c r="T429" t="str">
        <f>_xll.BDP("9128336Y Govt","IDX_RATIO")</f>
        <v>#N/A Field Not Applicable</v>
      </c>
    </row>
    <row r="430" spans="1:20" x14ac:dyDescent="0.25">
      <c r="A430" t="s">
        <v>14</v>
      </c>
      <c r="B430" t="str">
        <f>_xll.BDP("9128336Z Govt","TICKER")</f>
        <v>S</v>
      </c>
      <c r="C430">
        <f>_xll.BDP("9128336Z Govt","CPN")</f>
        <v>0</v>
      </c>
      <c r="D430" t="str">
        <f>_xll.BDP("9128336Z Govt","YLD_YTM_BID")</f>
        <v>#N/A N/A</v>
      </c>
      <c r="E430" t="str">
        <f>_xll.BDP("9128336Z Govt","MATURITY")</f>
        <v>11/30/2011</v>
      </c>
      <c r="F430" t="str">
        <f>_xll.BDP("9128336Z Govt","MTY_TYP")</f>
        <v>NORMAL</v>
      </c>
      <c r="G430" t="str">
        <f>_xll.BDP("9128336Z Govt","CRNCY")</f>
        <v>USD</v>
      </c>
      <c r="H430" t="str">
        <f>_xll.BDP("9128336Z Govt","COUNTRY_FULL_NAME")</f>
        <v>UNITED STATES</v>
      </c>
      <c r="I430" t="str">
        <f>_xll.BDP("9128336Z Govt","FIRST_CPN_DT")</f>
        <v>#N/A Field Not Applicable</v>
      </c>
      <c r="J430" t="str">
        <f>_xll.BDP("9128336Z Govt","COUPON_FREQUENCY_DESCRIPTION")</f>
        <v>#N/A Field Not Applicable</v>
      </c>
      <c r="K430" t="str">
        <f>_xll.BDP("9128336Z Govt","CPN_TYP")</f>
        <v>ZERO</v>
      </c>
      <c r="L430" t="str">
        <f>_xll.BDP("9128336Z Govt","ID_ISIN")</f>
        <v>US9128336Z85</v>
      </c>
      <c r="N430">
        <v>0</v>
      </c>
      <c r="O430" t="str">
        <f>_xll.BDP("9128336Z Govt","ISSUE_DT")</f>
        <v>11/30/2006</v>
      </c>
      <c r="P430" t="str">
        <f>_xll.BDP("9128336Z Govt","SECURITY_NAME")</f>
        <v>S 0 11/30/11</v>
      </c>
      <c r="Q430" t="str">
        <f>_xll.BDP("9128336Z Govt","DAY_CNT_DES")</f>
        <v>ACT/ACT</v>
      </c>
      <c r="R430">
        <v>100</v>
      </c>
      <c r="S430" t="str">
        <f>_xll.BDP("9128336Z Govt","ID_CUSIP")</f>
        <v>9128336Z8</v>
      </c>
      <c r="T430" t="str">
        <f>_xll.BDP("9128336Z Govt","IDX_RATIO")</f>
        <v>#N/A Field Not Applicable</v>
      </c>
    </row>
    <row r="431" spans="1:20" x14ac:dyDescent="0.25">
      <c r="A431" t="s">
        <v>14</v>
      </c>
      <c r="B431" t="str">
        <f>_xll.BDP("9128337H Govt","TICKER")</f>
        <v>S</v>
      </c>
      <c r="C431">
        <f>_xll.BDP("9128337H Govt","CPN")</f>
        <v>0</v>
      </c>
      <c r="D431" t="str">
        <f>_xll.BDP("9128337H Govt","YLD_YTM_BID")</f>
        <v>#N/A N/A</v>
      </c>
      <c r="E431" t="str">
        <f>_xll.BDP("9128337H Govt","MATURITY")</f>
        <v>3/31/2012</v>
      </c>
      <c r="F431" t="str">
        <f>_xll.BDP("9128337H Govt","MTY_TYP")</f>
        <v>NORMAL</v>
      </c>
      <c r="G431" t="str">
        <f>_xll.BDP("9128337H Govt","CRNCY")</f>
        <v>USD</v>
      </c>
      <c r="H431" t="str">
        <f>_xll.BDP("9128337H Govt","COUNTRY_FULL_NAME")</f>
        <v>UNITED STATES</v>
      </c>
      <c r="I431" t="str">
        <f>_xll.BDP("9128337H Govt","FIRST_CPN_DT")</f>
        <v>#N/A Field Not Applicable</v>
      </c>
      <c r="J431" t="str">
        <f>_xll.BDP("9128337H Govt","COUPON_FREQUENCY_DESCRIPTION")</f>
        <v>#N/A Field Not Applicable</v>
      </c>
      <c r="K431" t="str">
        <f>_xll.BDP("9128337H Govt","CPN_TYP")</f>
        <v>ZERO</v>
      </c>
      <c r="L431" t="str">
        <f>_xll.BDP("9128337H Govt","ID_ISIN")</f>
        <v>US9128337H78</v>
      </c>
      <c r="N431">
        <v>0</v>
      </c>
      <c r="O431" t="str">
        <f>_xll.BDP("9128337H Govt","ISSUE_DT")</f>
        <v>4/2/2007</v>
      </c>
      <c r="P431" t="str">
        <f>_xll.BDP("9128337H Govt","SECURITY_NAME")</f>
        <v>S 0 03/31/12</v>
      </c>
      <c r="Q431" t="str">
        <f>_xll.BDP("9128337H Govt","DAY_CNT_DES")</f>
        <v>ACT/ACT</v>
      </c>
      <c r="R431">
        <v>100</v>
      </c>
      <c r="S431" t="str">
        <f>_xll.BDP("9128337H Govt","ID_CUSIP")</f>
        <v>9128337H7</v>
      </c>
      <c r="T431" t="str">
        <f>_xll.BDP("9128337H Govt","IDX_RATIO")</f>
        <v>#N/A Field Not Applicable</v>
      </c>
    </row>
    <row r="432" spans="1:20" x14ac:dyDescent="0.25">
      <c r="A432" t="s">
        <v>14</v>
      </c>
      <c r="B432" t="str">
        <f>_xll.BDP("912833A5 Govt","TICKER")</f>
        <v>S</v>
      </c>
      <c r="C432">
        <f>_xll.BDP("912833A5 Govt","CPN")</f>
        <v>0</v>
      </c>
      <c r="D432" t="str">
        <f>_xll.BDP("912833A5 Govt","YLD_YTM_BID")</f>
        <v>#N/A N/A</v>
      </c>
      <c r="E432" t="str">
        <f>_xll.BDP("912833A5 Govt","MATURITY")</f>
        <v>10/15/2008</v>
      </c>
      <c r="F432" t="str">
        <f>_xll.BDP("912833A5 Govt","MTY_TYP")</f>
        <v>NORMAL</v>
      </c>
      <c r="G432" t="str">
        <f>_xll.BDP("912833A5 Govt","CRNCY")</f>
        <v>USD</v>
      </c>
      <c r="H432" t="str">
        <f>_xll.BDP("912833A5 Govt","COUNTRY_FULL_NAME")</f>
        <v>UNITED STATES</v>
      </c>
      <c r="I432" t="str">
        <f>_xll.BDP("912833A5 Govt","FIRST_CPN_DT")</f>
        <v>#N/A Field Not Applicable</v>
      </c>
      <c r="J432" t="str">
        <f>_xll.BDP("912833A5 Govt","COUPON_FREQUENCY_DESCRIPTION")</f>
        <v>#N/A Field Not Applicable</v>
      </c>
      <c r="K432" t="str">
        <f>_xll.BDP("912833A5 Govt","CPN_TYP")</f>
        <v>ZERO</v>
      </c>
      <c r="L432" t="str">
        <f>_xll.BDP("912833A5 Govt","ID_ISIN")</f>
        <v>US912833A594</v>
      </c>
      <c r="N432">
        <v>0</v>
      </c>
      <c r="O432" t="str">
        <f>_xll.BDP("912833A5 Govt","ISSUE_DT")</f>
        <v>10/15/2003</v>
      </c>
      <c r="P432" t="str">
        <f>_xll.BDP("912833A5 Govt","SECURITY_NAME")</f>
        <v>S 0 10/15/08</v>
      </c>
      <c r="Q432" t="str">
        <f>_xll.BDP("912833A5 Govt","DAY_CNT_DES")</f>
        <v>ACT/ACT</v>
      </c>
      <c r="R432">
        <v>100</v>
      </c>
      <c r="S432" t="str">
        <f>_xll.BDP("912833A5 Govt","ID_CUSIP")</f>
        <v>912833A59</v>
      </c>
      <c r="T432" t="str">
        <f>_xll.BDP("912833A5 Govt","IDX_RATIO")</f>
        <v>#N/A Field Not Applicable</v>
      </c>
    </row>
    <row r="433" spans="1:20" x14ac:dyDescent="0.25">
      <c r="A433" t="s">
        <v>14</v>
      </c>
      <c r="B433" t="str">
        <f>_xll.BDP("912833B7 Govt","TICKER")</f>
        <v>S</v>
      </c>
      <c r="C433">
        <f>_xll.BDP("912833B7 Govt","CPN")</f>
        <v>0</v>
      </c>
      <c r="D433" t="str">
        <f>_xll.BDP("912833B7 Govt","YLD_YTM_BID")</f>
        <v>#N/A N/A</v>
      </c>
      <c r="E433" t="str">
        <f>_xll.BDP("912833B7 Govt","MATURITY")</f>
        <v>12/15/2007</v>
      </c>
      <c r="F433" t="str">
        <f>_xll.BDP("912833B7 Govt","MTY_TYP")</f>
        <v>NORMAL</v>
      </c>
      <c r="G433" t="str">
        <f>_xll.BDP("912833B7 Govt","CRNCY")</f>
        <v>USD</v>
      </c>
      <c r="H433" t="str">
        <f>_xll.BDP("912833B7 Govt","COUNTRY_FULL_NAME")</f>
        <v>UNITED STATES</v>
      </c>
      <c r="I433" t="str">
        <f>_xll.BDP("912833B7 Govt","FIRST_CPN_DT")</f>
        <v>#N/A Field Not Applicable</v>
      </c>
      <c r="J433" t="str">
        <f>_xll.BDP("912833B7 Govt","COUPON_FREQUENCY_DESCRIPTION")</f>
        <v>#N/A Field Not Applicable</v>
      </c>
      <c r="K433" t="str">
        <f>_xll.BDP("912833B7 Govt","CPN_TYP")</f>
        <v>ZERO</v>
      </c>
      <c r="L433" t="str">
        <f>_xll.BDP("912833B7 Govt","ID_ISIN")</f>
        <v>US912833B741</v>
      </c>
      <c r="N433">
        <v>0</v>
      </c>
      <c r="O433" t="str">
        <f>_xll.BDP("912833B7 Govt","ISSUE_DT")</f>
        <v>12/15/2003</v>
      </c>
      <c r="P433" t="str">
        <f>_xll.BDP("912833B7 Govt","SECURITY_NAME")</f>
        <v>S 0 12/15/07</v>
      </c>
      <c r="Q433" t="str">
        <f>_xll.BDP("912833B7 Govt","DAY_CNT_DES")</f>
        <v>ACT/ACT</v>
      </c>
      <c r="R433">
        <v>100</v>
      </c>
      <c r="S433" t="str">
        <f>_xll.BDP("912833B7 Govt","ID_CUSIP")</f>
        <v>912833B74</v>
      </c>
      <c r="T433" t="str">
        <f>_xll.BDP("912833B7 Govt","IDX_RATIO")</f>
        <v>#N/A Field Not Applicable</v>
      </c>
    </row>
    <row r="434" spans="1:20" x14ac:dyDescent="0.25">
      <c r="A434" t="s">
        <v>14</v>
      </c>
      <c r="B434" t="str">
        <f>_xll.BDP("912833B9 Govt","TICKER")</f>
        <v>S</v>
      </c>
      <c r="C434">
        <f>_xll.BDP("912833B9 Govt","CPN")</f>
        <v>0</v>
      </c>
      <c r="D434" t="str">
        <f>_xll.BDP("912833B9 Govt","YLD_YTM_BID")</f>
        <v>#N/A N/A</v>
      </c>
      <c r="E434" t="str">
        <f>_xll.BDP("912833B9 Govt","MATURITY")</f>
        <v>12/15/2008</v>
      </c>
      <c r="F434" t="str">
        <f>_xll.BDP("912833B9 Govt","MTY_TYP")</f>
        <v>NORMAL</v>
      </c>
      <c r="G434" t="str">
        <f>_xll.BDP("912833B9 Govt","CRNCY")</f>
        <v>USD</v>
      </c>
      <c r="H434" t="str">
        <f>_xll.BDP("912833B9 Govt","COUNTRY_FULL_NAME")</f>
        <v>UNITED STATES</v>
      </c>
      <c r="I434" t="str">
        <f>_xll.BDP("912833B9 Govt","FIRST_CPN_DT")</f>
        <v>#N/A Field Not Applicable</v>
      </c>
      <c r="J434" t="str">
        <f>_xll.BDP("912833B9 Govt","COUPON_FREQUENCY_DESCRIPTION")</f>
        <v>#N/A Field Not Applicable</v>
      </c>
      <c r="K434" t="str">
        <f>_xll.BDP("912833B9 Govt","CPN_TYP")</f>
        <v>ZERO</v>
      </c>
      <c r="L434" t="str">
        <f>_xll.BDP("912833B9 Govt","ID_ISIN")</f>
        <v>US912833B907</v>
      </c>
      <c r="N434">
        <v>0</v>
      </c>
      <c r="O434" t="str">
        <f>_xll.BDP("912833B9 Govt","ISSUE_DT")</f>
        <v>12/15/2003</v>
      </c>
      <c r="P434" t="str">
        <f>_xll.BDP("912833B9 Govt","SECURITY_NAME")</f>
        <v>S 0 12/15/08</v>
      </c>
      <c r="Q434" t="str">
        <f>_xll.BDP("912833B9 Govt","DAY_CNT_DES")</f>
        <v>ACT/ACT</v>
      </c>
      <c r="R434">
        <v>100</v>
      </c>
      <c r="S434" t="str">
        <f>_xll.BDP("912833B9 Govt","ID_CUSIP")</f>
        <v>912833B90</v>
      </c>
      <c r="T434" t="str">
        <f>_xll.BDP("912833B9 Govt","IDX_RATIO")</f>
        <v>#N/A Field Not Applicable</v>
      </c>
    </row>
    <row r="435" spans="1:20" x14ac:dyDescent="0.25">
      <c r="A435" t="s">
        <v>14</v>
      </c>
      <c r="B435" t="str">
        <f>_xll.BDP("912833C5 Govt","TICKER")</f>
        <v>S</v>
      </c>
      <c r="C435">
        <f>_xll.BDP("912833C5 Govt","CPN")</f>
        <v>0</v>
      </c>
      <c r="D435" t="str">
        <f>_xll.BDP("912833C5 Govt","YLD_YTM_BID")</f>
        <v>#N/A N/A</v>
      </c>
      <c r="E435" t="str">
        <f>_xll.BDP("912833C5 Govt","MATURITY")</f>
        <v>1/15/2008</v>
      </c>
      <c r="F435" t="str">
        <f>_xll.BDP("912833C5 Govt","MTY_TYP")</f>
        <v>NORMAL</v>
      </c>
      <c r="G435" t="str">
        <f>_xll.BDP("912833C5 Govt","CRNCY")</f>
        <v>USD</v>
      </c>
      <c r="H435" t="str">
        <f>_xll.BDP("912833C5 Govt","COUNTRY_FULL_NAME")</f>
        <v>UNITED STATES</v>
      </c>
      <c r="I435" t="str">
        <f>_xll.BDP("912833C5 Govt","FIRST_CPN_DT")</f>
        <v>#N/A Field Not Applicable</v>
      </c>
      <c r="J435" t="str">
        <f>_xll.BDP("912833C5 Govt","COUPON_FREQUENCY_DESCRIPTION")</f>
        <v>#N/A Field Not Applicable</v>
      </c>
      <c r="K435" t="str">
        <f>_xll.BDP("912833C5 Govt","CPN_TYP")</f>
        <v>ZERO</v>
      </c>
      <c r="L435" t="str">
        <f>_xll.BDP("912833C5 Govt","ID_ISIN")</f>
        <v>US912833C574</v>
      </c>
      <c r="N435">
        <v>0</v>
      </c>
      <c r="O435" t="str">
        <f>_xll.BDP("912833C5 Govt","ISSUE_DT")</f>
        <v>1/15/2004</v>
      </c>
      <c r="P435" t="str">
        <f>_xll.BDP("912833C5 Govt","SECURITY_NAME")</f>
        <v>S 0 01/15/08</v>
      </c>
      <c r="Q435" t="str">
        <f>_xll.BDP("912833C5 Govt","DAY_CNT_DES")</f>
        <v>ACT/ACT</v>
      </c>
      <c r="R435">
        <v>100</v>
      </c>
      <c r="S435" t="str">
        <f>_xll.BDP("912833C5 Govt","ID_CUSIP")</f>
        <v>912833C57</v>
      </c>
      <c r="T435" t="str">
        <f>_xll.BDP("912833C5 Govt","IDX_RATIO")</f>
        <v>#N/A Field Not Applicable</v>
      </c>
    </row>
    <row r="436" spans="1:20" x14ac:dyDescent="0.25">
      <c r="A436" t="s">
        <v>14</v>
      </c>
      <c r="B436" t="str">
        <f>_xll.BDP("912833CC Govt","TICKER")</f>
        <v>S</v>
      </c>
      <c r="C436">
        <f>_xll.BDP("912833CC Govt","CPN")</f>
        <v>0</v>
      </c>
      <c r="D436" t="str">
        <f>_xll.BDP("912833CC Govt","YLD_YTM_BID")</f>
        <v>#N/A N/A</v>
      </c>
      <c r="E436" t="str">
        <f>_xll.BDP("912833CC Govt","MATURITY")</f>
        <v>8/15/2000</v>
      </c>
      <c r="F436" t="str">
        <f>_xll.BDP("912833CC Govt","MTY_TYP")</f>
        <v>NORMAL</v>
      </c>
      <c r="G436" t="str">
        <f>_xll.BDP("912833CC Govt","CRNCY")</f>
        <v>USD</v>
      </c>
      <c r="H436" t="str">
        <f>_xll.BDP("912833CC Govt","COUNTRY_FULL_NAME")</f>
        <v>UNITED STATES</v>
      </c>
      <c r="I436" t="str">
        <f>_xll.BDP("912833CC Govt","FIRST_CPN_DT")</f>
        <v>#N/A Field Not Applicable</v>
      </c>
      <c r="J436" t="str">
        <f>_xll.BDP("912833CC Govt","COUPON_FREQUENCY_DESCRIPTION")</f>
        <v>#N/A Field Not Applicable</v>
      </c>
      <c r="K436" t="str">
        <f>_xll.BDP("912833CC Govt","CPN_TYP")</f>
        <v>ZERO</v>
      </c>
      <c r="L436" t="str">
        <f>_xll.BDP("912833CC Govt","ID_ISIN")</f>
        <v>US912833CC29</v>
      </c>
      <c r="N436">
        <v>0</v>
      </c>
      <c r="O436" t="str">
        <f>_xll.BDP("912833CC Govt","ISSUE_DT")</f>
        <v>2/15/1985</v>
      </c>
      <c r="P436" t="str">
        <f>_xll.BDP("912833CC Govt","SECURITY_NAME")</f>
        <v>S 0 08/15/00</v>
      </c>
      <c r="Q436" t="str">
        <f>_xll.BDP("912833CC Govt","DAY_CNT_DES")</f>
        <v>ACT/ACT</v>
      </c>
      <c r="R436">
        <v>100</v>
      </c>
      <c r="S436" t="str">
        <f>_xll.BDP("912833CC Govt","ID_CUSIP")</f>
        <v>912833CC2</v>
      </c>
      <c r="T436" t="str">
        <f>_xll.BDP("912833CC Govt","IDX_RATIO")</f>
        <v>#N/A Field Not Applicable</v>
      </c>
    </row>
    <row r="437" spans="1:20" x14ac:dyDescent="0.25">
      <c r="A437" t="s">
        <v>14</v>
      </c>
      <c r="B437" t="str">
        <f>_xll.BDP("912833CE Govt","TICKER")</f>
        <v>S</v>
      </c>
      <c r="C437">
        <f>_xll.BDP("912833CE Govt","CPN")</f>
        <v>0</v>
      </c>
      <c r="D437" t="str">
        <f>_xll.BDP("912833CE Govt","YLD_YTM_BID")</f>
        <v>#N/A N/A</v>
      </c>
      <c r="E437" t="str">
        <f>_xll.BDP("912833CE Govt","MATURITY")</f>
        <v>8/15/2001</v>
      </c>
      <c r="F437" t="str">
        <f>_xll.BDP("912833CE Govt","MTY_TYP")</f>
        <v>NORMAL</v>
      </c>
      <c r="G437" t="str">
        <f>_xll.BDP("912833CE Govt","CRNCY")</f>
        <v>USD</v>
      </c>
      <c r="H437" t="str">
        <f>_xll.BDP("912833CE Govt","COUNTRY_FULL_NAME")</f>
        <v>UNITED STATES</v>
      </c>
      <c r="I437" t="str">
        <f>_xll.BDP("912833CE Govt","FIRST_CPN_DT")</f>
        <v>#N/A Field Not Applicable</v>
      </c>
      <c r="J437" t="str">
        <f>_xll.BDP("912833CE Govt","COUPON_FREQUENCY_DESCRIPTION")</f>
        <v>#N/A Field Not Applicable</v>
      </c>
      <c r="K437" t="str">
        <f>_xll.BDP("912833CE Govt","CPN_TYP")</f>
        <v>ZERO</v>
      </c>
      <c r="L437" t="str">
        <f>_xll.BDP("912833CE Govt","ID_ISIN")</f>
        <v>US912833CE84</v>
      </c>
      <c r="N437">
        <v>0</v>
      </c>
      <c r="O437" t="str">
        <f>_xll.BDP("912833CE Govt","ISSUE_DT")</f>
        <v>2/15/1985</v>
      </c>
      <c r="P437" t="str">
        <f>_xll.BDP("912833CE Govt","SECURITY_NAME")</f>
        <v>S 0 08/15/01</v>
      </c>
      <c r="Q437" t="str">
        <f>_xll.BDP("912833CE Govt","DAY_CNT_DES")</f>
        <v>ACT/ACT</v>
      </c>
      <c r="R437">
        <v>100</v>
      </c>
      <c r="S437" t="str">
        <f>_xll.BDP("912833CE Govt","ID_CUSIP")</f>
        <v>912833CE8</v>
      </c>
      <c r="T437" t="str">
        <f>_xll.BDP("912833CE Govt","IDX_RATIO")</f>
        <v>#N/A Field Not Applicable</v>
      </c>
    </row>
    <row r="438" spans="1:20" x14ac:dyDescent="0.25">
      <c r="A438" t="s">
        <v>14</v>
      </c>
      <c r="B438" t="str">
        <f>_xll.BDP("912833CQ Govt","TICKER")</f>
        <v>S</v>
      </c>
      <c r="C438">
        <f>_xll.BDP("912833CQ Govt","CPN")</f>
        <v>0</v>
      </c>
      <c r="D438" t="str">
        <f>_xll.BDP("912833CQ Govt","YLD_YTM_BID")</f>
        <v>#N/A N/A</v>
      </c>
      <c r="E438" t="str">
        <f>_xll.BDP("912833CQ Govt","MATURITY")</f>
        <v>8/15/2006</v>
      </c>
      <c r="F438" t="str">
        <f>_xll.BDP("912833CQ Govt","MTY_TYP")</f>
        <v>NORMAL</v>
      </c>
      <c r="G438" t="str">
        <f>_xll.BDP("912833CQ Govt","CRNCY")</f>
        <v>USD</v>
      </c>
      <c r="H438" t="str">
        <f>_xll.BDP("912833CQ Govt","COUNTRY_FULL_NAME")</f>
        <v>UNITED STATES</v>
      </c>
      <c r="I438" t="str">
        <f>_xll.BDP("912833CQ Govt","FIRST_CPN_DT")</f>
        <v>#N/A Field Not Applicable</v>
      </c>
      <c r="J438" t="str">
        <f>_xll.BDP("912833CQ Govt","COUPON_FREQUENCY_DESCRIPTION")</f>
        <v>#N/A Field Not Applicable</v>
      </c>
      <c r="K438" t="str">
        <f>_xll.BDP("912833CQ Govt","CPN_TYP")</f>
        <v>ZERO</v>
      </c>
      <c r="L438" t="str">
        <f>_xll.BDP("912833CQ Govt","ID_ISIN")</f>
        <v>US912833CQ15</v>
      </c>
      <c r="N438">
        <v>0</v>
      </c>
      <c r="O438" t="str">
        <f>_xll.BDP("912833CQ Govt","ISSUE_DT")</f>
        <v>2/15/1985</v>
      </c>
      <c r="P438" t="str">
        <f>_xll.BDP("912833CQ Govt","SECURITY_NAME")</f>
        <v>S 0 08/15/06</v>
      </c>
      <c r="Q438" t="str">
        <f>_xll.BDP("912833CQ Govt","DAY_CNT_DES")</f>
        <v>ACT/ACT</v>
      </c>
      <c r="R438">
        <v>100</v>
      </c>
      <c r="S438" t="str">
        <f>_xll.BDP("912833CQ Govt","ID_CUSIP")</f>
        <v>912833CQ1</v>
      </c>
      <c r="T438" t="str">
        <f>_xll.BDP("912833CQ Govt","IDX_RATIO")</f>
        <v>#N/A Field Not Applicable</v>
      </c>
    </row>
    <row r="439" spans="1:20" x14ac:dyDescent="0.25">
      <c r="A439" t="s">
        <v>14</v>
      </c>
      <c r="B439" t="str">
        <f>_xll.BDP("912833GA Govt","TICKER")</f>
        <v>S</v>
      </c>
      <c r="C439">
        <f>_xll.BDP("912833GA Govt","CPN")</f>
        <v>0</v>
      </c>
      <c r="D439" t="str">
        <f>_xll.BDP("912833GA Govt","YLD_YTM_BID")</f>
        <v>#N/A N/A</v>
      </c>
      <c r="E439" t="str">
        <f>_xll.BDP("912833GA Govt","MATURITY")</f>
        <v>5/15/2007</v>
      </c>
      <c r="F439" t="str">
        <f>_xll.BDP("912833GA Govt","MTY_TYP")</f>
        <v>NORMAL</v>
      </c>
      <c r="G439" t="str">
        <f>_xll.BDP("912833GA Govt","CRNCY")</f>
        <v>USD</v>
      </c>
      <c r="H439" t="str">
        <f>_xll.BDP("912833GA Govt","COUNTRY_FULL_NAME")</f>
        <v>UNITED STATES</v>
      </c>
      <c r="I439" t="str">
        <f>_xll.BDP("912833GA Govt","FIRST_CPN_DT")</f>
        <v>#N/A Field Not Applicable</v>
      </c>
      <c r="J439" t="str">
        <f>_xll.BDP("912833GA Govt","COUPON_FREQUENCY_DESCRIPTION")</f>
        <v>#N/A Field Not Applicable</v>
      </c>
      <c r="K439" t="str">
        <f>_xll.BDP("912833GA Govt","CPN_TYP")</f>
        <v>ZERO</v>
      </c>
      <c r="L439" t="str">
        <f>_xll.BDP("912833GA Govt","ID_ISIN")</f>
        <v>US912833GA27</v>
      </c>
      <c r="N439">
        <v>0</v>
      </c>
      <c r="O439" t="str">
        <f>_xll.BDP("912833GA Govt","ISSUE_DT")</f>
        <v>11/15/1984</v>
      </c>
      <c r="P439" t="str">
        <f>_xll.BDP("912833GA Govt","SECURITY_NAME")</f>
        <v>S 0 05/15/07</v>
      </c>
      <c r="Q439" t="str">
        <f>_xll.BDP("912833GA Govt","DAY_CNT_DES")</f>
        <v>ACT/ACT</v>
      </c>
      <c r="R439">
        <v>100</v>
      </c>
      <c r="S439" t="str">
        <f>_xll.BDP("912833GA Govt","ID_CUSIP")</f>
        <v>912833GA2</v>
      </c>
      <c r="T439" t="str">
        <f>_xll.BDP("912833GA Govt","IDX_RATIO")</f>
        <v>#N/A Field Not Applicable</v>
      </c>
    </row>
    <row r="440" spans="1:20" x14ac:dyDescent="0.25">
      <c r="A440" t="s">
        <v>14</v>
      </c>
      <c r="B440" t="str">
        <f>_xll.BDP("912833GC Govt","TICKER")</f>
        <v>S</v>
      </c>
      <c r="C440">
        <f>_xll.BDP("912833GC Govt","CPN")</f>
        <v>0</v>
      </c>
      <c r="D440" t="str">
        <f>_xll.BDP("912833GC Govt","YLD_YTM_BID")</f>
        <v>#N/A N/A</v>
      </c>
      <c r="E440" t="str">
        <f>_xll.BDP("912833GC Govt","MATURITY")</f>
        <v>5/15/2008</v>
      </c>
      <c r="F440" t="str">
        <f>_xll.BDP("912833GC Govt","MTY_TYP")</f>
        <v>NORMAL</v>
      </c>
      <c r="G440" t="str">
        <f>_xll.BDP("912833GC Govt","CRNCY")</f>
        <v>USD</v>
      </c>
      <c r="H440" t="str">
        <f>_xll.BDP("912833GC Govt","COUNTRY_FULL_NAME")</f>
        <v>UNITED STATES</v>
      </c>
      <c r="I440" t="str">
        <f>_xll.BDP("912833GC Govt","FIRST_CPN_DT")</f>
        <v>#N/A Field Not Applicable</v>
      </c>
      <c r="J440" t="str">
        <f>_xll.BDP("912833GC Govt","COUPON_FREQUENCY_DESCRIPTION")</f>
        <v>#N/A Field Not Applicable</v>
      </c>
      <c r="K440" t="str">
        <f>_xll.BDP("912833GC Govt","CPN_TYP")</f>
        <v>ZERO</v>
      </c>
      <c r="L440" t="str">
        <f>_xll.BDP("912833GC Govt","ID_ISIN")</f>
        <v>US912833GC82</v>
      </c>
      <c r="N440">
        <v>0</v>
      </c>
      <c r="O440" t="str">
        <f>_xll.BDP("912833GC Govt","ISSUE_DT")</f>
        <v>11/15/1984</v>
      </c>
      <c r="P440" t="str">
        <f>_xll.BDP("912833GC Govt","SECURITY_NAME")</f>
        <v>S 0 05/15/08</v>
      </c>
      <c r="Q440" t="str">
        <f>_xll.BDP("912833GC Govt","DAY_CNT_DES")</f>
        <v>ACT/ACT</v>
      </c>
      <c r="R440">
        <v>100</v>
      </c>
      <c r="S440" t="str">
        <f>_xll.BDP("912833GC Govt","ID_CUSIP")</f>
        <v>912833GC8</v>
      </c>
      <c r="T440" t="str">
        <f>_xll.BDP("912833GC Govt","IDX_RATIO")</f>
        <v>#N/A Field Not Applicable</v>
      </c>
    </row>
    <row r="441" spans="1:20" x14ac:dyDescent="0.25">
      <c r="A441" t="s">
        <v>14</v>
      </c>
      <c r="B441" t="str">
        <f>_xll.BDP("912833GE Govt","TICKER")</f>
        <v>S</v>
      </c>
      <c r="C441">
        <f>_xll.BDP("912833GE Govt","CPN")</f>
        <v>0</v>
      </c>
      <c r="D441" t="str">
        <f>_xll.BDP("912833GE Govt","YLD_YTM_BID")</f>
        <v>#N/A N/A</v>
      </c>
      <c r="E441" t="str">
        <f>_xll.BDP("912833GE Govt","MATURITY")</f>
        <v>5/15/2009</v>
      </c>
      <c r="F441" t="str">
        <f>_xll.BDP("912833GE Govt","MTY_TYP")</f>
        <v>NORMAL</v>
      </c>
      <c r="G441" t="str">
        <f>_xll.BDP("912833GE Govt","CRNCY")</f>
        <v>USD</v>
      </c>
      <c r="H441" t="str">
        <f>_xll.BDP("912833GE Govt","COUNTRY_FULL_NAME")</f>
        <v>UNITED STATES</v>
      </c>
      <c r="I441" t="str">
        <f>_xll.BDP("912833GE Govt","FIRST_CPN_DT")</f>
        <v>#N/A Field Not Applicable</v>
      </c>
      <c r="J441" t="str">
        <f>_xll.BDP("912833GE Govt","COUPON_FREQUENCY_DESCRIPTION")</f>
        <v>#N/A Field Not Applicable</v>
      </c>
      <c r="K441" t="str">
        <f>_xll.BDP("912833GE Govt","CPN_TYP")</f>
        <v>ZERO</v>
      </c>
      <c r="L441" t="str">
        <f>_xll.BDP("912833GE Govt","ID_ISIN")</f>
        <v>US912833GE49</v>
      </c>
      <c r="N441">
        <v>0</v>
      </c>
      <c r="O441" t="str">
        <f>_xll.BDP("912833GE Govt","ISSUE_DT")</f>
        <v>11/15/1984</v>
      </c>
      <c r="P441" t="str">
        <f>_xll.BDP("912833GE Govt","SECURITY_NAME")</f>
        <v>S 0 05/15/09</v>
      </c>
      <c r="Q441" t="str">
        <f>_xll.BDP("912833GE Govt","DAY_CNT_DES")</f>
        <v>ACT/ACT</v>
      </c>
      <c r="R441">
        <v>100</v>
      </c>
      <c r="S441" t="str">
        <f>_xll.BDP("912833GE Govt","ID_CUSIP")</f>
        <v>912833GE4</v>
      </c>
      <c r="T441" t="str">
        <f>_xll.BDP("912833GE Govt","IDX_RATIO")</f>
        <v>#N/A Field Not Applicable</v>
      </c>
    </row>
    <row r="442" spans="1:20" x14ac:dyDescent="0.25">
      <c r="A442" t="s">
        <v>14</v>
      </c>
      <c r="B442" t="str">
        <f>_xll.BDP("912833KC Govt","TICKER")</f>
        <v>S</v>
      </c>
      <c r="C442">
        <f>_xll.BDP("912833KC Govt","CPN")</f>
        <v>0</v>
      </c>
      <c r="D442" t="str">
        <f>_xll.BDP("912833KC Govt","YLD_YTM_BID")</f>
        <v>#N/A N/A</v>
      </c>
      <c r="E442" t="str">
        <f>_xll.BDP("912833KC Govt","MATURITY")</f>
        <v>5/15/2014</v>
      </c>
      <c r="F442" t="str">
        <f>_xll.BDP("912833KC Govt","MTY_TYP")</f>
        <v>NORMAL</v>
      </c>
      <c r="G442" t="str">
        <f>_xll.BDP("912833KC Govt","CRNCY")</f>
        <v>USD</v>
      </c>
      <c r="H442" t="str">
        <f>_xll.BDP("912833KC Govt","COUNTRY_FULL_NAME")</f>
        <v>UNITED STATES</v>
      </c>
      <c r="I442" t="str">
        <f>_xll.BDP("912833KC Govt","FIRST_CPN_DT")</f>
        <v>#N/A Field Not Applicable</v>
      </c>
      <c r="J442" t="str">
        <f>_xll.BDP("912833KC Govt","COUPON_FREQUENCY_DESCRIPTION")</f>
        <v>#N/A Field Not Applicable</v>
      </c>
      <c r="K442" t="str">
        <f>_xll.BDP("912833KC Govt","CPN_TYP")</f>
        <v>ZERO</v>
      </c>
      <c r="L442" t="str">
        <f>_xll.BDP("912833KC Govt","ID_ISIN")</f>
        <v>US912833KC37</v>
      </c>
      <c r="N442">
        <v>0</v>
      </c>
      <c r="O442" t="str">
        <f>_xll.BDP("912833KC Govt","ISSUE_DT")</f>
        <v>11/15/1985</v>
      </c>
      <c r="P442" t="str">
        <f>_xll.BDP("912833KC Govt","SECURITY_NAME")</f>
        <v>S 0 05/15/14</v>
      </c>
      <c r="Q442" t="str">
        <f>_xll.BDP("912833KC Govt","DAY_CNT_DES")</f>
        <v>ACT/ACT</v>
      </c>
      <c r="R442">
        <v>100</v>
      </c>
      <c r="S442" t="str">
        <f>_xll.BDP("912833KC Govt","ID_CUSIP")</f>
        <v>912833KC3</v>
      </c>
      <c r="T442" t="str">
        <f>_xll.BDP("912833KC Govt","IDX_RATIO")</f>
        <v>#N/A Field Not Applicable</v>
      </c>
    </row>
    <row r="443" spans="1:20" x14ac:dyDescent="0.25">
      <c r="A443" t="s">
        <v>14</v>
      </c>
      <c r="B443" t="str">
        <f>_xll.BDP("912833KR Govt","TICKER")</f>
        <v>S</v>
      </c>
      <c r="C443">
        <f>_xll.BDP("912833KR Govt","CPN")</f>
        <v>0</v>
      </c>
      <c r="D443" t="str">
        <f>_xll.BDP("912833KR Govt","YLD_YTM_BID")</f>
        <v>#N/A N/A</v>
      </c>
      <c r="E443" t="str">
        <f>_xll.BDP("912833KR Govt","MATURITY")</f>
        <v>5/15/2018</v>
      </c>
      <c r="F443" t="str">
        <f>_xll.BDP("912833KR Govt","MTY_TYP")</f>
        <v>NORMAL</v>
      </c>
      <c r="G443" t="str">
        <f>_xll.BDP("912833KR Govt","CRNCY")</f>
        <v>USD</v>
      </c>
      <c r="H443" t="str">
        <f>_xll.BDP("912833KR Govt","COUNTRY_FULL_NAME")</f>
        <v>UNITED STATES</v>
      </c>
      <c r="I443" t="str">
        <f>_xll.BDP("912833KR Govt","FIRST_CPN_DT")</f>
        <v>#N/A Field Not Applicable</v>
      </c>
      <c r="J443" t="str">
        <f>_xll.BDP("912833KR Govt","COUPON_FREQUENCY_DESCRIPTION")</f>
        <v>#N/A Field Not Applicable</v>
      </c>
      <c r="K443" t="str">
        <f>_xll.BDP("912833KR Govt","CPN_TYP")</f>
        <v>ZERO</v>
      </c>
      <c r="L443" t="str">
        <f>_xll.BDP("912833KR Govt","ID_ISIN")</f>
        <v>US912833KR06</v>
      </c>
      <c r="N443">
        <v>0</v>
      </c>
      <c r="O443" t="str">
        <f>_xll.BDP("912833KR Govt","ISSUE_DT")</f>
        <v>5/15/1988</v>
      </c>
      <c r="P443" t="str">
        <f>_xll.BDP("912833KR Govt","SECURITY_NAME")</f>
        <v>S 0 05/15/18</v>
      </c>
      <c r="Q443" t="str">
        <f>_xll.BDP("912833KR Govt","DAY_CNT_DES")</f>
        <v>ACT/ACT</v>
      </c>
      <c r="R443">
        <v>100</v>
      </c>
      <c r="S443" t="str">
        <f>_xll.BDP("912833KR Govt","ID_CUSIP")</f>
        <v>912833KR0</v>
      </c>
      <c r="T443" t="str">
        <f>_xll.BDP("912833KR Govt","IDX_RATIO")</f>
        <v>#N/A Field Not Applicable</v>
      </c>
    </row>
    <row r="444" spans="1:20" x14ac:dyDescent="0.25">
      <c r="A444" t="s">
        <v>14</v>
      </c>
      <c r="B444" t="str">
        <f>_xll.BDP("912833KU Govt","TICKER")</f>
        <v>S</v>
      </c>
      <c r="C444">
        <f>_xll.BDP("912833KU Govt","CPN")</f>
        <v>0</v>
      </c>
      <c r="D444" t="str">
        <f>_xll.BDP("912833KU Govt","YLD_YTM_BID")</f>
        <v>#N/A N/A</v>
      </c>
      <c r="E444" t="str">
        <f>_xll.BDP("912833KU Govt","MATURITY")</f>
        <v>2/15/2019</v>
      </c>
      <c r="F444" t="str">
        <f>_xll.BDP("912833KU Govt","MTY_TYP")</f>
        <v>NORMAL</v>
      </c>
      <c r="G444" t="str">
        <f>_xll.BDP("912833KU Govt","CRNCY")</f>
        <v>USD</v>
      </c>
      <c r="H444" t="str">
        <f>_xll.BDP("912833KU Govt","COUNTRY_FULL_NAME")</f>
        <v>UNITED STATES</v>
      </c>
      <c r="I444" t="str">
        <f>_xll.BDP("912833KU Govt","FIRST_CPN_DT")</f>
        <v>#N/A Field Not Applicable</v>
      </c>
      <c r="J444" t="str">
        <f>_xll.BDP("912833KU Govt","COUPON_FREQUENCY_DESCRIPTION")</f>
        <v>#N/A Field Not Applicable</v>
      </c>
      <c r="K444" t="str">
        <f>_xll.BDP("912833KU Govt","CPN_TYP")</f>
        <v>ZERO</v>
      </c>
      <c r="L444" t="str">
        <f>_xll.BDP("912833KU Govt","ID_ISIN")</f>
        <v>US912833KU35</v>
      </c>
      <c r="N444">
        <v>0</v>
      </c>
      <c r="O444" t="str">
        <f>_xll.BDP("912833KU Govt","ISSUE_DT")</f>
        <v>2/15/1989</v>
      </c>
      <c r="P444" t="str">
        <f>_xll.BDP("912833KU Govt","SECURITY_NAME")</f>
        <v>S 0 02/15/19</v>
      </c>
      <c r="Q444" t="str">
        <f>_xll.BDP("912833KU Govt","DAY_CNT_DES")</f>
        <v>ACT/ACT</v>
      </c>
      <c r="R444">
        <v>100</v>
      </c>
      <c r="S444" t="str">
        <f>_xll.BDP("912833KU Govt","ID_CUSIP")</f>
        <v>912833KU3</v>
      </c>
      <c r="T444" t="str">
        <f>_xll.BDP("912833KU Govt","IDX_RATIO")</f>
        <v>#N/A Field Not Applicable</v>
      </c>
    </row>
    <row r="445" spans="1:20" x14ac:dyDescent="0.25">
      <c r="A445" t="s">
        <v>14</v>
      </c>
      <c r="B445" t="str">
        <f>_xll.BDP("912833MK Govt","TICKER")</f>
        <v>S</v>
      </c>
      <c r="C445">
        <f>_xll.BDP("912833MK Govt","CPN")</f>
        <v>0</v>
      </c>
      <c r="D445" t="str">
        <f>_xll.BDP("912833MK Govt","YLD_YTM_BID")</f>
        <v>#N/A N/A</v>
      </c>
      <c r="E445" t="str">
        <f>_xll.BDP("912833MK Govt","MATURITY")</f>
        <v>4/15/1999</v>
      </c>
      <c r="F445" t="str">
        <f>_xll.BDP("912833MK Govt","MTY_TYP")</f>
        <v>NORMAL</v>
      </c>
      <c r="G445" t="str">
        <f>_xll.BDP("912833MK Govt","CRNCY")</f>
        <v>USD</v>
      </c>
      <c r="H445" t="str">
        <f>_xll.BDP("912833MK Govt","COUNTRY_FULL_NAME")</f>
        <v>UNITED STATES</v>
      </c>
      <c r="I445" t="str">
        <f>_xll.BDP("912833MK Govt","FIRST_CPN_DT")</f>
        <v>#N/A Field Not Applicable</v>
      </c>
      <c r="J445" t="str">
        <f>_xll.BDP("912833MK Govt","COUPON_FREQUENCY_DESCRIPTION")</f>
        <v>#N/A Field Not Applicable</v>
      </c>
      <c r="K445" t="str">
        <f>_xll.BDP("912833MK Govt","CPN_TYP")</f>
        <v>ZERO</v>
      </c>
      <c r="L445" t="str">
        <f>_xll.BDP("912833MK Govt","ID_ISIN")</f>
        <v>US912833MK35</v>
      </c>
      <c r="N445">
        <v>0</v>
      </c>
      <c r="O445" t="str">
        <f>_xll.BDP("912833MK Govt","ISSUE_DT")</f>
        <v>10/15/1996</v>
      </c>
      <c r="P445" t="str">
        <f>_xll.BDP("912833MK Govt","SECURITY_NAME")</f>
        <v>S 0 04/15/99</v>
      </c>
      <c r="Q445" t="str">
        <f>_xll.BDP("912833MK Govt","DAY_CNT_DES")</f>
        <v>ACT/ACT</v>
      </c>
      <c r="R445">
        <v>100</v>
      </c>
      <c r="S445" t="str">
        <f>_xll.BDP("912833MK Govt","ID_CUSIP")</f>
        <v>912833MK3</v>
      </c>
      <c r="T445" t="str">
        <f>_xll.BDP("912833MK Govt","IDX_RATIO")</f>
        <v>#N/A Field Not Applicable</v>
      </c>
    </row>
    <row r="446" spans="1:20" x14ac:dyDescent="0.25">
      <c r="A446" t="s">
        <v>14</v>
      </c>
      <c r="B446" t="str">
        <f>_xll.BDP("912833NA Govt","TICKER")</f>
        <v>S</v>
      </c>
      <c r="C446">
        <f>_xll.BDP("912833NA Govt","CPN")</f>
        <v>0</v>
      </c>
      <c r="D446" t="str">
        <f>_xll.BDP("912833NA Govt","YLD_YTM_BID")</f>
        <v>#N/A N/A</v>
      </c>
      <c r="E446" t="str">
        <f>_xll.BDP("912833NA Govt","MATURITY")</f>
        <v>1/15/2003</v>
      </c>
      <c r="F446" t="str">
        <f>_xll.BDP("912833NA Govt","MTY_TYP")</f>
        <v>NORMAL</v>
      </c>
      <c r="G446" t="str">
        <f>_xll.BDP("912833NA Govt","CRNCY")</f>
        <v>USD</v>
      </c>
      <c r="H446" t="str">
        <f>_xll.BDP("912833NA Govt","COUNTRY_FULL_NAME")</f>
        <v>UNITED STATES</v>
      </c>
      <c r="I446" t="str">
        <f>_xll.BDP("912833NA Govt","FIRST_CPN_DT")</f>
        <v>#N/A Field Not Applicable</v>
      </c>
      <c r="J446" t="str">
        <f>_xll.BDP("912833NA Govt","COUPON_FREQUENCY_DESCRIPTION")</f>
        <v>#N/A Field Not Applicable</v>
      </c>
      <c r="K446" t="str">
        <f>_xll.BDP("912833NA Govt","CPN_TYP")</f>
        <v>ZERO</v>
      </c>
      <c r="L446" t="str">
        <f>_xll.BDP("912833NA Govt","ID_ISIN")</f>
        <v>US912833NA44</v>
      </c>
      <c r="N446">
        <v>0</v>
      </c>
      <c r="O446" t="str">
        <f>_xll.BDP("912833NA Govt","ISSUE_DT")</f>
        <v>7/15/1996</v>
      </c>
      <c r="P446" t="str">
        <f>_xll.BDP("912833NA Govt","SECURITY_NAME")</f>
        <v>S 0 01/15/03</v>
      </c>
      <c r="Q446" t="str">
        <f>_xll.BDP("912833NA Govt","DAY_CNT_DES")</f>
        <v>ACT/ACT</v>
      </c>
      <c r="R446">
        <v>100</v>
      </c>
      <c r="S446" t="str">
        <f>_xll.BDP("912833NA Govt","ID_CUSIP")</f>
        <v>912833NA4</v>
      </c>
      <c r="T446" t="str">
        <f>_xll.BDP("912833NA Govt","IDX_RATIO")</f>
        <v>#N/A Field Not Applicable</v>
      </c>
    </row>
    <row r="447" spans="1:20" x14ac:dyDescent="0.25">
      <c r="A447" t="s">
        <v>14</v>
      </c>
      <c r="B447" t="str">
        <f>_xll.BDP("912833NF Govt","TICKER")</f>
        <v>S</v>
      </c>
      <c r="C447">
        <f>_xll.BDP("912833NF Govt","CPN")</f>
        <v>0</v>
      </c>
      <c r="D447" t="str">
        <f>_xll.BDP("912833NF Govt","YLD_YTM_BID")</f>
        <v>#N/A N/A</v>
      </c>
      <c r="E447" t="str">
        <f>_xll.BDP("912833NF Govt","MATURITY")</f>
        <v>4/15/2004</v>
      </c>
      <c r="F447" t="str">
        <f>_xll.BDP("912833NF Govt","MTY_TYP")</f>
        <v>NORMAL</v>
      </c>
      <c r="G447" t="str">
        <f>_xll.BDP("912833NF Govt","CRNCY")</f>
        <v>USD</v>
      </c>
      <c r="H447" t="str">
        <f>_xll.BDP("912833NF Govt","COUNTRY_FULL_NAME")</f>
        <v>UNITED STATES</v>
      </c>
      <c r="I447" t="str">
        <f>_xll.BDP("912833NF Govt","FIRST_CPN_DT")</f>
        <v>#N/A Field Not Applicable</v>
      </c>
      <c r="J447" t="str">
        <f>_xll.BDP("912833NF Govt","COUPON_FREQUENCY_DESCRIPTION")</f>
        <v>#N/A Field Not Applicable</v>
      </c>
      <c r="K447" t="str">
        <f>_xll.BDP("912833NF Govt","CPN_TYP")</f>
        <v>ZERO</v>
      </c>
      <c r="L447" t="str">
        <f>_xll.BDP("912833NF Govt","ID_ISIN")</f>
        <v>US912833NF31</v>
      </c>
      <c r="N447">
        <v>0</v>
      </c>
      <c r="O447" t="str">
        <f>_xll.BDP("912833NF Govt","ISSUE_DT")</f>
        <v>10/15/1996</v>
      </c>
      <c r="P447" t="str">
        <f>_xll.BDP("912833NF Govt","SECURITY_NAME")</f>
        <v>S 0 04/15/04</v>
      </c>
      <c r="Q447" t="str">
        <f>_xll.BDP("912833NF Govt","DAY_CNT_DES")</f>
        <v>ACT/ACT</v>
      </c>
      <c r="R447">
        <v>100</v>
      </c>
      <c r="S447" t="str">
        <f>_xll.BDP("912833NF Govt","ID_CUSIP")</f>
        <v>912833NF3</v>
      </c>
      <c r="T447" t="str">
        <f>_xll.BDP("912833NF Govt","IDX_RATIO")</f>
        <v>#N/A Field Not Applicable</v>
      </c>
    </row>
    <row r="448" spans="1:20" x14ac:dyDescent="0.25">
      <c r="A448" t="s">
        <v>14</v>
      </c>
      <c r="B448" t="str">
        <f>_xll.BDP("912833RM Govt","TICKER")</f>
        <v>S</v>
      </c>
      <c r="C448">
        <f>_xll.BDP("912833RM Govt","CPN")</f>
        <v>0</v>
      </c>
      <c r="D448" t="str">
        <f>_xll.BDP("912833RM Govt","YLD_YTM_BID")</f>
        <v>#N/A N/A</v>
      </c>
      <c r="E448" t="str">
        <f>_xll.BDP("912833RM Govt","MATURITY")</f>
        <v>2/29/2000</v>
      </c>
      <c r="F448" t="str">
        <f>_xll.BDP("912833RM Govt","MTY_TYP")</f>
        <v>NORMAL</v>
      </c>
      <c r="G448" t="str">
        <f>_xll.BDP("912833RM Govt","CRNCY")</f>
        <v>USD</v>
      </c>
      <c r="H448" t="str">
        <f>_xll.BDP("912833RM Govt","COUNTRY_FULL_NAME")</f>
        <v>UNITED STATES</v>
      </c>
      <c r="I448" t="str">
        <f>_xll.BDP("912833RM Govt","FIRST_CPN_DT")</f>
        <v>#N/A Field Not Applicable</v>
      </c>
      <c r="J448" t="str">
        <f>_xll.BDP("912833RM Govt","COUPON_FREQUENCY_DESCRIPTION")</f>
        <v>#N/A Field Not Applicable</v>
      </c>
      <c r="K448" t="str">
        <f>_xll.BDP("912833RM Govt","CPN_TYP")</f>
        <v>ZERO</v>
      </c>
      <c r="L448" t="str">
        <f>_xll.BDP("912833RM Govt","ID_ISIN")</f>
        <v>US912822RM49</v>
      </c>
      <c r="N448">
        <v>0</v>
      </c>
      <c r="O448" t="str">
        <f>_xll.BDP("912833RM Govt","ISSUE_DT")</f>
        <v>3/2/1998</v>
      </c>
      <c r="P448" t="str">
        <f>_xll.BDP("912833RM Govt","SECURITY_NAME")</f>
        <v>S 0 02/29/00</v>
      </c>
      <c r="Q448" t="str">
        <f>_xll.BDP("912833RM Govt","DAY_CNT_DES")</f>
        <v>ACT/ACT</v>
      </c>
      <c r="R448">
        <v>100</v>
      </c>
      <c r="S448" t="str">
        <f>_xll.BDP("912833RM Govt","ID_CUSIP")</f>
        <v>912822RM7</v>
      </c>
      <c r="T448" t="str">
        <f>_xll.BDP("912833RM Govt","IDX_RATIO")</f>
        <v>#N/A Field Not Applicable</v>
      </c>
    </row>
    <row r="449" spans="1:20" x14ac:dyDescent="0.25">
      <c r="A449" t="s">
        <v>14</v>
      </c>
      <c r="B449" t="str">
        <f>_xll.BDP("912833RX Govt","TICKER")</f>
        <v>S</v>
      </c>
      <c r="C449">
        <f>_xll.BDP("912833RX Govt","CPN")</f>
        <v>0</v>
      </c>
      <c r="D449" t="str">
        <f>_xll.BDP("912833RX Govt","YLD_YTM_BID")</f>
        <v>#N/A N/A</v>
      </c>
      <c r="E449" t="str">
        <f>_xll.BDP("912833RX Govt","MATURITY")</f>
        <v>6/30/2003</v>
      </c>
      <c r="F449" t="str">
        <f>_xll.BDP("912833RX Govt","MTY_TYP")</f>
        <v>NORMAL</v>
      </c>
      <c r="G449" t="str">
        <f>_xll.BDP("912833RX Govt","CRNCY")</f>
        <v>USD</v>
      </c>
      <c r="H449" t="str">
        <f>_xll.BDP("912833RX Govt","COUNTRY_FULL_NAME")</f>
        <v>UNITED STATES</v>
      </c>
      <c r="I449" t="str">
        <f>_xll.BDP("912833RX Govt","FIRST_CPN_DT")</f>
        <v>#N/A Field Not Applicable</v>
      </c>
      <c r="J449" t="str">
        <f>_xll.BDP("912833RX Govt","COUPON_FREQUENCY_DESCRIPTION")</f>
        <v>#N/A Field Not Applicable</v>
      </c>
      <c r="K449" t="str">
        <f>_xll.BDP("912833RX Govt","CPN_TYP")</f>
        <v>ZERO</v>
      </c>
      <c r="L449" t="str">
        <f>_xll.BDP("912833RX Govt","ID_ISIN")</f>
        <v>US912833RX01</v>
      </c>
      <c r="N449">
        <v>0</v>
      </c>
      <c r="O449" t="str">
        <f>_xll.BDP("912833RX Govt","ISSUE_DT")</f>
        <v>6/30/1998</v>
      </c>
      <c r="P449" t="str">
        <f>_xll.BDP("912833RX Govt","SECURITY_NAME")</f>
        <v>S 0 06/30/03</v>
      </c>
      <c r="Q449" t="str">
        <f>_xll.BDP("912833RX Govt","DAY_CNT_DES")</f>
        <v>ACT/ACT</v>
      </c>
      <c r="R449">
        <v>100</v>
      </c>
      <c r="S449" t="str">
        <f>_xll.BDP("912833RX Govt","ID_CUSIP")</f>
        <v>912833RX0</v>
      </c>
      <c r="T449" t="str">
        <f>_xll.BDP("912833RX Govt","IDX_RATIO")</f>
        <v>#N/A Field Not Applicable</v>
      </c>
    </row>
    <row r="450" spans="1:20" x14ac:dyDescent="0.25">
      <c r="A450" t="s">
        <v>14</v>
      </c>
      <c r="B450" t="str">
        <f>_xll.BDP("912833Y9 Govt","TICKER")</f>
        <v>S</v>
      </c>
      <c r="C450">
        <f>_xll.BDP("912833Y9 Govt","CPN")</f>
        <v>0</v>
      </c>
      <c r="D450" t="str">
        <f>_xll.BDP("912833Y9 Govt","YLD_YTM_BID")</f>
        <v>#N/A N/A</v>
      </c>
      <c r="E450" t="str">
        <f>_xll.BDP("912833Y9 Govt","MATURITY")</f>
        <v>12/31/2012</v>
      </c>
      <c r="F450" t="str">
        <f>_xll.BDP("912833Y9 Govt","MTY_TYP")</f>
        <v>NORMAL</v>
      </c>
      <c r="G450" t="str">
        <f>_xll.BDP("912833Y9 Govt","CRNCY")</f>
        <v>USD</v>
      </c>
      <c r="H450" t="str">
        <f>_xll.BDP("912833Y9 Govt","COUNTRY_FULL_NAME")</f>
        <v>UNITED STATES</v>
      </c>
      <c r="I450" t="str">
        <f>_xll.BDP("912833Y9 Govt","FIRST_CPN_DT")</f>
        <v>#N/A Field Not Applicable</v>
      </c>
      <c r="J450" t="str">
        <f>_xll.BDP("912833Y9 Govt","COUPON_FREQUENCY_DESCRIPTION")</f>
        <v>#N/A Field Not Applicable</v>
      </c>
      <c r="K450" t="str">
        <f>_xll.BDP("912833Y9 Govt","CPN_TYP")</f>
        <v>ZERO</v>
      </c>
      <c r="L450" t="str">
        <f>_xll.BDP("912833Y9 Govt","ID_ISIN")</f>
        <v>US912833Y958</v>
      </c>
      <c r="N450">
        <v>0</v>
      </c>
      <c r="O450" t="str">
        <f>_xll.BDP("912833Y9 Govt","ISSUE_DT")</f>
        <v>12/31/2007</v>
      </c>
      <c r="P450" t="str">
        <f>_xll.BDP("912833Y9 Govt","SECURITY_NAME")</f>
        <v>S 0 12/31/12</v>
      </c>
      <c r="Q450" t="str">
        <f>_xll.BDP("912833Y9 Govt","DAY_CNT_DES")</f>
        <v>ACT/ACT</v>
      </c>
      <c r="R450">
        <v>100</v>
      </c>
      <c r="S450" t="str">
        <f>_xll.BDP("912833Y9 Govt","ID_CUSIP")</f>
        <v>912833Y95</v>
      </c>
      <c r="T450" t="str">
        <f>_xll.BDP("912833Y9 Govt","IDX_RATIO")</f>
        <v>#N/A Field Not Applicable</v>
      </c>
    </row>
    <row r="451" spans="1:20" x14ac:dyDescent="0.25">
      <c r="A451" t="s">
        <v>14</v>
      </c>
      <c r="B451" t="str">
        <f>_xll.BDP("912833YB Govt","TICKER")</f>
        <v>S</v>
      </c>
      <c r="C451">
        <f>_xll.BDP("912833YB Govt","CPN")</f>
        <v>0</v>
      </c>
      <c r="D451" t="str">
        <f>_xll.BDP("912833YB Govt","YLD_YTM_BID")</f>
        <v>#N/A N/A</v>
      </c>
      <c r="E451" t="str">
        <f>_xll.BDP("912833YB Govt","MATURITY")</f>
        <v>8/31/2003</v>
      </c>
      <c r="F451" t="str">
        <f>_xll.BDP("912833YB Govt","MTY_TYP")</f>
        <v>NORMAL</v>
      </c>
      <c r="G451" t="str">
        <f>_xll.BDP("912833YB Govt","CRNCY")</f>
        <v>USD</v>
      </c>
      <c r="H451" t="str">
        <f>_xll.BDP("912833YB Govt","COUNTRY_FULL_NAME")</f>
        <v>UNITED STATES</v>
      </c>
      <c r="I451" t="str">
        <f>_xll.BDP("912833YB Govt","FIRST_CPN_DT")</f>
        <v>#N/A Field Not Applicable</v>
      </c>
      <c r="J451" t="str">
        <f>_xll.BDP("912833YB Govt","COUPON_FREQUENCY_DESCRIPTION")</f>
        <v>#N/A Field Not Applicable</v>
      </c>
      <c r="K451" t="str">
        <f>_xll.BDP("912833YB Govt","CPN_TYP")</f>
        <v>ZERO</v>
      </c>
      <c r="L451" t="str">
        <f>_xll.BDP("912833YB Govt","ID_ISIN")</f>
        <v>US912833YB08</v>
      </c>
      <c r="N451">
        <v>0</v>
      </c>
      <c r="O451" t="str">
        <f>_xll.BDP("912833YB Govt","ISSUE_DT")</f>
        <v>8/31/2001</v>
      </c>
      <c r="P451" t="str">
        <f>_xll.BDP("912833YB Govt","SECURITY_NAME")</f>
        <v>S 0 08/31/03</v>
      </c>
      <c r="Q451" t="str">
        <f>_xll.BDP("912833YB Govt","DAY_CNT_DES")</f>
        <v>ACT/ACT</v>
      </c>
      <c r="R451">
        <v>100</v>
      </c>
      <c r="S451" t="str">
        <f>_xll.BDP("912833YB Govt","ID_CUSIP")</f>
        <v>912833YB0</v>
      </c>
      <c r="T451" t="str">
        <f>_xll.BDP("912833YB Govt","IDX_RATIO")</f>
        <v>#N/A Field Not Applicable</v>
      </c>
    </row>
    <row r="452" spans="1:20" x14ac:dyDescent="0.25">
      <c r="A452" t="s">
        <v>14</v>
      </c>
      <c r="B452" t="str">
        <f>_xll.BDP("912833YM Govt","TICKER")</f>
        <v>S</v>
      </c>
      <c r="C452">
        <f>_xll.BDP("912833YM Govt","CPN")</f>
        <v>0</v>
      </c>
      <c r="D452" t="str">
        <f>_xll.BDP("912833YM Govt","YLD_YTM_BID")</f>
        <v>#N/A N/A</v>
      </c>
      <c r="E452" t="str">
        <f>_xll.BDP("912833YM Govt","MATURITY")</f>
        <v>12/31/2003</v>
      </c>
      <c r="F452" t="str">
        <f>_xll.BDP("912833YM Govt","MTY_TYP")</f>
        <v>NORMAL</v>
      </c>
      <c r="G452" t="str">
        <f>_xll.BDP("912833YM Govt","CRNCY")</f>
        <v>USD</v>
      </c>
      <c r="H452" t="str">
        <f>_xll.BDP("912833YM Govt","COUNTRY_FULL_NAME")</f>
        <v>UNITED STATES</v>
      </c>
      <c r="I452" t="str">
        <f>_xll.BDP("912833YM Govt","FIRST_CPN_DT")</f>
        <v>#N/A Field Not Applicable</v>
      </c>
      <c r="J452" t="str">
        <f>_xll.BDP("912833YM Govt","COUPON_FREQUENCY_DESCRIPTION")</f>
        <v>#N/A Field Not Applicable</v>
      </c>
      <c r="K452" t="str">
        <f>_xll.BDP("912833YM Govt","CPN_TYP")</f>
        <v>ZERO</v>
      </c>
      <c r="L452" t="str">
        <f>_xll.BDP("912833YM Govt","ID_ISIN")</f>
        <v>US912833YM62</v>
      </c>
      <c r="N452">
        <v>0</v>
      </c>
      <c r="O452" t="str">
        <f>_xll.BDP("912833YM Govt","ISSUE_DT")</f>
        <v>12/31/2001</v>
      </c>
      <c r="P452" t="str">
        <f>_xll.BDP("912833YM Govt","SECURITY_NAME")</f>
        <v>S 0 12/31/03</v>
      </c>
      <c r="Q452" t="str">
        <f>_xll.BDP("912833YM Govt","DAY_CNT_DES")</f>
        <v>ACT/ACT</v>
      </c>
      <c r="R452">
        <v>100</v>
      </c>
      <c r="S452" t="str">
        <f>_xll.BDP("912833YM Govt","ID_CUSIP")</f>
        <v>912833YM6</v>
      </c>
      <c r="T452" t="str">
        <f>_xll.BDP("912833YM Govt","IDX_RATIO")</f>
        <v>#N/A Field Not Applicable</v>
      </c>
    </row>
    <row r="453" spans="1:20" x14ac:dyDescent="0.25">
      <c r="A453" t="s">
        <v>14</v>
      </c>
      <c r="B453" t="str">
        <f>_xll.BDP("912833YY Govt","TICKER")</f>
        <v>S</v>
      </c>
      <c r="C453">
        <f>_xll.BDP("912833YY Govt","CPN")</f>
        <v>0</v>
      </c>
      <c r="D453" t="str">
        <f>_xll.BDP("912833YY Govt","YLD_YTM_BID")</f>
        <v>#N/A N/A</v>
      </c>
      <c r="E453" t="str">
        <f>_xll.BDP("912833YY Govt","MATURITY")</f>
        <v>8/31/2004</v>
      </c>
      <c r="F453" t="str">
        <f>_xll.BDP("912833YY Govt","MTY_TYP")</f>
        <v>NORMAL</v>
      </c>
      <c r="G453" t="str">
        <f>_xll.BDP("912833YY Govt","CRNCY")</f>
        <v>USD</v>
      </c>
      <c r="H453" t="str">
        <f>_xll.BDP("912833YY Govt","COUNTRY_FULL_NAME")</f>
        <v>UNITED STATES</v>
      </c>
      <c r="I453" t="str">
        <f>_xll.BDP("912833YY Govt","FIRST_CPN_DT")</f>
        <v>#N/A Field Not Applicable</v>
      </c>
      <c r="J453" t="str">
        <f>_xll.BDP("912833YY Govt","COUPON_FREQUENCY_DESCRIPTION")</f>
        <v>#N/A Field Not Applicable</v>
      </c>
      <c r="K453" t="str">
        <f>_xll.BDP("912833YY Govt","CPN_TYP")</f>
        <v>ZERO</v>
      </c>
      <c r="L453" t="str">
        <f>_xll.BDP("912833YY Govt","ID_ISIN")</f>
        <v>US912833YY01</v>
      </c>
      <c r="N453">
        <v>0</v>
      </c>
      <c r="O453" t="str">
        <f>_xll.BDP("912833YY Govt","ISSUE_DT")</f>
        <v>9/3/2002</v>
      </c>
      <c r="P453" t="str">
        <f>_xll.BDP("912833YY Govt","SECURITY_NAME")</f>
        <v>S 0 08/31/04</v>
      </c>
      <c r="Q453" t="str">
        <f>_xll.BDP("912833YY Govt","DAY_CNT_DES")</f>
        <v>ACT/ACT</v>
      </c>
      <c r="R453">
        <v>100</v>
      </c>
      <c r="S453" t="str">
        <f>_xll.BDP("912833YY Govt","ID_CUSIP")</f>
        <v>912833YY0</v>
      </c>
      <c r="T453" t="str">
        <f>_xll.BDP("912833YY Govt","IDX_RATIO")</f>
        <v>#N/A Field Not Applicable</v>
      </c>
    </row>
    <row r="454" spans="1:20" x14ac:dyDescent="0.25">
      <c r="A454" t="s">
        <v>14</v>
      </c>
      <c r="B454" t="str">
        <f>_xll.BDP("912833ZB Govt","TICKER")</f>
        <v>S</v>
      </c>
      <c r="C454">
        <f>_xll.BDP("912833ZB Govt","CPN")</f>
        <v>0</v>
      </c>
      <c r="D454" t="str">
        <f>_xll.BDP("912833ZB Govt","YLD_YTM_BID")</f>
        <v>#N/A N/A</v>
      </c>
      <c r="E454" t="str">
        <f>_xll.BDP("912833ZB Govt","MATURITY")</f>
        <v>11/30/2004</v>
      </c>
      <c r="F454" t="str">
        <f>_xll.BDP("912833ZB Govt","MTY_TYP")</f>
        <v>NORMAL</v>
      </c>
      <c r="G454" t="str">
        <f>_xll.BDP("912833ZB Govt","CRNCY")</f>
        <v>USD</v>
      </c>
      <c r="H454" t="str">
        <f>_xll.BDP("912833ZB Govt","COUNTRY_FULL_NAME")</f>
        <v>UNITED STATES</v>
      </c>
      <c r="I454" t="str">
        <f>_xll.BDP("912833ZB Govt","FIRST_CPN_DT")</f>
        <v>#N/A Field Not Applicable</v>
      </c>
      <c r="J454" t="str">
        <f>_xll.BDP("912833ZB Govt","COUPON_FREQUENCY_DESCRIPTION")</f>
        <v>#N/A Field Not Applicable</v>
      </c>
      <c r="K454" t="str">
        <f>_xll.BDP("912833ZB Govt","CPN_TYP")</f>
        <v>ZERO</v>
      </c>
      <c r="L454" t="str">
        <f>_xll.BDP("912833ZB Govt","ID_ISIN")</f>
        <v>US912833ZB98</v>
      </c>
      <c r="N454">
        <v>0</v>
      </c>
      <c r="O454" t="str">
        <f>_xll.BDP("912833ZB Govt","ISSUE_DT")</f>
        <v>12/2/2002</v>
      </c>
      <c r="P454" t="str">
        <f>_xll.BDP("912833ZB Govt","SECURITY_NAME")</f>
        <v>S 0 11/30/04</v>
      </c>
      <c r="Q454" t="str">
        <f>_xll.BDP("912833ZB Govt","DAY_CNT_DES")</f>
        <v>ACT/ACT</v>
      </c>
      <c r="R454">
        <v>100</v>
      </c>
      <c r="S454" t="str">
        <f>_xll.BDP("912833ZB Govt","ID_CUSIP")</f>
        <v>912833ZB9</v>
      </c>
      <c r="T454" t="str">
        <f>_xll.BDP("912833ZB Govt","IDX_RATIO")</f>
        <v>#N/A Field Not Applicable</v>
      </c>
    </row>
    <row r="455" spans="1:20" x14ac:dyDescent="0.25">
      <c r="A455" t="s">
        <v>14</v>
      </c>
      <c r="B455" t="str">
        <f>_xll.BDP("912833ZS Govt","TICKER")</f>
        <v>S</v>
      </c>
      <c r="C455">
        <f>_xll.BDP("912833ZS Govt","CPN")</f>
        <v>0</v>
      </c>
      <c r="D455" t="str">
        <f>_xll.BDP("912833ZS Govt","YLD_YTM_BID")</f>
        <v>#N/A N/A</v>
      </c>
      <c r="E455" t="str">
        <f>_xll.BDP("912833ZS Govt","MATURITY")</f>
        <v>9/15/2005</v>
      </c>
      <c r="F455" t="str">
        <f>_xll.BDP("912833ZS Govt","MTY_TYP")</f>
        <v>NORMAL</v>
      </c>
      <c r="G455" t="str">
        <f>_xll.BDP("912833ZS Govt","CRNCY")</f>
        <v>USD</v>
      </c>
      <c r="H455" t="str">
        <f>_xll.BDP("912833ZS Govt","COUNTRY_FULL_NAME")</f>
        <v>UNITED STATES</v>
      </c>
      <c r="I455" t="str">
        <f>_xll.BDP("912833ZS Govt","FIRST_CPN_DT")</f>
        <v>#N/A Field Not Applicable</v>
      </c>
      <c r="J455" t="str">
        <f>_xll.BDP("912833ZS Govt","COUPON_FREQUENCY_DESCRIPTION")</f>
        <v>#N/A Field Not Applicable</v>
      </c>
      <c r="K455" t="str">
        <f>_xll.BDP("912833ZS Govt","CPN_TYP")</f>
        <v>ZERO</v>
      </c>
      <c r="L455" t="str">
        <f>_xll.BDP("912833ZS Govt","ID_ISIN")</f>
        <v>US912833ZS24</v>
      </c>
      <c r="N455">
        <v>0</v>
      </c>
      <c r="O455" t="str">
        <f>_xll.BDP("912833ZS Govt","ISSUE_DT")</f>
        <v>9/15/2003</v>
      </c>
      <c r="P455" t="str">
        <f>_xll.BDP("912833ZS Govt","SECURITY_NAME")</f>
        <v>S 0 09/15/05</v>
      </c>
      <c r="Q455" t="str">
        <f>_xll.BDP("912833ZS Govt","DAY_CNT_DES")</f>
        <v>ACT/ACT</v>
      </c>
      <c r="R455">
        <v>100</v>
      </c>
      <c r="S455" t="str">
        <f>_xll.BDP("912833ZS Govt","ID_CUSIP")</f>
        <v>912833ZS2</v>
      </c>
      <c r="T455" t="str">
        <f>_xll.BDP("912833ZS Govt","IDX_RATIO")</f>
        <v>#N/A Field Not Applicable</v>
      </c>
    </row>
    <row r="456" spans="1:20" x14ac:dyDescent="0.25">
      <c r="A456" t="s">
        <v>14</v>
      </c>
      <c r="B456" t="str">
        <f>_xll.BDP("912834AF Govt","TICKER")</f>
        <v>S</v>
      </c>
      <c r="C456">
        <f>_xll.BDP("912834AF Govt","CPN")</f>
        <v>0</v>
      </c>
      <c r="D456" t="str">
        <f>_xll.BDP("912834AF Govt","YLD_YTM_BID")</f>
        <v>#N/A N/A</v>
      </c>
      <c r="E456" t="str">
        <f>_xll.BDP("912834AF Govt","MATURITY")</f>
        <v>8/31/2013</v>
      </c>
      <c r="F456" t="str">
        <f>_xll.BDP("912834AF Govt","MTY_TYP")</f>
        <v>NORMAL</v>
      </c>
      <c r="G456" t="str">
        <f>_xll.BDP("912834AF Govt","CRNCY")</f>
        <v>USD</v>
      </c>
      <c r="H456" t="str">
        <f>_xll.BDP("912834AF Govt","COUNTRY_FULL_NAME")</f>
        <v>UNITED STATES</v>
      </c>
      <c r="I456" t="str">
        <f>_xll.BDP("912834AF Govt","FIRST_CPN_DT")</f>
        <v>#N/A Field Not Applicable</v>
      </c>
      <c r="J456" t="str">
        <f>_xll.BDP("912834AF Govt","COUPON_FREQUENCY_DESCRIPTION")</f>
        <v>#N/A Field Not Applicable</v>
      </c>
      <c r="K456" t="str">
        <f>_xll.BDP("912834AF Govt","CPN_TYP")</f>
        <v>ZERO</v>
      </c>
      <c r="L456" t="str">
        <f>_xll.BDP("912834AF Govt","ID_ISIN")</f>
        <v>US912834AF50</v>
      </c>
      <c r="N456">
        <v>0</v>
      </c>
      <c r="O456" t="str">
        <f>_xll.BDP("912834AF Govt","ISSUE_DT")</f>
        <v>9/2/2008</v>
      </c>
      <c r="P456" t="str">
        <f>_xll.BDP("912834AF Govt","SECURITY_NAME")</f>
        <v>S 0 08/31/13</v>
      </c>
      <c r="Q456" t="str">
        <f>_xll.BDP("912834AF Govt","DAY_CNT_DES")</f>
        <v>ACT/ACT</v>
      </c>
      <c r="R456">
        <v>100</v>
      </c>
      <c r="S456" t="str">
        <f>_xll.BDP("912834AF Govt","ID_CUSIP")</f>
        <v>912834AF5</v>
      </c>
      <c r="T456" t="str">
        <f>_xll.BDP("912834AF Govt","IDX_RATIO")</f>
        <v>#N/A Field Not Applicable</v>
      </c>
    </row>
    <row r="457" spans="1:20" x14ac:dyDescent="0.25">
      <c r="A457" t="s">
        <v>14</v>
      </c>
      <c r="B457" t="str">
        <f>_xll.BDP("912834AM Govt","TICKER")</f>
        <v>S</v>
      </c>
      <c r="C457">
        <f>_xll.BDP("912834AM Govt","CPN")</f>
        <v>0</v>
      </c>
      <c r="D457" t="str">
        <f>_xll.BDP("912834AM Govt","YLD_YTM_BID")</f>
        <v>#N/A N/A</v>
      </c>
      <c r="E457" t="str">
        <f>_xll.BDP("912834AM Govt","MATURITY")</f>
        <v>12/31/2013</v>
      </c>
      <c r="F457" t="str">
        <f>_xll.BDP("912834AM Govt","MTY_TYP")</f>
        <v>NORMAL</v>
      </c>
      <c r="G457" t="str">
        <f>_xll.BDP("912834AM Govt","CRNCY")</f>
        <v>USD</v>
      </c>
      <c r="H457" t="str">
        <f>_xll.BDP("912834AM Govt","COUNTRY_FULL_NAME")</f>
        <v>UNITED STATES</v>
      </c>
      <c r="I457" t="str">
        <f>_xll.BDP("912834AM Govt","FIRST_CPN_DT")</f>
        <v>#N/A Field Not Applicable</v>
      </c>
      <c r="J457" t="str">
        <f>_xll.BDP("912834AM Govt","COUPON_FREQUENCY_DESCRIPTION")</f>
        <v>#N/A Field Not Applicable</v>
      </c>
      <c r="K457" t="str">
        <f>_xll.BDP("912834AM Govt","CPN_TYP")</f>
        <v>ZERO</v>
      </c>
      <c r="L457" t="str">
        <f>_xll.BDP("912834AM Govt","ID_ISIN")</f>
        <v>US912834AM02</v>
      </c>
      <c r="N457">
        <v>0</v>
      </c>
      <c r="O457" t="str">
        <f>_xll.BDP("912834AM Govt","ISSUE_DT")</f>
        <v>12/31/2008</v>
      </c>
      <c r="P457" t="str">
        <f>_xll.BDP("912834AM Govt","SECURITY_NAME")</f>
        <v>S 0 12/31/13</v>
      </c>
      <c r="Q457" t="str">
        <f>_xll.BDP("912834AM Govt","DAY_CNT_DES")</f>
        <v>ACT/ACT</v>
      </c>
      <c r="R457">
        <v>100</v>
      </c>
      <c r="S457" t="str">
        <f>_xll.BDP("912834AM Govt","ID_CUSIP")</f>
        <v>912834AM0</v>
      </c>
      <c r="T457" t="str">
        <f>_xll.BDP("912834AM Govt","IDX_RATIO")</f>
        <v>#N/A Field Not Applicable</v>
      </c>
    </row>
    <row r="458" spans="1:20" x14ac:dyDescent="0.25">
      <c r="A458" t="s">
        <v>14</v>
      </c>
      <c r="B458" t="str">
        <f>_xll.BDP("912834BC Govt","TICKER")</f>
        <v>S</v>
      </c>
      <c r="C458">
        <f>_xll.BDP("912834BC Govt","CPN")</f>
        <v>0</v>
      </c>
      <c r="D458" t="str">
        <f>_xll.BDP("912834BC Govt","YLD_YTM_BID")</f>
        <v>#N/A N/A</v>
      </c>
      <c r="E458" t="str">
        <f>_xll.BDP("912834BC Govt","MATURITY")</f>
        <v>3/15/2012</v>
      </c>
      <c r="F458" t="str">
        <f>_xll.BDP("912834BC Govt","MTY_TYP")</f>
        <v>NORMAL</v>
      </c>
      <c r="G458" t="str">
        <f>_xll.BDP("912834BC Govt","CRNCY")</f>
        <v>USD</v>
      </c>
      <c r="H458" t="str">
        <f>_xll.BDP("912834BC Govt","COUNTRY_FULL_NAME")</f>
        <v>UNITED STATES</v>
      </c>
      <c r="I458" t="str">
        <f>_xll.BDP("912834BC Govt","FIRST_CPN_DT")</f>
        <v>#N/A Field Not Applicable</v>
      </c>
      <c r="J458" t="str">
        <f>_xll.BDP("912834BC Govt","COUPON_FREQUENCY_DESCRIPTION")</f>
        <v>#N/A Field Not Applicable</v>
      </c>
      <c r="K458" t="str">
        <f>_xll.BDP("912834BC Govt","CPN_TYP")</f>
        <v>ZERO</v>
      </c>
      <c r="L458" t="str">
        <f>_xll.BDP("912834BC Govt","ID_ISIN")</f>
        <v>US912834BC11</v>
      </c>
      <c r="N458">
        <v>0</v>
      </c>
      <c r="O458" t="str">
        <f>_xll.BDP("912834BC Govt","ISSUE_DT")</f>
        <v>3/16/2009</v>
      </c>
      <c r="P458" t="str">
        <f>_xll.BDP("912834BC Govt","SECURITY_NAME")</f>
        <v>S 0 03/15/12</v>
      </c>
      <c r="Q458" t="str">
        <f>_xll.BDP("912834BC Govt","DAY_CNT_DES")</f>
        <v>ACT/ACT</v>
      </c>
      <c r="R458">
        <v>100</v>
      </c>
      <c r="S458" t="str">
        <f>_xll.BDP("912834BC Govt","ID_CUSIP")</f>
        <v>912834BC1</v>
      </c>
      <c r="T458" t="str">
        <f>_xll.BDP("912834BC Govt","IDX_RATIO")</f>
        <v>#N/A Field Not Applicable</v>
      </c>
    </row>
    <row r="459" spans="1:20" x14ac:dyDescent="0.25">
      <c r="A459" t="s">
        <v>14</v>
      </c>
      <c r="B459" t="str">
        <f>_xll.BDP("912834BQ Govt","TICKER")</f>
        <v>S</v>
      </c>
      <c r="C459">
        <f>_xll.BDP("912834BQ Govt","CPN")</f>
        <v>0</v>
      </c>
      <c r="D459" t="str">
        <f>_xll.BDP("912834BQ Govt","YLD_YTM_BID")</f>
        <v>#N/A N/A</v>
      </c>
      <c r="E459" t="str">
        <f>_xll.BDP("912834BQ Govt","MATURITY")</f>
        <v>10/31/2015</v>
      </c>
      <c r="F459" t="str">
        <f>_xll.BDP("912834BQ Govt","MTY_TYP")</f>
        <v>NORMAL</v>
      </c>
      <c r="G459" t="str">
        <f>_xll.BDP("912834BQ Govt","CRNCY")</f>
        <v>USD</v>
      </c>
      <c r="H459" t="str">
        <f>_xll.BDP("912834BQ Govt","COUNTRY_FULL_NAME")</f>
        <v>UNITED STATES</v>
      </c>
      <c r="I459" t="str">
        <f>_xll.BDP("912834BQ Govt","FIRST_CPN_DT")</f>
        <v>#N/A Field Not Applicable</v>
      </c>
      <c r="J459" t="str">
        <f>_xll.BDP("912834BQ Govt","COUPON_FREQUENCY_DESCRIPTION")</f>
        <v>#N/A Field Not Applicable</v>
      </c>
      <c r="K459" t="str">
        <f>_xll.BDP("912834BQ Govt","CPN_TYP")</f>
        <v>ZERO</v>
      </c>
      <c r="L459" t="str">
        <f>_xll.BDP("912834BQ Govt","ID_ISIN")</f>
        <v>US912834BQ07</v>
      </c>
      <c r="N459">
        <v>0</v>
      </c>
      <c r="O459" t="str">
        <f>_xll.BDP("912834BQ Govt","ISSUE_DT")</f>
        <v>4/30/2009</v>
      </c>
      <c r="P459" t="str">
        <f>_xll.BDP("912834BQ Govt","SECURITY_NAME")</f>
        <v>S 0 10/31/15</v>
      </c>
      <c r="Q459" t="str">
        <f>_xll.BDP("912834BQ Govt","DAY_CNT_DES")</f>
        <v>ACT/ACT</v>
      </c>
      <c r="R459">
        <v>100</v>
      </c>
      <c r="S459" t="str">
        <f>_xll.BDP("912834BQ Govt","ID_CUSIP")</f>
        <v>912834BQ0</v>
      </c>
      <c r="T459" t="str">
        <f>_xll.BDP("912834BQ Govt","IDX_RATIO")</f>
        <v>#N/A Field Not Applicable</v>
      </c>
    </row>
    <row r="460" spans="1:20" x14ac:dyDescent="0.25">
      <c r="A460" t="s">
        <v>14</v>
      </c>
      <c r="B460" t="str">
        <f>_xll.BDP("912834DZ Govt","TICKER")</f>
        <v>S</v>
      </c>
      <c r="C460">
        <f>_xll.BDP("912834DZ Govt","CPN")</f>
        <v>0</v>
      </c>
      <c r="D460" t="str">
        <f>_xll.BDP("912834DZ Govt","YLD_YTM_BID")</f>
        <v>#N/A N/A</v>
      </c>
      <c r="E460" t="str">
        <f>_xll.BDP("912834DZ Govt","MATURITY")</f>
        <v>11/30/2015</v>
      </c>
      <c r="F460" t="str">
        <f>_xll.BDP("912834DZ Govt","MTY_TYP")</f>
        <v>NORMAL</v>
      </c>
      <c r="G460" t="str">
        <f>_xll.BDP("912834DZ Govt","CRNCY")</f>
        <v>USD</v>
      </c>
      <c r="H460" t="str">
        <f>_xll.BDP("912834DZ Govt","COUNTRY_FULL_NAME")</f>
        <v>UNITED STATES</v>
      </c>
      <c r="I460" t="str">
        <f>_xll.BDP("912834DZ Govt","FIRST_CPN_DT")</f>
        <v>#N/A Field Not Applicable</v>
      </c>
      <c r="J460" t="str">
        <f>_xll.BDP("912834DZ Govt","COUPON_FREQUENCY_DESCRIPTION")</f>
        <v>#N/A Field Not Applicable</v>
      </c>
      <c r="K460" t="str">
        <f>_xll.BDP("912834DZ Govt","CPN_TYP")</f>
        <v>ZERO</v>
      </c>
      <c r="L460" t="str">
        <f>_xll.BDP("912834DZ Govt","ID_ISIN")</f>
        <v>US912834DZ87</v>
      </c>
      <c r="N460">
        <v>0</v>
      </c>
      <c r="O460" t="str">
        <f>_xll.BDP("912834DZ Govt","ISSUE_DT")</f>
        <v>6/1/2009</v>
      </c>
      <c r="P460" t="str">
        <f>_xll.BDP("912834DZ Govt","SECURITY_NAME")</f>
        <v>S 0 11/30/15</v>
      </c>
      <c r="Q460" t="str">
        <f>_xll.BDP("912834DZ Govt","DAY_CNT_DES")</f>
        <v>ACT/ACT</v>
      </c>
      <c r="R460">
        <v>100</v>
      </c>
      <c r="S460" t="str">
        <f>_xll.BDP("912834DZ Govt","ID_CUSIP")</f>
        <v>912834DZ8</v>
      </c>
      <c r="T460" t="str">
        <f>_xll.BDP("912834DZ Govt","IDX_RATIO")</f>
        <v>#N/A Field Not Applicable</v>
      </c>
    </row>
    <row r="461" spans="1:20" x14ac:dyDescent="0.25">
      <c r="A461" t="s">
        <v>14</v>
      </c>
      <c r="B461" t="str">
        <f>_xll.BDP("912834EC Govt","TICKER")</f>
        <v>S</v>
      </c>
      <c r="C461">
        <f>_xll.BDP("912834EC Govt","CPN")</f>
        <v>0</v>
      </c>
      <c r="D461" t="str">
        <f>_xll.BDP("912834EC Govt","YLD_YTM_BID")</f>
        <v>#N/A N/A</v>
      </c>
      <c r="E461" t="str">
        <f>_xll.BDP("912834EC Govt","MATURITY")</f>
        <v>6/30/2014</v>
      </c>
      <c r="F461" t="str">
        <f>_xll.BDP("912834EC Govt","MTY_TYP")</f>
        <v>NORMAL</v>
      </c>
      <c r="G461" t="str">
        <f>_xll.BDP("912834EC Govt","CRNCY")</f>
        <v>USD</v>
      </c>
      <c r="H461" t="str">
        <f>_xll.BDP("912834EC Govt","COUNTRY_FULL_NAME")</f>
        <v>UNITED STATES</v>
      </c>
      <c r="I461" t="str">
        <f>_xll.BDP("912834EC Govt","FIRST_CPN_DT")</f>
        <v>#N/A Field Not Applicable</v>
      </c>
      <c r="J461" t="str">
        <f>_xll.BDP("912834EC Govt","COUPON_FREQUENCY_DESCRIPTION")</f>
        <v>#N/A Field Not Applicable</v>
      </c>
      <c r="K461" t="str">
        <f>_xll.BDP("912834EC Govt","CPN_TYP")</f>
        <v>ZERO</v>
      </c>
      <c r="L461" t="str">
        <f>_xll.BDP("912834EC Govt","ID_ISIN")</f>
        <v>US912834EC83</v>
      </c>
      <c r="N461">
        <v>0</v>
      </c>
      <c r="O461" t="str">
        <f>_xll.BDP("912834EC Govt","ISSUE_DT")</f>
        <v>6/30/2009</v>
      </c>
      <c r="P461" t="str">
        <f>_xll.BDP("912834EC Govt","SECURITY_NAME")</f>
        <v>S 0 06/30/14</v>
      </c>
      <c r="Q461" t="str">
        <f>_xll.BDP("912834EC Govt","DAY_CNT_DES")</f>
        <v>ACT/ACT</v>
      </c>
      <c r="R461">
        <v>100</v>
      </c>
      <c r="S461" t="str">
        <f>_xll.BDP("912834EC Govt","ID_CUSIP")</f>
        <v>912834EC8</v>
      </c>
      <c r="T461" t="str">
        <f>_xll.BDP("912834EC Govt","IDX_RATIO")</f>
        <v>#N/A Field Not Applicable</v>
      </c>
    </row>
    <row r="462" spans="1:20" x14ac:dyDescent="0.25">
      <c r="A462" t="s">
        <v>14</v>
      </c>
      <c r="B462" t="str">
        <f>_xll.BDP("912834EL Govt","TICKER")</f>
        <v>S</v>
      </c>
      <c r="C462">
        <f>_xll.BDP("912834EL Govt","CPN")</f>
        <v>0</v>
      </c>
      <c r="D462" t="str">
        <f>_xll.BDP("912834EL Govt","YLD_YTM_BID")</f>
        <v>#N/A N/A</v>
      </c>
      <c r="E462" t="str">
        <f>_xll.BDP("912834EL Govt","MATURITY")</f>
        <v>7/31/2015</v>
      </c>
      <c r="F462" t="str">
        <f>_xll.BDP("912834EL Govt","MTY_TYP")</f>
        <v>NORMAL</v>
      </c>
      <c r="G462" t="str">
        <f>_xll.BDP("912834EL Govt","CRNCY")</f>
        <v>USD</v>
      </c>
      <c r="H462" t="str">
        <f>_xll.BDP("912834EL Govt","COUNTRY_FULL_NAME")</f>
        <v>UNITED STATES</v>
      </c>
      <c r="I462" t="str">
        <f>_xll.BDP("912834EL Govt","FIRST_CPN_DT")</f>
        <v>#N/A Field Not Applicable</v>
      </c>
      <c r="J462" t="str">
        <f>_xll.BDP("912834EL Govt","COUPON_FREQUENCY_DESCRIPTION")</f>
        <v>#N/A Field Not Applicable</v>
      </c>
      <c r="K462" t="str">
        <f>_xll.BDP("912834EL Govt","CPN_TYP")</f>
        <v>ZERO</v>
      </c>
      <c r="L462" t="str">
        <f>_xll.BDP("912834EL Govt","ID_ISIN")</f>
        <v>US912834EL82</v>
      </c>
      <c r="N462">
        <v>0</v>
      </c>
      <c r="O462" t="str">
        <f>_xll.BDP("912834EL Govt","ISSUE_DT")</f>
        <v>7/31/2009</v>
      </c>
      <c r="P462" t="str">
        <f>_xll.BDP("912834EL Govt","SECURITY_NAME")</f>
        <v>S 0 07/31/15</v>
      </c>
      <c r="Q462" t="str">
        <f>_xll.BDP("912834EL Govt","DAY_CNT_DES")</f>
        <v>ACT/ACT</v>
      </c>
      <c r="R462">
        <v>100</v>
      </c>
      <c r="S462" t="str">
        <f>_xll.BDP("912834EL Govt","ID_CUSIP")</f>
        <v>912834EL8</v>
      </c>
      <c r="T462" t="str">
        <f>_xll.BDP("912834EL Govt","IDX_RATIO")</f>
        <v>#N/A Field Not Applicable</v>
      </c>
    </row>
    <row r="463" spans="1:20" x14ac:dyDescent="0.25">
      <c r="A463" t="s">
        <v>14</v>
      </c>
      <c r="B463" t="str">
        <f>_xll.BDP("912834EM Govt","TICKER")</f>
        <v>S</v>
      </c>
      <c r="C463">
        <f>_xll.BDP("912834EM Govt","CPN")</f>
        <v>0</v>
      </c>
      <c r="D463" t="str">
        <f>_xll.BDP("912834EM Govt","YLD_YTM_BID")</f>
        <v>#N/A N/A</v>
      </c>
      <c r="E463" t="str">
        <f>_xll.BDP("912834EM Govt","MATURITY")</f>
        <v>1/31/2016</v>
      </c>
      <c r="F463" t="str">
        <f>_xll.BDP("912834EM Govt","MTY_TYP")</f>
        <v>NORMAL</v>
      </c>
      <c r="G463" t="str">
        <f>_xll.BDP("912834EM Govt","CRNCY")</f>
        <v>USD</v>
      </c>
      <c r="H463" t="str">
        <f>_xll.BDP("912834EM Govt","COUNTRY_FULL_NAME")</f>
        <v>UNITED STATES</v>
      </c>
      <c r="I463" t="str">
        <f>_xll.BDP("912834EM Govt","FIRST_CPN_DT")</f>
        <v>#N/A Field Not Applicable</v>
      </c>
      <c r="J463" t="str">
        <f>_xll.BDP("912834EM Govt","COUPON_FREQUENCY_DESCRIPTION")</f>
        <v>#N/A Field Not Applicable</v>
      </c>
      <c r="K463" t="str">
        <f>_xll.BDP("912834EM Govt","CPN_TYP")</f>
        <v>ZERO</v>
      </c>
      <c r="L463" t="str">
        <f>_xll.BDP("912834EM Govt","ID_ISIN")</f>
        <v>US912834EM65</v>
      </c>
      <c r="N463">
        <v>0</v>
      </c>
      <c r="O463" t="str">
        <f>_xll.BDP("912834EM Govt","ISSUE_DT")</f>
        <v>7/31/2009</v>
      </c>
      <c r="P463" t="str">
        <f>_xll.BDP("912834EM Govt","SECURITY_NAME")</f>
        <v>S 0 01/31/16</v>
      </c>
      <c r="Q463" t="str">
        <f>_xll.BDP("912834EM Govt","DAY_CNT_DES")</f>
        <v>ACT/ACT</v>
      </c>
      <c r="R463">
        <v>100</v>
      </c>
      <c r="S463" t="str">
        <f>_xll.BDP("912834EM Govt","ID_CUSIP")</f>
        <v>912834EM6</v>
      </c>
      <c r="T463" t="str">
        <f>_xll.BDP("912834EM Govt","IDX_RATIO")</f>
        <v>#N/A Field Not Applicable</v>
      </c>
    </row>
    <row r="464" spans="1:20" x14ac:dyDescent="0.25">
      <c r="A464" t="s">
        <v>14</v>
      </c>
      <c r="B464" t="str">
        <f>_xll.BDP("912834ES Govt","TICKER")</f>
        <v>S</v>
      </c>
      <c r="C464">
        <f>_xll.BDP("912834ES Govt","CPN")</f>
        <v>0</v>
      </c>
      <c r="D464" t="str">
        <f>_xll.BDP("912834ES Govt","YLD_YTM_BID")</f>
        <v>#N/A N/A</v>
      </c>
      <c r="E464" t="str">
        <f>_xll.BDP("912834ES Govt","MATURITY")</f>
        <v>9/30/2016</v>
      </c>
      <c r="F464" t="str">
        <f>_xll.BDP("912834ES Govt","MTY_TYP")</f>
        <v>NORMAL</v>
      </c>
      <c r="G464" t="str">
        <f>_xll.BDP("912834ES Govt","CRNCY")</f>
        <v>USD</v>
      </c>
      <c r="H464" t="str">
        <f>_xll.BDP("912834ES Govt","COUNTRY_FULL_NAME")</f>
        <v>UNITED STATES</v>
      </c>
      <c r="I464" t="str">
        <f>_xll.BDP("912834ES Govt","FIRST_CPN_DT")</f>
        <v>#N/A Field Not Applicable</v>
      </c>
      <c r="J464" t="str">
        <f>_xll.BDP("912834ES Govt","COUPON_FREQUENCY_DESCRIPTION")</f>
        <v>#N/A Field Not Applicable</v>
      </c>
      <c r="K464" t="str">
        <f>_xll.BDP("912834ES Govt","CPN_TYP")</f>
        <v>ZERO</v>
      </c>
      <c r="L464" t="str">
        <f>_xll.BDP("912834ES Govt","ID_ISIN")</f>
        <v>US912834ES36</v>
      </c>
      <c r="N464">
        <v>0</v>
      </c>
      <c r="O464" t="str">
        <f>_xll.BDP("912834ES Govt","ISSUE_DT")</f>
        <v>9/30/2009</v>
      </c>
      <c r="P464" t="str">
        <f>_xll.BDP("912834ES Govt","SECURITY_NAME")</f>
        <v>S 0 09/30/16</v>
      </c>
      <c r="Q464" t="str">
        <f>_xll.BDP("912834ES Govt","DAY_CNT_DES")</f>
        <v>ACT/ACT</v>
      </c>
      <c r="R464">
        <v>100</v>
      </c>
      <c r="S464" t="str">
        <f>_xll.BDP("912834ES Govt","ID_CUSIP")</f>
        <v>912834ES3</v>
      </c>
      <c r="T464" t="str">
        <f>_xll.BDP("912834ES Govt","IDX_RATIO")</f>
        <v>#N/A Field Not Applicable</v>
      </c>
    </row>
    <row r="465" spans="1:20" x14ac:dyDescent="0.25">
      <c r="A465" t="s">
        <v>14</v>
      </c>
      <c r="B465" t="str">
        <f>_xll.BDP("912834JJ Govt","TICKER")</f>
        <v>S</v>
      </c>
      <c r="C465">
        <f>_xll.BDP("912834JJ Govt","CPN")</f>
        <v>0</v>
      </c>
      <c r="D465" t="str">
        <f>_xll.BDP("912834JJ Govt","YLD_YTM_BID")</f>
        <v>#N/A N/A</v>
      </c>
      <c r="E465" t="str">
        <f>_xll.BDP("912834JJ Govt","MATURITY")</f>
        <v>11/30/2017</v>
      </c>
      <c r="F465" t="str">
        <f>_xll.BDP("912834JJ Govt","MTY_TYP")</f>
        <v>NORMAL</v>
      </c>
      <c r="G465" t="str">
        <f>_xll.BDP("912834JJ Govt","CRNCY")</f>
        <v>USD</v>
      </c>
      <c r="H465" t="str">
        <f>_xll.BDP("912834JJ Govt","COUNTRY_FULL_NAME")</f>
        <v>UNITED STATES</v>
      </c>
      <c r="I465" t="str">
        <f>_xll.BDP("912834JJ Govt","FIRST_CPN_DT")</f>
        <v>#N/A Field Not Applicable</v>
      </c>
      <c r="J465" t="str">
        <f>_xll.BDP("912834JJ Govt","COUPON_FREQUENCY_DESCRIPTION")</f>
        <v>#N/A Field Not Applicable</v>
      </c>
      <c r="K465" t="str">
        <f>_xll.BDP("912834JJ Govt","CPN_TYP")</f>
        <v>ZERO</v>
      </c>
      <c r="L465" t="str">
        <f>_xll.BDP("912834JJ Govt","ID_ISIN")</f>
        <v>US912834JJ81</v>
      </c>
      <c r="N465">
        <v>0</v>
      </c>
      <c r="O465" t="str">
        <f>_xll.BDP("912834JJ Govt","ISSUE_DT")</f>
        <v>11/30/2010</v>
      </c>
      <c r="P465" t="str">
        <f>_xll.BDP("912834JJ Govt","SECURITY_NAME")</f>
        <v>S 0 11/30/17</v>
      </c>
      <c r="Q465" t="str">
        <f>_xll.BDP("912834JJ Govt","DAY_CNT_DES")</f>
        <v>ACT/ACT</v>
      </c>
      <c r="R465">
        <v>100</v>
      </c>
      <c r="S465" t="str">
        <f>_xll.BDP("912834JJ Govt","ID_CUSIP")</f>
        <v>912834JJ8</v>
      </c>
      <c r="T465" t="str">
        <f>_xll.BDP("912834JJ Govt","IDX_RATIO")</f>
        <v>#N/A Field Not Applicable</v>
      </c>
    </row>
    <row r="466" spans="1:20" x14ac:dyDescent="0.25">
      <c r="A466" t="s">
        <v>14</v>
      </c>
      <c r="B466" t="str">
        <f>_xll.BDP("912834JK Govt","TICKER")</f>
        <v>S</v>
      </c>
      <c r="C466">
        <f>_xll.BDP("912834JK Govt","CPN")</f>
        <v>0</v>
      </c>
      <c r="D466" t="str">
        <f>_xll.BDP("912834JK Govt","YLD_YTM_BID")</f>
        <v>#N/A N/A</v>
      </c>
      <c r="E466" t="str">
        <f>_xll.BDP("912834JK Govt","MATURITY")</f>
        <v>12/15/2013</v>
      </c>
      <c r="F466" t="str">
        <f>_xll.BDP("912834JK Govt","MTY_TYP")</f>
        <v>NORMAL</v>
      </c>
      <c r="G466" t="str">
        <f>_xll.BDP("912834JK Govt","CRNCY")</f>
        <v>USD</v>
      </c>
      <c r="H466" t="str">
        <f>_xll.BDP("912834JK Govt","COUNTRY_FULL_NAME")</f>
        <v>UNITED STATES</v>
      </c>
      <c r="I466" t="str">
        <f>_xll.BDP("912834JK Govt","FIRST_CPN_DT")</f>
        <v>#N/A Field Not Applicable</v>
      </c>
      <c r="J466" t="str">
        <f>_xll.BDP("912834JK Govt","COUPON_FREQUENCY_DESCRIPTION")</f>
        <v>#N/A Field Not Applicable</v>
      </c>
      <c r="K466" t="str">
        <f>_xll.BDP("912834JK Govt","CPN_TYP")</f>
        <v>ZERO</v>
      </c>
      <c r="L466" t="str">
        <f>_xll.BDP("912834JK Govt","ID_ISIN")</f>
        <v>US912834JK54</v>
      </c>
      <c r="N466">
        <v>0</v>
      </c>
      <c r="O466" t="str">
        <f>_xll.BDP("912834JK Govt","ISSUE_DT")</f>
        <v>12/15/2010</v>
      </c>
      <c r="P466" t="str">
        <f>_xll.BDP("912834JK Govt","SECURITY_NAME")</f>
        <v>S 0 12/15/13</v>
      </c>
      <c r="Q466" t="str">
        <f>_xll.BDP("912834JK Govt","DAY_CNT_DES")</f>
        <v>ACT/ACT</v>
      </c>
      <c r="R466">
        <v>100</v>
      </c>
      <c r="S466" t="str">
        <f>_xll.BDP("912834JK Govt","ID_CUSIP")</f>
        <v>912834JK5</v>
      </c>
      <c r="T466" t="str">
        <f>_xll.BDP("912834JK Govt","IDX_RATIO")</f>
        <v>#N/A Field Not Applicable</v>
      </c>
    </row>
    <row r="467" spans="1:20" x14ac:dyDescent="0.25">
      <c r="A467" t="s">
        <v>14</v>
      </c>
      <c r="B467" t="str">
        <f>_xll.BDP("912834JT Govt","TICKER")</f>
        <v>S</v>
      </c>
      <c r="C467">
        <f>_xll.BDP("912834JT Govt","CPN")</f>
        <v>0</v>
      </c>
      <c r="D467" t="str">
        <f>_xll.BDP("912834JT Govt","YLD_YTM_BID")</f>
        <v>#N/A N/A</v>
      </c>
      <c r="E467" t="str">
        <f>_xll.BDP("912834JT Govt","MATURITY")</f>
        <v>3/15/2014</v>
      </c>
      <c r="F467" t="str">
        <f>_xll.BDP("912834JT Govt","MTY_TYP")</f>
        <v>NORMAL</v>
      </c>
      <c r="G467" t="str">
        <f>_xll.BDP("912834JT Govt","CRNCY")</f>
        <v>USD</v>
      </c>
      <c r="H467" t="str">
        <f>_xll.BDP("912834JT Govt","COUNTRY_FULL_NAME")</f>
        <v>UNITED STATES</v>
      </c>
      <c r="I467" t="str">
        <f>_xll.BDP("912834JT Govt","FIRST_CPN_DT")</f>
        <v>#N/A Field Not Applicable</v>
      </c>
      <c r="J467" t="str">
        <f>_xll.BDP("912834JT Govt","COUPON_FREQUENCY_DESCRIPTION")</f>
        <v>#N/A Field Not Applicable</v>
      </c>
      <c r="K467" t="str">
        <f>_xll.BDP("912834JT Govt","CPN_TYP")</f>
        <v>ZERO</v>
      </c>
      <c r="L467" t="str">
        <f>_xll.BDP("912834JT Govt","ID_ISIN")</f>
        <v>US912834JT63</v>
      </c>
      <c r="N467">
        <v>0</v>
      </c>
      <c r="O467" t="str">
        <f>_xll.BDP("912834JT Govt","ISSUE_DT")</f>
        <v>3/15/2011</v>
      </c>
      <c r="P467" t="str">
        <f>_xll.BDP("912834JT Govt","SECURITY_NAME")</f>
        <v>S 0 03/15/14</v>
      </c>
      <c r="Q467" t="str">
        <f>_xll.BDP("912834JT Govt","DAY_CNT_DES")</f>
        <v>ACT/ACT</v>
      </c>
      <c r="R467">
        <v>100</v>
      </c>
      <c r="S467" t="str">
        <f>_xll.BDP("912834JT Govt","ID_CUSIP")</f>
        <v>912834JT6</v>
      </c>
      <c r="T467" t="str">
        <f>_xll.BDP("912834JT Govt","IDX_RATIO")</f>
        <v>#N/A Field Not Applicable</v>
      </c>
    </row>
    <row r="468" spans="1:20" x14ac:dyDescent="0.25">
      <c r="A468" t="s">
        <v>14</v>
      </c>
      <c r="B468" t="str">
        <f>_xll.BDP("912834KL Govt","TICKER")</f>
        <v>S</v>
      </c>
      <c r="C468">
        <f>_xll.BDP("912834KL Govt","CPN")</f>
        <v>0</v>
      </c>
      <c r="D468" t="str">
        <f>_xll.BDP("912834KL Govt","YLD_YTM_BID")</f>
        <v>#N/A N/A</v>
      </c>
      <c r="E468" t="str">
        <f>_xll.BDP("912834KL Govt","MATURITY")</f>
        <v>6/30/2018</v>
      </c>
      <c r="F468" t="str">
        <f>_xll.BDP("912834KL Govt","MTY_TYP")</f>
        <v>NORMAL</v>
      </c>
      <c r="G468" t="str">
        <f>_xll.BDP("912834KL Govt","CRNCY")</f>
        <v>USD</v>
      </c>
      <c r="H468" t="str">
        <f>_xll.BDP("912834KL Govt","COUNTRY_FULL_NAME")</f>
        <v>UNITED STATES</v>
      </c>
      <c r="I468" t="str">
        <f>_xll.BDP("912834KL Govt","FIRST_CPN_DT")</f>
        <v>#N/A Field Not Applicable</v>
      </c>
      <c r="J468" t="str">
        <f>_xll.BDP("912834KL Govt","COUPON_FREQUENCY_DESCRIPTION")</f>
        <v>#N/A Field Not Applicable</v>
      </c>
      <c r="K468" t="str">
        <f>_xll.BDP("912834KL Govt","CPN_TYP")</f>
        <v>ZERO</v>
      </c>
      <c r="L468" t="str">
        <f>_xll.BDP("912834KL Govt","ID_ISIN")</f>
        <v>US912834KL19</v>
      </c>
      <c r="N468">
        <v>0</v>
      </c>
      <c r="O468" t="str">
        <f>_xll.BDP("912834KL Govt","ISSUE_DT")</f>
        <v>6/30/2011</v>
      </c>
      <c r="P468" t="str">
        <f>_xll.BDP("912834KL Govt","SECURITY_NAME")</f>
        <v>S 0 06/30/18</v>
      </c>
      <c r="Q468" t="str">
        <f>_xll.BDP("912834KL Govt","DAY_CNT_DES")</f>
        <v>ACT/ACT</v>
      </c>
      <c r="R468">
        <v>100</v>
      </c>
      <c r="S468" t="str">
        <f>_xll.BDP("912834KL Govt","ID_CUSIP")</f>
        <v>912834KL1</v>
      </c>
      <c r="T468" t="str">
        <f>_xll.BDP("912834KL Govt","IDX_RATIO")</f>
        <v>#N/A Field Not Applicable</v>
      </c>
    </row>
    <row r="469" spans="1:20" x14ac:dyDescent="0.25">
      <c r="A469" t="s">
        <v>14</v>
      </c>
      <c r="B469" t="str">
        <f>_xll.BDP("912834KN Govt","TICKER")</f>
        <v>S</v>
      </c>
      <c r="C469">
        <f>_xll.BDP("912834KN Govt","CPN")</f>
        <v>0</v>
      </c>
      <c r="D469" t="str">
        <f>_xll.BDP("912834KN Govt","YLD_YTM_BID")</f>
        <v>#N/A N/A</v>
      </c>
      <c r="E469" t="str">
        <f>_xll.BDP("912834KN Govt","MATURITY")</f>
        <v>7/31/2018</v>
      </c>
      <c r="F469" t="str">
        <f>_xll.BDP("912834KN Govt","MTY_TYP")</f>
        <v>NORMAL</v>
      </c>
      <c r="G469" t="str">
        <f>_xll.BDP("912834KN Govt","CRNCY")</f>
        <v>USD</v>
      </c>
      <c r="H469" t="str">
        <f>_xll.BDP("912834KN Govt","COUNTRY_FULL_NAME")</f>
        <v>UNITED STATES</v>
      </c>
      <c r="I469" t="str">
        <f>_xll.BDP("912834KN Govt","FIRST_CPN_DT")</f>
        <v>#N/A Field Not Applicable</v>
      </c>
      <c r="J469" t="str">
        <f>_xll.BDP("912834KN Govt","COUPON_FREQUENCY_DESCRIPTION")</f>
        <v>#N/A Field Not Applicable</v>
      </c>
      <c r="K469" t="str">
        <f>_xll.BDP("912834KN Govt","CPN_TYP")</f>
        <v>ZERO</v>
      </c>
      <c r="L469" t="str">
        <f>_xll.BDP("912834KN Govt","ID_ISIN")</f>
        <v>US912834KN74</v>
      </c>
      <c r="N469">
        <v>0</v>
      </c>
      <c r="O469" t="str">
        <f>_xll.BDP("912834KN Govt","ISSUE_DT")</f>
        <v>8/1/2011</v>
      </c>
      <c r="P469" t="str">
        <f>_xll.BDP("912834KN Govt","SECURITY_NAME")</f>
        <v>S 0 07/31/18</v>
      </c>
      <c r="Q469" t="str">
        <f>_xll.BDP("912834KN Govt","DAY_CNT_DES")</f>
        <v>ACT/ACT</v>
      </c>
      <c r="R469">
        <v>100</v>
      </c>
      <c r="S469" t="str">
        <f>_xll.BDP("912834KN Govt","ID_CUSIP")</f>
        <v>912834KN7</v>
      </c>
      <c r="T469" t="str">
        <f>_xll.BDP("912834KN Govt","IDX_RATIO")</f>
        <v>#N/A Field Not Applicable</v>
      </c>
    </row>
    <row r="470" spans="1:20" x14ac:dyDescent="0.25">
      <c r="A470" t="s">
        <v>14</v>
      </c>
      <c r="B470" t="str">
        <f>_xll.BDP("912834KW Govt","TICKER")</f>
        <v>S</v>
      </c>
      <c r="C470">
        <f>_xll.BDP("912834KW Govt","CPN")</f>
        <v>0</v>
      </c>
      <c r="D470" t="str">
        <f>_xll.BDP("912834KW Govt","YLD_YTM_BID")</f>
        <v>#N/A N/A</v>
      </c>
      <c r="E470" t="str">
        <f>_xll.BDP("912834KW Govt","MATURITY")</f>
        <v>11/30/2018</v>
      </c>
      <c r="F470" t="str">
        <f>_xll.BDP("912834KW Govt","MTY_TYP")</f>
        <v>NORMAL</v>
      </c>
      <c r="G470" t="str">
        <f>_xll.BDP("912834KW Govt","CRNCY")</f>
        <v>USD</v>
      </c>
      <c r="H470" t="str">
        <f>_xll.BDP("912834KW Govt","COUNTRY_FULL_NAME")</f>
        <v>UNITED STATES</v>
      </c>
      <c r="I470" t="str">
        <f>_xll.BDP("912834KW Govt","FIRST_CPN_DT")</f>
        <v>#N/A Field Not Applicable</v>
      </c>
      <c r="J470" t="str">
        <f>_xll.BDP("912834KW Govt","COUPON_FREQUENCY_DESCRIPTION")</f>
        <v>#N/A Field Not Applicable</v>
      </c>
      <c r="K470" t="str">
        <f>_xll.BDP("912834KW Govt","CPN_TYP")</f>
        <v>ZERO</v>
      </c>
      <c r="L470" t="str">
        <f>_xll.BDP("912834KW Govt","ID_ISIN")</f>
        <v>US912834KW73</v>
      </c>
      <c r="N470">
        <v>0</v>
      </c>
      <c r="O470" t="str">
        <f>_xll.BDP("912834KW Govt","ISSUE_DT")</f>
        <v>11/30/2011</v>
      </c>
      <c r="P470" t="str">
        <f>_xll.BDP("912834KW Govt","SECURITY_NAME")</f>
        <v>S 0 11/30/18</v>
      </c>
      <c r="Q470" t="str">
        <f>_xll.BDP("912834KW Govt","DAY_CNT_DES")</f>
        <v>ACT/ACT</v>
      </c>
      <c r="R470">
        <v>100</v>
      </c>
      <c r="S470" t="str">
        <f>_xll.BDP("912834KW Govt","ID_CUSIP")</f>
        <v>912834KW7</v>
      </c>
      <c r="T470" t="str">
        <f>_xll.BDP("912834KW Govt","IDX_RATIO")</f>
        <v>#N/A Field Not Applicable</v>
      </c>
    </row>
    <row r="471" spans="1:20" x14ac:dyDescent="0.25">
      <c r="A471" t="s">
        <v>14</v>
      </c>
      <c r="B471" t="str">
        <f>_xll.BDP("912834KX Govt","TICKER")</f>
        <v>S</v>
      </c>
      <c r="C471">
        <f>_xll.BDP("912834KX Govt","CPN")</f>
        <v>0</v>
      </c>
      <c r="D471" t="str">
        <f>_xll.BDP("912834KX Govt","YLD_YTM_BID")</f>
        <v>#N/A N/A</v>
      </c>
      <c r="E471" t="str">
        <f>_xll.BDP("912834KX Govt","MATURITY")</f>
        <v>12/15/2014</v>
      </c>
      <c r="F471" t="str">
        <f>_xll.BDP("912834KX Govt","MTY_TYP")</f>
        <v>NORMAL</v>
      </c>
      <c r="G471" t="str">
        <f>_xll.BDP("912834KX Govt","CRNCY")</f>
        <v>USD</v>
      </c>
      <c r="H471" t="str">
        <f>_xll.BDP("912834KX Govt","COUNTRY_FULL_NAME")</f>
        <v>UNITED STATES</v>
      </c>
      <c r="I471" t="str">
        <f>_xll.BDP("912834KX Govt","FIRST_CPN_DT")</f>
        <v>#N/A Field Not Applicable</v>
      </c>
      <c r="J471" t="str">
        <f>_xll.BDP("912834KX Govt","COUPON_FREQUENCY_DESCRIPTION")</f>
        <v>#N/A Field Not Applicable</v>
      </c>
      <c r="K471" t="str">
        <f>_xll.BDP("912834KX Govt","CPN_TYP")</f>
        <v>ZERO</v>
      </c>
      <c r="L471" t="str">
        <f>_xll.BDP("912834KX Govt","ID_ISIN")</f>
        <v>US912834KX56</v>
      </c>
      <c r="N471">
        <v>0</v>
      </c>
      <c r="O471" t="str">
        <f>_xll.BDP("912834KX Govt","ISSUE_DT")</f>
        <v>12/15/2011</v>
      </c>
      <c r="P471" t="str">
        <f>_xll.BDP("912834KX Govt","SECURITY_NAME")</f>
        <v>S 0 12/15/14</v>
      </c>
      <c r="Q471" t="str">
        <f>_xll.BDP("912834KX Govt","DAY_CNT_DES")</f>
        <v>ACT/ACT</v>
      </c>
      <c r="R471">
        <v>100</v>
      </c>
      <c r="S471" t="str">
        <f>_xll.BDP("912834KX Govt","ID_CUSIP")</f>
        <v>912834KX5</v>
      </c>
      <c r="T471" t="str">
        <f>_xll.BDP("912834KX Govt","IDX_RATIO")</f>
        <v>#N/A Field Not Applicable</v>
      </c>
    </row>
    <row r="472" spans="1:20" x14ac:dyDescent="0.25">
      <c r="A472" t="s">
        <v>14</v>
      </c>
      <c r="B472" t="str">
        <f>_xll.BDP("912834KY Govt","TICKER")</f>
        <v>S</v>
      </c>
      <c r="C472">
        <f>_xll.BDP("912834KY Govt","CPN")</f>
        <v>0</v>
      </c>
      <c r="D472" t="str">
        <f>_xll.BDP("912834KY Govt","YLD_YTM_BID")</f>
        <v>#N/A N/A</v>
      </c>
      <c r="E472" t="str">
        <f>_xll.BDP("912834KY Govt","MATURITY")</f>
        <v>12/31/2018</v>
      </c>
      <c r="F472" t="str">
        <f>_xll.BDP("912834KY Govt","MTY_TYP")</f>
        <v>NORMAL</v>
      </c>
      <c r="G472" t="str">
        <f>_xll.BDP("912834KY Govt","CRNCY")</f>
        <v>USD</v>
      </c>
      <c r="H472" t="str">
        <f>_xll.BDP("912834KY Govt","COUNTRY_FULL_NAME")</f>
        <v>UNITED STATES</v>
      </c>
      <c r="I472" t="str">
        <f>_xll.BDP("912834KY Govt","FIRST_CPN_DT")</f>
        <v>#N/A Field Not Applicable</v>
      </c>
      <c r="J472" t="str">
        <f>_xll.BDP("912834KY Govt","COUPON_FREQUENCY_DESCRIPTION")</f>
        <v>#N/A Field Not Applicable</v>
      </c>
      <c r="K472" t="str">
        <f>_xll.BDP("912834KY Govt","CPN_TYP")</f>
        <v>ZERO</v>
      </c>
      <c r="L472" t="str">
        <f>_xll.BDP("912834KY Govt","ID_ISIN")</f>
        <v>US912834KY30</v>
      </c>
      <c r="N472">
        <v>0</v>
      </c>
      <c r="O472" t="str">
        <f>_xll.BDP("912834KY Govt","ISSUE_DT")</f>
        <v>1/3/2012</v>
      </c>
      <c r="P472" t="str">
        <f>_xll.BDP("912834KY Govt","SECURITY_NAME")</f>
        <v>S 0 12/31/18</v>
      </c>
      <c r="Q472" t="str">
        <f>_xll.BDP("912834KY Govt","DAY_CNT_DES")</f>
        <v>ACT/ACT</v>
      </c>
      <c r="R472">
        <v>100</v>
      </c>
      <c r="S472" t="str">
        <f>_xll.BDP("912834KY Govt","ID_CUSIP")</f>
        <v>912834KY3</v>
      </c>
      <c r="T472" t="str">
        <f>_xll.BDP("912834KY Govt","IDX_RATIO")</f>
        <v>#N/A Field Not Applicable</v>
      </c>
    </row>
    <row r="473" spans="1:20" x14ac:dyDescent="0.25">
      <c r="A473" t="s">
        <v>14</v>
      </c>
      <c r="B473" t="str">
        <f>_xll.BDP("912834LE Govt","TICKER")</f>
        <v>S</v>
      </c>
      <c r="C473">
        <f>_xll.BDP("912834LE Govt","CPN")</f>
        <v>0</v>
      </c>
      <c r="D473" t="str">
        <f>_xll.BDP("912834LE Govt","YLD_YTM_BID")</f>
        <v>#N/A N/A</v>
      </c>
      <c r="E473" t="str">
        <f>_xll.BDP("912834LE Govt","MATURITY")</f>
        <v>2/28/2019</v>
      </c>
      <c r="F473" t="str">
        <f>_xll.BDP("912834LE Govt","MTY_TYP")</f>
        <v>NORMAL</v>
      </c>
      <c r="G473" t="str">
        <f>_xll.BDP("912834LE Govt","CRNCY")</f>
        <v>USD</v>
      </c>
      <c r="H473" t="str">
        <f>_xll.BDP("912834LE Govt","COUNTRY_FULL_NAME")</f>
        <v>UNITED STATES</v>
      </c>
      <c r="I473" t="str">
        <f>_xll.BDP("912834LE Govt","FIRST_CPN_DT")</f>
        <v>#N/A Field Not Applicable</v>
      </c>
      <c r="J473" t="str">
        <f>_xll.BDP("912834LE Govt","COUPON_FREQUENCY_DESCRIPTION")</f>
        <v>#N/A Field Not Applicable</v>
      </c>
      <c r="K473" t="str">
        <f>_xll.BDP("912834LE Govt","CPN_TYP")</f>
        <v>ZERO</v>
      </c>
      <c r="L473" t="str">
        <f>_xll.BDP("912834LE Govt","ID_ISIN")</f>
        <v>US912834LE66</v>
      </c>
      <c r="N473">
        <v>0</v>
      </c>
      <c r="O473" t="str">
        <f>_xll.BDP("912834LE Govt","ISSUE_DT")</f>
        <v>2/29/2012</v>
      </c>
      <c r="P473" t="str">
        <f>_xll.BDP("912834LE Govt","SECURITY_NAME")</f>
        <v>S 0 02/28/19</v>
      </c>
      <c r="Q473" t="str">
        <f>_xll.BDP("912834LE Govt","DAY_CNT_DES")</f>
        <v>ACT/ACT</v>
      </c>
      <c r="R473">
        <v>100</v>
      </c>
      <c r="S473" t="str">
        <f>_xll.BDP("912834LE Govt","ID_CUSIP")</f>
        <v>912834LE6</v>
      </c>
      <c r="T473" t="str">
        <f>_xll.BDP("912834LE Govt","IDX_RATIO")</f>
        <v>#N/A Field Not Applicable</v>
      </c>
    </row>
    <row r="474" spans="1:20" x14ac:dyDescent="0.25">
      <c r="A474" t="s">
        <v>14</v>
      </c>
      <c r="B474" t="str">
        <f>_xll.BDP("912834LP Govt","TICKER")</f>
        <v>S</v>
      </c>
      <c r="C474">
        <f>_xll.BDP("912834LP Govt","CPN")</f>
        <v>0</v>
      </c>
      <c r="D474" t="str">
        <f>_xll.BDP("912834LP Govt","YLD_YTM_BID")</f>
        <v>#N/A N/A</v>
      </c>
      <c r="E474" t="str">
        <f>_xll.BDP("912834LP Govt","MATURITY")</f>
        <v>7/15/2015</v>
      </c>
      <c r="F474" t="str">
        <f>_xll.BDP("912834LP Govt","MTY_TYP")</f>
        <v>NORMAL</v>
      </c>
      <c r="G474" t="str">
        <f>_xll.BDP("912834LP Govt","CRNCY")</f>
        <v>USD</v>
      </c>
      <c r="H474" t="str">
        <f>_xll.BDP("912834LP Govt","COUNTRY_FULL_NAME")</f>
        <v>UNITED STATES</v>
      </c>
      <c r="I474" t="str">
        <f>_xll.BDP("912834LP Govt","FIRST_CPN_DT")</f>
        <v>#N/A Field Not Applicable</v>
      </c>
      <c r="J474" t="str">
        <f>_xll.BDP("912834LP Govt","COUPON_FREQUENCY_DESCRIPTION")</f>
        <v>#N/A Field Not Applicable</v>
      </c>
      <c r="K474" t="str">
        <f>_xll.BDP("912834LP Govt","CPN_TYP")</f>
        <v>ZERO</v>
      </c>
      <c r="L474" t="str">
        <f>_xll.BDP("912834LP Govt","ID_ISIN")</f>
        <v>US912834LP14</v>
      </c>
      <c r="N474">
        <v>0</v>
      </c>
      <c r="O474" t="str">
        <f>_xll.BDP("912834LP Govt","ISSUE_DT")</f>
        <v>7/16/2012</v>
      </c>
      <c r="P474" t="str">
        <f>_xll.BDP("912834LP Govt","SECURITY_NAME")</f>
        <v>S 0 07/15/15</v>
      </c>
      <c r="Q474" t="str">
        <f>_xll.BDP("912834LP Govt","DAY_CNT_DES")</f>
        <v>ACT/ACT</v>
      </c>
      <c r="R474">
        <v>100</v>
      </c>
      <c r="S474" t="str">
        <f>_xll.BDP("912834LP Govt","ID_CUSIP")</f>
        <v>912834LP1</v>
      </c>
      <c r="T474" t="str">
        <f>_xll.BDP("912834LP Govt","IDX_RATIO")</f>
        <v>#N/A Field Not Applicable</v>
      </c>
    </row>
    <row r="475" spans="1:20" x14ac:dyDescent="0.25">
      <c r="A475" t="s">
        <v>14</v>
      </c>
      <c r="B475" t="str">
        <f>_xll.BDP("912834ML Govt","TICKER")</f>
        <v>S</v>
      </c>
      <c r="C475">
        <f>_xll.BDP("912834ML Govt","CPN")</f>
        <v>0</v>
      </c>
      <c r="D475" t="str">
        <f>_xll.BDP("912834ML Govt","YLD_YTM_BID")</f>
        <v>#N/A N/A</v>
      </c>
      <c r="E475" t="str">
        <f>_xll.BDP("912834ML Govt","MATURITY")</f>
        <v>4/30/2020</v>
      </c>
      <c r="F475" t="str">
        <f>_xll.BDP("912834ML Govt","MTY_TYP")</f>
        <v>NORMAL</v>
      </c>
      <c r="G475" t="str">
        <f>_xll.BDP("912834ML Govt","CRNCY")</f>
        <v>USD</v>
      </c>
      <c r="H475" t="str">
        <f>_xll.BDP("912834ML Govt","COUNTRY_FULL_NAME")</f>
        <v>UNITED STATES</v>
      </c>
      <c r="I475" t="str">
        <f>_xll.BDP("912834ML Govt","FIRST_CPN_DT")</f>
        <v>#N/A Field Not Applicable</v>
      </c>
      <c r="J475" t="str">
        <f>_xll.BDP("912834ML Govt","COUPON_FREQUENCY_DESCRIPTION")</f>
        <v>#N/A Field Not Applicable</v>
      </c>
      <c r="K475" t="str">
        <f>_xll.BDP("912834ML Govt","CPN_TYP")</f>
        <v>ZERO</v>
      </c>
      <c r="L475" t="str">
        <f>_xll.BDP("912834ML Govt","ID_ISIN")</f>
        <v>US912834ML90</v>
      </c>
      <c r="N475">
        <v>0</v>
      </c>
      <c r="O475" t="str">
        <f>_xll.BDP("912834ML Govt","ISSUE_DT")</f>
        <v>4/30/2013</v>
      </c>
      <c r="P475" t="str">
        <f>_xll.BDP("912834ML Govt","SECURITY_NAME")</f>
        <v>S 0 04/30/20</v>
      </c>
      <c r="Q475" t="str">
        <f>_xll.BDP("912834ML Govt","DAY_CNT_DES")</f>
        <v>ACT/ACT</v>
      </c>
      <c r="R475">
        <v>100</v>
      </c>
      <c r="S475" t="str">
        <f>_xll.BDP("912834ML Govt","ID_CUSIP")</f>
        <v>912834ML9</v>
      </c>
      <c r="T475" t="str">
        <f>_xll.BDP("912834ML Govt","IDX_RATIO")</f>
        <v>#N/A Field Not Applicable</v>
      </c>
    </row>
    <row r="476" spans="1:20" x14ac:dyDescent="0.25">
      <c r="A476" t="s">
        <v>14</v>
      </c>
      <c r="B476" t="str">
        <f>_xll.BDP("912834NA Govt","TICKER")</f>
        <v>S</v>
      </c>
      <c r="C476">
        <f>_xll.BDP("912834NA Govt","CPN")</f>
        <v>0</v>
      </c>
      <c r="D476" t="str">
        <f>_xll.BDP("912834NA Govt","YLD_YTM_BID")</f>
        <v>#N/A N/A</v>
      </c>
      <c r="E476" t="str">
        <f>_xll.BDP("912834NA Govt","MATURITY")</f>
        <v>11/30/2020</v>
      </c>
      <c r="F476" t="str">
        <f>_xll.BDP("912834NA Govt","MTY_TYP")</f>
        <v>NORMAL</v>
      </c>
      <c r="G476" t="str">
        <f>_xll.BDP("912834NA Govt","CRNCY")</f>
        <v>USD</v>
      </c>
      <c r="H476" t="str">
        <f>_xll.BDP("912834NA Govt","COUNTRY_FULL_NAME")</f>
        <v>UNITED STATES</v>
      </c>
      <c r="I476" t="str">
        <f>_xll.BDP("912834NA Govt","FIRST_CPN_DT")</f>
        <v>#N/A Field Not Applicable</v>
      </c>
      <c r="J476" t="str">
        <f>_xll.BDP("912834NA Govt","COUPON_FREQUENCY_DESCRIPTION")</f>
        <v>#N/A Field Not Applicable</v>
      </c>
      <c r="K476" t="str">
        <f>_xll.BDP("912834NA Govt","CPN_TYP")</f>
        <v>ZERO</v>
      </c>
      <c r="L476" t="str">
        <f>_xll.BDP("912834NA Govt","ID_ISIN")</f>
        <v>US912834NA27</v>
      </c>
      <c r="N476">
        <v>0</v>
      </c>
      <c r="O476" t="str">
        <f>_xll.BDP("912834NA Govt","ISSUE_DT")</f>
        <v>12/2/2013</v>
      </c>
      <c r="P476" t="str">
        <f>_xll.BDP("912834NA Govt","SECURITY_NAME")</f>
        <v>S 0 11/30/20</v>
      </c>
      <c r="Q476" t="str">
        <f>_xll.BDP("912834NA Govt","DAY_CNT_DES")</f>
        <v>ACT/ACT</v>
      </c>
      <c r="R476">
        <v>100</v>
      </c>
      <c r="S476" t="str">
        <f>_xll.BDP("912834NA Govt","ID_CUSIP")</f>
        <v>912834NA2</v>
      </c>
      <c r="T476" t="str">
        <f>_xll.BDP("912834NA Govt","IDX_RATIO")</f>
        <v>#N/A Field Not Applicable</v>
      </c>
    </row>
    <row r="477" spans="1:20" x14ac:dyDescent="0.25">
      <c r="A477" t="s">
        <v>14</v>
      </c>
      <c r="B477" t="str">
        <f>_xll.BDP("912834NK Govt","TICKER")</f>
        <v>S</v>
      </c>
      <c r="C477">
        <f>_xll.BDP("912834NK Govt","CPN")</f>
        <v>0</v>
      </c>
      <c r="D477" t="str">
        <f>_xll.BDP("912834NK Govt","YLD_YTM_BID")</f>
        <v>#N/A N/A</v>
      </c>
      <c r="E477" t="str">
        <f>_xll.BDP("912834NK Govt","MATURITY")</f>
        <v>3/15/2017</v>
      </c>
      <c r="F477" t="str">
        <f>_xll.BDP("912834NK Govt","MTY_TYP")</f>
        <v>NORMAL</v>
      </c>
      <c r="G477" t="str">
        <f>_xll.BDP("912834NK Govt","CRNCY")</f>
        <v>USD</v>
      </c>
      <c r="H477" t="str">
        <f>_xll.BDP("912834NK Govt","COUNTRY_FULL_NAME")</f>
        <v>UNITED STATES</v>
      </c>
      <c r="I477" t="str">
        <f>_xll.BDP("912834NK Govt","FIRST_CPN_DT")</f>
        <v>#N/A Field Not Applicable</v>
      </c>
      <c r="J477" t="str">
        <f>_xll.BDP("912834NK Govt","COUPON_FREQUENCY_DESCRIPTION")</f>
        <v>#N/A Field Not Applicable</v>
      </c>
      <c r="K477" t="str">
        <f>_xll.BDP("912834NK Govt","CPN_TYP")</f>
        <v>ZERO</v>
      </c>
      <c r="L477" t="str">
        <f>_xll.BDP("912834NK Govt","ID_ISIN")</f>
        <v>US912834NK09</v>
      </c>
      <c r="N477">
        <v>0</v>
      </c>
      <c r="O477" t="str">
        <f>_xll.BDP("912834NK Govt","ISSUE_DT")</f>
        <v>3/17/2014</v>
      </c>
      <c r="P477" t="str">
        <f>_xll.BDP("912834NK Govt","SECURITY_NAME")</f>
        <v>S 0 03/15/17</v>
      </c>
      <c r="Q477" t="str">
        <f>_xll.BDP("912834NK Govt","DAY_CNT_DES")</f>
        <v>ACT/ACT</v>
      </c>
      <c r="R477">
        <v>100</v>
      </c>
      <c r="S477" t="str">
        <f>_xll.BDP("912834NK Govt","ID_CUSIP")</f>
        <v>912834NK0</v>
      </c>
      <c r="T477" t="str">
        <f>_xll.BDP("912834NK Govt","IDX_RATIO")</f>
        <v>#N/A Field Not Applicable</v>
      </c>
    </row>
    <row r="478" spans="1:20" x14ac:dyDescent="0.25">
      <c r="A478" t="s">
        <v>14</v>
      </c>
      <c r="B478" t="str">
        <f>_xll.BDP("912834PD Govt","TICKER")</f>
        <v>S</v>
      </c>
      <c r="C478">
        <f>_xll.BDP("912834PD Govt","CPN")</f>
        <v>0</v>
      </c>
      <c r="D478" t="str">
        <f>_xll.BDP("912834PD Govt","YLD_YTM_BID")</f>
        <v>#N/A N/A</v>
      </c>
      <c r="E478" t="str">
        <f>_xll.BDP("912834PD Govt","MATURITY")</f>
        <v>12/15/2017</v>
      </c>
      <c r="F478" t="str">
        <f>_xll.BDP("912834PD Govt","MTY_TYP")</f>
        <v>NORMAL</v>
      </c>
      <c r="G478" t="str">
        <f>_xll.BDP("912834PD Govt","CRNCY")</f>
        <v>USD</v>
      </c>
      <c r="H478" t="str">
        <f>_xll.BDP("912834PD Govt","COUNTRY_FULL_NAME")</f>
        <v>UNITED STATES</v>
      </c>
      <c r="I478" t="str">
        <f>_xll.BDP("912834PD Govt","FIRST_CPN_DT")</f>
        <v>#N/A Field Not Applicable</v>
      </c>
      <c r="J478" t="str">
        <f>_xll.BDP("912834PD Govt","COUPON_FREQUENCY_DESCRIPTION")</f>
        <v>#N/A Field Not Applicable</v>
      </c>
      <c r="K478" t="str">
        <f>_xll.BDP("912834PD Govt","CPN_TYP")</f>
        <v>ZERO</v>
      </c>
      <c r="L478" t="str">
        <f>_xll.BDP("912834PD Govt","ID_ISIN")</f>
        <v>US912834PD48</v>
      </c>
      <c r="N478">
        <v>0</v>
      </c>
      <c r="O478" t="str">
        <f>_xll.BDP("912834PD Govt","ISSUE_DT")</f>
        <v>12/15/2014</v>
      </c>
      <c r="P478" t="str">
        <f>_xll.BDP("912834PD Govt","SECURITY_NAME")</f>
        <v>S 0 12/15/17</v>
      </c>
      <c r="Q478" t="str">
        <f>_xll.BDP("912834PD Govt","DAY_CNT_DES")</f>
        <v>ACT/ACT</v>
      </c>
      <c r="R478">
        <v>100</v>
      </c>
      <c r="S478" t="str">
        <f>_xll.BDP("912834PD Govt","ID_CUSIP")</f>
        <v>912834PD4</v>
      </c>
      <c r="T478" t="str">
        <f>_xll.BDP("912834PD Govt","IDX_RATIO")</f>
        <v>#N/A Field Not Applicable</v>
      </c>
    </row>
    <row r="479" spans="1:20" x14ac:dyDescent="0.25">
      <c r="A479" t="s">
        <v>14</v>
      </c>
      <c r="B479" t="str">
        <f>_xll.BDP("912834PV Govt","TICKER")</f>
        <v>S</v>
      </c>
      <c r="C479">
        <f>_xll.BDP("912834PV Govt","CPN")</f>
        <v>0</v>
      </c>
      <c r="D479" t="str">
        <f>_xll.BDP("912834PV Govt","YLD_YTM_BID")</f>
        <v>#N/A N/A</v>
      </c>
      <c r="E479" t="str">
        <f>_xll.BDP("912834PV Govt","MATURITY")</f>
        <v>12/15/2018</v>
      </c>
      <c r="F479" t="str">
        <f>_xll.BDP("912834PV Govt","MTY_TYP")</f>
        <v>NORMAL</v>
      </c>
      <c r="G479" t="str">
        <f>_xll.BDP("912834PV Govt","CRNCY")</f>
        <v>USD</v>
      </c>
      <c r="H479" t="str">
        <f>_xll.BDP("912834PV Govt","COUNTRY_FULL_NAME")</f>
        <v>UNITED STATES</v>
      </c>
      <c r="I479" t="str">
        <f>_xll.BDP("912834PV Govt","FIRST_CPN_DT")</f>
        <v>#N/A Field Not Applicable</v>
      </c>
      <c r="J479" t="str">
        <f>_xll.BDP("912834PV Govt","COUPON_FREQUENCY_DESCRIPTION")</f>
        <v>#N/A Field Not Applicable</v>
      </c>
      <c r="K479" t="str">
        <f>_xll.BDP("912834PV Govt","CPN_TYP")</f>
        <v>ZERO</v>
      </c>
      <c r="L479" t="str">
        <f>_xll.BDP("912834PV Govt","ID_ISIN")</f>
        <v>US912834PV46</v>
      </c>
      <c r="N479">
        <v>0</v>
      </c>
      <c r="O479" t="str">
        <f>_xll.BDP("912834PV Govt","ISSUE_DT")</f>
        <v>12/15/2015</v>
      </c>
      <c r="P479" t="str">
        <f>_xll.BDP("912834PV Govt","SECURITY_NAME")</f>
        <v>S 0 12/15/18</v>
      </c>
      <c r="Q479" t="str">
        <f>_xll.BDP("912834PV Govt","DAY_CNT_DES")</f>
        <v>ACT/ACT</v>
      </c>
      <c r="R479">
        <v>100</v>
      </c>
      <c r="S479" t="str">
        <f>_xll.BDP("912834PV Govt","ID_CUSIP")</f>
        <v>912834PV4</v>
      </c>
      <c r="T479" t="str">
        <f>_xll.BDP("912834PV Govt","IDX_RATIO")</f>
        <v>#N/A Field Not Applicable</v>
      </c>
    </row>
    <row r="480" spans="1:20" x14ac:dyDescent="0.25">
      <c r="A480" t="s">
        <v>14</v>
      </c>
      <c r="B480" t="str">
        <f>_xll.BDP("912834QR Govt","TICKER")</f>
        <v>S</v>
      </c>
      <c r="C480">
        <f>_xll.BDP("912834QR Govt","CPN")</f>
        <v>0</v>
      </c>
      <c r="D480" t="str">
        <f>_xll.BDP("912834QR Govt","YLD_YTM_BID")</f>
        <v>#N/A N/A</v>
      </c>
      <c r="E480" t="str">
        <f>_xll.BDP("912834QR Govt","MATURITY")</f>
        <v>9/15/2019</v>
      </c>
      <c r="F480" t="str">
        <f>_xll.BDP("912834QR Govt","MTY_TYP")</f>
        <v>NORMAL</v>
      </c>
      <c r="G480" t="str">
        <f>_xll.BDP("912834QR Govt","CRNCY")</f>
        <v>USD</v>
      </c>
      <c r="H480" t="str">
        <f>_xll.BDP("912834QR Govt","COUNTRY_FULL_NAME")</f>
        <v>UNITED STATES</v>
      </c>
      <c r="I480" t="str">
        <f>_xll.BDP("912834QR Govt","FIRST_CPN_DT")</f>
        <v>#N/A Field Not Applicable</v>
      </c>
      <c r="J480" t="str">
        <f>_xll.BDP("912834QR Govt","COUPON_FREQUENCY_DESCRIPTION")</f>
        <v>#N/A Field Not Applicable</v>
      </c>
      <c r="K480" t="str">
        <f>_xll.BDP("912834QR Govt","CPN_TYP")</f>
        <v>ZERO</v>
      </c>
      <c r="L480" t="str">
        <f>_xll.BDP("912834QR Govt","ID_ISIN")</f>
        <v>US912834QR25</v>
      </c>
      <c r="N480">
        <v>0</v>
      </c>
      <c r="O480" t="str">
        <f>_xll.BDP("912834QR Govt","ISSUE_DT")</f>
        <v>9/15/2016</v>
      </c>
      <c r="P480" t="str">
        <f>_xll.BDP("912834QR Govt","SECURITY_NAME")</f>
        <v>S 0 09/15/19</v>
      </c>
      <c r="Q480" t="str">
        <f>_xll.BDP("912834QR Govt","DAY_CNT_DES")</f>
        <v>ACT/ACT</v>
      </c>
      <c r="R480">
        <v>100</v>
      </c>
      <c r="S480" t="str">
        <f>_xll.BDP("912834QR Govt","ID_CUSIP")</f>
        <v>912834QR2</v>
      </c>
      <c r="T480" t="str">
        <f>_xll.BDP("912834QR Govt","IDX_RATIO")</f>
        <v>#N/A Field Not Applicable</v>
      </c>
    </row>
    <row r="481" spans="1:20" x14ac:dyDescent="0.25">
      <c r="A481" t="s">
        <v>14</v>
      </c>
      <c r="B481" t="str">
        <f>_xll.BDP("912834RH Govt","TICKER")</f>
        <v>S</v>
      </c>
      <c r="C481">
        <f>_xll.BDP("912834RH Govt","CPN")</f>
        <v>0</v>
      </c>
      <c r="D481" t="str">
        <f>_xll.BDP("912834RH Govt","YLD_YTM_BID")</f>
        <v>#N/A N/A</v>
      </c>
      <c r="E481" t="str">
        <f>_xll.BDP("912834RH Govt","MATURITY")</f>
        <v>4/15/2020</v>
      </c>
      <c r="F481" t="str">
        <f>_xll.BDP("912834RH Govt","MTY_TYP")</f>
        <v>NORMAL</v>
      </c>
      <c r="G481" t="str">
        <f>_xll.BDP("912834RH Govt","CRNCY")</f>
        <v>USD</v>
      </c>
      <c r="H481" t="str">
        <f>_xll.BDP("912834RH Govt","COUNTRY_FULL_NAME")</f>
        <v>UNITED STATES</v>
      </c>
      <c r="I481" t="str">
        <f>_xll.BDP("912834RH Govt","FIRST_CPN_DT")</f>
        <v>#N/A Field Not Applicable</v>
      </c>
      <c r="J481" t="str">
        <f>_xll.BDP("912834RH Govt","COUPON_FREQUENCY_DESCRIPTION")</f>
        <v>#N/A Field Not Applicable</v>
      </c>
      <c r="K481" t="str">
        <f>_xll.BDP("912834RH Govt","CPN_TYP")</f>
        <v>ZERO</v>
      </c>
      <c r="L481" t="str">
        <f>_xll.BDP("912834RH Govt","ID_ISIN")</f>
        <v>US912834RH34</v>
      </c>
      <c r="N481">
        <v>0</v>
      </c>
      <c r="O481" t="str">
        <f>_xll.BDP("912834RH Govt","ISSUE_DT")</f>
        <v>4/17/2017</v>
      </c>
      <c r="P481" t="str">
        <f>_xll.BDP("912834RH Govt","SECURITY_NAME")</f>
        <v>S 0 04/15/20</v>
      </c>
      <c r="Q481" t="str">
        <f>_xll.BDP("912834RH Govt","DAY_CNT_DES")</f>
        <v>ACT/ACT</v>
      </c>
      <c r="R481">
        <v>100</v>
      </c>
      <c r="S481" t="str">
        <f>_xll.BDP("912834RH Govt","ID_CUSIP")</f>
        <v>912834RH3</v>
      </c>
      <c r="T481" t="str">
        <f>_xll.BDP("912834RH Govt","IDX_RATIO")</f>
        <v>#N/A Field Not Applicable</v>
      </c>
    </row>
    <row r="482" spans="1:20" x14ac:dyDescent="0.25">
      <c r="A482" t="s">
        <v>14</v>
      </c>
      <c r="B482" t="str">
        <f>_xll.BDP("912834RV Govt","TICKER")</f>
        <v>S</v>
      </c>
      <c r="C482">
        <f>_xll.BDP("912834RV Govt","CPN")</f>
        <v>0</v>
      </c>
      <c r="D482" t="str">
        <f>_xll.BDP("912834RV Govt","YLD_YTM_BID")</f>
        <v>#N/A N/A</v>
      </c>
      <c r="E482" t="str">
        <f>_xll.BDP("912834RV Govt","MATURITY")</f>
        <v>10/15/2020</v>
      </c>
      <c r="F482" t="str">
        <f>_xll.BDP("912834RV Govt","MTY_TYP")</f>
        <v>NORMAL</v>
      </c>
      <c r="G482" t="str">
        <f>_xll.BDP("912834RV Govt","CRNCY")</f>
        <v>USD</v>
      </c>
      <c r="H482" t="str">
        <f>_xll.BDP("912834RV Govt","COUNTRY_FULL_NAME")</f>
        <v>UNITED STATES</v>
      </c>
      <c r="I482" t="str">
        <f>_xll.BDP("912834RV Govt","FIRST_CPN_DT")</f>
        <v>#N/A Field Not Applicable</v>
      </c>
      <c r="J482" t="str">
        <f>_xll.BDP("912834RV Govt","COUPON_FREQUENCY_DESCRIPTION")</f>
        <v>#N/A Field Not Applicable</v>
      </c>
      <c r="K482" t="str">
        <f>_xll.BDP("912834RV Govt","CPN_TYP")</f>
        <v>ZERO</v>
      </c>
      <c r="L482" t="str">
        <f>_xll.BDP("912834RV Govt","ID_ISIN")</f>
        <v>US912834RV28</v>
      </c>
      <c r="N482">
        <v>0</v>
      </c>
      <c r="O482" t="str">
        <f>_xll.BDP("912834RV Govt","ISSUE_DT")</f>
        <v>10/16/2017</v>
      </c>
      <c r="P482" t="str">
        <f>_xll.BDP("912834RV Govt","SECURITY_NAME")</f>
        <v>S 0 10/15/20</v>
      </c>
      <c r="Q482" t="str">
        <f>_xll.BDP("912834RV Govt","DAY_CNT_DES")</f>
        <v>ACT/ACT</v>
      </c>
      <c r="R482">
        <v>100</v>
      </c>
      <c r="S482" t="str">
        <f>_xll.BDP("912834RV Govt","ID_CUSIP")</f>
        <v>912834RV2</v>
      </c>
      <c r="T482" t="str">
        <f>_xll.BDP("912834RV Govt","IDX_RATIO")</f>
        <v>#N/A Field Not Applicable</v>
      </c>
    </row>
    <row r="483" spans="1:20" x14ac:dyDescent="0.25">
      <c r="A483" t="s">
        <v>14</v>
      </c>
      <c r="B483" t="str">
        <f>_xll.BDP("9128333T Govt","TICKER")</f>
        <v>S</v>
      </c>
      <c r="C483">
        <f>_xll.BDP("9128333T Govt","CPN")</f>
        <v>0</v>
      </c>
      <c r="D483" t="str">
        <f>_xll.BDP("9128333T Govt","YLD_YTM_BID")</f>
        <v>#N/A N/A</v>
      </c>
      <c r="E483" t="str">
        <f>_xll.BDP("9128333T Govt","MATURITY")</f>
        <v>1/31/2007</v>
      </c>
      <c r="F483" t="str">
        <f>_xll.BDP("9128333T Govt","MTY_TYP")</f>
        <v>NORMAL</v>
      </c>
      <c r="G483" t="str">
        <f>_xll.BDP("9128333T Govt","CRNCY")</f>
        <v>USD</v>
      </c>
      <c r="H483" t="str">
        <f>_xll.BDP("9128333T Govt","COUNTRY_FULL_NAME")</f>
        <v>UNITED STATES</v>
      </c>
      <c r="I483" t="str">
        <f>_xll.BDP("9128333T Govt","FIRST_CPN_DT")</f>
        <v>#N/A Field Not Applicable</v>
      </c>
      <c r="J483" t="str">
        <f>_xll.BDP("9128333T Govt","COUPON_FREQUENCY_DESCRIPTION")</f>
        <v>#N/A Field Not Applicable</v>
      </c>
      <c r="K483" t="str">
        <f>_xll.BDP("9128333T Govt","CPN_TYP")</f>
        <v>ZERO</v>
      </c>
      <c r="L483" t="str">
        <f>_xll.BDP("9128333T Govt","ID_ISIN")</f>
        <v>US9128333T52</v>
      </c>
      <c r="N483">
        <v>0</v>
      </c>
      <c r="O483" t="str">
        <f>_xll.BDP("9128333T Govt","ISSUE_DT")</f>
        <v>1/31/2005</v>
      </c>
      <c r="P483" t="str">
        <f>_xll.BDP("9128333T Govt","SECURITY_NAME")</f>
        <v>S 0 01/31/07</v>
      </c>
      <c r="Q483" t="str">
        <f>_xll.BDP("9128333T Govt","DAY_CNT_DES")</f>
        <v>ACT/ACT</v>
      </c>
      <c r="R483">
        <v>100</v>
      </c>
      <c r="S483" t="str">
        <f>_xll.BDP("9128333T Govt","ID_CUSIP")</f>
        <v>9128333T5</v>
      </c>
      <c r="T483" t="str">
        <f>_xll.BDP("9128333T Govt","IDX_RATIO")</f>
        <v>#N/A Field Not Applicable</v>
      </c>
    </row>
    <row r="484" spans="1:20" x14ac:dyDescent="0.25">
      <c r="A484" t="s">
        <v>14</v>
      </c>
      <c r="B484" t="str">
        <f>_xll.BDP("9128333V Govt","TICKER")</f>
        <v>S</v>
      </c>
      <c r="C484">
        <f>_xll.BDP("9128333V Govt","CPN")</f>
        <v>0</v>
      </c>
      <c r="D484" t="str">
        <f>_xll.BDP("9128333V Govt","YLD_YTM_BID")</f>
        <v>#N/A N/A</v>
      </c>
      <c r="E484" t="str">
        <f>_xll.BDP("9128333V Govt","MATURITY")</f>
        <v>3/15/2010</v>
      </c>
      <c r="F484" t="str">
        <f>_xll.BDP("9128333V Govt","MTY_TYP")</f>
        <v>NORMAL</v>
      </c>
      <c r="G484" t="str">
        <f>_xll.BDP("9128333V Govt","CRNCY")</f>
        <v>USD</v>
      </c>
      <c r="H484" t="str">
        <f>_xll.BDP("9128333V Govt","COUNTRY_FULL_NAME")</f>
        <v>UNITED STATES</v>
      </c>
      <c r="I484" t="str">
        <f>_xll.BDP("9128333V Govt","FIRST_CPN_DT")</f>
        <v>#N/A Field Not Applicable</v>
      </c>
      <c r="J484" t="str">
        <f>_xll.BDP("9128333V Govt","COUPON_FREQUENCY_DESCRIPTION")</f>
        <v>#N/A Field Not Applicable</v>
      </c>
      <c r="K484" t="str">
        <f>_xll.BDP("9128333V Govt","CPN_TYP")</f>
        <v>ZERO</v>
      </c>
      <c r="L484" t="str">
        <f>_xll.BDP("9128333V Govt","ID_ISIN")</f>
        <v>US9128333V09</v>
      </c>
      <c r="N484">
        <v>0</v>
      </c>
      <c r="O484" t="str">
        <f>_xll.BDP("9128333V Govt","ISSUE_DT")</f>
        <v>3/15/2005</v>
      </c>
      <c r="P484" t="str">
        <f>_xll.BDP("9128333V Govt","SECURITY_NAME")</f>
        <v>S 0 03/15/10</v>
      </c>
      <c r="Q484" t="str">
        <f>_xll.BDP("9128333V Govt","DAY_CNT_DES")</f>
        <v>ACT/ACT</v>
      </c>
      <c r="R484">
        <v>100</v>
      </c>
      <c r="S484" t="str">
        <f>_xll.BDP("9128333V Govt","ID_CUSIP")</f>
        <v>9128333V0</v>
      </c>
      <c r="T484" t="str">
        <f>_xll.BDP("9128333V Govt","IDX_RATIO")</f>
        <v>#N/A Field Not Applicable</v>
      </c>
    </row>
    <row r="485" spans="1:20" x14ac:dyDescent="0.25">
      <c r="A485" t="s">
        <v>14</v>
      </c>
      <c r="B485" t="str">
        <f>_xll.BDP("9128333W Govt","TICKER")</f>
        <v>S</v>
      </c>
      <c r="C485">
        <f>_xll.BDP("9128333W Govt","CPN")</f>
        <v>0</v>
      </c>
      <c r="D485" t="str">
        <f>_xll.BDP("9128333W Govt","YLD_YTM_BID")</f>
        <v>#N/A N/A</v>
      </c>
      <c r="E485" t="str">
        <f>_xll.BDP("9128333W Govt","MATURITY")</f>
        <v>3/31/2007</v>
      </c>
      <c r="F485" t="str">
        <f>_xll.BDP("9128333W Govt","MTY_TYP")</f>
        <v>NORMAL</v>
      </c>
      <c r="G485" t="str">
        <f>_xll.BDP("9128333W Govt","CRNCY")</f>
        <v>USD</v>
      </c>
      <c r="H485" t="str">
        <f>_xll.BDP("9128333W Govt","COUNTRY_FULL_NAME")</f>
        <v>UNITED STATES</v>
      </c>
      <c r="I485" t="str">
        <f>_xll.BDP("9128333W Govt","FIRST_CPN_DT")</f>
        <v>#N/A Field Not Applicable</v>
      </c>
      <c r="J485" t="str">
        <f>_xll.BDP("9128333W Govt","COUPON_FREQUENCY_DESCRIPTION")</f>
        <v>#N/A Field Not Applicable</v>
      </c>
      <c r="K485" t="str">
        <f>_xll.BDP("9128333W Govt","CPN_TYP")</f>
        <v>ZERO</v>
      </c>
      <c r="L485" t="str">
        <f>_xll.BDP("9128333W Govt","ID_ISIN")</f>
        <v>US9128333W81</v>
      </c>
      <c r="N485">
        <v>0</v>
      </c>
      <c r="O485" t="str">
        <f>_xll.BDP("9128333W Govt","ISSUE_DT")</f>
        <v>3/31/2005</v>
      </c>
      <c r="P485" t="str">
        <f>_xll.BDP("9128333W Govt","SECURITY_NAME")</f>
        <v>S 0 03/31/07</v>
      </c>
      <c r="Q485" t="str">
        <f>_xll.BDP("9128333W Govt","DAY_CNT_DES")</f>
        <v>ACT/ACT</v>
      </c>
      <c r="R485">
        <v>100</v>
      </c>
      <c r="S485" t="str">
        <f>_xll.BDP("9128333W Govt","ID_CUSIP")</f>
        <v>9128333W8</v>
      </c>
      <c r="T485" t="str">
        <f>_xll.BDP("9128333W Govt","IDX_RATIO")</f>
        <v>#N/A Field Not Applicable</v>
      </c>
    </row>
    <row r="486" spans="1:20" x14ac:dyDescent="0.25">
      <c r="A486" t="s">
        <v>14</v>
      </c>
      <c r="B486" t="str">
        <f>_xll.BDP("9128333Y Govt","TICKER")</f>
        <v>S</v>
      </c>
      <c r="C486">
        <f>_xll.BDP("9128333Y Govt","CPN")</f>
        <v>0</v>
      </c>
      <c r="D486" t="str">
        <f>_xll.BDP("9128333Y Govt","YLD_YTM_BID")</f>
        <v>#N/A N/A</v>
      </c>
      <c r="E486" t="str">
        <f>_xll.BDP("9128333Y Govt","MATURITY")</f>
        <v>4/30/2007</v>
      </c>
      <c r="F486" t="str">
        <f>_xll.BDP("9128333Y Govt","MTY_TYP")</f>
        <v>NORMAL</v>
      </c>
      <c r="G486" t="str">
        <f>_xll.BDP("9128333Y Govt","CRNCY")</f>
        <v>USD</v>
      </c>
      <c r="H486" t="str">
        <f>_xll.BDP("9128333Y Govt","COUNTRY_FULL_NAME")</f>
        <v>UNITED STATES</v>
      </c>
      <c r="I486" t="str">
        <f>_xll.BDP("9128333Y Govt","FIRST_CPN_DT")</f>
        <v>#N/A Field Not Applicable</v>
      </c>
      <c r="J486" t="str">
        <f>_xll.BDP("9128333Y Govt","COUPON_FREQUENCY_DESCRIPTION")</f>
        <v>#N/A Field Not Applicable</v>
      </c>
      <c r="K486" t="str">
        <f>_xll.BDP("9128333Y Govt","CPN_TYP")</f>
        <v>ZERO</v>
      </c>
      <c r="L486" t="str">
        <f>_xll.BDP("9128333Y Govt","ID_ISIN")</f>
        <v>US9128333Y48</v>
      </c>
      <c r="N486">
        <v>0</v>
      </c>
      <c r="O486" t="str">
        <f>_xll.BDP("9128333Y Govt","ISSUE_DT")</f>
        <v>5/2/2005</v>
      </c>
      <c r="P486" t="str">
        <f>_xll.BDP("9128333Y Govt","SECURITY_NAME")</f>
        <v>S 0 04/30/07</v>
      </c>
      <c r="Q486" t="str">
        <f>_xll.BDP("9128333Y Govt","DAY_CNT_DES")</f>
        <v>ACT/ACT</v>
      </c>
      <c r="R486">
        <v>100</v>
      </c>
      <c r="S486" t="str">
        <f>_xll.BDP("9128333Y Govt","ID_CUSIP")</f>
        <v>9128333Y4</v>
      </c>
      <c r="T486" t="str">
        <f>_xll.BDP("9128333Y Govt","IDX_RATIO")</f>
        <v>#N/A Field Not Applicable</v>
      </c>
    </row>
    <row r="487" spans="1:20" x14ac:dyDescent="0.25">
      <c r="A487" t="s">
        <v>14</v>
      </c>
      <c r="B487" t="str">
        <f>_xll.BDP("9128334A Govt","TICKER")</f>
        <v>S</v>
      </c>
      <c r="C487">
        <f>_xll.BDP("9128334A Govt","CPN")</f>
        <v>0</v>
      </c>
      <c r="D487" t="str">
        <f>_xll.BDP("9128334A Govt","YLD_YTM_BID")</f>
        <v>#N/A N/A</v>
      </c>
      <c r="E487" t="str">
        <f>_xll.BDP("9128334A Govt","MATURITY")</f>
        <v>6/15/2010</v>
      </c>
      <c r="F487" t="str">
        <f>_xll.BDP("9128334A Govt","MTY_TYP")</f>
        <v>NORMAL</v>
      </c>
      <c r="G487" t="str">
        <f>_xll.BDP("9128334A Govt","CRNCY")</f>
        <v>USD</v>
      </c>
      <c r="H487" t="str">
        <f>_xll.BDP("9128334A Govt","COUNTRY_FULL_NAME")</f>
        <v>UNITED STATES</v>
      </c>
      <c r="I487" t="str">
        <f>_xll.BDP("9128334A Govt","FIRST_CPN_DT")</f>
        <v>#N/A Field Not Applicable</v>
      </c>
      <c r="J487" t="str">
        <f>_xll.BDP("9128334A Govt","COUPON_FREQUENCY_DESCRIPTION")</f>
        <v>#N/A Field Not Applicable</v>
      </c>
      <c r="K487" t="str">
        <f>_xll.BDP("9128334A Govt","CPN_TYP")</f>
        <v>ZERO</v>
      </c>
      <c r="L487" t="str">
        <f>_xll.BDP("9128334A Govt","ID_ISIN")</f>
        <v>US9128334A52</v>
      </c>
      <c r="N487">
        <v>0</v>
      </c>
      <c r="O487" t="str">
        <f>_xll.BDP("9128334A Govt","ISSUE_DT")</f>
        <v>6/15/2005</v>
      </c>
      <c r="P487" t="str">
        <f>_xll.BDP("9128334A Govt","SECURITY_NAME")</f>
        <v>S 0 06/15/10</v>
      </c>
      <c r="Q487" t="str">
        <f>_xll.BDP("9128334A Govt","DAY_CNT_DES")</f>
        <v>ACT/ACT</v>
      </c>
      <c r="R487">
        <v>100</v>
      </c>
      <c r="S487" t="str">
        <f>_xll.BDP("9128334A Govt","ID_CUSIP")</f>
        <v>9128334A5</v>
      </c>
      <c r="T487" t="str">
        <f>_xll.BDP("9128334A Govt","IDX_RATIO")</f>
        <v>#N/A Field Not Applicable</v>
      </c>
    </row>
    <row r="488" spans="1:20" x14ac:dyDescent="0.25">
      <c r="A488" t="s">
        <v>14</v>
      </c>
      <c r="B488" t="str">
        <f>_xll.BDP("9128334D Govt","TICKER")</f>
        <v>S</v>
      </c>
      <c r="C488">
        <f>_xll.BDP("9128334D Govt","CPN")</f>
        <v>0</v>
      </c>
      <c r="D488" t="str">
        <f>_xll.BDP("9128334D Govt","YLD_YTM_BID")</f>
        <v>#N/A N/A</v>
      </c>
      <c r="E488" t="str">
        <f>_xll.BDP("9128334D Govt","MATURITY")</f>
        <v>7/31/2007</v>
      </c>
      <c r="F488" t="str">
        <f>_xll.BDP("9128334D Govt","MTY_TYP")</f>
        <v>NORMAL</v>
      </c>
      <c r="G488" t="str">
        <f>_xll.BDP("9128334D Govt","CRNCY")</f>
        <v>USD</v>
      </c>
      <c r="H488" t="str">
        <f>_xll.BDP("9128334D Govt","COUNTRY_FULL_NAME")</f>
        <v>UNITED STATES</v>
      </c>
      <c r="I488" t="str">
        <f>_xll.BDP("9128334D Govt","FIRST_CPN_DT")</f>
        <v>#N/A Field Not Applicable</v>
      </c>
      <c r="J488" t="str">
        <f>_xll.BDP("9128334D Govt","COUPON_FREQUENCY_DESCRIPTION")</f>
        <v>#N/A Field Not Applicable</v>
      </c>
      <c r="K488" t="str">
        <f>_xll.BDP("9128334D Govt","CPN_TYP")</f>
        <v>ZERO</v>
      </c>
      <c r="L488" t="str">
        <f>_xll.BDP("9128334D Govt","ID_ISIN")</f>
        <v>US9128334D91</v>
      </c>
      <c r="N488">
        <v>0</v>
      </c>
      <c r="O488" t="str">
        <f>_xll.BDP("9128334D Govt","ISSUE_DT")</f>
        <v>8/1/2005</v>
      </c>
      <c r="P488" t="str">
        <f>_xll.BDP("9128334D Govt","SECURITY_NAME")</f>
        <v>S 0 07/31/07</v>
      </c>
      <c r="Q488" t="str">
        <f>_xll.BDP("9128334D Govt","DAY_CNT_DES")</f>
        <v>ACT/ACT</v>
      </c>
      <c r="R488">
        <v>100</v>
      </c>
      <c r="S488" t="str">
        <f>_xll.BDP("9128334D Govt","ID_CUSIP")</f>
        <v>9128334D9</v>
      </c>
      <c r="T488" t="str">
        <f>_xll.BDP("9128334D Govt","IDX_RATIO")</f>
        <v>#N/A Field Not Applicable</v>
      </c>
    </row>
    <row r="489" spans="1:20" x14ac:dyDescent="0.25">
      <c r="A489" t="s">
        <v>14</v>
      </c>
      <c r="B489" t="str">
        <f>_xll.BDP("9128334H Govt","TICKER")</f>
        <v>S</v>
      </c>
      <c r="C489">
        <f>_xll.BDP("9128334H Govt","CPN")</f>
        <v>0</v>
      </c>
      <c r="D489" t="str">
        <f>_xll.BDP("9128334H Govt","YLD_YTM_BID")</f>
        <v>#N/A N/A</v>
      </c>
      <c r="E489" t="str">
        <f>_xll.BDP("9128334H Govt","MATURITY")</f>
        <v>10/15/2010</v>
      </c>
      <c r="F489" t="str">
        <f>_xll.BDP("9128334H Govt","MTY_TYP")</f>
        <v>NORMAL</v>
      </c>
      <c r="G489" t="str">
        <f>_xll.BDP("9128334H Govt","CRNCY")</f>
        <v>USD</v>
      </c>
      <c r="H489" t="str">
        <f>_xll.BDP("9128334H Govt","COUNTRY_FULL_NAME")</f>
        <v>UNITED STATES</v>
      </c>
      <c r="I489" t="str">
        <f>_xll.BDP("9128334H Govt","FIRST_CPN_DT")</f>
        <v>#N/A Field Not Applicable</v>
      </c>
      <c r="J489" t="str">
        <f>_xll.BDP("9128334H Govt","COUPON_FREQUENCY_DESCRIPTION")</f>
        <v>#N/A Field Not Applicable</v>
      </c>
      <c r="K489" t="str">
        <f>_xll.BDP("9128334H Govt","CPN_TYP")</f>
        <v>ZERO</v>
      </c>
      <c r="L489" t="str">
        <f>_xll.BDP("9128334H Govt","ID_ISIN")</f>
        <v>US9128334H06</v>
      </c>
      <c r="N489">
        <v>0</v>
      </c>
      <c r="O489" t="str">
        <f>_xll.BDP("9128334H Govt","ISSUE_DT")</f>
        <v>10/17/2005</v>
      </c>
      <c r="P489" t="str">
        <f>_xll.BDP("9128334H Govt","SECURITY_NAME")</f>
        <v>S 0 10/15/10</v>
      </c>
      <c r="Q489" t="str">
        <f>_xll.BDP("9128334H Govt","DAY_CNT_DES")</f>
        <v>ACT/ACT</v>
      </c>
      <c r="R489">
        <v>100</v>
      </c>
      <c r="S489" t="str">
        <f>_xll.BDP("9128334H Govt","ID_CUSIP")</f>
        <v>9128334H0</v>
      </c>
      <c r="T489" t="str">
        <f>_xll.BDP("9128334H Govt","IDX_RATIO")</f>
        <v>#N/A Field Not Applicable</v>
      </c>
    </row>
    <row r="490" spans="1:20" x14ac:dyDescent="0.25">
      <c r="A490" t="s">
        <v>14</v>
      </c>
      <c r="B490" t="str">
        <f>_xll.BDP("9128334K Govt","TICKER")</f>
        <v>S</v>
      </c>
      <c r="C490">
        <f>_xll.BDP("9128334K Govt","CPN")</f>
        <v>0</v>
      </c>
      <c r="D490" t="str">
        <f>_xll.BDP("9128334K Govt","YLD_YTM_BID")</f>
        <v>#N/A N/A</v>
      </c>
      <c r="E490" t="str">
        <f>_xll.BDP("9128334K Govt","MATURITY")</f>
        <v>11/30/2007</v>
      </c>
      <c r="F490" t="str">
        <f>_xll.BDP("9128334K Govt","MTY_TYP")</f>
        <v>NORMAL</v>
      </c>
      <c r="G490" t="str">
        <f>_xll.BDP("9128334K Govt","CRNCY")</f>
        <v>USD</v>
      </c>
      <c r="H490" t="str">
        <f>_xll.BDP("9128334K Govt","COUNTRY_FULL_NAME")</f>
        <v>UNITED STATES</v>
      </c>
      <c r="I490" t="str">
        <f>_xll.BDP("9128334K Govt","FIRST_CPN_DT")</f>
        <v>#N/A Field Not Applicable</v>
      </c>
      <c r="J490" t="str">
        <f>_xll.BDP("9128334K Govt","COUPON_FREQUENCY_DESCRIPTION")</f>
        <v>#N/A Field Not Applicable</v>
      </c>
      <c r="K490" t="str">
        <f>_xll.BDP("9128334K Govt","CPN_TYP")</f>
        <v>ZERO</v>
      </c>
      <c r="L490" t="str">
        <f>_xll.BDP("9128334K Govt","ID_ISIN")</f>
        <v>US9128334K35</v>
      </c>
      <c r="N490">
        <v>0</v>
      </c>
      <c r="O490" t="str">
        <f>_xll.BDP("9128334K Govt","ISSUE_DT")</f>
        <v>11/30/2005</v>
      </c>
      <c r="P490" t="str">
        <f>_xll.BDP("9128334K Govt","SECURITY_NAME")</f>
        <v>S 0 11/30/07</v>
      </c>
      <c r="Q490" t="str">
        <f>_xll.BDP("9128334K Govt","DAY_CNT_DES")</f>
        <v>ACT/ACT</v>
      </c>
      <c r="R490">
        <v>100</v>
      </c>
      <c r="S490" t="str">
        <f>_xll.BDP("9128334K Govt","ID_CUSIP")</f>
        <v>9128334K3</v>
      </c>
      <c r="T490" t="str">
        <f>_xll.BDP("9128334K Govt","IDX_RATIO")</f>
        <v>#N/A Field Not Applicable</v>
      </c>
    </row>
    <row r="491" spans="1:20" x14ac:dyDescent="0.25">
      <c r="A491" t="s">
        <v>14</v>
      </c>
      <c r="B491" t="str">
        <f>_xll.BDP("9128334M Govt","TICKER")</f>
        <v>S</v>
      </c>
      <c r="C491">
        <f>_xll.BDP("9128334M Govt","CPN")</f>
        <v>0</v>
      </c>
      <c r="D491" t="str">
        <f>_xll.BDP("9128334M Govt","YLD_YTM_BID")</f>
        <v>#N/A N/A</v>
      </c>
      <c r="E491" t="str">
        <f>_xll.BDP("9128334M Govt","MATURITY")</f>
        <v>12/31/2007</v>
      </c>
      <c r="F491" t="str">
        <f>_xll.BDP("9128334M Govt","MTY_TYP")</f>
        <v>NORMAL</v>
      </c>
      <c r="G491" t="str">
        <f>_xll.BDP("9128334M Govt","CRNCY")</f>
        <v>USD</v>
      </c>
      <c r="H491" t="str">
        <f>_xll.BDP("9128334M Govt","COUNTRY_FULL_NAME")</f>
        <v>UNITED STATES</v>
      </c>
      <c r="I491" t="str">
        <f>_xll.BDP("9128334M Govt","FIRST_CPN_DT")</f>
        <v>#N/A Field Not Applicable</v>
      </c>
      <c r="J491" t="str">
        <f>_xll.BDP("9128334M Govt","COUPON_FREQUENCY_DESCRIPTION")</f>
        <v>#N/A Field Not Applicable</v>
      </c>
      <c r="K491" t="str">
        <f>_xll.BDP("9128334M Govt","CPN_TYP")</f>
        <v>ZERO</v>
      </c>
      <c r="L491" t="str">
        <f>_xll.BDP("9128334M Govt","ID_ISIN")</f>
        <v>US9128334M90</v>
      </c>
      <c r="N491">
        <v>0</v>
      </c>
      <c r="O491" t="str">
        <f>_xll.BDP("9128334M Govt","ISSUE_DT")</f>
        <v>1/3/2006</v>
      </c>
      <c r="P491" t="str">
        <f>_xll.BDP("9128334M Govt","SECURITY_NAME")</f>
        <v>S 0 12/31/07</v>
      </c>
      <c r="Q491" t="str">
        <f>_xll.BDP("9128334M Govt","DAY_CNT_DES")</f>
        <v>ACT/ACT</v>
      </c>
      <c r="R491">
        <v>100</v>
      </c>
      <c r="S491" t="str">
        <f>_xll.BDP("9128334M Govt","ID_CUSIP")</f>
        <v>9128334M9</v>
      </c>
      <c r="T491" t="str">
        <f>_xll.BDP("9128334M Govt","IDX_RATIO")</f>
        <v>#N/A Field Not Applicable</v>
      </c>
    </row>
    <row r="492" spans="1:20" x14ac:dyDescent="0.25">
      <c r="A492" t="s">
        <v>14</v>
      </c>
      <c r="B492" t="str">
        <f>_xll.BDP("9128335J Govt","TICKER")</f>
        <v>S</v>
      </c>
      <c r="C492">
        <f>_xll.BDP("9128335J Govt","CPN")</f>
        <v>0</v>
      </c>
      <c r="D492" t="str">
        <f>_xll.BDP("9128335J Govt","YLD_YTM_BID")</f>
        <v>#N/A N/A</v>
      </c>
      <c r="E492" t="str">
        <f>_xll.BDP("9128335J Govt","MATURITY")</f>
        <v>2/28/2011</v>
      </c>
      <c r="F492" t="str">
        <f>_xll.BDP("9128335J Govt","MTY_TYP")</f>
        <v>NORMAL</v>
      </c>
      <c r="G492" t="str">
        <f>_xll.BDP("9128335J Govt","CRNCY")</f>
        <v>USD</v>
      </c>
      <c r="H492" t="str">
        <f>_xll.BDP("9128335J Govt","COUNTRY_FULL_NAME")</f>
        <v>UNITED STATES</v>
      </c>
      <c r="I492" t="str">
        <f>_xll.BDP("9128335J Govt","FIRST_CPN_DT")</f>
        <v>#N/A Field Not Applicable</v>
      </c>
      <c r="J492" t="str">
        <f>_xll.BDP("9128335J Govt","COUPON_FREQUENCY_DESCRIPTION")</f>
        <v>#N/A Field Not Applicable</v>
      </c>
      <c r="K492" t="str">
        <f>_xll.BDP("9128335J Govt","CPN_TYP")</f>
        <v>ZERO</v>
      </c>
      <c r="L492" t="str">
        <f>_xll.BDP("9128335J Govt","ID_ISIN")</f>
        <v>US9128335J52</v>
      </c>
      <c r="N492">
        <v>0</v>
      </c>
      <c r="O492" t="str">
        <f>_xll.BDP("9128335J Govt","ISSUE_DT")</f>
        <v>2/28/2006</v>
      </c>
      <c r="P492" t="str">
        <f>_xll.BDP("9128335J Govt","SECURITY_NAME")</f>
        <v>S 0 02/28/11</v>
      </c>
      <c r="Q492" t="str">
        <f>_xll.BDP("9128335J Govt","DAY_CNT_DES")</f>
        <v>ACT/ACT</v>
      </c>
      <c r="R492">
        <v>100</v>
      </c>
      <c r="S492" t="str">
        <f>_xll.BDP("9128335J Govt","ID_CUSIP")</f>
        <v>9128335J5</v>
      </c>
      <c r="T492" t="str">
        <f>_xll.BDP("9128335J Govt","IDX_RATIO")</f>
        <v>#N/A Field Not Applicable</v>
      </c>
    </row>
    <row r="493" spans="1:20" x14ac:dyDescent="0.25">
      <c r="A493" t="s">
        <v>14</v>
      </c>
      <c r="B493" t="str">
        <f>_xll.BDP("9128335K Govt","TICKER")</f>
        <v>S</v>
      </c>
      <c r="C493">
        <f>_xll.BDP("9128335K Govt","CPN")</f>
        <v>0</v>
      </c>
      <c r="D493" t="str">
        <f>_xll.BDP("9128335K Govt","YLD_YTM_BID")</f>
        <v>#N/A N/A</v>
      </c>
      <c r="E493" t="str">
        <f>_xll.BDP("9128335K Govt","MATURITY")</f>
        <v>3/31/2008</v>
      </c>
      <c r="F493" t="str">
        <f>_xll.BDP("9128335K Govt","MTY_TYP")</f>
        <v>NORMAL</v>
      </c>
      <c r="G493" t="str">
        <f>_xll.BDP("9128335K Govt","CRNCY")</f>
        <v>USD</v>
      </c>
      <c r="H493" t="str">
        <f>_xll.BDP("9128335K Govt","COUNTRY_FULL_NAME")</f>
        <v>UNITED STATES</v>
      </c>
      <c r="I493" t="str">
        <f>_xll.BDP("9128335K Govt","FIRST_CPN_DT")</f>
        <v>#N/A Field Not Applicable</v>
      </c>
      <c r="J493" t="str">
        <f>_xll.BDP("9128335K Govt","COUPON_FREQUENCY_DESCRIPTION")</f>
        <v>#N/A Field Not Applicable</v>
      </c>
      <c r="K493" t="str">
        <f>_xll.BDP("9128335K Govt","CPN_TYP")</f>
        <v>ZERO</v>
      </c>
      <c r="L493" t="str">
        <f>_xll.BDP("9128335K Govt","ID_ISIN")</f>
        <v>US9128335K26</v>
      </c>
      <c r="N493">
        <v>0</v>
      </c>
      <c r="O493" t="str">
        <f>_xll.BDP("9128335K Govt","ISSUE_DT")</f>
        <v>3/31/2006</v>
      </c>
      <c r="P493" t="str">
        <f>_xll.BDP("9128335K Govt","SECURITY_NAME")</f>
        <v>S 0 03/31/08</v>
      </c>
      <c r="Q493" t="str">
        <f>_xll.BDP("9128335K Govt","DAY_CNT_DES")</f>
        <v>ACT/ACT</v>
      </c>
      <c r="R493">
        <v>100</v>
      </c>
      <c r="S493" t="str">
        <f>_xll.BDP("9128335K Govt","ID_CUSIP")</f>
        <v>9128335K2</v>
      </c>
      <c r="T493" t="str">
        <f>_xll.BDP("9128335K Govt","IDX_RATIO")</f>
        <v>#N/A Field Not Applicable</v>
      </c>
    </row>
    <row r="494" spans="1:20" x14ac:dyDescent="0.25">
      <c r="A494" t="s">
        <v>14</v>
      </c>
      <c r="B494" t="str">
        <f>_xll.BDP("9128336G Govt","TICKER")</f>
        <v>S</v>
      </c>
      <c r="C494">
        <f>_xll.BDP("9128336G Govt","CPN")</f>
        <v>0</v>
      </c>
      <c r="D494" t="str">
        <f>_xll.BDP("9128336G Govt","YLD_YTM_BID")</f>
        <v>#N/A N/A</v>
      </c>
      <c r="E494" t="str">
        <f>_xll.BDP("9128336G Govt","MATURITY")</f>
        <v>6/30/2008</v>
      </c>
      <c r="F494" t="str">
        <f>_xll.BDP("9128336G Govt","MTY_TYP")</f>
        <v>NORMAL</v>
      </c>
      <c r="G494" t="str">
        <f>_xll.BDP("9128336G Govt","CRNCY")</f>
        <v>USD</v>
      </c>
      <c r="H494" t="str">
        <f>_xll.BDP("9128336G Govt","COUNTRY_FULL_NAME")</f>
        <v>UNITED STATES</v>
      </c>
      <c r="I494" t="str">
        <f>_xll.BDP("9128336G Govt","FIRST_CPN_DT")</f>
        <v>#N/A Field Not Applicable</v>
      </c>
      <c r="J494" t="str">
        <f>_xll.BDP("9128336G Govt","COUPON_FREQUENCY_DESCRIPTION")</f>
        <v>#N/A Field Not Applicable</v>
      </c>
      <c r="K494" t="str">
        <f>_xll.BDP("9128336G Govt","CPN_TYP")</f>
        <v>ZERO</v>
      </c>
      <c r="L494" t="str">
        <f>_xll.BDP("9128336G Govt","ID_ISIN")</f>
        <v>US9128336G05</v>
      </c>
      <c r="N494">
        <v>0</v>
      </c>
      <c r="O494" t="str">
        <f>_xll.BDP("9128336G Govt","ISSUE_DT")</f>
        <v>6/30/2006</v>
      </c>
      <c r="P494" t="str">
        <f>_xll.BDP("9128336G Govt","SECURITY_NAME")</f>
        <v>S 0 06/30/08</v>
      </c>
      <c r="Q494" t="str">
        <f>_xll.BDP("9128336G Govt","DAY_CNT_DES")</f>
        <v>ACT/ACT</v>
      </c>
      <c r="R494">
        <v>100</v>
      </c>
      <c r="S494" t="str">
        <f>_xll.BDP("9128336G Govt","ID_CUSIP")</f>
        <v>9128336G0</v>
      </c>
      <c r="T494" t="str">
        <f>_xll.BDP("9128336G Govt","IDX_RATIO")</f>
        <v>#N/A Field Not Applicable</v>
      </c>
    </row>
    <row r="495" spans="1:20" x14ac:dyDescent="0.25">
      <c r="A495" t="s">
        <v>14</v>
      </c>
      <c r="B495" t="str">
        <f>_xll.BDP("9128336H Govt","TICKER")</f>
        <v>S</v>
      </c>
      <c r="C495">
        <f>_xll.BDP("9128336H Govt","CPN")</f>
        <v>0</v>
      </c>
      <c r="D495" t="str">
        <f>_xll.BDP("9128336H Govt","YLD_YTM_BID")</f>
        <v>#N/A N/A</v>
      </c>
      <c r="E495" t="str">
        <f>_xll.BDP("9128336H Govt","MATURITY")</f>
        <v>12/31/2008</v>
      </c>
      <c r="F495" t="str">
        <f>_xll.BDP("9128336H Govt","MTY_TYP")</f>
        <v>NORMAL</v>
      </c>
      <c r="G495" t="str">
        <f>_xll.BDP("9128336H Govt","CRNCY")</f>
        <v>USD</v>
      </c>
      <c r="H495" t="str">
        <f>_xll.BDP("9128336H Govt","COUNTRY_FULL_NAME")</f>
        <v>UNITED STATES</v>
      </c>
      <c r="I495" t="str">
        <f>_xll.BDP("9128336H Govt","FIRST_CPN_DT")</f>
        <v>#N/A Field Not Applicable</v>
      </c>
      <c r="J495" t="str">
        <f>_xll.BDP("9128336H Govt","COUPON_FREQUENCY_DESCRIPTION")</f>
        <v>#N/A Field Not Applicable</v>
      </c>
      <c r="K495" t="str">
        <f>_xll.BDP("9128336H Govt","CPN_TYP")</f>
        <v>ZERO</v>
      </c>
      <c r="L495" t="str">
        <f>_xll.BDP("9128336H Govt","ID_ISIN")</f>
        <v>US9128336H87</v>
      </c>
      <c r="N495">
        <v>0</v>
      </c>
      <c r="O495" t="str">
        <f>_xll.BDP("9128336H Govt","ISSUE_DT")</f>
        <v>6/30/2006</v>
      </c>
      <c r="P495" t="str">
        <f>_xll.BDP("9128336H Govt","SECURITY_NAME")</f>
        <v>S 0 12/31/08</v>
      </c>
      <c r="Q495" t="str">
        <f>_xll.BDP("9128336H Govt","DAY_CNT_DES")</f>
        <v>ACT/ACT</v>
      </c>
      <c r="R495">
        <v>100</v>
      </c>
      <c r="S495" t="str">
        <f>_xll.BDP("9128336H Govt","ID_CUSIP")</f>
        <v>9128336H8</v>
      </c>
      <c r="T495" t="str">
        <f>_xll.BDP("9128336H Govt","IDX_RATIO")</f>
        <v>#N/A Field Not Applicable</v>
      </c>
    </row>
    <row r="496" spans="1:20" x14ac:dyDescent="0.25">
      <c r="A496" t="s">
        <v>14</v>
      </c>
      <c r="B496" t="str">
        <f>_xll.BDP("9128336K Govt","TICKER")</f>
        <v>S</v>
      </c>
      <c r="C496">
        <f>_xll.BDP("9128336K Govt","CPN")</f>
        <v>0</v>
      </c>
      <c r="D496" t="str">
        <f>_xll.BDP("9128336K Govt","YLD_YTM_BID")</f>
        <v>#N/A N/A</v>
      </c>
      <c r="E496" t="str">
        <f>_xll.BDP("9128336K Govt","MATURITY")</f>
        <v>12/31/2009</v>
      </c>
      <c r="F496" t="str">
        <f>_xll.BDP("9128336K Govt","MTY_TYP")</f>
        <v>NORMAL</v>
      </c>
      <c r="G496" t="str">
        <f>_xll.BDP("9128336K Govt","CRNCY")</f>
        <v>USD</v>
      </c>
      <c r="H496" t="str">
        <f>_xll.BDP("9128336K Govt","COUNTRY_FULL_NAME")</f>
        <v>UNITED STATES</v>
      </c>
      <c r="I496" t="str">
        <f>_xll.BDP("9128336K Govt","FIRST_CPN_DT")</f>
        <v>#N/A Field Not Applicable</v>
      </c>
      <c r="J496" t="str">
        <f>_xll.BDP("9128336K Govt","COUPON_FREQUENCY_DESCRIPTION")</f>
        <v>#N/A Field Not Applicable</v>
      </c>
      <c r="K496" t="str">
        <f>_xll.BDP("9128336K Govt","CPN_TYP")</f>
        <v>ZERO</v>
      </c>
      <c r="L496" t="str">
        <f>_xll.BDP("9128336K Govt","ID_ISIN")</f>
        <v>US9128336K17</v>
      </c>
      <c r="N496">
        <v>0</v>
      </c>
      <c r="O496" t="str">
        <f>_xll.BDP("9128336K Govt","ISSUE_DT")</f>
        <v>6/30/2006</v>
      </c>
      <c r="P496" t="str">
        <f>_xll.BDP("9128336K Govt","SECURITY_NAME")</f>
        <v>S 0 12/31/09</v>
      </c>
      <c r="Q496" t="str">
        <f>_xll.BDP("9128336K Govt","DAY_CNT_DES")</f>
        <v>ACT/ACT</v>
      </c>
      <c r="R496">
        <v>100</v>
      </c>
      <c r="S496" t="str">
        <f>_xll.BDP("9128336K Govt","ID_CUSIP")</f>
        <v>9128336K1</v>
      </c>
      <c r="T496" t="str">
        <f>_xll.BDP("9128336K Govt","IDX_RATIO")</f>
        <v>#N/A Field Not Applicable</v>
      </c>
    </row>
    <row r="497" spans="1:20" x14ac:dyDescent="0.25">
      <c r="A497" t="s">
        <v>14</v>
      </c>
      <c r="B497" t="str">
        <f>_xll.BDP("9128336N Govt","TICKER")</f>
        <v>S</v>
      </c>
      <c r="C497">
        <f>_xll.BDP("9128336N Govt","CPN")</f>
        <v>0</v>
      </c>
      <c r="D497" t="str">
        <f>_xll.BDP("9128336N Govt","YLD_YTM_BID")</f>
        <v>#N/A N/A</v>
      </c>
      <c r="E497" t="str">
        <f>_xll.BDP("9128336N Govt","MATURITY")</f>
        <v>6/30/2011</v>
      </c>
      <c r="F497" t="str">
        <f>_xll.BDP("9128336N Govt","MTY_TYP")</f>
        <v>NORMAL</v>
      </c>
      <c r="G497" t="str">
        <f>_xll.BDP("9128336N Govt","CRNCY")</f>
        <v>USD</v>
      </c>
      <c r="H497" t="str">
        <f>_xll.BDP("9128336N Govt","COUNTRY_FULL_NAME")</f>
        <v>UNITED STATES</v>
      </c>
      <c r="I497" t="str">
        <f>_xll.BDP("9128336N Govt","FIRST_CPN_DT")</f>
        <v>#N/A Field Not Applicable</v>
      </c>
      <c r="J497" t="str">
        <f>_xll.BDP("9128336N Govt","COUPON_FREQUENCY_DESCRIPTION")</f>
        <v>#N/A Field Not Applicable</v>
      </c>
      <c r="K497" t="str">
        <f>_xll.BDP("9128336N Govt","CPN_TYP")</f>
        <v>ZERO</v>
      </c>
      <c r="L497" t="str">
        <f>_xll.BDP("9128336N Govt","ID_ISIN")</f>
        <v>US9128336N55</v>
      </c>
      <c r="N497">
        <v>0</v>
      </c>
      <c r="O497" t="str">
        <f>_xll.BDP("9128336N Govt","ISSUE_DT")</f>
        <v>6/30/2006</v>
      </c>
      <c r="P497" t="str">
        <f>_xll.BDP("9128336N Govt","SECURITY_NAME")</f>
        <v>S 0 06/30/11</v>
      </c>
      <c r="Q497" t="str">
        <f>_xll.BDP("9128336N Govt","DAY_CNT_DES")</f>
        <v>ACT/ACT</v>
      </c>
      <c r="R497">
        <v>100</v>
      </c>
      <c r="S497" t="str">
        <f>_xll.BDP("9128336N Govt","ID_CUSIP")</f>
        <v>9128336N5</v>
      </c>
      <c r="T497" t="str">
        <f>_xll.BDP("9128336N Govt","IDX_RATIO")</f>
        <v>#N/A Field Not Applicable</v>
      </c>
    </row>
    <row r="498" spans="1:20" x14ac:dyDescent="0.25">
      <c r="A498" t="s">
        <v>14</v>
      </c>
      <c r="B498" t="str">
        <f>_xll.BDP("9128336R Govt","TICKER")</f>
        <v>S</v>
      </c>
      <c r="C498">
        <f>_xll.BDP("9128336R Govt","CPN")</f>
        <v>0</v>
      </c>
      <c r="D498" t="str">
        <f>_xll.BDP("9128336R Govt","YLD_YTM_BID")</f>
        <v>#N/A N/A</v>
      </c>
      <c r="E498" t="str">
        <f>_xll.BDP("9128336R Govt","MATURITY")</f>
        <v>7/31/2009</v>
      </c>
      <c r="F498" t="str">
        <f>_xll.BDP("9128336R Govt","MTY_TYP")</f>
        <v>NORMAL</v>
      </c>
      <c r="G498" t="str">
        <f>_xll.BDP("9128336R Govt","CRNCY")</f>
        <v>USD</v>
      </c>
      <c r="H498" t="str">
        <f>_xll.BDP("9128336R Govt","COUNTRY_FULL_NAME")</f>
        <v>UNITED STATES</v>
      </c>
      <c r="I498" t="str">
        <f>_xll.BDP("9128336R Govt","FIRST_CPN_DT")</f>
        <v>#N/A Field Not Applicable</v>
      </c>
      <c r="J498" t="str">
        <f>_xll.BDP("9128336R Govt","COUPON_FREQUENCY_DESCRIPTION")</f>
        <v>#N/A Field Not Applicable</v>
      </c>
      <c r="K498" t="str">
        <f>_xll.BDP("9128336R Govt","CPN_TYP")</f>
        <v>ZERO</v>
      </c>
      <c r="L498" t="str">
        <f>_xll.BDP("9128336R Govt","ID_ISIN")</f>
        <v>US9128336R69</v>
      </c>
      <c r="N498">
        <v>0</v>
      </c>
      <c r="O498" t="str">
        <f>_xll.BDP("9128336R Govt","ISSUE_DT")</f>
        <v>7/31/2006</v>
      </c>
      <c r="P498" t="str">
        <f>_xll.BDP("9128336R Govt","SECURITY_NAME")</f>
        <v>S 0 07/31/09</v>
      </c>
      <c r="Q498" t="str">
        <f>_xll.BDP("9128336R Govt","DAY_CNT_DES")</f>
        <v>ACT/ACT</v>
      </c>
      <c r="R498">
        <v>100</v>
      </c>
      <c r="S498" t="str">
        <f>_xll.BDP("9128336R Govt","ID_CUSIP")</f>
        <v>9128336R6</v>
      </c>
      <c r="T498" t="str">
        <f>_xll.BDP("9128336R Govt","IDX_RATIO")</f>
        <v>#N/A Field Not Applicable</v>
      </c>
    </row>
    <row r="499" spans="1:20" x14ac:dyDescent="0.25">
      <c r="A499" t="s">
        <v>14</v>
      </c>
      <c r="B499" t="str">
        <f>_xll.BDP("9128337A Govt","TICKER")</f>
        <v>S</v>
      </c>
      <c r="C499">
        <f>_xll.BDP("9128337A Govt","CPN")</f>
        <v>0</v>
      </c>
      <c r="D499" t="str">
        <f>_xll.BDP("9128337A Govt","YLD_YTM_BID")</f>
        <v>#N/A N/A</v>
      </c>
      <c r="E499" t="str">
        <f>_xll.BDP("9128337A Govt","MATURITY")</f>
        <v>12/31/2011</v>
      </c>
      <c r="F499" t="str">
        <f>_xll.BDP("9128337A Govt","MTY_TYP")</f>
        <v>NORMAL</v>
      </c>
      <c r="G499" t="str">
        <f>_xll.BDP("9128337A Govt","CRNCY")</f>
        <v>USD</v>
      </c>
      <c r="H499" t="str">
        <f>_xll.BDP("9128337A Govt","COUNTRY_FULL_NAME")</f>
        <v>UNITED STATES</v>
      </c>
      <c r="I499" t="str">
        <f>_xll.BDP("9128337A Govt","FIRST_CPN_DT")</f>
        <v>#N/A Field Not Applicable</v>
      </c>
      <c r="J499" t="str">
        <f>_xll.BDP("9128337A Govt","COUPON_FREQUENCY_DESCRIPTION")</f>
        <v>#N/A Field Not Applicable</v>
      </c>
      <c r="K499" t="str">
        <f>_xll.BDP("9128337A Govt","CPN_TYP")</f>
        <v>ZERO</v>
      </c>
      <c r="L499" t="str">
        <f>_xll.BDP("9128337A Govt","ID_ISIN")</f>
        <v>US9128337A26</v>
      </c>
      <c r="N499">
        <v>0</v>
      </c>
      <c r="O499" t="str">
        <f>_xll.BDP("9128337A Govt","ISSUE_DT")</f>
        <v>1/2/2007</v>
      </c>
      <c r="P499" t="str">
        <f>_xll.BDP("9128337A Govt","SECURITY_NAME")</f>
        <v>S 0 12/31/11</v>
      </c>
      <c r="Q499" t="str">
        <f>_xll.BDP("9128337A Govt","DAY_CNT_DES")</f>
        <v>ACT/ACT</v>
      </c>
      <c r="R499">
        <v>100</v>
      </c>
      <c r="S499" t="str">
        <f>_xll.BDP("9128337A Govt","ID_CUSIP")</f>
        <v>9128337A2</v>
      </c>
      <c r="T499" t="str">
        <f>_xll.BDP("9128337A Govt","IDX_RATIO")</f>
        <v>#N/A Field Not Applicable</v>
      </c>
    </row>
    <row r="500" spans="1:20" x14ac:dyDescent="0.25">
      <c r="A500" t="s">
        <v>14</v>
      </c>
      <c r="B500" t="str">
        <f>_xll.BDP("912833B6 Govt","TICKER")</f>
        <v>S</v>
      </c>
      <c r="C500">
        <f>_xll.BDP("912833B6 Govt","CPN")</f>
        <v>0</v>
      </c>
      <c r="D500" t="str">
        <f>_xll.BDP("912833B6 Govt","YLD_YTM_BID")</f>
        <v>#N/A N/A</v>
      </c>
      <c r="E500" t="str">
        <f>_xll.BDP("912833B6 Govt","MATURITY")</f>
        <v>6/15/2007</v>
      </c>
      <c r="F500" t="str">
        <f>_xll.BDP("912833B6 Govt","MTY_TYP")</f>
        <v>NORMAL</v>
      </c>
      <c r="G500" t="str">
        <f>_xll.BDP("912833B6 Govt","CRNCY")</f>
        <v>USD</v>
      </c>
      <c r="H500" t="str">
        <f>_xll.BDP("912833B6 Govt","COUNTRY_FULL_NAME")</f>
        <v>UNITED STATES</v>
      </c>
      <c r="I500" t="str">
        <f>_xll.BDP("912833B6 Govt","FIRST_CPN_DT")</f>
        <v>#N/A Field Not Applicable</v>
      </c>
      <c r="J500" t="str">
        <f>_xll.BDP("912833B6 Govt","COUPON_FREQUENCY_DESCRIPTION")</f>
        <v>#N/A Field Not Applicable</v>
      </c>
      <c r="K500" t="str">
        <f>_xll.BDP("912833B6 Govt","CPN_TYP")</f>
        <v>ZERO</v>
      </c>
      <c r="L500" t="str">
        <f>_xll.BDP("912833B6 Govt","ID_ISIN")</f>
        <v>US912833B667</v>
      </c>
      <c r="N500">
        <v>0</v>
      </c>
      <c r="O500" t="str">
        <f>_xll.BDP("912833B6 Govt","ISSUE_DT")</f>
        <v>12/15/2003</v>
      </c>
      <c r="P500" t="str">
        <f>_xll.BDP("912833B6 Govt","SECURITY_NAME")</f>
        <v>S 0 06/15/07</v>
      </c>
      <c r="Q500" t="str">
        <f>_xll.BDP("912833B6 Govt","DAY_CNT_DES")</f>
        <v>ACT/ACT</v>
      </c>
      <c r="R500">
        <v>100</v>
      </c>
      <c r="S500" t="str">
        <f>_xll.BDP("912833B6 Govt","ID_CUSIP")</f>
        <v>912833B66</v>
      </c>
      <c r="T500" t="str">
        <f>_xll.BDP("912833B6 Govt","IDX_RATIO")</f>
        <v>#N/A Field Not Applicable</v>
      </c>
    </row>
    <row r="501" spans="1:20" x14ac:dyDescent="0.25">
      <c r="A501" t="s">
        <v>14</v>
      </c>
      <c r="B501" t="str">
        <f>_xll.BDP("912833BY Govt","TICKER")</f>
        <v>S</v>
      </c>
      <c r="C501">
        <f>_xll.BDP("912833BY Govt","CPN")</f>
        <v>0</v>
      </c>
      <c r="D501" t="str">
        <f>_xll.BDP("912833BY Govt","YLD_YTM_BID")</f>
        <v>#N/A N/A</v>
      </c>
      <c r="E501" t="str">
        <f>_xll.BDP("912833BY Govt","MATURITY")</f>
        <v>8/15/1998</v>
      </c>
      <c r="F501" t="str">
        <f>_xll.BDP("912833BY Govt","MTY_TYP")</f>
        <v>NORMAL</v>
      </c>
      <c r="G501" t="str">
        <f>_xll.BDP("912833BY Govt","CRNCY")</f>
        <v>USD</v>
      </c>
      <c r="H501" t="str">
        <f>_xll.BDP("912833BY Govt","COUNTRY_FULL_NAME")</f>
        <v>UNITED STATES</v>
      </c>
      <c r="I501" t="str">
        <f>_xll.BDP("912833BY Govt","FIRST_CPN_DT")</f>
        <v>#N/A Field Not Applicable</v>
      </c>
      <c r="J501" t="str">
        <f>_xll.BDP("912833BY Govt","COUPON_FREQUENCY_DESCRIPTION")</f>
        <v>#N/A Field Not Applicable</v>
      </c>
      <c r="K501" t="str">
        <f>_xll.BDP("912833BY Govt","CPN_TYP")</f>
        <v>ZERO</v>
      </c>
      <c r="L501" t="str">
        <f>_xll.BDP("912833BY Govt","ID_ISIN")</f>
        <v>US912833BY57</v>
      </c>
      <c r="N501">
        <v>0</v>
      </c>
      <c r="O501" t="str">
        <f>_xll.BDP("912833BY Govt","ISSUE_DT")</f>
        <v>2/15/1985</v>
      </c>
      <c r="P501" t="str">
        <f>_xll.BDP("912833BY Govt","SECURITY_NAME")</f>
        <v>S 0 08/15/98</v>
      </c>
      <c r="Q501" t="str">
        <f>_xll.BDP("912833BY Govt","DAY_CNT_DES")</f>
        <v>ACT/ACT</v>
      </c>
      <c r="R501">
        <v>100</v>
      </c>
      <c r="S501" t="str">
        <f>_xll.BDP("912833BY Govt","ID_CUSIP")</f>
        <v>912833BY5</v>
      </c>
      <c r="T501" t="str">
        <f>_xll.BDP("912833BY Govt","IDX_RATIO")</f>
        <v>#N/A Field Not Applicable</v>
      </c>
    </row>
    <row r="502" spans="1:20" x14ac:dyDescent="0.25">
      <c r="A502" t="s">
        <v>14</v>
      </c>
      <c r="B502" t="str">
        <f>_xll.BDP("912833CA Govt","TICKER")</f>
        <v>S</v>
      </c>
      <c r="C502">
        <f>_xll.BDP("912833CA Govt","CPN")</f>
        <v>0</v>
      </c>
      <c r="D502" t="str">
        <f>_xll.BDP("912833CA Govt","YLD_YTM_BID")</f>
        <v>#N/A N/A</v>
      </c>
      <c r="E502" t="str">
        <f>_xll.BDP("912833CA Govt","MATURITY")</f>
        <v>8/15/1999</v>
      </c>
      <c r="F502" t="str">
        <f>_xll.BDP("912833CA Govt","MTY_TYP")</f>
        <v>NORMAL</v>
      </c>
      <c r="G502" t="str">
        <f>_xll.BDP("912833CA Govt","CRNCY")</f>
        <v>USD</v>
      </c>
      <c r="H502" t="str">
        <f>_xll.BDP("912833CA Govt","COUNTRY_FULL_NAME")</f>
        <v>UNITED STATES</v>
      </c>
      <c r="I502" t="str">
        <f>_xll.BDP("912833CA Govt","FIRST_CPN_DT")</f>
        <v>#N/A Field Not Applicable</v>
      </c>
      <c r="J502" t="str">
        <f>_xll.BDP("912833CA Govt","COUPON_FREQUENCY_DESCRIPTION")</f>
        <v>#N/A Field Not Applicable</v>
      </c>
      <c r="K502" t="str">
        <f>_xll.BDP("912833CA Govt","CPN_TYP")</f>
        <v>ZERO</v>
      </c>
      <c r="L502" t="str">
        <f>_xll.BDP("912833CA Govt","ID_ISIN")</f>
        <v>US912833CA62</v>
      </c>
      <c r="N502">
        <v>0</v>
      </c>
      <c r="O502" t="str">
        <f>_xll.BDP("912833CA Govt","ISSUE_DT")</f>
        <v>2/15/1985</v>
      </c>
      <c r="P502" t="str">
        <f>_xll.BDP("912833CA Govt","SECURITY_NAME")</f>
        <v>S 0 08/15/99</v>
      </c>
      <c r="Q502" t="str">
        <f>_xll.BDP("912833CA Govt","DAY_CNT_DES")</f>
        <v>ACT/ACT</v>
      </c>
      <c r="R502">
        <v>100</v>
      </c>
      <c r="S502" t="str">
        <f>_xll.BDP("912833CA Govt","ID_CUSIP")</f>
        <v>912833CA6</v>
      </c>
      <c r="T502" t="str">
        <f>_xll.BDP("912833CA Govt","IDX_RATIO")</f>
        <v>#N/A Field Not Applicable</v>
      </c>
    </row>
    <row r="503" spans="1:20" x14ac:dyDescent="0.25">
      <c r="A503" t="s">
        <v>14</v>
      </c>
      <c r="B503" t="str">
        <f>_xll.BDP("912833CX Govt","TICKER")</f>
        <v>S</v>
      </c>
      <c r="C503">
        <f>_xll.BDP("912833CX Govt","CPN")</f>
        <v>0</v>
      </c>
      <c r="D503" t="str">
        <f>_xll.BDP("912833CX Govt","YLD_YTM_BID")</f>
        <v>#N/A N/A</v>
      </c>
      <c r="E503" t="str">
        <f>_xll.BDP("912833CX Govt","MATURITY")</f>
        <v>2/15/2010</v>
      </c>
      <c r="F503" t="str">
        <f>_xll.BDP("912833CX Govt","MTY_TYP")</f>
        <v>NORMAL</v>
      </c>
      <c r="G503" t="str">
        <f>_xll.BDP("912833CX Govt","CRNCY")</f>
        <v>USD</v>
      </c>
      <c r="H503" t="str">
        <f>_xll.BDP("912833CX Govt","COUNTRY_FULL_NAME")</f>
        <v>UNITED STATES</v>
      </c>
      <c r="I503" t="str">
        <f>_xll.BDP("912833CX Govt","FIRST_CPN_DT")</f>
        <v>#N/A Field Not Applicable</v>
      </c>
      <c r="J503" t="str">
        <f>_xll.BDP("912833CX Govt","COUPON_FREQUENCY_DESCRIPTION")</f>
        <v>#N/A Field Not Applicable</v>
      </c>
      <c r="K503" t="str">
        <f>_xll.BDP("912833CX Govt","CPN_TYP")</f>
        <v>ZERO</v>
      </c>
      <c r="L503" t="str">
        <f>_xll.BDP("912833CX Govt","ID_ISIN")</f>
        <v>US912833CX65</v>
      </c>
      <c r="N503">
        <v>0</v>
      </c>
      <c r="O503" t="str">
        <f>_xll.BDP("912833CX Govt","ISSUE_DT")</f>
        <v>2/15/1985</v>
      </c>
      <c r="P503" t="str">
        <f>_xll.BDP("912833CX Govt","SECURITY_NAME")</f>
        <v>S 0 02/15/10</v>
      </c>
      <c r="Q503" t="str">
        <f>_xll.BDP("912833CX Govt","DAY_CNT_DES")</f>
        <v>ACT/ACT</v>
      </c>
      <c r="R503">
        <v>100</v>
      </c>
      <c r="S503" t="str">
        <f>_xll.BDP("912833CX Govt","ID_CUSIP")</f>
        <v>912833CX6</v>
      </c>
      <c r="T503" t="str">
        <f>_xll.BDP("912833CX Govt","IDX_RATIO")</f>
        <v>#N/A Field Not Applicable</v>
      </c>
    </row>
    <row r="504" spans="1:20" x14ac:dyDescent="0.25">
      <c r="A504" t="s">
        <v>14</v>
      </c>
      <c r="B504" t="str">
        <f>_xll.BDP("912833DC Govt","TICKER")</f>
        <v>S</v>
      </c>
      <c r="C504">
        <f>_xll.BDP("912833DC Govt","CPN")</f>
        <v>0</v>
      </c>
      <c r="D504" t="str">
        <f>_xll.BDP("912833DC Govt","YLD_YTM_BID")</f>
        <v>#N/A N/A</v>
      </c>
      <c r="E504" t="str">
        <f>_xll.BDP("912833DC Govt","MATURITY")</f>
        <v>8/15/2012</v>
      </c>
      <c r="F504" t="str">
        <f>_xll.BDP("912833DC Govt","MTY_TYP")</f>
        <v>NORMAL</v>
      </c>
      <c r="G504" t="str">
        <f>_xll.BDP("912833DC Govt","CRNCY")</f>
        <v>USD</v>
      </c>
      <c r="H504" t="str">
        <f>_xll.BDP("912833DC Govt","COUNTRY_FULL_NAME")</f>
        <v>UNITED STATES</v>
      </c>
      <c r="I504" t="str">
        <f>_xll.BDP("912833DC Govt","FIRST_CPN_DT")</f>
        <v>#N/A Field Not Applicable</v>
      </c>
      <c r="J504" t="str">
        <f>_xll.BDP("912833DC Govt","COUPON_FREQUENCY_DESCRIPTION")</f>
        <v>#N/A Field Not Applicable</v>
      </c>
      <c r="K504" t="str">
        <f>_xll.BDP("912833DC Govt","CPN_TYP")</f>
        <v>ZERO</v>
      </c>
      <c r="L504" t="str">
        <f>_xll.BDP("912833DC Govt","ID_ISIN")</f>
        <v>US912833DC10</v>
      </c>
      <c r="N504">
        <v>0</v>
      </c>
      <c r="O504" t="str">
        <f>_xll.BDP("912833DC Govt","ISSUE_DT")</f>
        <v>2/15/1985</v>
      </c>
      <c r="P504" t="str">
        <f>_xll.BDP("912833DC Govt","SECURITY_NAME")</f>
        <v>S 0 08/15/12</v>
      </c>
      <c r="Q504" t="str">
        <f>_xll.BDP("912833DC Govt","DAY_CNT_DES")</f>
        <v>ACT/ACT</v>
      </c>
      <c r="R504">
        <v>100</v>
      </c>
      <c r="S504" t="str">
        <f>_xll.BDP("912833DC Govt","ID_CUSIP")</f>
        <v>912833DC1</v>
      </c>
      <c r="T504" t="str">
        <f>_xll.BDP("912833DC Govt","IDX_RATIO")</f>
        <v>#N/A Field Not Applicable</v>
      </c>
    </row>
    <row r="505" spans="1:20" x14ac:dyDescent="0.25">
      <c r="A505" t="s">
        <v>14</v>
      </c>
      <c r="B505" t="str">
        <f>_xll.BDP("912833DE Govt","TICKER")</f>
        <v>S</v>
      </c>
      <c r="C505">
        <f>_xll.BDP("912833DE Govt","CPN")</f>
        <v>0</v>
      </c>
      <c r="D505" t="str">
        <f>_xll.BDP("912833DE Govt","YLD_YTM_BID")</f>
        <v>#N/A N/A</v>
      </c>
      <c r="E505" t="str">
        <f>_xll.BDP("912833DE Govt","MATURITY")</f>
        <v>8/15/2013</v>
      </c>
      <c r="F505" t="str">
        <f>_xll.BDP("912833DE Govt","MTY_TYP")</f>
        <v>NORMAL</v>
      </c>
      <c r="G505" t="str">
        <f>_xll.BDP("912833DE Govt","CRNCY")</f>
        <v>USD</v>
      </c>
      <c r="H505" t="str">
        <f>_xll.BDP("912833DE Govt","COUNTRY_FULL_NAME")</f>
        <v>UNITED STATES</v>
      </c>
      <c r="I505" t="str">
        <f>_xll.BDP("912833DE Govt","FIRST_CPN_DT")</f>
        <v>#N/A Field Not Applicable</v>
      </c>
      <c r="J505" t="str">
        <f>_xll.BDP("912833DE Govt","COUPON_FREQUENCY_DESCRIPTION")</f>
        <v>#N/A Field Not Applicable</v>
      </c>
      <c r="K505" t="str">
        <f>_xll.BDP("912833DE Govt","CPN_TYP")</f>
        <v>ZERO</v>
      </c>
      <c r="L505" t="str">
        <f>_xll.BDP("912833DE Govt","ID_ISIN")</f>
        <v>US912833DE75</v>
      </c>
      <c r="N505">
        <v>0</v>
      </c>
      <c r="O505" t="str">
        <f>_xll.BDP("912833DE Govt","ISSUE_DT")</f>
        <v>2/15/1985</v>
      </c>
      <c r="P505" t="str">
        <f>_xll.BDP("912833DE Govt","SECURITY_NAME")</f>
        <v>S 0 08/15/13</v>
      </c>
      <c r="Q505" t="str">
        <f>_xll.BDP("912833DE Govt","DAY_CNT_DES")</f>
        <v>ACT/ACT</v>
      </c>
      <c r="R505">
        <v>100</v>
      </c>
      <c r="S505" t="str">
        <f>_xll.BDP("912833DE Govt","ID_CUSIP")</f>
        <v>912833DE7</v>
      </c>
      <c r="T505" t="str">
        <f>_xll.BDP("912833DE Govt","IDX_RATIO")</f>
        <v>#N/A Field Not Applicable</v>
      </c>
    </row>
    <row r="506" spans="1:20" x14ac:dyDescent="0.25">
      <c r="A506" t="s">
        <v>14</v>
      </c>
      <c r="B506" t="str">
        <f>_xll.BDP("912833DH Govt","TICKER")</f>
        <v>S</v>
      </c>
      <c r="C506">
        <f>_xll.BDP("912833DH Govt","CPN")</f>
        <v>0</v>
      </c>
      <c r="D506" t="str">
        <f>_xll.BDP("912833DH Govt","YLD_YTM_BID")</f>
        <v>#N/A N/A</v>
      </c>
      <c r="E506" t="str">
        <f>_xll.BDP("912833DH Govt","MATURITY")</f>
        <v>2/15/2015</v>
      </c>
      <c r="F506" t="str">
        <f>_xll.BDP("912833DH Govt","MTY_TYP")</f>
        <v>NORMAL</v>
      </c>
      <c r="G506" t="str">
        <f>_xll.BDP("912833DH Govt","CRNCY")</f>
        <v>USD</v>
      </c>
      <c r="H506" t="str">
        <f>_xll.BDP("912833DH Govt","COUNTRY_FULL_NAME")</f>
        <v>UNITED STATES</v>
      </c>
      <c r="I506" t="str">
        <f>_xll.BDP("912833DH Govt","FIRST_CPN_DT")</f>
        <v>#N/A Field Not Applicable</v>
      </c>
      <c r="J506" t="str">
        <f>_xll.BDP("912833DH Govt","COUPON_FREQUENCY_DESCRIPTION")</f>
        <v>#N/A Field Not Applicable</v>
      </c>
      <c r="K506" t="str">
        <f>_xll.BDP("912833DH Govt","CPN_TYP")</f>
        <v>ZERO</v>
      </c>
      <c r="L506" t="str">
        <f>_xll.BDP("912833DH Govt","ID_ISIN")</f>
        <v>US912833DH07</v>
      </c>
      <c r="N506">
        <v>0</v>
      </c>
      <c r="O506" t="str">
        <f>_xll.BDP("912833DH Govt","ISSUE_DT")</f>
        <v>2/15/1985</v>
      </c>
      <c r="P506" t="str">
        <f>_xll.BDP("912833DH Govt","SECURITY_NAME")</f>
        <v>S 0 02/15/15</v>
      </c>
      <c r="Q506" t="str">
        <f>_xll.BDP("912833DH Govt","DAY_CNT_DES")</f>
        <v>ACT/ACT</v>
      </c>
      <c r="R506">
        <v>100</v>
      </c>
      <c r="S506" t="str">
        <f>_xll.BDP("912833DH Govt","ID_CUSIP")</f>
        <v>912833DH0</v>
      </c>
      <c r="T506" t="str">
        <f>_xll.BDP("912833DH Govt","IDX_RATIO")</f>
        <v>#N/A Field Not Applicable</v>
      </c>
    </row>
    <row r="507" spans="1:20" x14ac:dyDescent="0.25">
      <c r="A507" t="s">
        <v>14</v>
      </c>
      <c r="B507" t="str">
        <f>_xll.BDP("912833FH Govt","TICKER")</f>
        <v>S</v>
      </c>
      <c r="C507">
        <f>_xll.BDP("912833FH Govt","CPN")</f>
        <v>0</v>
      </c>
      <c r="D507" t="str">
        <f>_xll.BDP("912833FH Govt","YLD_YTM_BID")</f>
        <v>#N/A N/A</v>
      </c>
      <c r="E507" t="str">
        <f>_xll.BDP("912833FH Govt","MATURITY")</f>
        <v>11/15/1998</v>
      </c>
      <c r="F507" t="str">
        <f>_xll.BDP("912833FH Govt","MTY_TYP")</f>
        <v>NORMAL</v>
      </c>
      <c r="G507" t="str">
        <f>_xll.BDP("912833FH Govt","CRNCY")</f>
        <v>USD</v>
      </c>
      <c r="H507" t="str">
        <f>_xll.BDP("912833FH Govt","COUNTRY_FULL_NAME")</f>
        <v>UNITED STATES</v>
      </c>
      <c r="I507" t="str">
        <f>_xll.BDP("912833FH Govt","FIRST_CPN_DT")</f>
        <v>#N/A Field Not Applicable</v>
      </c>
      <c r="J507" t="str">
        <f>_xll.BDP("912833FH Govt","COUPON_FREQUENCY_DESCRIPTION")</f>
        <v>#N/A Field Not Applicable</v>
      </c>
      <c r="K507" t="str">
        <f>_xll.BDP("912833FH Govt","CPN_TYP")</f>
        <v>ZERO</v>
      </c>
      <c r="L507" t="str">
        <f>_xll.BDP("912833FH Govt","ID_ISIN")</f>
        <v>US912833FH88</v>
      </c>
      <c r="N507">
        <v>0</v>
      </c>
      <c r="O507" t="str">
        <f>_xll.BDP("912833FH Govt","ISSUE_DT")</f>
        <v>11/15/1984</v>
      </c>
      <c r="P507" t="str">
        <f>_xll.BDP("912833FH Govt","SECURITY_NAME")</f>
        <v>S 0 11/15/98</v>
      </c>
      <c r="Q507" t="str">
        <f>_xll.BDP("912833FH Govt","DAY_CNT_DES")</f>
        <v>ACT/ACT</v>
      </c>
      <c r="R507">
        <v>100</v>
      </c>
      <c r="S507" t="str">
        <f>_xll.BDP("912833FH Govt","ID_CUSIP")</f>
        <v>912833FH8</v>
      </c>
      <c r="T507" t="str">
        <f>_xll.BDP("912833FH Govt","IDX_RATIO")</f>
        <v>#N/A Field Not Applicable</v>
      </c>
    </row>
    <row r="508" spans="1:20" x14ac:dyDescent="0.25">
      <c r="A508" t="s">
        <v>14</v>
      </c>
      <c r="B508" t="str">
        <f>_xll.BDP("912833FS Govt","TICKER")</f>
        <v>S</v>
      </c>
      <c r="C508">
        <f>_xll.BDP("912833FS Govt","CPN")</f>
        <v>0</v>
      </c>
      <c r="D508" t="str">
        <f>_xll.BDP("912833FS Govt","YLD_YTM_BID")</f>
        <v>#N/A N/A</v>
      </c>
      <c r="E508" t="str">
        <f>_xll.BDP("912833FS Govt","MATURITY")</f>
        <v>5/15/2003</v>
      </c>
      <c r="F508" t="str">
        <f>_xll.BDP("912833FS Govt","MTY_TYP")</f>
        <v>NORMAL</v>
      </c>
      <c r="G508" t="str">
        <f>_xll.BDP("912833FS Govt","CRNCY")</f>
        <v>USD</v>
      </c>
      <c r="H508" t="str">
        <f>_xll.BDP("912833FS Govt","COUNTRY_FULL_NAME")</f>
        <v>UNITED STATES</v>
      </c>
      <c r="I508" t="str">
        <f>_xll.BDP("912833FS Govt","FIRST_CPN_DT")</f>
        <v>#N/A Field Not Applicable</v>
      </c>
      <c r="J508" t="str">
        <f>_xll.BDP("912833FS Govt","COUPON_FREQUENCY_DESCRIPTION")</f>
        <v>#N/A Field Not Applicable</v>
      </c>
      <c r="K508" t="str">
        <f>_xll.BDP("912833FS Govt","CPN_TYP")</f>
        <v>ZERO</v>
      </c>
      <c r="L508" t="str">
        <f>_xll.BDP("912833FS Govt","ID_ISIN")</f>
        <v>US912833FS44</v>
      </c>
      <c r="N508">
        <v>0</v>
      </c>
      <c r="O508" t="str">
        <f>_xll.BDP("912833FS Govt","ISSUE_DT")</f>
        <v>11/15/1984</v>
      </c>
      <c r="P508" t="str">
        <f>_xll.BDP("912833FS Govt","SECURITY_NAME")</f>
        <v>S 0 05/15/03</v>
      </c>
      <c r="Q508" t="str">
        <f>_xll.BDP("912833FS Govt","DAY_CNT_DES")</f>
        <v>ACT/ACT</v>
      </c>
      <c r="R508">
        <v>100</v>
      </c>
      <c r="S508" t="str">
        <f>_xll.BDP("912833FS Govt","ID_CUSIP")</f>
        <v>912833FS4</v>
      </c>
      <c r="T508" t="str">
        <f>_xll.BDP("912833FS Govt","IDX_RATIO")</f>
        <v>#N/A Field Not Applicable</v>
      </c>
    </row>
    <row r="509" spans="1:20" x14ac:dyDescent="0.25">
      <c r="A509" t="s">
        <v>14</v>
      </c>
      <c r="B509" t="str">
        <f>_xll.BDP("912833FU Govt","TICKER")</f>
        <v>S</v>
      </c>
      <c r="C509">
        <f>_xll.BDP("912833FU Govt","CPN")</f>
        <v>0</v>
      </c>
      <c r="D509" t="str">
        <f>_xll.BDP("912833FU Govt","YLD_YTM_BID")</f>
        <v>#N/A N/A</v>
      </c>
      <c r="E509" t="str">
        <f>_xll.BDP("912833FU Govt","MATURITY")</f>
        <v>5/15/2004</v>
      </c>
      <c r="F509" t="str">
        <f>_xll.BDP("912833FU Govt","MTY_TYP")</f>
        <v>NORMAL</v>
      </c>
      <c r="G509" t="str">
        <f>_xll.BDP("912833FU Govt","CRNCY")</f>
        <v>USD</v>
      </c>
      <c r="H509" t="str">
        <f>_xll.BDP("912833FU Govt","COUNTRY_FULL_NAME")</f>
        <v>UNITED STATES</v>
      </c>
      <c r="I509" t="str">
        <f>_xll.BDP("912833FU Govt","FIRST_CPN_DT")</f>
        <v>#N/A Field Not Applicable</v>
      </c>
      <c r="J509" t="str">
        <f>_xll.BDP("912833FU Govt","COUPON_FREQUENCY_DESCRIPTION")</f>
        <v>#N/A Field Not Applicable</v>
      </c>
      <c r="K509" t="str">
        <f>_xll.BDP("912833FU Govt","CPN_TYP")</f>
        <v>ZERO</v>
      </c>
      <c r="L509" t="str">
        <f>_xll.BDP("912833FU Govt","ID_ISIN")</f>
        <v>US912833FU99</v>
      </c>
      <c r="N509">
        <v>0</v>
      </c>
      <c r="O509" t="str">
        <f>_xll.BDP("912833FU Govt","ISSUE_DT")</f>
        <v>11/15/1984</v>
      </c>
      <c r="P509" t="str">
        <f>_xll.BDP("912833FU Govt","SECURITY_NAME")</f>
        <v>S 0 05/15/04</v>
      </c>
      <c r="Q509" t="str">
        <f>_xll.BDP("912833FU Govt","DAY_CNT_DES")</f>
        <v>ACT/ACT</v>
      </c>
      <c r="R509">
        <v>100</v>
      </c>
      <c r="S509" t="str">
        <f>_xll.BDP("912833FU Govt","ID_CUSIP")</f>
        <v>912833FU9</v>
      </c>
      <c r="T509" t="str">
        <f>_xll.BDP("912833FU Govt","IDX_RATIO")</f>
        <v>#N/A Field Not Applicable</v>
      </c>
    </row>
    <row r="510" spans="1:20" x14ac:dyDescent="0.25">
      <c r="A510" t="s">
        <v>14</v>
      </c>
      <c r="B510" t="str">
        <f>_xll.BDP("912833FV Govt","TICKER")</f>
        <v>S</v>
      </c>
      <c r="C510">
        <f>_xll.BDP("912833FV Govt","CPN")</f>
        <v>0</v>
      </c>
      <c r="D510" t="str">
        <f>_xll.BDP("912833FV Govt","YLD_YTM_BID")</f>
        <v>#N/A N/A</v>
      </c>
      <c r="E510" t="str">
        <f>_xll.BDP("912833FV Govt","MATURITY")</f>
        <v>11/15/2004</v>
      </c>
      <c r="F510" t="str">
        <f>_xll.BDP("912833FV Govt","MTY_TYP")</f>
        <v>NORMAL</v>
      </c>
      <c r="G510" t="str">
        <f>_xll.BDP("912833FV Govt","CRNCY")</f>
        <v>USD</v>
      </c>
      <c r="H510" t="str">
        <f>_xll.BDP("912833FV Govt","COUNTRY_FULL_NAME")</f>
        <v>UNITED STATES</v>
      </c>
      <c r="I510" t="str">
        <f>_xll.BDP("912833FV Govt","FIRST_CPN_DT")</f>
        <v>#N/A Field Not Applicable</v>
      </c>
      <c r="J510" t="str">
        <f>_xll.BDP("912833FV Govt","COUPON_FREQUENCY_DESCRIPTION")</f>
        <v>#N/A Field Not Applicable</v>
      </c>
      <c r="K510" t="str">
        <f>_xll.BDP("912833FV Govt","CPN_TYP")</f>
        <v>ZERO</v>
      </c>
      <c r="L510" t="str">
        <f>_xll.BDP("912833FV Govt","ID_ISIN")</f>
        <v>US912833FV72</v>
      </c>
      <c r="N510">
        <v>0</v>
      </c>
      <c r="O510" t="str">
        <f>_xll.BDP("912833FV Govt","ISSUE_DT")</f>
        <v>11/15/1984</v>
      </c>
      <c r="P510" t="str">
        <f>_xll.BDP("912833FV Govt","SECURITY_NAME")</f>
        <v>S 0 11/15/04</v>
      </c>
      <c r="Q510" t="str">
        <f>_xll.BDP("912833FV Govt","DAY_CNT_DES")</f>
        <v>ACT/ACT</v>
      </c>
      <c r="R510">
        <v>100</v>
      </c>
      <c r="S510" t="str">
        <f>_xll.BDP("912833FV Govt","ID_CUSIP")</f>
        <v>912833FV7</v>
      </c>
      <c r="T510" t="str">
        <f>_xll.BDP("912833FV Govt","IDX_RATIO")</f>
        <v>#N/A Field Not Applicable</v>
      </c>
    </row>
    <row r="511" spans="1:20" x14ac:dyDescent="0.25">
      <c r="A511" t="s">
        <v>14</v>
      </c>
      <c r="B511" t="str">
        <f>_xll.BDP("912833FZ Govt","TICKER")</f>
        <v>S</v>
      </c>
      <c r="C511">
        <f>_xll.BDP("912833FZ Govt","CPN")</f>
        <v>0</v>
      </c>
      <c r="D511" t="str">
        <f>_xll.BDP("912833FZ Govt","YLD_YTM_BID")</f>
        <v>#N/A N/A</v>
      </c>
      <c r="E511" t="str">
        <f>_xll.BDP("912833FZ Govt","MATURITY")</f>
        <v>11/15/2006</v>
      </c>
      <c r="F511" t="str">
        <f>_xll.BDP("912833FZ Govt","MTY_TYP")</f>
        <v>NORMAL</v>
      </c>
      <c r="G511" t="str">
        <f>_xll.BDP("912833FZ Govt","CRNCY")</f>
        <v>USD</v>
      </c>
      <c r="H511" t="str">
        <f>_xll.BDP("912833FZ Govt","COUNTRY_FULL_NAME")</f>
        <v>UNITED STATES</v>
      </c>
      <c r="I511" t="str">
        <f>_xll.BDP("912833FZ Govt","FIRST_CPN_DT")</f>
        <v>#N/A Field Not Applicable</v>
      </c>
      <c r="J511" t="str">
        <f>_xll.BDP("912833FZ Govt","COUPON_FREQUENCY_DESCRIPTION")</f>
        <v>#N/A Field Not Applicable</v>
      </c>
      <c r="K511" t="str">
        <f>_xll.BDP("912833FZ Govt","CPN_TYP")</f>
        <v>ZERO</v>
      </c>
      <c r="L511" t="str">
        <f>_xll.BDP("912833FZ Govt","ID_ISIN")</f>
        <v>US912833FZ86</v>
      </c>
      <c r="N511">
        <v>0</v>
      </c>
      <c r="O511" t="str">
        <f>_xll.BDP("912833FZ Govt","ISSUE_DT")</f>
        <v>11/15/1984</v>
      </c>
      <c r="P511" t="str">
        <f>_xll.BDP("912833FZ Govt","SECURITY_NAME")</f>
        <v>S 0 11/15/06</v>
      </c>
      <c r="Q511" t="str">
        <f>_xll.BDP("912833FZ Govt","DAY_CNT_DES")</f>
        <v>ACT/ACT</v>
      </c>
      <c r="R511">
        <v>100</v>
      </c>
      <c r="S511" t="str">
        <f>_xll.BDP("912833FZ Govt","ID_CUSIP")</f>
        <v>912833FZ8</v>
      </c>
      <c r="T511" t="str">
        <f>_xll.BDP("912833FZ Govt","IDX_RATIO")</f>
        <v>#N/A Field Not Applicable</v>
      </c>
    </row>
    <row r="512" spans="1:20" x14ac:dyDescent="0.25">
      <c r="A512" t="s">
        <v>14</v>
      </c>
      <c r="B512" t="str">
        <f>_xll.BDP("912833KJ Govt","TICKER")</f>
        <v>S</v>
      </c>
      <c r="C512">
        <f>_xll.BDP("912833KJ Govt","CPN")</f>
        <v>0</v>
      </c>
      <c r="D512" t="str">
        <f>_xll.BDP("912833KJ Govt","YLD_YTM_BID")</f>
        <v>#N/A N/A</v>
      </c>
      <c r="E512" t="str">
        <f>_xll.BDP("912833KJ Govt","MATURITY")</f>
        <v>8/15/2016</v>
      </c>
      <c r="F512" t="str">
        <f>_xll.BDP("912833KJ Govt","MTY_TYP")</f>
        <v>NORMAL</v>
      </c>
      <c r="G512" t="str">
        <f>_xll.BDP("912833KJ Govt","CRNCY")</f>
        <v>USD</v>
      </c>
      <c r="H512" t="str">
        <f>_xll.BDP("912833KJ Govt","COUNTRY_FULL_NAME")</f>
        <v>UNITED STATES</v>
      </c>
      <c r="I512" t="str">
        <f>_xll.BDP("912833KJ Govt","FIRST_CPN_DT")</f>
        <v>#N/A Field Not Applicable</v>
      </c>
      <c r="J512" t="str">
        <f>_xll.BDP("912833KJ Govt","COUPON_FREQUENCY_DESCRIPTION")</f>
        <v>#N/A Field Not Applicable</v>
      </c>
      <c r="K512" t="str">
        <f>_xll.BDP("912833KJ Govt","CPN_TYP")</f>
        <v>ZERO</v>
      </c>
      <c r="L512" t="str">
        <f>_xll.BDP("912833KJ Govt","ID_ISIN")</f>
        <v>US912833KJ89</v>
      </c>
      <c r="N512">
        <v>0</v>
      </c>
      <c r="O512" t="str">
        <f>_xll.BDP("912833KJ Govt","ISSUE_DT")</f>
        <v>8/15/1987</v>
      </c>
      <c r="P512" t="str">
        <f>_xll.BDP("912833KJ Govt","SECURITY_NAME")</f>
        <v>S 0 08/15/16</v>
      </c>
      <c r="Q512" t="str">
        <f>_xll.BDP("912833KJ Govt","DAY_CNT_DES")</f>
        <v>ACT/ACT</v>
      </c>
      <c r="R512">
        <v>100</v>
      </c>
      <c r="S512" t="str">
        <f>_xll.BDP("912833KJ Govt","ID_CUSIP")</f>
        <v>912833KJ8</v>
      </c>
      <c r="T512" t="str">
        <f>_xll.BDP("912833KJ Govt","IDX_RATIO")</f>
        <v>#N/A Field Not Applicable</v>
      </c>
    </row>
    <row r="513" spans="1:20" x14ac:dyDescent="0.25">
      <c r="A513" t="s">
        <v>14</v>
      </c>
      <c r="B513" t="str">
        <f>_xll.BDP("912833KY Govt","TICKER")</f>
        <v>S</v>
      </c>
      <c r="C513">
        <f>_xll.BDP("912833KY Govt","CPN")</f>
        <v>0</v>
      </c>
      <c r="D513" t="str">
        <f>_xll.BDP("912833KY Govt","YLD_YTM_BID")</f>
        <v>#N/A N/A</v>
      </c>
      <c r="E513" t="str">
        <f>_xll.BDP("912833KY Govt","MATURITY")</f>
        <v>2/15/2020</v>
      </c>
      <c r="F513" t="str">
        <f>_xll.BDP("912833KY Govt","MTY_TYP")</f>
        <v>NORMAL</v>
      </c>
      <c r="G513" t="str">
        <f>_xll.BDP("912833KY Govt","CRNCY")</f>
        <v>USD</v>
      </c>
      <c r="H513" t="str">
        <f>_xll.BDP("912833KY Govt","COUNTRY_FULL_NAME")</f>
        <v>UNITED STATES</v>
      </c>
      <c r="I513" t="str">
        <f>_xll.BDP("912833KY Govt","FIRST_CPN_DT")</f>
        <v>#N/A Field Not Applicable</v>
      </c>
      <c r="J513" t="str">
        <f>_xll.BDP("912833KY Govt","COUPON_FREQUENCY_DESCRIPTION")</f>
        <v>#N/A Field Not Applicable</v>
      </c>
      <c r="K513" t="str">
        <f>_xll.BDP("912833KY Govt","CPN_TYP")</f>
        <v>ZERO</v>
      </c>
      <c r="L513" t="str">
        <f>_xll.BDP("912833KY Govt","ID_ISIN")</f>
        <v>US912833KY56</v>
      </c>
      <c r="N513">
        <v>0</v>
      </c>
      <c r="O513" t="str">
        <f>_xll.BDP("912833KY Govt","ISSUE_DT")</f>
        <v>2/15/1990</v>
      </c>
      <c r="P513" t="str">
        <f>_xll.BDP("912833KY Govt","SECURITY_NAME")</f>
        <v>S 0 02/15/20</v>
      </c>
      <c r="Q513" t="str">
        <f>_xll.BDP("912833KY Govt","DAY_CNT_DES")</f>
        <v>ACT/ACT</v>
      </c>
      <c r="R513">
        <v>100</v>
      </c>
      <c r="S513" t="str">
        <f>_xll.BDP("912833KY Govt","ID_CUSIP")</f>
        <v>912833KY5</v>
      </c>
      <c r="T513" t="str">
        <f>_xll.BDP("912833KY Govt","IDX_RATIO")</f>
        <v>#N/A Field Not Applicable</v>
      </c>
    </row>
    <row r="514" spans="1:20" x14ac:dyDescent="0.25">
      <c r="A514" t="s">
        <v>14</v>
      </c>
      <c r="B514" t="str">
        <f>_xll.BDP("912833MG Govt","TICKER")</f>
        <v>S</v>
      </c>
      <c r="C514">
        <f>_xll.BDP("912833MG Govt","CPN")</f>
        <v>0</v>
      </c>
      <c r="D514" t="str">
        <f>_xll.BDP("912833MG Govt","YLD_YTM_BID")</f>
        <v>#N/A N/A</v>
      </c>
      <c r="E514" t="str">
        <f>_xll.BDP("912833MG Govt","MATURITY")</f>
        <v>7/15/1998</v>
      </c>
      <c r="F514" t="str">
        <f>_xll.BDP("912833MG Govt","MTY_TYP")</f>
        <v>NORMAL</v>
      </c>
      <c r="G514" t="str">
        <f>_xll.BDP("912833MG Govt","CRNCY")</f>
        <v>USD</v>
      </c>
      <c r="H514" t="str">
        <f>_xll.BDP("912833MG Govt","COUNTRY_FULL_NAME")</f>
        <v>UNITED STATES</v>
      </c>
      <c r="I514" t="str">
        <f>_xll.BDP("912833MG Govt","FIRST_CPN_DT")</f>
        <v>#N/A Field Not Applicable</v>
      </c>
      <c r="J514" t="str">
        <f>_xll.BDP("912833MG Govt","COUPON_FREQUENCY_DESCRIPTION")</f>
        <v>#N/A Field Not Applicable</v>
      </c>
      <c r="K514" t="str">
        <f>_xll.BDP("912833MG Govt","CPN_TYP")</f>
        <v>ZERO</v>
      </c>
      <c r="L514" t="str">
        <f>_xll.BDP("912833MG Govt","ID_ISIN")</f>
        <v>US912833MG23</v>
      </c>
      <c r="N514">
        <v>0</v>
      </c>
      <c r="O514" t="str">
        <f>_xll.BDP("912833MG Govt","ISSUE_DT")</f>
        <v>7/15/1996</v>
      </c>
      <c r="P514" t="str">
        <f>_xll.BDP("912833MG Govt","SECURITY_NAME")</f>
        <v>S 0 07/15/98</v>
      </c>
      <c r="Q514" t="str">
        <f>_xll.BDP("912833MG Govt","DAY_CNT_DES")</f>
        <v>ACT/ACT</v>
      </c>
      <c r="R514">
        <v>100</v>
      </c>
      <c r="S514" t="str">
        <f>_xll.BDP("912833MG Govt","ID_CUSIP")</f>
        <v>912833MG2</v>
      </c>
      <c r="T514" t="str">
        <f>_xll.BDP("912833MG Govt","IDX_RATIO")</f>
        <v>#N/A Field Not Applicable</v>
      </c>
    </row>
    <row r="515" spans="1:20" x14ac:dyDescent="0.25">
      <c r="A515" t="s">
        <v>14</v>
      </c>
      <c r="B515" t="str">
        <f>_xll.BDP("912833MU Govt","TICKER")</f>
        <v>S</v>
      </c>
      <c r="C515">
        <f>_xll.BDP("912833MU Govt","CPN")</f>
        <v>0</v>
      </c>
      <c r="D515" t="str">
        <f>_xll.BDP("912833MU Govt","YLD_YTM_BID")</f>
        <v>#N/A N/A</v>
      </c>
      <c r="E515" t="str">
        <f>_xll.BDP("912833MU Govt","MATURITY")</f>
        <v>7/15/2001</v>
      </c>
      <c r="F515" t="str">
        <f>_xll.BDP("912833MU Govt","MTY_TYP")</f>
        <v>NORMAL</v>
      </c>
      <c r="G515" t="str">
        <f>_xll.BDP("912833MU Govt","CRNCY")</f>
        <v>USD</v>
      </c>
      <c r="H515" t="str">
        <f>_xll.BDP("912833MU Govt","COUNTRY_FULL_NAME")</f>
        <v>UNITED STATES</v>
      </c>
      <c r="I515" t="str">
        <f>_xll.BDP("912833MU Govt","FIRST_CPN_DT")</f>
        <v>#N/A Field Not Applicable</v>
      </c>
      <c r="J515" t="str">
        <f>_xll.BDP("912833MU Govt","COUPON_FREQUENCY_DESCRIPTION")</f>
        <v>#N/A Field Not Applicable</v>
      </c>
      <c r="K515" t="str">
        <f>_xll.BDP("912833MU Govt","CPN_TYP")</f>
        <v>ZERO</v>
      </c>
      <c r="L515" t="str">
        <f>_xll.BDP("912833MU Govt","ID_ISIN")</f>
        <v>US912833MU17</v>
      </c>
      <c r="N515">
        <v>0</v>
      </c>
      <c r="O515" t="str">
        <f>_xll.BDP("912833MU Govt","ISSUE_DT")</f>
        <v>7/15/1996</v>
      </c>
      <c r="P515" t="str">
        <f>_xll.BDP("912833MU Govt","SECURITY_NAME")</f>
        <v>S 0 07/15/01</v>
      </c>
      <c r="Q515" t="str">
        <f>_xll.BDP("912833MU Govt","DAY_CNT_DES")</f>
        <v>ACT/ACT</v>
      </c>
      <c r="R515">
        <v>100</v>
      </c>
      <c r="S515" t="str">
        <f>_xll.BDP("912833MU Govt","ID_CUSIP")</f>
        <v>912833MU1</v>
      </c>
      <c r="T515" t="str">
        <f>_xll.BDP("912833MU Govt","IDX_RATIO")</f>
        <v>#N/A Field Not Applicable</v>
      </c>
    </row>
    <row r="516" spans="1:20" x14ac:dyDescent="0.25">
      <c r="A516" t="s">
        <v>14</v>
      </c>
      <c r="B516" t="str">
        <f>_xll.BDP("912833NG Govt","TICKER")</f>
        <v>S</v>
      </c>
      <c r="C516">
        <f>_xll.BDP("912833NG Govt","CPN")</f>
        <v>0</v>
      </c>
      <c r="D516" t="str">
        <f>_xll.BDP("912833NG Govt","YLD_YTM_BID")</f>
        <v>#N/A N/A</v>
      </c>
      <c r="E516" t="str">
        <f>_xll.BDP("912833NG Govt","MATURITY")</f>
        <v>7/15/2004</v>
      </c>
      <c r="F516" t="str">
        <f>_xll.BDP("912833NG Govt","MTY_TYP")</f>
        <v>NORMAL</v>
      </c>
      <c r="G516" t="str">
        <f>_xll.BDP("912833NG Govt","CRNCY")</f>
        <v>USD</v>
      </c>
      <c r="H516" t="str">
        <f>_xll.BDP("912833NG Govt","COUNTRY_FULL_NAME")</f>
        <v>UNITED STATES</v>
      </c>
      <c r="I516" t="str">
        <f>_xll.BDP("912833NG Govt","FIRST_CPN_DT")</f>
        <v>#N/A Field Not Applicable</v>
      </c>
      <c r="J516" t="str">
        <f>_xll.BDP("912833NG Govt","COUPON_FREQUENCY_DESCRIPTION")</f>
        <v>#N/A Field Not Applicable</v>
      </c>
      <c r="K516" t="str">
        <f>_xll.BDP("912833NG Govt","CPN_TYP")</f>
        <v>ZERO</v>
      </c>
      <c r="L516" t="str">
        <f>_xll.BDP("912833NG Govt","ID_ISIN")</f>
        <v>US912833NG14</v>
      </c>
      <c r="N516">
        <v>0</v>
      </c>
      <c r="O516" t="str">
        <f>_xll.BDP("912833NG Govt","ISSUE_DT")</f>
        <v>7/15/1996</v>
      </c>
      <c r="P516" t="str">
        <f>_xll.BDP("912833NG Govt","SECURITY_NAME")</f>
        <v>S 0 07/15/04</v>
      </c>
      <c r="Q516" t="str">
        <f>_xll.BDP("912833NG Govt","DAY_CNT_DES")</f>
        <v>ACT/ACT</v>
      </c>
      <c r="R516">
        <v>100</v>
      </c>
      <c r="S516" t="str">
        <f>_xll.BDP("912833NG Govt","ID_CUSIP")</f>
        <v>912833NG1</v>
      </c>
      <c r="T516" t="str">
        <f>_xll.BDP("912833NG Govt","IDX_RATIO")</f>
        <v>#N/A Field Not Applicable</v>
      </c>
    </row>
    <row r="517" spans="1:20" x14ac:dyDescent="0.25">
      <c r="A517" t="s">
        <v>14</v>
      </c>
      <c r="B517" t="str">
        <f>_xll.BDP("912833NM Govt","TICKER")</f>
        <v>S</v>
      </c>
      <c r="C517">
        <f>_xll.BDP("912833NM Govt","CPN")</f>
        <v>0</v>
      </c>
      <c r="D517" t="str">
        <f>_xll.BDP("912833NM Govt","YLD_YTM_BID")</f>
        <v>#N/A N/A</v>
      </c>
      <c r="E517" t="str">
        <f>_xll.BDP("912833NM Govt","MATURITY")</f>
        <v>10/15/2005</v>
      </c>
      <c r="F517" t="str">
        <f>_xll.BDP("912833NM Govt","MTY_TYP")</f>
        <v>NORMAL</v>
      </c>
      <c r="G517" t="str">
        <f>_xll.BDP("912833NM Govt","CRNCY")</f>
        <v>USD</v>
      </c>
      <c r="H517" t="str">
        <f>_xll.BDP("912833NM Govt","COUNTRY_FULL_NAME")</f>
        <v>UNITED STATES</v>
      </c>
      <c r="I517" t="str">
        <f>_xll.BDP("912833NM Govt","FIRST_CPN_DT")</f>
        <v>#N/A Field Not Applicable</v>
      </c>
      <c r="J517" t="str">
        <f>_xll.BDP("912833NM Govt","COUPON_FREQUENCY_DESCRIPTION")</f>
        <v>#N/A Field Not Applicable</v>
      </c>
      <c r="K517" t="str">
        <f>_xll.BDP("912833NM Govt","CPN_TYP")</f>
        <v>ZERO</v>
      </c>
      <c r="L517" t="str">
        <f>_xll.BDP("912833NM Govt","ID_ISIN")</f>
        <v>US912833NM81</v>
      </c>
      <c r="N517">
        <v>0</v>
      </c>
      <c r="O517" t="str">
        <f>_xll.BDP("912833NM Govt","ISSUE_DT")</f>
        <v>10/15/1996</v>
      </c>
      <c r="P517" t="str">
        <f>_xll.BDP("912833NM Govt","SECURITY_NAME")</f>
        <v>S 0 10/15/05</v>
      </c>
      <c r="Q517" t="str">
        <f>_xll.BDP("912833NM Govt","DAY_CNT_DES")</f>
        <v>ACT/ACT</v>
      </c>
      <c r="R517">
        <v>100</v>
      </c>
      <c r="S517" t="str">
        <f>_xll.BDP("912833NM Govt","ID_CUSIP")</f>
        <v>912833NM8</v>
      </c>
      <c r="T517" t="str">
        <f>_xll.BDP("912833NM Govt","IDX_RATIO")</f>
        <v>#N/A Field Not Applicable</v>
      </c>
    </row>
    <row r="518" spans="1:20" x14ac:dyDescent="0.25">
      <c r="A518" t="s">
        <v>14</v>
      </c>
      <c r="B518" t="str">
        <f>_xll.BDP("912833NN Govt","TICKER")</f>
        <v>S</v>
      </c>
      <c r="C518">
        <f>_xll.BDP("912833NN Govt","CPN")</f>
        <v>0</v>
      </c>
      <c r="D518" t="str">
        <f>_xll.BDP("912833NN Govt","YLD_YTM_BID")</f>
        <v>#N/A N/A</v>
      </c>
      <c r="E518" t="str">
        <f>_xll.BDP("912833NN Govt","MATURITY")</f>
        <v>1/15/2006</v>
      </c>
      <c r="F518" t="str">
        <f>_xll.BDP("912833NN Govt","MTY_TYP")</f>
        <v>NORMAL</v>
      </c>
      <c r="G518" t="str">
        <f>_xll.BDP("912833NN Govt","CRNCY")</f>
        <v>USD</v>
      </c>
      <c r="H518" t="str">
        <f>_xll.BDP("912833NN Govt","COUNTRY_FULL_NAME")</f>
        <v>UNITED STATES</v>
      </c>
      <c r="I518" t="str">
        <f>_xll.BDP("912833NN Govt","FIRST_CPN_DT")</f>
        <v>#N/A Field Not Applicable</v>
      </c>
      <c r="J518" t="str">
        <f>_xll.BDP("912833NN Govt","COUPON_FREQUENCY_DESCRIPTION")</f>
        <v>#N/A Field Not Applicable</v>
      </c>
      <c r="K518" t="str">
        <f>_xll.BDP("912833NN Govt","CPN_TYP")</f>
        <v>ZERO</v>
      </c>
      <c r="L518" t="str">
        <f>_xll.BDP("912833NN Govt","ID_ISIN")</f>
        <v>US912833NN64</v>
      </c>
      <c r="N518">
        <v>0</v>
      </c>
      <c r="O518" t="str">
        <f>_xll.BDP("912833NN Govt","ISSUE_DT")</f>
        <v>7/15/1996</v>
      </c>
      <c r="P518" t="str">
        <f>_xll.BDP("912833NN Govt","SECURITY_NAME")</f>
        <v>S 0 01/15/06</v>
      </c>
      <c r="Q518" t="str">
        <f>_xll.BDP("912833NN Govt","DAY_CNT_DES")</f>
        <v>ACT/ACT</v>
      </c>
      <c r="R518">
        <v>100</v>
      </c>
      <c r="S518" t="str">
        <f>_xll.BDP("912833NN Govt","ID_CUSIP")</f>
        <v>912833NN6</v>
      </c>
      <c r="T518" t="str">
        <f>_xll.BDP("912833NN Govt","IDX_RATIO")</f>
        <v>#N/A Field Not Applicable</v>
      </c>
    </row>
    <row r="519" spans="1:20" x14ac:dyDescent="0.25">
      <c r="A519" t="s">
        <v>14</v>
      </c>
      <c r="B519" t="str">
        <f>_xll.BDP("912833QK Govt","TICKER")</f>
        <v>S</v>
      </c>
      <c r="C519">
        <f>_xll.BDP("912833QK Govt","CPN")</f>
        <v>0</v>
      </c>
      <c r="D519" t="str">
        <f>_xll.BDP("912833QK Govt","YLD_YTM_BID")</f>
        <v>#N/A N/A</v>
      </c>
      <c r="E519" t="str">
        <f>_xll.BDP("912833QK Govt","MATURITY")</f>
        <v>11/30/2001</v>
      </c>
      <c r="F519" t="str">
        <f>_xll.BDP("912833QK Govt","MTY_TYP")</f>
        <v>NORMAL</v>
      </c>
      <c r="G519" t="str">
        <f>_xll.BDP("912833QK Govt","CRNCY")</f>
        <v>USD</v>
      </c>
      <c r="H519" t="str">
        <f>_xll.BDP("912833QK Govt","COUNTRY_FULL_NAME")</f>
        <v>UNITED STATES</v>
      </c>
      <c r="I519" t="str">
        <f>_xll.BDP("912833QK Govt","FIRST_CPN_DT")</f>
        <v>#N/A Field Not Applicable</v>
      </c>
      <c r="J519" t="str">
        <f>_xll.BDP("912833QK Govt","COUPON_FREQUENCY_DESCRIPTION")</f>
        <v>#N/A Field Not Applicable</v>
      </c>
      <c r="K519" t="str">
        <f>_xll.BDP("912833QK Govt","CPN_TYP")</f>
        <v>ZERO</v>
      </c>
      <c r="L519" t="str">
        <f>_xll.BDP("912833QK Govt","ID_ISIN")</f>
        <v>US912833QK98</v>
      </c>
      <c r="N519">
        <v>0</v>
      </c>
      <c r="O519" t="str">
        <f>_xll.BDP("912833QK Govt","ISSUE_DT")</f>
        <v>12/1/1997</v>
      </c>
      <c r="P519" t="str">
        <f>_xll.BDP("912833QK Govt","SECURITY_NAME")</f>
        <v>S 0 11/30/01</v>
      </c>
      <c r="Q519" t="str">
        <f>_xll.BDP("912833QK Govt","DAY_CNT_DES")</f>
        <v>ACT/ACT</v>
      </c>
      <c r="R519">
        <v>100</v>
      </c>
      <c r="S519" t="str">
        <f>_xll.BDP("912833QK Govt","ID_CUSIP")</f>
        <v>912833QK9</v>
      </c>
      <c r="T519" t="str">
        <f>_xll.BDP("912833QK Govt","IDX_RATIO")</f>
        <v>#N/A Field Not Applicable</v>
      </c>
    </row>
    <row r="520" spans="1:20" x14ac:dyDescent="0.25">
      <c r="A520" t="s">
        <v>14</v>
      </c>
      <c r="B520" t="str">
        <f>_xll.BDP("912833QM Govt","TICKER")</f>
        <v>S</v>
      </c>
      <c r="C520">
        <f>_xll.BDP("912833QM Govt","CPN")</f>
        <v>0</v>
      </c>
      <c r="D520" t="str">
        <f>_xll.BDP("912833QM Govt","YLD_YTM_BID")</f>
        <v>#N/A N/A</v>
      </c>
      <c r="E520" t="str">
        <f>_xll.BDP("912833QM Govt","MATURITY")</f>
        <v>11/30/2002</v>
      </c>
      <c r="F520" t="str">
        <f>_xll.BDP("912833QM Govt","MTY_TYP")</f>
        <v>NORMAL</v>
      </c>
      <c r="G520" t="str">
        <f>_xll.BDP("912833QM Govt","CRNCY")</f>
        <v>USD</v>
      </c>
      <c r="H520" t="str">
        <f>_xll.BDP("912833QM Govt","COUNTRY_FULL_NAME")</f>
        <v>UNITED STATES</v>
      </c>
      <c r="I520" t="str">
        <f>_xll.BDP("912833QM Govt","FIRST_CPN_DT")</f>
        <v>#N/A Field Not Applicable</v>
      </c>
      <c r="J520" t="str">
        <f>_xll.BDP("912833QM Govt","COUPON_FREQUENCY_DESCRIPTION")</f>
        <v>#N/A Field Not Applicable</v>
      </c>
      <c r="K520" t="str">
        <f>_xll.BDP("912833QM Govt","CPN_TYP")</f>
        <v>ZERO</v>
      </c>
      <c r="L520" t="str">
        <f>_xll.BDP("912833QM Govt","ID_ISIN")</f>
        <v>US912833QM54</v>
      </c>
      <c r="N520">
        <v>0</v>
      </c>
      <c r="O520" t="str">
        <f>_xll.BDP("912833QM Govt","ISSUE_DT")</f>
        <v>12/1/1997</v>
      </c>
      <c r="P520" t="str">
        <f>_xll.BDP("912833QM Govt","SECURITY_NAME")</f>
        <v>S 0 11/30/02</v>
      </c>
      <c r="Q520" t="str">
        <f>_xll.BDP("912833QM Govt","DAY_CNT_DES")</f>
        <v>ACT/ACT</v>
      </c>
      <c r="R520">
        <v>100</v>
      </c>
      <c r="S520" t="str">
        <f>_xll.BDP("912833QM Govt","ID_CUSIP")</f>
        <v>912833QM5</v>
      </c>
      <c r="T520" t="str">
        <f>_xll.BDP("912833QM Govt","IDX_RATIO")</f>
        <v>#N/A Field Not Applicable</v>
      </c>
    </row>
    <row r="521" spans="1:20" x14ac:dyDescent="0.25">
      <c r="A521" t="s">
        <v>14</v>
      </c>
      <c r="B521" t="str">
        <f>_xll.BDP("912833QR Govt","TICKER")</f>
        <v>S</v>
      </c>
      <c r="C521">
        <f>_xll.BDP("912833QR Govt","CPN")</f>
        <v>0</v>
      </c>
      <c r="D521" t="str">
        <f>_xll.BDP("912833QR Govt","YLD_YTM_BID")</f>
        <v>#N/A N/A</v>
      </c>
      <c r="E521" t="str">
        <f>_xll.BDP("912833QR Govt","MATURITY")</f>
        <v>12/31/1999</v>
      </c>
      <c r="F521" t="str">
        <f>_xll.BDP("912833QR Govt","MTY_TYP")</f>
        <v>NORMAL</v>
      </c>
      <c r="G521" t="str">
        <f>_xll.BDP("912833QR Govt","CRNCY")</f>
        <v>USD</v>
      </c>
      <c r="H521" t="str">
        <f>_xll.BDP("912833QR Govt","COUNTRY_FULL_NAME")</f>
        <v>UNITED STATES</v>
      </c>
      <c r="I521" t="str">
        <f>_xll.BDP("912833QR Govt","FIRST_CPN_DT")</f>
        <v>#N/A Field Not Applicable</v>
      </c>
      <c r="J521" t="str">
        <f>_xll.BDP("912833QR Govt","COUPON_FREQUENCY_DESCRIPTION")</f>
        <v>#N/A Field Not Applicable</v>
      </c>
      <c r="K521" t="str">
        <f>_xll.BDP("912833QR Govt","CPN_TYP")</f>
        <v>ZERO</v>
      </c>
      <c r="L521" t="str">
        <f>_xll.BDP("912833QR Govt","ID_ISIN")</f>
        <v>US912833QR42</v>
      </c>
      <c r="N521">
        <v>0</v>
      </c>
      <c r="O521" t="str">
        <f>_xll.BDP("912833QR Govt","ISSUE_DT")</f>
        <v>12/31/1997</v>
      </c>
      <c r="P521" t="str">
        <f>_xll.BDP("912833QR Govt","SECURITY_NAME")</f>
        <v>S 0 12/31/99</v>
      </c>
      <c r="Q521" t="str">
        <f>_xll.BDP("912833QR Govt","DAY_CNT_DES")</f>
        <v>ACT/ACT</v>
      </c>
      <c r="R521">
        <v>100</v>
      </c>
      <c r="S521" t="str">
        <f>_xll.BDP("912833QR Govt","ID_CUSIP")</f>
        <v>912833QR4</v>
      </c>
      <c r="T521" t="str">
        <f>_xll.BDP("912833QR Govt","IDX_RATIO")</f>
        <v>#N/A Field Not Applicable</v>
      </c>
    </row>
    <row r="522" spans="1:20" x14ac:dyDescent="0.25">
      <c r="A522" t="s">
        <v>14</v>
      </c>
      <c r="B522" t="str">
        <f>_xll.BDP("912833RF Govt","TICKER")</f>
        <v>S</v>
      </c>
      <c r="C522">
        <f>_xll.BDP("912833RF Govt","CPN")</f>
        <v>0</v>
      </c>
      <c r="D522" t="str">
        <f>_xll.BDP("912833RF Govt","YLD_YTM_BID")</f>
        <v>#N/A N/A</v>
      </c>
      <c r="E522" t="str">
        <f>_xll.BDP("912833RF Govt","MATURITY")</f>
        <v>1/31/2002</v>
      </c>
      <c r="F522" t="str">
        <f>_xll.BDP("912833RF Govt","MTY_TYP")</f>
        <v>NORMAL</v>
      </c>
      <c r="G522" t="str">
        <f>_xll.BDP("912833RF Govt","CRNCY")</f>
        <v>USD</v>
      </c>
      <c r="H522" t="str">
        <f>_xll.BDP("912833RF Govt","COUNTRY_FULL_NAME")</f>
        <v>UNITED STATES</v>
      </c>
      <c r="I522" t="str">
        <f>_xll.BDP("912833RF Govt","FIRST_CPN_DT")</f>
        <v>#N/A Field Not Applicable</v>
      </c>
      <c r="J522" t="str">
        <f>_xll.BDP("912833RF Govt","COUPON_FREQUENCY_DESCRIPTION")</f>
        <v>#N/A Field Not Applicable</v>
      </c>
      <c r="K522" t="str">
        <f>_xll.BDP("912833RF Govt","CPN_TYP")</f>
        <v>ZERO</v>
      </c>
      <c r="L522" t="str">
        <f>_xll.BDP("912833RF Govt","ID_ISIN")</f>
        <v>US912833RF94</v>
      </c>
      <c r="N522">
        <v>0</v>
      </c>
      <c r="O522" t="str">
        <f>_xll.BDP("912833RF Govt","ISSUE_DT")</f>
        <v>2/2/1998</v>
      </c>
      <c r="P522" t="str">
        <f>_xll.BDP("912833RF Govt","SECURITY_NAME")</f>
        <v>S 0 01/31/02</v>
      </c>
      <c r="Q522" t="str">
        <f>_xll.BDP("912833RF Govt","DAY_CNT_DES")</f>
        <v>ACT/ACT</v>
      </c>
      <c r="R522">
        <v>100</v>
      </c>
      <c r="S522" t="str">
        <f>_xll.BDP("912833RF Govt","ID_CUSIP")</f>
        <v>912833RF9</v>
      </c>
      <c r="T522" t="str">
        <f>_xll.BDP("912833RF Govt","IDX_RATIO")</f>
        <v>#N/A Field Not Applicable</v>
      </c>
    </row>
    <row r="523" spans="1:20" x14ac:dyDescent="0.25">
      <c r="A523" t="s">
        <v>14</v>
      </c>
      <c r="B523" t="str">
        <f>_xll.BDP("912833RL Govt","TICKER")</f>
        <v>S</v>
      </c>
      <c r="C523">
        <f>_xll.BDP("912833RL Govt","CPN")</f>
        <v>0</v>
      </c>
      <c r="D523" t="str">
        <f>_xll.BDP("912833RL Govt","YLD_YTM_BID")</f>
        <v>#N/A N/A</v>
      </c>
      <c r="E523" t="str">
        <f>_xll.BDP("912833RL Govt","MATURITY")</f>
        <v>8/31/1999</v>
      </c>
      <c r="F523" t="str">
        <f>_xll.BDP("912833RL Govt","MTY_TYP")</f>
        <v>NORMAL</v>
      </c>
      <c r="G523" t="str">
        <f>_xll.BDP("912833RL Govt","CRNCY")</f>
        <v>USD</v>
      </c>
      <c r="H523" t="str">
        <f>_xll.BDP("912833RL Govt","COUNTRY_FULL_NAME")</f>
        <v>UNITED STATES</v>
      </c>
      <c r="I523" t="str">
        <f>_xll.BDP("912833RL Govt","FIRST_CPN_DT")</f>
        <v>#N/A Field Not Applicable</v>
      </c>
      <c r="J523" t="str">
        <f>_xll.BDP("912833RL Govt","COUPON_FREQUENCY_DESCRIPTION")</f>
        <v>#N/A Field Not Applicable</v>
      </c>
      <c r="K523" t="str">
        <f>_xll.BDP("912833RL Govt","CPN_TYP")</f>
        <v>ZERO</v>
      </c>
      <c r="L523" t="str">
        <f>_xll.BDP("912833RL Govt","ID_ISIN")</f>
        <v>US912833RL62</v>
      </c>
      <c r="N523">
        <v>0</v>
      </c>
      <c r="O523" t="str">
        <f>_xll.BDP("912833RL Govt","ISSUE_DT")</f>
        <v>3/2/1998</v>
      </c>
      <c r="P523" t="str">
        <f>_xll.BDP("912833RL Govt","SECURITY_NAME")</f>
        <v>S 0 08/31/99</v>
      </c>
      <c r="Q523" t="str">
        <f>_xll.BDP("912833RL Govt","DAY_CNT_DES")</f>
        <v>ACT/ACT</v>
      </c>
      <c r="R523">
        <v>100</v>
      </c>
      <c r="S523" t="str">
        <f>_xll.BDP("912833RL Govt","ID_CUSIP")</f>
        <v>912833RL6</v>
      </c>
      <c r="T523" t="str">
        <f>_xll.BDP("912833RL Govt","IDX_RATIO")</f>
        <v>#N/A Field Not Applicable</v>
      </c>
    </row>
    <row r="524" spans="1:20" x14ac:dyDescent="0.25">
      <c r="A524" t="s">
        <v>14</v>
      </c>
      <c r="B524" t="str">
        <f>_xll.BDP("912833RP Govt","TICKER")</f>
        <v>S</v>
      </c>
      <c r="C524">
        <f>_xll.BDP("912833RP Govt","CPN")</f>
        <v>0</v>
      </c>
      <c r="D524" t="str">
        <f>_xll.BDP("912833RP Govt","YLD_YTM_BID")</f>
        <v>#N/A N/A</v>
      </c>
      <c r="E524" t="str">
        <f>_xll.BDP("912833RP Govt","MATURITY")</f>
        <v>2/28/2001</v>
      </c>
      <c r="F524" t="str">
        <f>_xll.BDP("912833RP Govt","MTY_TYP")</f>
        <v>NORMAL</v>
      </c>
      <c r="G524" t="str">
        <f>_xll.BDP("912833RP Govt","CRNCY")</f>
        <v>USD</v>
      </c>
      <c r="H524" t="str">
        <f>_xll.BDP("912833RP Govt","COUNTRY_FULL_NAME")</f>
        <v>UNITED STATES</v>
      </c>
      <c r="I524" t="str">
        <f>_xll.BDP("912833RP Govt","FIRST_CPN_DT")</f>
        <v>#N/A Field Not Applicable</v>
      </c>
      <c r="J524" t="str">
        <f>_xll.BDP("912833RP Govt","COUPON_FREQUENCY_DESCRIPTION")</f>
        <v>#N/A Field Not Applicable</v>
      </c>
      <c r="K524" t="str">
        <f>_xll.BDP("912833RP Govt","CPN_TYP")</f>
        <v>ZERO</v>
      </c>
      <c r="L524" t="str">
        <f>_xll.BDP("912833RP Govt","ID_ISIN")</f>
        <v>US912833RP76</v>
      </c>
      <c r="N524">
        <v>0</v>
      </c>
      <c r="O524" t="str">
        <f>_xll.BDP("912833RP Govt","ISSUE_DT")</f>
        <v>3/2/1998</v>
      </c>
      <c r="P524" t="str">
        <f>_xll.BDP("912833RP Govt","SECURITY_NAME")</f>
        <v>S 0 02/28/01</v>
      </c>
      <c r="Q524" t="str">
        <f>_xll.BDP("912833RP Govt","DAY_CNT_DES")</f>
        <v>ACT/ACT</v>
      </c>
      <c r="R524">
        <v>100</v>
      </c>
      <c r="S524" t="str">
        <f>_xll.BDP("912833RP Govt","ID_CUSIP")</f>
        <v>912833RP7</v>
      </c>
      <c r="T524" t="str">
        <f>_xll.BDP("912833RP Govt","IDX_RATIO")</f>
        <v>#N/A Field Not Applicable</v>
      </c>
    </row>
    <row r="525" spans="1:20" x14ac:dyDescent="0.25">
      <c r="A525" t="s">
        <v>14</v>
      </c>
      <c r="B525" t="str">
        <f>_xll.BDP("912833RS Govt","TICKER")</f>
        <v>S</v>
      </c>
      <c r="C525">
        <f>_xll.BDP("912833RS Govt","CPN")</f>
        <v>0</v>
      </c>
      <c r="D525" t="str">
        <f>_xll.BDP("912833RS Govt","YLD_YTM_BID")</f>
        <v>#N/A N/A</v>
      </c>
      <c r="E525" t="str">
        <f>_xll.BDP("912833RS Govt","MATURITY")</f>
        <v>8/31/2002</v>
      </c>
      <c r="F525" t="str">
        <f>_xll.BDP("912833RS Govt","MTY_TYP")</f>
        <v>NORMAL</v>
      </c>
      <c r="G525" t="str">
        <f>_xll.BDP("912833RS Govt","CRNCY")</f>
        <v>USD</v>
      </c>
      <c r="H525" t="str">
        <f>_xll.BDP("912833RS Govt","COUNTRY_FULL_NAME")</f>
        <v>UNITED STATES</v>
      </c>
      <c r="I525" t="str">
        <f>_xll.BDP("912833RS Govt","FIRST_CPN_DT")</f>
        <v>#N/A Field Not Applicable</v>
      </c>
      <c r="J525" t="str">
        <f>_xll.BDP("912833RS Govt","COUPON_FREQUENCY_DESCRIPTION")</f>
        <v>#N/A Field Not Applicable</v>
      </c>
      <c r="K525" t="str">
        <f>_xll.BDP("912833RS Govt","CPN_TYP")</f>
        <v>ZERO</v>
      </c>
      <c r="L525" t="str">
        <f>_xll.BDP("912833RS Govt","ID_ISIN")</f>
        <v>US912833RS16</v>
      </c>
      <c r="N525">
        <v>0</v>
      </c>
      <c r="O525" t="str">
        <f>_xll.BDP("912833RS Govt","ISSUE_DT")</f>
        <v>3/2/1998</v>
      </c>
      <c r="P525" t="str">
        <f>_xll.BDP("912833RS Govt","SECURITY_NAME")</f>
        <v>S 0 08/31/02</v>
      </c>
      <c r="Q525" t="str">
        <f>_xll.BDP("912833RS Govt","DAY_CNT_DES")</f>
        <v>ACT/ACT</v>
      </c>
      <c r="R525">
        <v>100</v>
      </c>
      <c r="S525" t="str">
        <f>_xll.BDP("912833RS Govt","ID_CUSIP")</f>
        <v>912833RS1</v>
      </c>
      <c r="T525" t="str">
        <f>_xll.BDP("912833RS Govt","IDX_RATIO")</f>
        <v>#N/A Field Not Applicable</v>
      </c>
    </row>
    <row r="526" spans="1:20" x14ac:dyDescent="0.25">
      <c r="A526" t="s">
        <v>14</v>
      </c>
      <c r="B526" t="str">
        <f>_xll.BDP("912833Z9 Govt","TICKER")</f>
        <v>S</v>
      </c>
      <c r="C526">
        <f>_xll.BDP("912833Z9 Govt","CPN")</f>
        <v>0</v>
      </c>
      <c r="D526" t="str">
        <f>_xll.BDP("912833Z9 Govt","YLD_YTM_BID")</f>
        <v>#N/A N/A</v>
      </c>
      <c r="E526" t="str">
        <f>_xll.BDP("912833Z9 Govt","MATURITY")</f>
        <v>4/30/2013</v>
      </c>
      <c r="F526" t="str">
        <f>_xll.BDP("912833Z9 Govt","MTY_TYP")</f>
        <v>NORMAL</v>
      </c>
      <c r="G526" t="str">
        <f>_xll.BDP("912833Z9 Govt","CRNCY")</f>
        <v>USD</v>
      </c>
      <c r="H526" t="str">
        <f>_xll.BDP("912833Z9 Govt","COUNTRY_FULL_NAME")</f>
        <v>UNITED STATES</v>
      </c>
      <c r="I526" t="str">
        <f>_xll.BDP("912833Z9 Govt","FIRST_CPN_DT")</f>
        <v>#N/A Field Not Applicable</v>
      </c>
      <c r="J526" t="str">
        <f>_xll.BDP("912833Z9 Govt","COUPON_FREQUENCY_DESCRIPTION")</f>
        <v>#N/A Field Not Applicable</v>
      </c>
      <c r="K526" t="str">
        <f>_xll.BDP("912833Z9 Govt","CPN_TYP")</f>
        <v>ZERO</v>
      </c>
      <c r="L526" t="str">
        <f>_xll.BDP("912833Z9 Govt","ID_ISIN")</f>
        <v>US912833Z948</v>
      </c>
      <c r="N526">
        <v>0</v>
      </c>
      <c r="O526" t="str">
        <f>_xll.BDP("912833Z9 Govt","ISSUE_DT")</f>
        <v>4/30/2008</v>
      </c>
      <c r="P526" t="str">
        <f>_xll.BDP("912833Z9 Govt","SECURITY_NAME")</f>
        <v>S 0 04/30/13</v>
      </c>
      <c r="Q526" t="str">
        <f>_xll.BDP("912833Z9 Govt","DAY_CNT_DES")</f>
        <v>ACT/ACT</v>
      </c>
      <c r="R526">
        <v>100</v>
      </c>
      <c r="S526" t="str">
        <f>_xll.BDP("912833Z9 Govt","ID_CUSIP")</f>
        <v>912833Z94</v>
      </c>
      <c r="T526" t="str">
        <f>_xll.BDP("912833Z9 Govt","IDX_RATIO")</f>
        <v>#N/A Field Not Applicable</v>
      </c>
    </row>
    <row r="527" spans="1:20" x14ac:dyDescent="0.25">
      <c r="A527" t="s">
        <v>14</v>
      </c>
      <c r="B527" t="str">
        <f>_xll.BDP("912833ZJ Govt","TICKER")</f>
        <v>S</v>
      </c>
      <c r="C527">
        <f>_xll.BDP("912833ZJ Govt","CPN")</f>
        <v>0</v>
      </c>
      <c r="D527" t="str">
        <f>_xll.BDP("912833ZJ Govt","YLD_YTM_BID")</f>
        <v>#N/A N/A</v>
      </c>
      <c r="E527" t="str">
        <f>_xll.BDP("912833ZJ Govt","MATURITY")</f>
        <v>6/30/2005</v>
      </c>
      <c r="F527" t="str">
        <f>_xll.BDP("912833ZJ Govt","MTY_TYP")</f>
        <v>NORMAL</v>
      </c>
      <c r="G527" t="str">
        <f>_xll.BDP("912833ZJ Govt","CRNCY")</f>
        <v>USD</v>
      </c>
      <c r="H527" t="str">
        <f>_xll.BDP("912833ZJ Govt","COUNTRY_FULL_NAME")</f>
        <v>UNITED STATES</v>
      </c>
      <c r="I527" t="str">
        <f>_xll.BDP("912833ZJ Govt","FIRST_CPN_DT")</f>
        <v>#N/A Field Not Applicable</v>
      </c>
      <c r="J527" t="str">
        <f>_xll.BDP("912833ZJ Govt","COUPON_FREQUENCY_DESCRIPTION")</f>
        <v>#N/A Field Not Applicable</v>
      </c>
      <c r="K527" t="str">
        <f>_xll.BDP("912833ZJ Govt","CPN_TYP")</f>
        <v>ZERO</v>
      </c>
      <c r="L527" t="str">
        <f>_xll.BDP("912833ZJ Govt","ID_ISIN")</f>
        <v>US912833ZJ25</v>
      </c>
      <c r="N527">
        <v>0</v>
      </c>
      <c r="O527" t="str">
        <f>_xll.BDP("912833ZJ Govt","ISSUE_DT")</f>
        <v>6/30/2003</v>
      </c>
      <c r="P527" t="str">
        <f>_xll.BDP("912833ZJ Govt","SECURITY_NAME")</f>
        <v>S 0 06/30/05</v>
      </c>
      <c r="Q527" t="str">
        <f>_xll.BDP("912833ZJ Govt","DAY_CNT_DES")</f>
        <v>ACT/ACT</v>
      </c>
      <c r="R527">
        <v>100</v>
      </c>
      <c r="S527" t="str">
        <f>_xll.BDP("912833ZJ Govt","ID_CUSIP")</f>
        <v>912833ZJ2</v>
      </c>
      <c r="T527" t="str">
        <f>_xll.BDP("912833ZJ Govt","IDX_RATIO")</f>
        <v>#N/A Field Not Applicable</v>
      </c>
    </row>
    <row r="528" spans="1:20" x14ac:dyDescent="0.25">
      <c r="A528" t="s">
        <v>14</v>
      </c>
      <c r="B528" t="str">
        <f>_xll.BDP("912833ZZ Govt","TICKER")</f>
        <v>S</v>
      </c>
      <c r="C528">
        <f>_xll.BDP("912833ZZ Govt","CPN")</f>
        <v>0</v>
      </c>
      <c r="D528" t="str">
        <f>_xll.BDP("912833ZZ Govt","YLD_YTM_BID")</f>
        <v>#N/A N/A</v>
      </c>
      <c r="E528" t="str">
        <f>_xll.BDP("912833ZZ Govt","MATURITY")</f>
        <v>9/30/2005</v>
      </c>
      <c r="F528" t="str">
        <f>_xll.BDP("912833ZZ Govt","MTY_TYP")</f>
        <v>NORMAL</v>
      </c>
      <c r="G528" t="str">
        <f>_xll.BDP("912833ZZ Govt","CRNCY")</f>
        <v>USD</v>
      </c>
      <c r="H528" t="str">
        <f>_xll.BDP("912833ZZ Govt","COUNTRY_FULL_NAME")</f>
        <v>UNITED STATES</v>
      </c>
      <c r="I528" t="str">
        <f>_xll.BDP("912833ZZ Govt","FIRST_CPN_DT")</f>
        <v>#N/A Field Not Applicable</v>
      </c>
      <c r="J528" t="str">
        <f>_xll.BDP("912833ZZ Govt","COUPON_FREQUENCY_DESCRIPTION")</f>
        <v>#N/A Field Not Applicable</v>
      </c>
      <c r="K528" t="str">
        <f>_xll.BDP("912833ZZ Govt","CPN_TYP")</f>
        <v>ZERO</v>
      </c>
      <c r="L528" t="str">
        <f>_xll.BDP("912833ZZ Govt","ID_ISIN")</f>
        <v>US912833ZZ66</v>
      </c>
      <c r="N528">
        <v>0</v>
      </c>
      <c r="O528" t="str">
        <f>_xll.BDP("912833ZZ Govt","ISSUE_DT")</f>
        <v>9/30/2003</v>
      </c>
      <c r="P528" t="str">
        <f>_xll.BDP("912833ZZ Govt","SECURITY_NAME")</f>
        <v>S 0 09/30/05</v>
      </c>
      <c r="Q528" t="str">
        <f>_xll.BDP("912833ZZ Govt","DAY_CNT_DES")</f>
        <v>ACT/ACT</v>
      </c>
      <c r="R528">
        <v>100</v>
      </c>
      <c r="S528" t="str">
        <f>_xll.BDP("912833ZZ Govt","ID_CUSIP")</f>
        <v>912833ZZ6</v>
      </c>
      <c r="T528" t="str">
        <f>_xll.BDP("912833ZZ Govt","IDX_RATIO")</f>
        <v>#N/A Field Not Applicable</v>
      </c>
    </row>
    <row r="529" spans="1:20" x14ac:dyDescent="0.25">
      <c r="A529" t="s">
        <v>14</v>
      </c>
      <c r="B529" t="str">
        <f>_xll.BDP("912834BA Govt","TICKER")</f>
        <v>S</v>
      </c>
      <c r="C529">
        <f>_xll.BDP("912834BA Govt","CPN")</f>
        <v>0</v>
      </c>
      <c r="D529" t="str">
        <f>_xll.BDP("912834BA Govt","YLD_YTM_BID")</f>
        <v>#N/A N/A</v>
      </c>
      <c r="E529" t="str">
        <f>_xll.BDP("912834BA Govt","MATURITY")</f>
        <v>3/15/2011</v>
      </c>
      <c r="F529" t="str">
        <f>_xll.BDP("912834BA Govt","MTY_TYP")</f>
        <v>NORMAL</v>
      </c>
      <c r="G529" t="str">
        <f>_xll.BDP("912834BA Govt","CRNCY")</f>
        <v>USD</v>
      </c>
      <c r="H529" t="str">
        <f>_xll.BDP("912834BA Govt","COUNTRY_FULL_NAME")</f>
        <v>UNITED STATES</v>
      </c>
      <c r="I529" t="str">
        <f>_xll.BDP("912834BA Govt","FIRST_CPN_DT")</f>
        <v>#N/A Field Not Applicable</v>
      </c>
      <c r="J529" t="str">
        <f>_xll.BDP("912834BA Govt","COUPON_FREQUENCY_DESCRIPTION")</f>
        <v>#N/A Field Not Applicable</v>
      </c>
      <c r="K529" t="str">
        <f>_xll.BDP("912834BA Govt","CPN_TYP")</f>
        <v>ZERO</v>
      </c>
      <c r="L529" t="str">
        <f>_xll.BDP("912834BA Govt","ID_ISIN")</f>
        <v>US912834BA54</v>
      </c>
      <c r="N529">
        <v>0</v>
      </c>
      <c r="O529" t="str">
        <f>_xll.BDP("912834BA Govt","ISSUE_DT")</f>
        <v>3/16/2009</v>
      </c>
      <c r="P529" t="str">
        <f>_xll.BDP("912834BA Govt","SECURITY_NAME")</f>
        <v>S 0 03/15/11</v>
      </c>
      <c r="Q529" t="str">
        <f>_xll.BDP("912834BA Govt","DAY_CNT_DES")</f>
        <v>ACT/ACT</v>
      </c>
      <c r="R529">
        <v>100</v>
      </c>
      <c r="S529" t="str">
        <f>_xll.BDP("912834BA Govt","ID_CUSIP")</f>
        <v>912834BA5</v>
      </c>
      <c r="T529" t="str">
        <f>_xll.BDP("912834BA Govt","IDX_RATIO")</f>
        <v>#N/A Field Not Applicable</v>
      </c>
    </row>
    <row r="530" spans="1:20" x14ac:dyDescent="0.25">
      <c r="A530" t="s">
        <v>14</v>
      </c>
      <c r="B530" t="str">
        <f>_xll.BDP("912834BE Govt","TICKER")</f>
        <v>S</v>
      </c>
      <c r="C530">
        <f>_xll.BDP("912834BE Govt","CPN")</f>
        <v>0</v>
      </c>
      <c r="D530" t="str">
        <f>_xll.BDP("912834BE Govt","YLD_YTM_BID")</f>
        <v>#N/A N/A</v>
      </c>
      <c r="E530" t="str">
        <f>_xll.BDP("912834BE Govt","MATURITY")</f>
        <v>9/30/2014</v>
      </c>
      <c r="F530" t="str">
        <f>_xll.BDP("912834BE Govt","MTY_TYP")</f>
        <v>NORMAL</v>
      </c>
      <c r="G530" t="str">
        <f>_xll.BDP("912834BE Govt","CRNCY")</f>
        <v>USD</v>
      </c>
      <c r="H530" t="str">
        <f>_xll.BDP("912834BE Govt","COUNTRY_FULL_NAME")</f>
        <v>UNITED STATES</v>
      </c>
      <c r="I530" t="str">
        <f>_xll.BDP("912834BE Govt","FIRST_CPN_DT")</f>
        <v>#N/A Field Not Applicable</v>
      </c>
      <c r="J530" t="str">
        <f>_xll.BDP("912834BE Govt","COUPON_FREQUENCY_DESCRIPTION")</f>
        <v>#N/A Field Not Applicable</v>
      </c>
      <c r="K530" t="str">
        <f>_xll.BDP("912834BE Govt","CPN_TYP")</f>
        <v>ZERO</v>
      </c>
      <c r="L530" t="str">
        <f>_xll.BDP("912834BE Govt","ID_ISIN")</f>
        <v>US912834BE76</v>
      </c>
      <c r="N530">
        <v>0</v>
      </c>
      <c r="O530" t="str">
        <f>_xll.BDP("912834BE Govt","ISSUE_DT")</f>
        <v>3/31/2009</v>
      </c>
      <c r="P530" t="str">
        <f>_xll.BDP("912834BE Govt","SECURITY_NAME")</f>
        <v>S 0 09/30/14</v>
      </c>
      <c r="Q530" t="str">
        <f>_xll.BDP("912834BE Govt","DAY_CNT_DES")</f>
        <v>ACT/ACT</v>
      </c>
      <c r="R530">
        <v>100</v>
      </c>
      <c r="S530" t="str">
        <f>_xll.BDP("912834BE Govt","ID_CUSIP")</f>
        <v>912834BE7</v>
      </c>
      <c r="T530" t="str">
        <f>_xll.BDP("912834BE Govt","IDX_RATIO")</f>
        <v>#N/A Field Not Applicable</v>
      </c>
    </row>
    <row r="531" spans="1:20" x14ac:dyDescent="0.25">
      <c r="A531" t="s">
        <v>14</v>
      </c>
      <c r="B531" t="str">
        <f>_xll.BDP("912834BR Govt","TICKER")</f>
        <v>S</v>
      </c>
      <c r="C531">
        <f>_xll.BDP("912834BR Govt","CPN")</f>
        <v>0</v>
      </c>
      <c r="D531" t="str">
        <f>_xll.BDP("912834BR Govt","YLD_YTM_BID")</f>
        <v>#N/A N/A</v>
      </c>
      <c r="E531" t="str">
        <f>_xll.BDP("912834BR Govt","MATURITY")</f>
        <v>4/30/2016</v>
      </c>
      <c r="F531" t="str">
        <f>_xll.BDP("912834BR Govt","MTY_TYP")</f>
        <v>NORMAL</v>
      </c>
      <c r="G531" t="str">
        <f>_xll.BDP("912834BR Govt","CRNCY")</f>
        <v>USD</v>
      </c>
      <c r="H531" t="str">
        <f>_xll.BDP("912834BR Govt","COUNTRY_FULL_NAME")</f>
        <v>UNITED STATES</v>
      </c>
      <c r="I531" t="str">
        <f>_xll.BDP("912834BR Govt","FIRST_CPN_DT")</f>
        <v>#N/A Field Not Applicable</v>
      </c>
      <c r="J531" t="str">
        <f>_xll.BDP("912834BR Govt","COUPON_FREQUENCY_DESCRIPTION")</f>
        <v>#N/A Field Not Applicable</v>
      </c>
      <c r="K531" t="str">
        <f>_xll.BDP("912834BR Govt","CPN_TYP")</f>
        <v>ZERO</v>
      </c>
      <c r="L531" t="str">
        <f>_xll.BDP("912834BR Govt","ID_ISIN")</f>
        <v>US912834BR89</v>
      </c>
      <c r="N531">
        <v>0</v>
      </c>
      <c r="O531" t="str">
        <f>_xll.BDP("912834BR Govt","ISSUE_DT")</f>
        <v>4/30/2009</v>
      </c>
      <c r="P531" t="str">
        <f>_xll.BDP("912834BR Govt","SECURITY_NAME")</f>
        <v>S 0 04/30/16</v>
      </c>
      <c r="Q531" t="str">
        <f>_xll.BDP("912834BR Govt","DAY_CNT_DES")</f>
        <v>ACT/ACT</v>
      </c>
      <c r="R531">
        <v>100</v>
      </c>
      <c r="S531" t="str">
        <f>_xll.BDP("912834BR Govt","ID_CUSIP")</f>
        <v>912834BR8</v>
      </c>
      <c r="T531" t="str">
        <f>_xll.BDP("912834BR Govt","IDX_RATIO")</f>
        <v>#N/A Field Not Applicable</v>
      </c>
    </row>
    <row r="532" spans="1:20" x14ac:dyDescent="0.25">
      <c r="A532" t="s">
        <v>14</v>
      </c>
      <c r="B532" t="str">
        <f>_xll.BDP("912834EE Govt","TICKER")</f>
        <v>S</v>
      </c>
      <c r="C532">
        <f>_xll.BDP("912834EE Govt","CPN")</f>
        <v>0</v>
      </c>
      <c r="D532" t="str">
        <f>_xll.BDP("912834EE Govt","YLD_YTM_BID")</f>
        <v>#N/A N/A</v>
      </c>
      <c r="E532" t="str">
        <f>_xll.BDP("912834EE Govt","MATURITY")</f>
        <v>6/30/2015</v>
      </c>
      <c r="F532" t="str">
        <f>_xll.BDP("912834EE Govt","MTY_TYP")</f>
        <v>NORMAL</v>
      </c>
      <c r="G532" t="str">
        <f>_xll.BDP("912834EE Govt","CRNCY")</f>
        <v>USD</v>
      </c>
      <c r="H532" t="str">
        <f>_xll.BDP("912834EE Govt","COUNTRY_FULL_NAME")</f>
        <v>UNITED STATES</v>
      </c>
      <c r="I532" t="str">
        <f>_xll.BDP("912834EE Govt","FIRST_CPN_DT")</f>
        <v>#N/A Field Not Applicable</v>
      </c>
      <c r="J532" t="str">
        <f>_xll.BDP("912834EE Govt","COUPON_FREQUENCY_DESCRIPTION")</f>
        <v>#N/A Field Not Applicable</v>
      </c>
      <c r="K532" t="str">
        <f>_xll.BDP("912834EE Govt","CPN_TYP")</f>
        <v>ZERO</v>
      </c>
      <c r="L532" t="str">
        <f>_xll.BDP("912834EE Govt","ID_ISIN")</f>
        <v>US912834EE40</v>
      </c>
      <c r="N532">
        <v>0</v>
      </c>
      <c r="O532" t="str">
        <f>_xll.BDP("912834EE Govt","ISSUE_DT")</f>
        <v>6/30/2009</v>
      </c>
      <c r="P532" t="str">
        <f>_xll.BDP("912834EE Govt","SECURITY_NAME")</f>
        <v>S 0 06/30/15</v>
      </c>
      <c r="Q532" t="str">
        <f>_xll.BDP("912834EE Govt","DAY_CNT_DES")</f>
        <v>ACT/ACT</v>
      </c>
      <c r="R532">
        <v>100</v>
      </c>
      <c r="S532" t="str">
        <f>_xll.BDP("912834EE Govt","ID_CUSIP")</f>
        <v>912834EE4</v>
      </c>
      <c r="T532" t="str">
        <f>_xll.BDP("912834EE Govt","IDX_RATIO")</f>
        <v>#N/A Field Not Applicable</v>
      </c>
    </row>
    <row r="533" spans="1:20" x14ac:dyDescent="0.25">
      <c r="A533" t="s">
        <v>14</v>
      </c>
      <c r="B533" t="str">
        <f>_xll.BDP("912834EG Govt","TICKER")</f>
        <v>S</v>
      </c>
      <c r="C533">
        <f>_xll.BDP("912834EG Govt","CPN")</f>
        <v>0</v>
      </c>
      <c r="D533" t="str">
        <f>_xll.BDP("912834EG Govt","YLD_YTM_BID")</f>
        <v>#N/A N/A</v>
      </c>
      <c r="E533" t="str">
        <f>_xll.BDP("912834EG Govt","MATURITY")</f>
        <v>6/30/2016</v>
      </c>
      <c r="F533" t="str">
        <f>_xll.BDP("912834EG Govt","MTY_TYP")</f>
        <v>NORMAL</v>
      </c>
      <c r="G533" t="str">
        <f>_xll.BDP("912834EG Govt","CRNCY")</f>
        <v>USD</v>
      </c>
      <c r="H533" t="str">
        <f>_xll.BDP("912834EG Govt","COUNTRY_FULL_NAME")</f>
        <v>UNITED STATES</v>
      </c>
      <c r="I533" t="str">
        <f>_xll.BDP("912834EG Govt","FIRST_CPN_DT")</f>
        <v>#N/A Field Not Applicable</v>
      </c>
      <c r="J533" t="str">
        <f>_xll.BDP("912834EG Govt","COUPON_FREQUENCY_DESCRIPTION")</f>
        <v>#N/A Field Not Applicable</v>
      </c>
      <c r="K533" t="str">
        <f>_xll.BDP("912834EG Govt","CPN_TYP")</f>
        <v>ZERO</v>
      </c>
      <c r="L533" t="str">
        <f>_xll.BDP("912834EG Govt","ID_ISIN")</f>
        <v>US912834EG97</v>
      </c>
      <c r="N533">
        <v>0</v>
      </c>
      <c r="O533" t="str">
        <f>_xll.BDP("912834EG Govt","ISSUE_DT")</f>
        <v>6/30/2009</v>
      </c>
      <c r="P533" t="str">
        <f>_xll.BDP("912834EG Govt","SECURITY_NAME")</f>
        <v>S 0 06/30/16</v>
      </c>
      <c r="Q533" t="str">
        <f>_xll.BDP("912834EG Govt","DAY_CNT_DES")</f>
        <v>ACT/ACT</v>
      </c>
      <c r="R533">
        <v>100</v>
      </c>
      <c r="S533" t="str">
        <f>_xll.BDP("912834EG Govt","ID_CUSIP")</f>
        <v>912834EG9</v>
      </c>
      <c r="T533" t="str">
        <f>_xll.BDP("912834EG Govt","IDX_RATIO")</f>
        <v>#N/A Field Not Applicable</v>
      </c>
    </row>
    <row r="534" spans="1:20" x14ac:dyDescent="0.25">
      <c r="A534" t="s">
        <v>14</v>
      </c>
      <c r="B534" t="str">
        <f>_xll.BDP("912834FC Govt","TICKER")</f>
        <v>S</v>
      </c>
      <c r="C534">
        <f>_xll.BDP("912834FC Govt","CPN")</f>
        <v>0</v>
      </c>
      <c r="D534" t="str">
        <f>_xll.BDP("912834FC Govt","YLD_YTM_BID")</f>
        <v>#N/A N/A</v>
      </c>
      <c r="E534" t="str">
        <f>_xll.BDP("912834FC Govt","MATURITY")</f>
        <v>2/28/2017</v>
      </c>
      <c r="F534" t="str">
        <f>_xll.BDP("912834FC Govt","MTY_TYP")</f>
        <v>NORMAL</v>
      </c>
      <c r="G534" t="str">
        <f>_xll.BDP("912834FC Govt","CRNCY")</f>
        <v>USD</v>
      </c>
      <c r="H534" t="str">
        <f>_xll.BDP("912834FC Govt","COUNTRY_FULL_NAME")</f>
        <v>UNITED STATES</v>
      </c>
      <c r="I534" t="str">
        <f>_xll.BDP("912834FC Govt","FIRST_CPN_DT")</f>
        <v>#N/A Field Not Applicable</v>
      </c>
      <c r="J534" t="str">
        <f>_xll.BDP("912834FC Govt","COUPON_FREQUENCY_DESCRIPTION")</f>
        <v>#N/A Field Not Applicable</v>
      </c>
      <c r="K534" t="str">
        <f>_xll.BDP("912834FC Govt","CPN_TYP")</f>
        <v>ZERO</v>
      </c>
      <c r="L534" t="str">
        <f>_xll.BDP("912834FC Govt","ID_ISIN")</f>
        <v>US912834FC74</v>
      </c>
      <c r="N534">
        <v>0</v>
      </c>
      <c r="O534" t="str">
        <f>_xll.BDP("912834FC Govt","ISSUE_DT")</f>
        <v>3/1/2010</v>
      </c>
      <c r="P534" t="str">
        <f>_xll.BDP("912834FC Govt","SECURITY_NAME")</f>
        <v>S 0 02/28/17</v>
      </c>
      <c r="Q534" t="str">
        <f>_xll.BDP("912834FC Govt","DAY_CNT_DES")</f>
        <v>ACT/ACT</v>
      </c>
      <c r="R534">
        <v>100</v>
      </c>
      <c r="S534" t="str">
        <f>_xll.BDP("912834FC Govt","ID_CUSIP")</f>
        <v>912834FC7</v>
      </c>
      <c r="T534" t="str">
        <f>_xll.BDP("912834FC Govt","IDX_RATIO")</f>
        <v>#N/A Field Not Applicable</v>
      </c>
    </row>
    <row r="535" spans="1:20" x14ac:dyDescent="0.25">
      <c r="A535" t="s">
        <v>14</v>
      </c>
      <c r="B535" t="str">
        <f>_xll.BDP("912834HR Govt","TICKER")</f>
        <v>S</v>
      </c>
      <c r="C535">
        <f>_xll.BDP("912834HR Govt","CPN")</f>
        <v>0</v>
      </c>
      <c r="D535" t="str">
        <f>_xll.BDP("912834HR Govt","YLD_YTM_BID")</f>
        <v>#N/A N/A</v>
      </c>
      <c r="E535" t="str">
        <f>_xll.BDP("912834HR Govt","MATURITY")</f>
        <v>3/15/2013</v>
      </c>
      <c r="F535" t="str">
        <f>_xll.BDP("912834HR Govt","MTY_TYP")</f>
        <v>NORMAL</v>
      </c>
      <c r="G535" t="str">
        <f>_xll.BDP("912834HR Govt","CRNCY")</f>
        <v>USD</v>
      </c>
      <c r="H535" t="str">
        <f>_xll.BDP("912834HR Govt","COUNTRY_FULL_NAME")</f>
        <v>UNITED STATES</v>
      </c>
      <c r="I535" t="str">
        <f>_xll.BDP("912834HR Govt","FIRST_CPN_DT")</f>
        <v>#N/A Field Not Applicable</v>
      </c>
      <c r="J535" t="str">
        <f>_xll.BDP("912834HR Govt","COUPON_FREQUENCY_DESCRIPTION")</f>
        <v>#N/A Field Not Applicable</v>
      </c>
      <c r="K535" t="str">
        <f>_xll.BDP("912834HR Govt","CPN_TYP")</f>
        <v>ZERO</v>
      </c>
      <c r="L535" t="str">
        <f>_xll.BDP("912834HR Govt","ID_ISIN")</f>
        <v>US912834HR26</v>
      </c>
      <c r="N535">
        <v>0</v>
      </c>
      <c r="O535" t="str">
        <f>_xll.BDP("912834HR Govt","ISSUE_DT")</f>
        <v>3/15/2010</v>
      </c>
      <c r="P535" t="str">
        <f>_xll.BDP("912834HR Govt","SECURITY_NAME")</f>
        <v>S 0 03/15/13</v>
      </c>
      <c r="Q535" t="str">
        <f>_xll.BDP("912834HR Govt","DAY_CNT_DES")</f>
        <v>ACT/ACT</v>
      </c>
      <c r="R535">
        <v>100</v>
      </c>
      <c r="S535" t="str">
        <f>_xll.BDP("912834HR Govt","ID_CUSIP")</f>
        <v>912834HR2</v>
      </c>
      <c r="T535" t="str">
        <f>_xll.BDP("912834HR Govt","IDX_RATIO")</f>
        <v>#N/A Field Not Applicable</v>
      </c>
    </row>
    <row r="536" spans="1:20" x14ac:dyDescent="0.25">
      <c r="A536" t="s">
        <v>14</v>
      </c>
      <c r="B536" t="str">
        <f>_xll.BDP("912834HW Govt","TICKER")</f>
        <v>S</v>
      </c>
      <c r="C536">
        <f>_xll.BDP("912834HW Govt","CPN")</f>
        <v>0</v>
      </c>
      <c r="D536" t="str">
        <f>_xll.BDP("912834HW Govt","YLD_YTM_BID")</f>
        <v>#N/A N/A</v>
      </c>
      <c r="E536" t="str">
        <f>_xll.BDP("912834HW Govt","MATURITY")</f>
        <v>5/31/2017</v>
      </c>
      <c r="F536" t="str">
        <f>_xll.BDP("912834HW Govt","MTY_TYP")</f>
        <v>NORMAL</v>
      </c>
      <c r="G536" t="str">
        <f>_xll.BDP("912834HW Govt","CRNCY")</f>
        <v>USD</v>
      </c>
      <c r="H536" t="str">
        <f>_xll.BDP("912834HW Govt","COUNTRY_FULL_NAME")</f>
        <v>UNITED STATES</v>
      </c>
      <c r="I536" t="str">
        <f>_xll.BDP("912834HW Govt","FIRST_CPN_DT")</f>
        <v>#N/A Field Not Applicable</v>
      </c>
      <c r="J536" t="str">
        <f>_xll.BDP("912834HW Govt","COUPON_FREQUENCY_DESCRIPTION")</f>
        <v>#N/A Field Not Applicable</v>
      </c>
      <c r="K536" t="str">
        <f>_xll.BDP("912834HW Govt","CPN_TYP")</f>
        <v>ZERO</v>
      </c>
      <c r="L536" t="str">
        <f>_xll.BDP("912834HW Govt","ID_ISIN")</f>
        <v>US912834HW11</v>
      </c>
      <c r="N536">
        <v>0</v>
      </c>
      <c r="O536" t="str">
        <f>_xll.BDP("912834HW Govt","ISSUE_DT")</f>
        <v>6/1/2010</v>
      </c>
      <c r="P536" t="str">
        <f>_xll.BDP("912834HW Govt","SECURITY_NAME")</f>
        <v>S 0 05/31/17</v>
      </c>
      <c r="Q536" t="str">
        <f>_xll.BDP("912834HW Govt","DAY_CNT_DES")</f>
        <v>ACT/ACT</v>
      </c>
      <c r="R536">
        <v>100</v>
      </c>
      <c r="S536" t="str">
        <f>_xll.BDP("912834HW Govt","ID_CUSIP")</f>
        <v>912834HW1</v>
      </c>
      <c r="T536" t="str">
        <f>_xll.BDP("912834HW Govt","IDX_RATIO")</f>
        <v>#N/A Field Not Applicable</v>
      </c>
    </row>
    <row r="537" spans="1:20" x14ac:dyDescent="0.25">
      <c r="A537" t="s">
        <v>14</v>
      </c>
      <c r="B537" t="str">
        <f>_xll.BDP("912834JA Govt","TICKER")</f>
        <v>S</v>
      </c>
      <c r="C537">
        <f>_xll.BDP("912834JA Govt","CPN")</f>
        <v>0</v>
      </c>
      <c r="D537" t="str">
        <f>_xll.BDP("912834JA Govt","YLD_YTM_BID")</f>
        <v>#N/A N/A</v>
      </c>
      <c r="E537" t="str">
        <f>_xll.BDP("912834JA Govt","MATURITY")</f>
        <v>7/31/2017</v>
      </c>
      <c r="F537" t="str">
        <f>_xll.BDP("912834JA Govt","MTY_TYP")</f>
        <v>NORMAL</v>
      </c>
      <c r="G537" t="str">
        <f>_xll.BDP("912834JA Govt","CRNCY")</f>
        <v>USD</v>
      </c>
      <c r="H537" t="str">
        <f>_xll.BDP("912834JA Govt","COUNTRY_FULL_NAME")</f>
        <v>UNITED STATES</v>
      </c>
      <c r="I537" t="str">
        <f>_xll.BDP("912834JA Govt","FIRST_CPN_DT")</f>
        <v>#N/A Field Not Applicable</v>
      </c>
      <c r="J537" t="str">
        <f>_xll.BDP("912834JA Govt","COUPON_FREQUENCY_DESCRIPTION")</f>
        <v>#N/A Field Not Applicable</v>
      </c>
      <c r="K537" t="str">
        <f>_xll.BDP("912834JA Govt","CPN_TYP")</f>
        <v>ZERO</v>
      </c>
      <c r="L537" t="str">
        <f>_xll.BDP("912834JA Govt","ID_ISIN")</f>
        <v>US912834JA72</v>
      </c>
      <c r="N537">
        <v>0</v>
      </c>
      <c r="O537" t="str">
        <f>_xll.BDP("912834JA Govt","ISSUE_DT")</f>
        <v>8/2/2010</v>
      </c>
      <c r="P537" t="str">
        <f>_xll.BDP("912834JA Govt","SECURITY_NAME")</f>
        <v>S 0 07/31/17</v>
      </c>
      <c r="Q537" t="str">
        <f>_xll.BDP("912834JA Govt","DAY_CNT_DES")</f>
        <v>ACT/ACT</v>
      </c>
      <c r="R537">
        <v>100</v>
      </c>
      <c r="S537" t="str">
        <f>_xll.BDP("912834JA Govt","ID_CUSIP")</f>
        <v>912834JA7</v>
      </c>
      <c r="T537" t="str">
        <f>_xll.BDP("912834JA Govt","IDX_RATIO")</f>
        <v>#N/A Field Not Applicable</v>
      </c>
    </row>
    <row r="538" spans="1:20" x14ac:dyDescent="0.25">
      <c r="A538" t="s">
        <v>14</v>
      </c>
      <c r="B538" t="str">
        <f>_xll.BDP("912834JL Govt","TICKER")</f>
        <v>S</v>
      </c>
      <c r="C538">
        <f>_xll.BDP("912834JL Govt","CPN")</f>
        <v>0</v>
      </c>
      <c r="D538" t="str">
        <f>_xll.BDP("912834JL Govt","YLD_YTM_BID")</f>
        <v>#N/A N/A</v>
      </c>
      <c r="E538" t="str">
        <f>_xll.BDP("912834JL Govt","MATURITY")</f>
        <v>12/31/2017</v>
      </c>
      <c r="F538" t="str">
        <f>_xll.BDP("912834JL Govt","MTY_TYP")</f>
        <v>NORMAL</v>
      </c>
      <c r="G538" t="str">
        <f>_xll.BDP("912834JL Govt","CRNCY")</f>
        <v>USD</v>
      </c>
      <c r="H538" t="str">
        <f>_xll.BDP("912834JL Govt","COUNTRY_FULL_NAME")</f>
        <v>UNITED STATES</v>
      </c>
      <c r="I538" t="str">
        <f>_xll.BDP("912834JL Govt","FIRST_CPN_DT")</f>
        <v>#N/A Field Not Applicable</v>
      </c>
      <c r="J538" t="str">
        <f>_xll.BDP("912834JL Govt","COUPON_FREQUENCY_DESCRIPTION")</f>
        <v>#N/A Field Not Applicable</v>
      </c>
      <c r="K538" t="str">
        <f>_xll.BDP("912834JL Govt","CPN_TYP")</f>
        <v>ZERO</v>
      </c>
      <c r="L538" t="str">
        <f>_xll.BDP("912834JL Govt","ID_ISIN")</f>
        <v>US912834JL38</v>
      </c>
      <c r="N538">
        <v>0</v>
      </c>
      <c r="O538" t="str">
        <f>_xll.BDP("912834JL Govt","ISSUE_DT")</f>
        <v>12/31/2010</v>
      </c>
      <c r="P538" t="str">
        <f>_xll.BDP("912834JL Govt","SECURITY_NAME")</f>
        <v>S 0 12/31/17</v>
      </c>
      <c r="Q538" t="str">
        <f>_xll.BDP("912834JL Govt","DAY_CNT_DES")</f>
        <v>ACT/ACT</v>
      </c>
      <c r="R538">
        <v>100</v>
      </c>
      <c r="S538" t="str">
        <f>_xll.BDP("912834JL Govt","ID_CUSIP")</f>
        <v>912834JL3</v>
      </c>
      <c r="T538" t="str">
        <f>_xll.BDP("912834JL Govt","IDX_RATIO")</f>
        <v>#N/A Field Not Applicable</v>
      </c>
    </row>
    <row r="539" spans="1:20" x14ac:dyDescent="0.25">
      <c r="A539" t="s">
        <v>14</v>
      </c>
      <c r="B539" t="str">
        <f>_xll.BDP("912834LY Govt","TICKER")</f>
        <v>S</v>
      </c>
      <c r="C539">
        <f>_xll.BDP("912834LY Govt","CPN")</f>
        <v>0</v>
      </c>
      <c r="D539" t="str">
        <f>_xll.BDP("912834LY Govt","YLD_YTM_BID")</f>
        <v>#N/A N/A</v>
      </c>
      <c r="E539" t="str">
        <f>_xll.BDP("912834LY Govt","MATURITY")</f>
        <v>11/30/2019</v>
      </c>
      <c r="F539" t="str">
        <f>_xll.BDP("912834LY Govt","MTY_TYP")</f>
        <v>NORMAL</v>
      </c>
      <c r="G539" t="str">
        <f>_xll.BDP("912834LY Govt","CRNCY")</f>
        <v>USD</v>
      </c>
      <c r="H539" t="str">
        <f>_xll.BDP("912834LY Govt","COUNTRY_FULL_NAME")</f>
        <v>UNITED STATES</v>
      </c>
      <c r="I539" t="str">
        <f>_xll.BDP("912834LY Govt","FIRST_CPN_DT")</f>
        <v>#N/A Field Not Applicable</v>
      </c>
      <c r="J539" t="str">
        <f>_xll.BDP("912834LY Govt","COUPON_FREQUENCY_DESCRIPTION")</f>
        <v>#N/A Field Not Applicable</v>
      </c>
      <c r="K539" t="str">
        <f>_xll.BDP("912834LY Govt","CPN_TYP")</f>
        <v>ZERO</v>
      </c>
      <c r="L539" t="str">
        <f>_xll.BDP("912834LY Govt","ID_ISIN")</f>
        <v>US912834LY21</v>
      </c>
      <c r="N539">
        <v>0</v>
      </c>
      <c r="O539" t="str">
        <f>_xll.BDP("912834LY Govt","ISSUE_DT")</f>
        <v>11/30/2012</v>
      </c>
      <c r="P539" t="str">
        <f>_xll.BDP("912834LY Govt","SECURITY_NAME")</f>
        <v>S 0 11/30/19</v>
      </c>
      <c r="Q539" t="str">
        <f>_xll.BDP("912834LY Govt","DAY_CNT_DES")</f>
        <v>ACT/ACT</v>
      </c>
      <c r="R539">
        <v>100</v>
      </c>
      <c r="S539" t="str">
        <f>_xll.BDP("912834LY Govt","ID_CUSIP")</f>
        <v>912834LY2</v>
      </c>
      <c r="T539" t="str">
        <f>_xll.BDP("912834LY Govt","IDX_RATIO")</f>
        <v>#N/A Field Not Applicable</v>
      </c>
    </row>
    <row r="540" spans="1:20" x14ac:dyDescent="0.25">
      <c r="A540" t="s">
        <v>14</v>
      </c>
      <c r="B540" t="str">
        <f>_xll.BDP("912834MB Govt","TICKER")</f>
        <v>S</v>
      </c>
      <c r="C540">
        <f>_xll.BDP("912834MB Govt","CPN")</f>
        <v>0</v>
      </c>
      <c r="D540" t="str">
        <f>_xll.BDP("912834MB Govt","YLD_YTM_BID")</f>
        <v>#N/A N/A</v>
      </c>
      <c r="E540" t="str">
        <f>_xll.BDP("912834MB Govt","MATURITY")</f>
        <v>1/15/2016</v>
      </c>
      <c r="F540" t="str">
        <f>_xll.BDP("912834MB Govt","MTY_TYP")</f>
        <v>NORMAL</v>
      </c>
      <c r="G540" t="str">
        <f>_xll.BDP("912834MB Govt","CRNCY")</f>
        <v>USD</v>
      </c>
      <c r="H540" t="str">
        <f>_xll.BDP("912834MB Govt","COUNTRY_FULL_NAME")</f>
        <v>UNITED STATES</v>
      </c>
      <c r="I540" t="str">
        <f>_xll.BDP("912834MB Govt","FIRST_CPN_DT")</f>
        <v>#N/A Field Not Applicable</v>
      </c>
      <c r="J540" t="str">
        <f>_xll.BDP("912834MB Govt","COUPON_FREQUENCY_DESCRIPTION")</f>
        <v>#N/A Field Not Applicable</v>
      </c>
      <c r="K540" t="str">
        <f>_xll.BDP("912834MB Govt","CPN_TYP")</f>
        <v>ZERO</v>
      </c>
      <c r="L540" t="str">
        <f>_xll.BDP("912834MB Govt","ID_ISIN")</f>
        <v>US912834MB19</v>
      </c>
      <c r="N540">
        <v>0</v>
      </c>
      <c r="O540" t="str">
        <f>_xll.BDP("912834MB Govt","ISSUE_DT")</f>
        <v>1/15/2013</v>
      </c>
      <c r="P540" t="str">
        <f>_xll.BDP("912834MB Govt","SECURITY_NAME")</f>
        <v>S 0 01/15/16</v>
      </c>
      <c r="Q540" t="str">
        <f>_xll.BDP("912834MB Govt","DAY_CNT_DES")</f>
        <v>ACT/ACT</v>
      </c>
      <c r="R540">
        <v>100</v>
      </c>
      <c r="S540" t="str">
        <f>_xll.BDP("912834MB Govt","ID_CUSIP")</f>
        <v>912834MB1</v>
      </c>
      <c r="T540" t="str">
        <f>_xll.BDP("912834MB Govt","IDX_RATIO")</f>
        <v>#N/A Field Not Applicable</v>
      </c>
    </row>
    <row r="541" spans="1:20" x14ac:dyDescent="0.25">
      <c r="A541" t="s">
        <v>14</v>
      </c>
      <c r="B541" t="str">
        <f>_xll.BDP("912834MC Govt","TICKER")</f>
        <v>S</v>
      </c>
      <c r="C541">
        <f>_xll.BDP("912834MC Govt","CPN")</f>
        <v>0</v>
      </c>
      <c r="D541" t="str">
        <f>_xll.BDP("912834MC Govt","YLD_YTM_BID")</f>
        <v>#N/A N/A</v>
      </c>
      <c r="E541" t="str">
        <f>_xll.BDP("912834MC Govt","MATURITY")</f>
        <v>1/31/2020</v>
      </c>
      <c r="F541" t="str">
        <f>_xll.BDP("912834MC Govt","MTY_TYP")</f>
        <v>NORMAL</v>
      </c>
      <c r="G541" t="str">
        <f>_xll.BDP("912834MC Govt","CRNCY")</f>
        <v>USD</v>
      </c>
      <c r="H541" t="str">
        <f>_xll.BDP("912834MC Govt","COUNTRY_FULL_NAME")</f>
        <v>UNITED STATES</v>
      </c>
      <c r="I541" t="str">
        <f>_xll.BDP("912834MC Govt","FIRST_CPN_DT")</f>
        <v>#N/A Field Not Applicable</v>
      </c>
      <c r="J541" t="str">
        <f>_xll.BDP("912834MC Govt","COUPON_FREQUENCY_DESCRIPTION")</f>
        <v>#N/A Field Not Applicable</v>
      </c>
      <c r="K541" t="str">
        <f>_xll.BDP("912834MC Govt","CPN_TYP")</f>
        <v>ZERO</v>
      </c>
      <c r="L541" t="str">
        <f>_xll.BDP("912834MC Govt","ID_ISIN")</f>
        <v>US912834MC91</v>
      </c>
      <c r="N541">
        <v>0</v>
      </c>
      <c r="O541" t="str">
        <f>_xll.BDP("912834MC Govt","ISSUE_DT")</f>
        <v>1/31/2013</v>
      </c>
      <c r="P541" t="str">
        <f>_xll.BDP("912834MC Govt","SECURITY_NAME")</f>
        <v>S 0 01/31/20</v>
      </c>
      <c r="Q541" t="str">
        <f>_xll.BDP("912834MC Govt","DAY_CNT_DES")</f>
        <v>ACT/ACT</v>
      </c>
      <c r="R541">
        <v>100</v>
      </c>
      <c r="S541" t="str">
        <f>_xll.BDP("912834MC Govt","ID_CUSIP")</f>
        <v>912834MC9</v>
      </c>
      <c r="T541" t="str">
        <f>_xll.BDP("912834MC Govt","IDX_RATIO")</f>
        <v>#N/A Field Not Applicable</v>
      </c>
    </row>
    <row r="542" spans="1:20" x14ac:dyDescent="0.25">
      <c r="A542" t="s">
        <v>14</v>
      </c>
      <c r="B542" t="str">
        <f>_xll.BDP("912834MP Govt","TICKER")</f>
        <v>S</v>
      </c>
      <c r="C542">
        <f>_xll.BDP("912834MP Govt","CPN")</f>
        <v>0</v>
      </c>
      <c r="D542" t="str">
        <f>_xll.BDP("912834MP Govt","YLD_YTM_BID")</f>
        <v>#N/A N/A</v>
      </c>
      <c r="E542" t="str">
        <f>_xll.BDP("912834MP Govt","MATURITY")</f>
        <v>6/15/2016</v>
      </c>
      <c r="F542" t="str">
        <f>_xll.BDP("912834MP Govt","MTY_TYP")</f>
        <v>NORMAL</v>
      </c>
      <c r="G542" t="str">
        <f>_xll.BDP("912834MP Govt","CRNCY")</f>
        <v>USD</v>
      </c>
      <c r="H542" t="str">
        <f>_xll.BDP("912834MP Govt","COUNTRY_FULL_NAME")</f>
        <v>UNITED STATES</v>
      </c>
      <c r="I542" t="str">
        <f>_xll.BDP("912834MP Govt","FIRST_CPN_DT")</f>
        <v>#N/A Field Not Applicable</v>
      </c>
      <c r="J542" t="str">
        <f>_xll.BDP("912834MP Govt","COUPON_FREQUENCY_DESCRIPTION")</f>
        <v>#N/A Field Not Applicable</v>
      </c>
      <c r="K542" t="str">
        <f>_xll.BDP("912834MP Govt","CPN_TYP")</f>
        <v>ZERO</v>
      </c>
      <c r="L542" t="str">
        <f>_xll.BDP("912834MP Govt","ID_ISIN")</f>
        <v>US912834MP05</v>
      </c>
      <c r="N542">
        <v>0</v>
      </c>
      <c r="O542" t="str">
        <f>_xll.BDP("912834MP Govt","ISSUE_DT")</f>
        <v>6/17/2013</v>
      </c>
      <c r="P542" t="str">
        <f>_xll.BDP("912834MP Govt","SECURITY_NAME")</f>
        <v>S 0 06/15/16</v>
      </c>
      <c r="Q542" t="str">
        <f>_xll.BDP("912834MP Govt","DAY_CNT_DES")</f>
        <v>ACT/ACT</v>
      </c>
      <c r="R542">
        <v>100</v>
      </c>
      <c r="S542" t="str">
        <f>_xll.BDP("912834MP Govt","ID_CUSIP")</f>
        <v>912834MP0</v>
      </c>
      <c r="T542" t="str">
        <f>_xll.BDP("912834MP Govt","IDX_RATIO")</f>
        <v>#N/A Field Not Applicable</v>
      </c>
    </row>
    <row r="543" spans="1:20" x14ac:dyDescent="0.25">
      <c r="A543" t="s">
        <v>14</v>
      </c>
      <c r="B543" t="str">
        <f>_xll.BDP("912834MV Govt","TICKER")</f>
        <v>S</v>
      </c>
      <c r="C543">
        <f>_xll.BDP("912834MV Govt","CPN")</f>
        <v>0</v>
      </c>
      <c r="D543" t="str">
        <f>_xll.BDP("912834MV Govt","YLD_YTM_BID")</f>
        <v>#N/A N/A</v>
      </c>
      <c r="E543" t="str">
        <f>_xll.BDP("912834MV Govt","MATURITY")</f>
        <v>9/15/2016</v>
      </c>
      <c r="F543" t="str">
        <f>_xll.BDP("912834MV Govt","MTY_TYP")</f>
        <v>NORMAL</v>
      </c>
      <c r="G543" t="str">
        <f>_xll.BDP("912834MV Govt","CRNCY")</f>
        <v>USD</v>
      </c>
      <c r="H543" t="str">
        <f>_xll.BDP("912834MV Govt","COUNTRY_FULL_NAME")</f>
        <v>UNITED STATES</v>
      </c>
      <c r="I543" t="str">
        <f>_xll.BDP("912834MV Govt","FIRST_CPN_DT")</f>
        <v>#N/A Field Not Applicable</v>
      </c>
      <c r="J543" t="str">
        <f>_xll.BDP("912834MV Govt","COUPON_FREQUENCY_DESCRIPTION")</f>
        <v>#N/A Field Not Applicable</v>
      </c>
      <c r="K543" t="str">
        <f>_xll.BDP("912834MV Govt","CPN_TYP")</f>
        <v>ZERO</v>
      </c>
      <c r="L543" t="str">
        <f>_xll.BDP("912834MV Govt","ID_ISIN")</f>
        <v>US912834MV72</v>
      </c>
      <c r="N543">
        <v>0</v>
      </c>
      <c r="O543" t="str">
        <f>_xll.BDP("912834MV Govt","ISSUE_DT")</f>
        <v>9/16/2013</v>
      </c>
      <c r="P543" t="str">
        <f>_xll.BDP("912834MV Govt","SECURITY_NAME")</f>
        <v>S 0 09/15/16</v>
      </c>
      <c r="Q543" t="str">
        <f>_xll.BDP("912834MV Govt","DAY_CNT_DES")</f>
        <v>ACT/ACT</v>
      </c>
      <c r="R543">
        <v>100</v>
      </c>
      <c r="S543" t="str">
        <f>_xll.BDP("912834MV Govt","ID_CUSIP")</f>
        <v>912834MV7</v>
      </c>
      <c r="T543" t="str">
        <f>_xll.BDP("912834MV Govt","IDX_RATIO")</f>
        <v>#N/A Field Not Applicable</v>
      </c>
    </row>
    <row r="544" spans="1:20" x14ac:dyDescent="0.25">
      <c r="A544" t="s">
        <v>14</v>
      </c>
      <c r="B544" t="str">
        <f>_xll.BDP("912834NB Govt","TICKER")</f>
        <v>S</v>
      </c>
      <c r="C544">
        <f>_xll.BDP("912834NB Govt","CPN")</f>
        <v>0</v>
      </c>
      <c r="D544" t="str">
        <f>_xll.BDP("912834NB Govt","YLD_YTM_BID")</f>
        <v>#N/A N/A</v>
      </c>
      <c r="E544" t="str">
        <f>_xll.BDP("912834NB Govt","MATURITY")</f>
        <v>12/15/2016</v>
      </c>
      <c r="F544" t="str">
        <f>_xll.BDP("912834NB Govt","MTY_TYP")</f>
        <v>NORMAL</v>
      </c>
      <c r="G544" t="str">
        <f>_xll.BDP("912834NB Govt","CRNCY")</f>
        <v>USD</v>
      </c>
      <c r="H544" t="str">
        <f>_xll.BDP("912834NB Govt","COUNTRY_FULL_NAME")</f>
        <v>UNITED STATES</v>
      </c>
      <c r="I544" t="str">
        <f>_xll.BDP("912834NB Govt","FIRST_CPN_DT")</f>
        <v>#N/A Field Not Applicable</v>
      </c>
      <c r="J544" t="str">
        <f>_xll.BDP("912834NB Govt","COUPON_FREQUENCY_DESCRIPTION")</f>
        <v>#N/A Field Not Applicable</v>
      </c>
      <c r="K544" t="str">
        <f>_xll.BDP("912834NB Govt","CPN_TYP")</f>
        <v>ZERO</v>
      </c>
      <c r="L544" t="str">
        <f>_xll.BDP("912834NB Govt","ID_ISIN")</f>
        <v>US912834NB00</v>
      </c>
      <c r="N544">
        <v>0</v>
      </c>
      <c r="O544" t="str">
        <f>_xll.BDP("912834NB Govt","ISSUE_DT")</f>
        <v>12/16/2013</v>
      </c>
      <c r="P544" t="str">
        <f>_xll.BDP("912834NB Govt","SECURITY_NAME")</f>
        <v>S 0 12/15/16</v>
      </c>
      <c r="Q544" t="str">
        <f>_xll.BDP("912834NB Govt","DAY_CNT_DES")</f>
        <v>ACT/ACT</v>
      </c>
      <c r="R544">
        <v>100</v>
      </c>
      <c r="S544" t="str">
        <f>_xll.BDP("912834NB Govt","ID_CUSIP")</f>
        <v>912834NB0</v>
      </c>
      <c r="T544" t="str">
        <f>_xll.BDP("912834NB Govt","IDX_RATIO")</f>
        <v>#N/A Field Not Applicable</v>
      </c>
    </row>
    <row r="545" spans="1:20" x14ac:dyDescent="0.25">
      <c r="A545" t="s">
        <v>14</v>
      </c>
      <c r="B545" t="str">
        <f>_xll.BDP("912834ND Govt","TICKER")</f>
        <v>S</v>
      </c>
      <c r="C545">
        <f>_xll.BDP("912834ND Govt","CPN")</f>
        <v>0</v>
      </c>
      <c r="D545" t="str">
        <f>_xll.BDP("912834ND Govt","YLD_YTM_BID")</f>
        <v>#N/A N/A</v>
      </c>
      <c r="E545" t="str">
        <f>_xll.BDP("912834ND Govt","MATURITY")</f>
        <v>1/15/2017</v>
      </c>
      <c r="F545" t="str">
        <f>_xll.BDP("912834ND Govt","MTY_TYP")</f>
        <v>NORMAL</v>
      </c>
      <c r="G545" t="str">
        <f>_xll.BDP("912834ND Govt","CRNCY")</f>
        <v>USD</v>
      </c>
      <c r="H545" t="str">
        <f>_xll.BDP("912834ND Govt","COUNTRY_FULL_NAME")</f>
        <v>UNITED STATES</v>
      </c>
      <c r="I545" t="str">
        <f>_xll.BDP("912834ND Govt","FIRST_CPN_DT")</f>
        <v>#N/A Field Not Applicable</v>
      </c>
      <c r="J545" t="str">
        <f>_xll.BDP("912834ND Govt","COUPON_FREQUENCY_DESCRIPTION")</f>
        <v>#N/A Field Not Applicable</v>
      </c>
      <c r="K545" t="str">
        <f>_xll.BDP("912834ND Govt","CPN_TYP")</f>
        <v>ZERO</v>
      </c>
      <c r="L545" t="str">
        <f>_xll.BDP("912834ND Govt","ID_ISIN")</f>
        <v>US912834ND65</v>
      </c>
      <c r="N545">
        <v>0</v>
      </c>
      <c r="O545" t="str">
        <f>_xll.BDP("912834ND Govt","ISSUE_DT")</f>
        <v>1/15/2014</v>
      </c>
      <c r="P545" t="str">
        <f>_xll.BDP("912834ND Govt","SECURITY_NAME")</f>
        <v>S 0 01/15/17</v>
      </c>
      <c r="Q545" t="str">
        <f>_xll.BDP("912834ND Govt","DAY_CNT_DES")</f>
        <v>ACT/ACT</v>
      </c>
      <c r="R545">
        <v>100</v>
      </c>
      <c r="S545" t="str">
        <f>_xll.BDP("912834ND Govt","ID_CUSIP")</f>
        <v>912834ND6</v>
      </c>
      <c r="T545" t="str">
        <f>_xll.BDP("912834ND Govt","IDX_RATIO")</f>
        <v>#N/A Field Not Applicable</v>
      </c>
    </row>
    <row r="546" spans="1:20" x14ac:dyDescent="0.25">
      <c r="A546" t="s">
        <v>14</v>
      </c>
      <c r="B546" t="str">
        <f>_xll.BDP("912834NE Govt","TICKER")</f>
        <v>S</v>
      </c>
      <c r="C546">
        <f>_xll.BDP("912834NE Govt","CPN")</f>
        <v>0</v>
      </c>
      <c r="D546" t="str">
        <f>_xll.BDP("912834NE Govt","YLD_YTM_BID")</f>
        <v>#N/A N/A</v>
      </c>
      <c r="E546" t="str">
        <f>_xll.BDP("912834NE Govt","MATURITY")</f>
        <v>1/31/2021</v>
      </c>
      <c r="F546" t="str">
        <f>_xll.BDP("912834NE Govt","MTY_TYP")</f>
        <v>NORMAL</v>
      </c>
      <c r="G546" t="str">
        <f>_xll.BDP("912834NE Govt","CRNCY")</f>
        <v>USD</v>
      </c>
      <c r="H546" t="str">
        <f>_xll.BDP("912834NE Govt","COUNTRY_FULL_NAME")</f>
        <v>UNITED STATES</v>
      </c>
      <c r="I546" t="str">
        <f>_xll.BDP("912834NE Govt","FIRST_CPN_DT")</f>
        <v>#N/A Field Not Applicable</v>
      </c>
      <c r="J546" t="str">
        <f>_xll.BDP("912834NE Govt","COUPON_FREQUENCY_DESCRIPTION")</f>
        <v>#N/A Field Not Applicable</v>
      </c>
      <c r="K546" t="str">
        <f>_xll.BDP("912834NE Govt","CPN_TYP")</f>
        <v>ZERO</v>
      </c>
      <c r="L546" t="str">
        <f>_xll.BDP("912834NE Govt","ID_ISIN")</f>
        <v>US912834NE49</v>
      </c>
      <c r="N546">
        <v>0</v>
      </c>
      <c r="O546" t="str">
        <f>_xll.BDP("912834NE Govt","ISSUE_DT")</f>
        <v>1/31/2014</v>
      </c>
      <c r="P546" t="str">
        <f>_xll.BDP("912834NE Govt","SECURITY_NAME")</f>
        <v>S 0 01/31/21</v>
      </c>
      <c r="Q546" t="str">
        <f>_xll.BDP("912834NE Govt","DAY_CNT_DES")</f>
        <v>ACT/ACT</v>
      </c>
      <c r="R546">
        <v>100</v>
      </c>
      <c r="S546" t="str">
        <f>_xll.BDP("912834NE Govt","ID_CUSIP")</f>
        <v>912834NE4</v>
      </c>
      <c r="T546" t="str">
        <f>_xll.BDP("912834NE Govt","IDX_RATIO")</f>
        <v>#N/A Field Not Applicable</v>
      </c>
    </row>
    <row r="547" spans="1:20" x14ac:dyDescent="0.25">
      <c r="A547" t="s">
        <v>14</v>
      </c>
      <c r="B547" t="str">
        <f>_xll.BDP("912834NS Govt","TICKER")</f>
        <v>S</v>
      </c>
      <c r="C547">
        <f>_xll.BDP("912834NS Govt","CPN")</f>
        <v>0</v>
      </c>
      <c r="D547" t="str">
        <f>_xll.BDP("912834NS Govt","YLD_YTM_BID")</f>
        <v>#N/A N/A</v>
      </c>
      <c r="E547" t="str">
        <f>_xll.BDP("912834NS Govt","MATURITY")</f>
        <v>6/30/2021</v>
      </c>
      <c r="F547" t="str">
        <f>_xll.BDP("912834NS Govt","MTY_TYP")</f>
        <v>NORMAL</v>
      </c>
      <c r="G547" t="str">
        <f>_xll.BDP("912834NS Govt","CRNCY")</f>
        <v>USD</v>
      </c>
      <c r="H547" t="str">
        <f>_xll.BDP("912834NS Govt","COUNTRY_FULL_NAME")</f>
        <v>UNITED STATES</v>
      </c>
      <c r="I547" t="str">
        <f>_xll.BDP("912834NS Govt","FIRST_CPN_DT")</f>
        <v>#N/A Field Not Applicable</v>
      </c>
      <c r="J547" t="str">
        <f>_xll.BDP("912834NS Govt","COUPON_FREQUENCY_DESCRIPTION")</f>
        <v>#N/A Field Not Applicable</v>
      </c>
      <c r="K547" t="str">
        <f>_xll.BDP("912834NS Govt","CPN_TYP")</f>
        <v>ZERO</v>
      </c>
      <c r="L547" t="str">
        <f>_xll.BDP("912834NS Govt","ID_ISIN")</f>
        <v>US912834NS35</v>
      </c>
      <c r="N547">
        <v>0</v>
      </c>
      <c r="O547" t="str">
        <f>_xll.BDP("912834NS Govt","ISSUE_DT")</f>
        <v>6/30/2014</v>
      </c>
      <c r="P547" t="str">
        <f>_xll.BDP("912834NS Govt","SECURITY_NAME")</f>
        <v>S 0 06/30/21</v>
      </c>
      <c r="Q547" t="str">
        <f>_xll.BDP("912834NS Govt","DAY_CNT_DES")</f>
        <v>ACT/ACT</v>
      </c>
      <c r="R547">
        <v>100</v>
      </c>
      <c r="S547" t="str">
        <f>_xll.BDP("912834NS Govt","ID_CUSIP")</f>
        <v>912834NS3</v>
      </c>
      <c r="T547" t="str">
        <f>_xll.BDP("912834NS Govt","IDX_RATIO")</f>
        <v>#N/A Field Not Applicable</v>
      </c>
    </row>
    <row r="548" spans="1:20" x14ac:dyDescent="0.25">
      <c r="A548" t="s">
        <v>14</v>
      </c>
      <c r="B548" t="str">
        <f>_xll.BDP("912834NW Govt","TICKER")</f>
        <v>S</v>
      </c>
      <c r="C548">
        <f>_xll.BDP("912834NW Govt","CPN")</f>
        <v>0</v>
      </c>
      <c r="D548" t="str">
        <f>_xll.BDP("912834NW Govt","YLD_YTM_BID")</f>
        <v>#N/A N/A</v>
      </c>
      <c r="E548" t="str">
        <f>_xll.BDP("912834NW Govt","MATURITY")</f>
        <v>8/31/2021</v>
      </c>
      <c r="F548" t="str">
        <f>_xll.BDP("912834NW Govt","MTY_TYP")</f>
        <v>NORMAL</v>
      </c>
      <c r="G548" t="str">
        <f>_xll.BDP("912834NW Govt","CRNCY")</f>
        <v>USD</v>
      </c>
      <c r="H548" t="str">
        <f>_xll.BDP("912834NW Govt","COUNTRY_FULL_NAME")</f>
        <v>UNITED STATES</v>
      </c>
      <c r="I548" t="str">
        <f>_xll.BDP("912834NW Govt","FIRST_CPN_DT")</f>
        <v>#N/A Field Not Applicable</v>
      </c>
      <c r="J548" t="str">
        <f>_xll.BDP("912834NW Govt","COUPON_FREQUENCY_DESCRIPTION")</f>
        <v>#N/A Field Not Applicable</v>
      </c>
      <c r="K548" t="str">
        <f>_xll.BDP("912834NW Govt","CPN_TYP")</f>
        <v>ZERO</v>
      </c>
      <c r="L548" t="str">
        <f>_xll.BDP("912834NW Govt","ID_ISIN")</f>
        <v>US912834NW47</v>
      </c>
      <c r="N548">
        <v>0</v>
      </c>
      <c r="O548" t="str">
        <f>_xll.BDP("912834NW Govt","ISSUE_DT")</f>
        <v>8/31/2014</v>
      </c>
      <c r="P548" t="str">
        <f>_xll.BDP("912834NW Govt","SECURITY_NAME")</f>
        <v>S 0 08/31/21</v>
      </c>
      <c r="Q548" t="str">
        <f>_xll.BDP("912834NW Govt","DAY_CNT_DES")</f>
        <v>ACT/ACT</v>
      </c>
      <c r="R548">
        <v>100</v>
      </c>
      <c r="S548" t="str">
        <f>_xll.BDP("912834NW Govt","ID_CUSIP")</f>
        <v>912834NW4</v>
      </c>
      <c r="T548" t="str">
        <f>_xll.BDP("912834NW Govt","IDX_RATIO")</f>
        <v>#N/A Field Not Applicable</v>
      </c>
    </row>
    <row r="549" spans="1:20" x14ac:dyDescent="0.25">
      <c r="A549" t="s">
        <v>14</v>
      </c>
      <c r="B549" t="str">
        <f>_xll.BDP("912834PR Govt","TICKER")</f>
        <v>S</v>
      </c>
      <c r="C549">
        <f>_xll.BDP("912834PR Govt","CPN")</f>
        <v>0</v>
      </c>
      <c r="D549" t="str">
        <f>_xll.BDP("912834PR Govt","YLD_YTM_BID")</f>
        <v>#N/A N/A</v>
      </c>
      <c r="E549" t="str">
        <f>_xll.BDP("912834PR Govt","MATURITY")</f>
        <v>10/15/2018</v>
      </c>
      <c r="F549" t="str">
        <f>_xll.BDP("912834PR Govt","MTY_TYP")</f>
        <v>NORMAL</v>
      </c>
      <c r="G549" t="str">
        <f>_xll.BDP("912834PR Govt","CRNCY")</f>
        <v>USD</v>
      </c>
      <c r="H549" t="str">
        <f>_xll.BDP("912834PR Govt","COUNTRY_FULL_NAME")</f>
        <v>UNITED STATES</v>
      </c>
      <c r="I549" t="str">
        <f>_xll.BDP("912834PR Govt","FIRST_CPN_DT")</f>
        <v>#N/A Field Not Applicable</v>
      </c>
      <c r="J549" t="str">
        <f>_xll.BDP("912834PR Govt","COUPON_FREQUENCY_DESCRIPTION")</f>
        <v>#N/A Field Not Applicable</v>
      </c>
      <c r="K549" t="str">
        <f>_xll.BDP("912834PR Govt","CPN_TYP")</f>
        <v>ZERO</v>
      </c>
      <c r="L549" t="str">
        <f>_xll.BDP("912834PR Govt","ID_ISIN")</f>
        <v>US912834PR34</v>
      </c>
      <c r="N549">
        <v>0</v>
      </c>
      <c r="O549" t="str">
        <f>_xll.BDP("912834PR Govt","ISSUE_DT")</f>
        <v>10/15/2015</v>
      </c>
      <c r="P549" t="str">
        <f>_xll.BDP("912834PR Govt","SECURITY_NAME")</f>
        <v>S 0 10/15/18</v>
      </c>
      <c r="Q549" t="str">
        <f>_xll.BDP("912834PR Govt","DAY_CNT_DES")</f>
        <v>ACT/ACT</v>
      </c>
      <c r="R549">
        <v>100</v>
      </c>
      <c r="S549" t="str">
        <f>_xll.BDP("912834PR Govt","ID_CUSIP")</f>
        <v>912834PR3</v>
      </c>
      <c r="T549" t="str">
        <f>_xll.BDP("912834PR Govt","IDX_RATIO")</f>
        <v>#N/A Field Not Applicable</v>
      </c>
    </row>
    <row r="550" spans="1:20" x14ac:dyDescent="0.25">
      <c r="A550" t="s">
        <v>14</v>
      </c>
      <c r="B550" t="str">
        <f>_xll.BDP("912834QD Govt","TICKER")</f>
        <v>S</v>
      </c>
      <c r="C550">
        <f>_xll.BDP("912834QD Govt","CPN")</f>
        <v>0</v>
      </c>
      <c r="D550" t="str">
        <f>_xll.BDP("912834QD Govt","YLD_YTM_BID")</f>
        <v>#N/A N/A</v>
      </c>
      <c r="E550" t="str">
        <f>_xll.BDP("912834QD Govt","MATURITY")</f>
        <v>3/15/2019</v>
      </c>
      <c r="F550" t="str">
        <f>_xll.BDP("912834QD Govt","MTY_TYP")</f>
        <v>NORMAL</v>
      </c>
      <c r="G550" t="str">
        <f>_xll.BDP("912834QD Govt","CRNCY")</f>
        <v>USD</v>
      </c>
      <c r="H550" t="str">
        <f>_xll.BDP("912834QD Govt","COUNTRY_FULL_NAME")</f>
        <v>UNITED STATES</v>
      </c>
      <c r="I550" t="str">
        <f>_xll.BDP("912834QD Govt","FIRST_CPN_DT")</f>
        <v>#N/A Field Not Applicable</v>
      </c>
      <c r="J550" t="str">
        <f>_xll.BDP("912834QD Govt","COUPON_FREQUENCY_DESCRIPTION")</f>
        <v>#N/A Field Not Applicable</v>
      </c>
      <c r="K550" t="str">
        <f>_xll.BDP("912834QD Govt","CPN_TYP")</f>
        <v>ZERO</v>
      </c>
      <c r="L550" t="str">
        <f>_xll.BDP("912834QD Govt","ID_ISIN")</f>
        <v>US912834QD39</v>
      </c>
      <c r="N550">
        <v>0</v>
      </c>
      <c r="O550" t="str">
        <f>_xll.BDP("912834QD Govt","ISSUE_DT")</f>
        <v>3/15/2016</v>
      </c>
      <c r="P550" t="str">
        <f>_xll.BDP("912834QD Govt","SECURITY_NAME")</f>
        <v>S 0 03/15/19</v>
      </c>
      <c r="Q550" t="str">
        <f>_xll.BDP("912834QD Govt","DAY_CNT_DES")</f>
        <v>ACT/ACT</v>
      </c>
      <c r="R550">
        <v>100</v>
      </c>
      <c r="S550" t="str">
        <f>_xll.BDP("912834QD Govt","ID_CUSIP")</f>
        <v>912834QD3</v>
      </c>
      <c r="T550" t="str">
        <f>_xll.BDP("912834QD Govt","IDX_RATIO")</f>
        <v>#N/A Field Not Applicable</v>
      </c>
    </row>
    <row r="551" spans="1:20" x14ac:dyDescent="0.25">
      <c r="A551" t="s">
        <v>14</v>
      </c>
      <c r="B551" t="str">
        <f>_xll.BDP("912834RF Govt","TICKER")</f>
        <v>S</v>
      </c>
      <c r="C551">
        <f>_xll.BDP("912834RF Govt","CPN")</f>
        <v>0</v>
      </c>
      <c r="D551" t="str">
        <f>_xll.BDP("912834RF Govt","YLD_YTM_BID")</f>
        <v>#N/A N/A</v>
      </c>
      <c r="E551" t="str">
        <f>_xll.BDP("912834RF Govt","MATURITY")</f>
        <v>3/15/2020</v>
      </c>
      <c r="F551" t="str">
        <f>_xll.BDP("912834RF Govt","MTY_TYP")</f>
        <v>NORMAL</v>
      </c>
      <c r="G551" t="str">
        <f>_xll.BDP("912834RF Govt","CRNCY")</f>
        <v>USD</v>
      </c>
      <c r="H551" t="str">
        <f>_xll.BDP("912834RF Govt","COUNTRY_FULL_NAME")</f>
        <v>UNITED STATES</v>
      </c>
      <c r="I551" t="str">
        <f>_xll.BDP("912834RF Govt","FIRST_CPN_DT")</f>
        <v>#N/A Field Not Applicable</v>
      </c>
      <c r="J551" t="str">
        <f>_xll.BDP("912834RF Govt","COUPON_FREQUENCY_DESCRIPTION")</f>
        <v>#N/A Field Not Applicable</v>
      </c>
      <c r="K551" t="str">
        <f>_xll.BDP("912834RF Govt","CPN_TYP")</f>
        <v>ZERO</v>
      </c>
      <c r="L551" t="str">
        <f>_xll.BDP("912834RF Govt","ID_ISIN")</f>
        <v>US912834RF77</v>
      </c>
      <c r="N551">
        <v>0</v>
      </c>
      <c r="O551" t="str">
        <f>_xll.BDP("912834RF Govt","ISSUE_DT")</f>
        <v>3/15/2017</v>
      </c>
      <c r="P551" t="str">
        <f>_xll.BDP("912834RF Govt","SECURITY_NAME")</f>
        <v>S 0 03/15/20</v>
      </c>
      <c r="Q551" t="str">
        <f>_xll.BDP("912834RF Govt","DAY_CNT_DES")</f>
        <v>ACT/ACT</v>
      </c>
      <c r="R551">
        <v>100</v>
      </c>
      <c r="S551" t="str">
        <f>_xll.BDP("912834RF Govt","ID_CUSIP")</f>
        <v>912834RF7</v>
      </c>
      <c r="T551" t="str">
        <f>_xll.BDP("912834RF Govt","IDX_RATIO")</f>
        <v>#N/A Field Not Applicable</v>
      </c>
    </row>
    <row r="552" spans="1:20" x14ac:dyDescent="0.25">
      <c r="A552" t="s">
        <v>14</v>
      </c>
      <c r="B552" t="str">
        <f>_xll.BDP("9128333L Govt","TICKER")</f>
        <v>S</v>
      </c>
      <c r="C552">
        <f>_xll.BDP("9128333L Govt","CPN")</f>
        <v>0</v>
      </c>
      <c r="D552" t="str">
        <f>_xll.BDP("9128333L Govt","YLD_YTM_BID")</f>
        <v>#N/A N/A</v>
      </c>
      <c r="E552" t="str">
        <f>_xll.BDP("9128333L Govt","MATURITY")</f>
        <v>9/30/2006</v>
      </c>
      <c r="F552" t="str">
        <f>_xll.BDP("9128333L Govt","MTY_TYP")</f>
        <v>NORMAL</v>
      </c>
      <c r="G552" t="str">
        <f>_xll.BDP("9128333L Govt","CRNCY")</f>
        <v>USD</v>
      </c>
      <c r="H552" t="str">
        <f>_xll.BDP("9128333L Govt","COUNTRY_FULL_NAME")</f>
        <v>UNITED STATES</v>
      </c>
      <c r="I552" t="str">
        <f>_xll.BDP("9128333L Govt","FIRST_CPN_DT")</f>
        <v>#N/A Field Not Applicable</v>
      </c>
      <c r="J552" t="str">
        <f>_xll.BDP("9128333L Govt","COUPON_FREQUENCY_DESCRIPTION")</f>
        <v>#N/A Field Not Applicable</v>
      </c>
      <c r="K552" t="str">
        <f>_xll.BDP("9128333L Govt","CPN_TYP")</f>
        <v>ZERO</v>
      </c>
      <c r="L552" t="str">
        <f>_xll.BDP("9128333L Govt","ID_ISIN")</f>
        <v>US9128333L27</v>
      </c>
      <c r="N552">
        <v>0</v>
      </c>
      <c r="O552" t="str">
        <f>_xll.BDP("9128333L Govt","ISSUE_DT")</f>
        <v>9/30/2004</v>
      </c>
      <c r="P552" t="str">
        <f>_xll.BDP("9128333L Govt","SECURITY_NAME")</f>
        <v>S 0 09/30/06</v>
      </c>
      <c r="Q552" t="str">
        <f>_xll.BDP("9128333L Govt","DAY_CNT_DES")</f>
        <v>ACT/ACT</v>
      </c>
      <c r="R552">
        <v>100</v>
      </c>
      <c r="S552" t="str">
        <f>_xll.BDP("9128333L Govt","ID_CUSIP")</f>
        <v>9128333L2</v>
      </c>
      <c r="T552" t="str">
        <f>_xll.BDP("9128333L Govt","IDX_RATIO")</f>
        <v>#N/A Field Not Applicable</v>
      </c>
    </row>
    <row r="553" spans="1:20" x14ac:dyDescent="0.25">
      <c r="A553" t="s">
        <v>14</v>
      </c>
      <c r="B553" t="str">
        <f>_xll.BDP("9128333S Govt","TICKER")</f>
        <v>S</v>
      </c>
      <c r="C553">
        <f>_xll.BDP("9128333S Govt","CPN")</f>
        <v>0</v>
      </c>
      <c r="D553" t="str">
        <f>_xll.BDP("9128333S Govt","YLD_YTM_BID")</f>
        <v>#N/A N/A</v>
      </c>
      <c r="E553" t="str">
        <f>_xll.BDP("9128333S Govt","MATURITY")</f>
        <v>1/15/2010</v>
      </c>
      <c r="F553" t="str">
        <f>_xll.BDP("9128333S Govt","MTY_TYP")</f>
        <v>NORMAL</v>
      </c>
      <c r="G553" t="str">
        <f>_xll.BDP("9128333S Govt","CRNCY")</f>
        <v>USD</v>
      </c>
      <c r="H553" t="str">
        <f>_xll.BDP("9128333S Govt","COUNTRY_FULL_NAME")</f>
        <v>UNITED STATES</v>
      </c>
      <c r="I553" t="str">
        <f>_xll.BDP("9128333S Govt","FIRST_CPN_DT")</f>
        <v>#N/A Field Not Applicable</v>
      </c>
      <c r="J553" t="str">
        <f>_xll.BDP("9128333S Govt","COUPON_FREQUENCY_DESCRIPTION")</f>
        <v>#N/A Field Not Applicable</v>
      </c>
      <c r="K553" t="str">
        <f>_xll.BDP("9128333S Govt","CPN_TYP")</f>
        <v>ZERO</v>
      </c>
      <c r="L553" t="str">
        <f>_xll.BDP("9128333S Govt","ID_ISIN")</f>
        <v>US9128333S79</v>
      </c>
      <c r="N553">
        <v>0</v>
      </c>
      <c r="O553" t="str">
        <f>_xll.BDP("9128333S Govt","ISSUE_DT")</f>
        <v>1/18/2005</v>
      </c>
      <c r="P553" t="str">
        <f>_xll.BDP("9128333S Govt","SECURITY_NAME")</f>
        <v>S 0 01/15/10</v>
      </c>
      <c r="Q553" t="str">
        <f>_xll.BDP("9128333S Govt","DAY_CNT_DES")</f>
        <v>ACT/ACT</v>
      </c>
      <c r="R553">
        <v>100</v>
      </c>
      <c r="S553" t="str">
        <f>_xll.BDP("9128333S Govt","ID_CUSIP")</f>
        <v>9128333S7</v>
      </c>
      <c r="T553" t="str">
        <f>_xll.BDP("9128333S Govt","IDX_RATIO")</f>
        <v>#N/A Field Not Applicable</v>
      </c>
    </row>
    <row r="554" spans="1:20" x14ac:dyDescent="0.25">
      <c r="A554" t="s">
        <v>14</v>
      </c>
      <c r="B554" t="str">
        <f>_xll.BDP("9128334R Govt","TICKER")</f>
        <v>S</v>
      </c>
      <c r="C554">
        <f>_xll.BDP("9128334R Govt","CPN")</f>
        <v>0</v>
      </c>
      <c r="D554" t="str">
        <f>_xll.BDP("9128334R Govt","YLD_YTM_BID")</f>
        <v>#N/A N/A</v>
      </c>
      <c r="E554" t="str">
        <f>_xll.BDP("9128334R Govt","MATURITY")</f>
        <v>1/31/2008</v>
      </c>
      <c r="F554" t="str">
        <f>_xll.BDP("9128334R Govt","MTY_TYP")</f>
        <v>NORMAL</v>
      </c>
      <c r="G554" t="str">
        <f>_xll.BDP("9128334R Govt","CRNCY")</f>
        <v>USD</v>
      </c>
      <c r="H554" t="str">
        <f>_xll.BDP("9128334R Govt","COUNTRY_FULL_NAME")</f>
        <v>UNITED STATES</v>
      </c>
      <c r="I554" t="str">
        <f>_xll.BDP("9128334R Govt","FIRST_CPN_DT")</f>
        <v>#N/A Field Not Applicable</v>
      </c>
      <c r="J554" t="str">
        <f>_xll.BDP("9128334R Govt","COUPON_FREQUENCY_DESCRIPTION")</f>
        <v>#N/A Field Not Applicable</v>
      </c>
      <c r="K554" t="str">
        <f>_xll.BDP("9128334R Govt","CPN_TYP")</f>
        <v>ZERO</v>
      </c>
      <c r="L554" t="str">
        <f>_xll.BDP("9128334R Govt","ID_ISIN")</f>
        <v>US9128334R87</v>
      </c>
      <c r="N554">
        <v>0</v>
      </c>
      <c r="O554" t="str">
        <f>_xll.BDP("9128334R Govt","ISSUE_DT")</f>
        <v>1/31/2006</v>
      </c>
      <c r="P554" t="str">
        <f>_xll.BDP("9128334R Govt","SECURITY_NAME")</f>
        <v>S 0 01/31/08</v>
      </c>
      <c r="Q554" t="str">
        <f>_xll.BDP("9128334R Govt","DAY_CNT_DES")</f>
        <v>ACT/ACT</v>
      </c>
      <c r="R554">
        <v>100</v>
      </c>
      <c r="S554" t="str">
        <f>_xll.BDP("9128334R Govt","ID_CUSIP")</f>
        <v>9128334R8</v>
      </c>
      <c r="T554" t="str">
        <f>_xll.BDP("9128334R Govt","IDX_RATIO")</f>
        <v>#N/A Field Not Applicable</v>
      </c>
    </row>
    <row r="555" spans="1:20" x14ac:dyDescent="0.25">
      <c r="A555" t="s">
        <v>14</v>
      </c>
      <c r="B555" t="str">
        <f>_xll.BDP("9128335R Govt","TICKER")</f>
        <v>S</v>
      </c>
      <c r="C555">
        <f>_xll.BDP("9128335R Govt","CPN")</f>
        <v>0</v>
      </c>
      <c r="D555" t="str">
        <f>_xll.BDP("9128335R Govt","YLD_YTM_BID")</f>
        <v>#N/A N/A</v>
      </c>
      <c r="E555" t="str">
        <f>_xll.BDP("9128335R Govt","MATURITY")</f>
        <v>3/31/2011</v>
      </c>
      <c r="F555" t="str">
        <f>_xll.BDP("9128335R Govt","MTY_TYP")</f>
        <v>NORMAL</v>
      </c>
      <c r="G555" t="str">
        <f>_xll.BDP("9128335R Govt","CRNCY")</f>
        <v>USD</v>
      </c>
      <c r="H555" t="str">
        <f>_xll.BDP("9128335R Govt","COUNTRY_FULL_NAME")</f>
        <v>UNITED STATES</v>
      </c>
      <c r="I555" t="str">
        <f>_xll.BDP("9128335R Govt","FIRST_CPN_DT")</f>
        <v>#N/A Field Not Applicable</v>
      </c>
      <c r="J555" t="str">
        <f>_xll.BDP("9128335R Govt","COUPON_FREQUENCY_DESCRIPTION")</f>
        <v>#N/A Field Not Applicable</v>
      </c>
      <c r="K555" t="str">
        <f>_xll.BDP("9128335R Govt","CPN_TYP")</f>
        <v>ZERO</v>
      </c>
      <c r="L555" t="str">
        <f>_xll.BDP("9128335R Govt","ID_ISIN")</f>
        <v>US9128335R78</v>
      </c>
      <c r="N555">
        <v>0</v>
      </c>
      <c r="O555" t="str">
        <f>_xll.BDP("9128335R Govt","ISSUE_DT")</f>
        <v>3/31/2006</v>
      </c>
      <c r="P555" t="str">
        <f>_xll.BDP("9128335R Govt","SECURITY_NAME")</f>
        <v>S 0 03/31/11</v>
      </c>
      <c r="Q555" t="str">
        <f>_xll.BDP("9128335R Govt","DAY_CNT_DES")</f>
        <v>ACT/ACT</v>
      </c>
      <c r="R555">
        <v>100</v>
      </c>
      <c r="S555" t="str">
        <f>_xll.BDP("9128335R Govt","ID_CUSIP")</f>
        <v>9128335R7</v>
      </c>
      <c r="T555" t="str">
        <f>_xll.BDP("9128335R Govt","IDX_RATIO")</f>
        <v>#N/A Field Not Applicable</v>
      </c>
    </row>
    <row r="556" spans="1:20" x14ac:dyDescent="0.25">
      <c r="A556" t="s">
        <v>14</v>
      </c>
      <c r="B556" t="str">
        <f>_xll.BDP("9128335T Govt","TICKER")</f>
        <v>S</v>
      </c>
      <c r="C556">
        <f>_xll.BDP("9128335T Govt","CPN")</f>
        <v>0</v>
      </c>
      <c r="D556" t="str">
        <f>_xll.BDP("9128335T Govt","YLD_YTM_BID")</f>
        <v>#N/A N/A</v>
      </c>
      <c r="E556" t="str">
        <f>_xll.BDP("9128335T Govt","MATURITY")</f>
        <v>10/31/2008</v>
      </c>
      <c r="F556" t="str">
        <f>_xll.BDP("9128335T Govt","MTY_TYP")</f>
        <v>NORMAL</v>
      </c>
      <c r="G556" t="str">
        <f>_xll.BDP("9128335T Govt","CRNCY")</f>
        <v>USD</v>
      </c>
      <c r="H556" t="str">
        <f>_xll.BDP("9128335T Govt","COUNTRY_FULL_NAME")</f>
        <v>UNITED STATES</v>
      </c>
      <c r="I556" t="str">
        <f>_xll.BDP("9128335T Govt","FIRST_CPN_DT")</f>
        <v>#N/A Field Not Applicable</v>
      </c>
      <c r="J556" t="str">
        <f>_xll.BDP("9128335T Govt","COUPON_FREQUENCY_DESCRIPTION")</f>
        <v>#N/A Field Not Applicable</v>
      </c>
      <c r="K556" t="str">
        <f>_xll.BDP("9128335T Govt","CPN_TYP")</f>
        <v>ZERO</v>
      </c>
      <c r="L556" t="str">
        <f>_xll.BDP("9128335T Govt","ID_ISIN")</f>
        <v>US9128335T35</v>
      </c>
      <c r="N556">
        <v>0</v>
      </c>
      <c r="O556" t="str">
        <f>_xll.BDP("9128335T Govt","ISSUE_DT")</f>
        <v>5/1/2006</v>
      </c>
      <c r="P556" t="str">
        <f>_xll.BDP("9128335T Govt","SECURITY_NAME")</f>
        <v>S 0 10/31/08</v>
      </c>
      <c r="Q556" t="str">
        <f>_xll.BDP("9128335T Govt","DAY_CNT_DES")</f>
        <v>ACT/ACT</v>
      </c>
      <c r="R556">
        <v>100</v>
      </c>
      <c r="S556" t="str">
        <f>_xll.BDP("9128335T Govt","ID_CUSIP")</f>
        <v>9128335T3</v>
      </c>
      <c r="T556" t="str">
        <f>_xll.BDP("9128335T Govt","IDX_RATIO")</f>
        <v>#N/A Field Not Applicable</v>
      </c>
    </row>
    <row r="557" spans="1:20" x14ac:dyDescent="0.25">
      <c r="A557" t="s">
        <v>14</v>
      </c>
      <c r="B557" t="str">
        <f>_xll.BDP("9128336L Govt","TICKER")</f>
        <v>S</v>
      </c>
      <c r="C557">
        <f>_xll.BDP("9128336L Govt","CPN")</f>
        <v>0</v>
      </c>
      <c r="D557" t="str">
        <f>_xll.BDP("9128336L Govt","YLD_YTM_BID")</f>
        <v>#N/A N/A</v>
      </c>
      <c r="E557" t="str">
        <f>_xll.BDP("9128336L Govt","MATURITY")</f>
        <v>6/30/2010</v>
      </c>
      <c r="F557" t="str">
        <f>_xll.BDP("9128336L Govt","MTY_TYP")</f>
        <v>NORMAL</v>
      </c>
      <c r="G557" t="str">
        <f>_xll.BDP("9128336L Govt","CRNCY")</f>
        <v>USD</v>
      </c>
      <c r="H557" t="str">
        <f>_xll.BDP("9128336L Govt","COUNTRY_FULL_NAME")</f>
        <v>UNITED STATES</v>
      </c>
      <c r="I557" t="str">
        <f>_xll.BDP("9128336L Govt","FIRST_CPN_DT")</f>
        <v>#N/A Field Not Applicable</v>
      </c>
      <c r="J557" t="str">
        <f>_xll.BDP("9128336L Govt","COUPON_FREQUENCY_DESCRIPTION")</f>
        <v>#N/A Field Not Applicable</v>
      </c>
      <c r="K557" t="str">
        <f>_xll.BDP("9128336L Govt","CPN_TYP")</f>
        <v>ZERO</v>
      </c>
      <c r="L557" t="str">
        <f>_xll.BDP("9128336L Govt","ID_ISIN")</f>
        <v>US9128336L99</v>
      </c>
      <c r="N557">
        <v>0</v>
      </c>
      <c r="O557" t="str">
        <f>_xll.BDP("9128336L Govt","ISSUE_DT")</f>
        <v>6/30/2006</v>
      </c>
      <c r="P557" t="str">
        <f>_xll.BDP("9128336L Govt","SECURITY_NAME")</f>
        <v>S 0 06/30/10</v>
      </c>
      <c r="Q557" t="str">
        <f>_xll.BDP("9128336L Govt","DAY_CNT_DES")</f>
        <v>ACT/ACT</v>
      </c>
      <c r="R557">
        <v>100</v>
      </c>
      <c r="S557" t="str">
        <f>_xll.BDP("9128336L Govt","ID_CUSIP")</f>
        <v>9128336L9</v>
      </c>
      <c r="T557" t="str">
        <f>_xll.BDP("9128336L Govt","IDX_RATIO")</f>
        <v>#N/A Field Not Applicable</v>
      </c>
    </row>
    <row r="558" spans="1:20" x14ac:dyDescent="0.25">
      <c r="A558" t="s">
        <v>14</v>
      </c>
      <c r="B558" t="str">
        <f>_xll.BDP("9128336M Govt","TICKER")</f>
        <v>S</v>
      </c>
      <c r="C558">
        <f>_xll.BDP("9128336M Govt","CPN")</f>
        <v>0</v>
      </c>
      <c r="D558" t="str">
        <f>_xll.BDP("9128336M Govt","YLD_YTM_BID")</f>
        <v>#N/A N/A</v>
      </c>
      <c r="E558" t="str">
        <f>_xll.BDP("9128336M Govt","MATURITY")</f>
        <v>12/31/2010</v>
      </c>
      <c r="F558" t="str">
        <f>_xll.BDP("9128336M Govt","MTY_TYP")</f>
        <v>NORMAL</v>
      </c>
      <c r="G558" t="str">
        <f>_xll.BDP("9128336M Govt","CRNCY")</f>
        <v>USD</v>
      </c>
      <c r="H558" t="str">
        <f>_xll.BDP("9128336M Govt","COUNTRY_FULL_NAME")</f>
        <v>UNITED STATES</v>
      </c>
      <c r="I558" t="str">
        <f>_xll.BDP("9128336M Govt","FIRST_CPN_DT")</f>
        <v>#N/A Field Not Applicable</v>
      </c>
      <c r="J558" t="str">
        <f>_xll.BDP("9128336M Govt","COUPON_FREQUENCY_DESCRIPTION")</f>
        <v>#N/A Field Not Applicable</v>
      </c>
      <c r="K558" t="str">
        <f>_xll.BDP("9128336M Govt","CPN_TYP")</f>
        <v>ZERO</v>
      </c>
      <c r="L558" t="str">
        <f>_xll.BDP("9128336M Govt","ID_ISIN")</f>
        <v>US9128336M72</v>
      </c>
      <c r="N558">
        <v>0</v>
      </c>
      <c r="O558" t="str">
        <f>_xll.BDP("9128336M Govt","ISSUE_DT")</f>
        <v>6/30/2006</v>
      </c>
      <c r="P558" t="str">
        <f>_xll.BDP("9128336M Govt","SECURITY_NAME")</f>
        <v>S 0 12/31/10</v>
      </c>
      <c r="Q558" t="str">
        <f>_xll.BDP("9128336M Govt","DAY_CNT_DES")</f>
        <v>ACT/ACT</v>
      </c>
      <c r="R558">
        <v>100</v>
      </c>
      <c r="S558" t="str">
        <f>_xll.BDP("9128336M Govt","ID_CUSIP")</f>
        <v>9128336M7</v>
      </c>
      <c r="T558" t="str">
        <f>_xll.BDP("9128336M Govt","IDX_RATIO")</f>
        <v>#N/A Field Not Applicable</v>
      </c>
    </row>
    <row r="559" spans="1:20" x14ac:dyDescent="0.25">
      <c r="A559" t="s">
        <v>14</v>
      </c>
      <c r="B559" t="str">
        <f>_xll.BDP("9128337M Govt","TICKER")</f>
        <v>S</v>
      </c>
      <c r="C559">
        <f>_xll.BDP("9128337M Govt","CPN")</f>
        <v>0</v>
      </c>
      <c r="D559" t="str">
        <f>_xll.BDP("9128337M Govt","YLD_YTM_BID")</f>
        <v>#N/A N/A</v>
      </c>
      <c r="E559" t="str">
        <f>_xll.BDP("9128337M Govt","MATURITY")</f>
        <v>7/31/2012</v>
      </c>
      <c r="F559" t="str">
        <f>_xll.BDP("9128337M Govt","MTY_TYP")</f>
        <v>NORMAL</v>
      </c>
      <c r="G559" t="str">
        <f>_xll.BDP("9128337M Govt","CRNCY")</f>
        <v>USD</v>
      </c>
      <c r="H559" t="str">
        <f>_xll.BDP("9128337M Govt","COUNTRY_FULL_NAME")</f>
        <v>UNITED STATES</v>
      </c>
      <c r="I559" t="str">
        <f>_xll.BDP("9128337M Govt","FIRST_CPN_DT")</f>
        <v>#N/A Field Not Applicable</v>
      </c>
      <c r="J559" t="str">
        <f>_xll.BDP("9128337M Govt","COUPON_FREQUENCY_DESCRIPTION")</f>
        <v>#N/A Field Not Applicable</v>
      </c>
      <c r="K559" t="str">
        <f>_xll.BDP("9128337M Govt","CPN_TYP")</f>
        <v>ZERO</v>
      </c>
      <c r="L559" t="str">
        <f>_xll.BDP("9128337M Govt","ID_ISIN")</f>
        <v>US9128337M63</v>
      </c>
      <c r="N559">
        <v>0</v>
      </c>
      <c r="O559" t="str">
        <f>_xll.BDP("9128337M Govt","ISSUE_DT")</f>
        <v>7/31/2007</v>
      </c>
      <c r="P559" t="str">
        <f>_xll.BDP("9128337M Govt","SECURITY_NAME")</f>
        <v>S 0 07/31/12</v>
      </c>
      <c r="Q559" t="str">
        <f>_xll.BDP("9128337M Govt","DAY_CNT_DES")</f>
        <v>ACT/ACT</v>
      </c>
      <c r="R559">
        <v>100</v>
      </c>
      <c r="S559" t="str">
        <f>_xll.BDP("9128337M Govt","ID_CUSIP")</f>
        <v>9128337M6</v>
      </c>
      <c r="T559" t="str">
        <f>_xll.BDP("9128337M Govt","IDX_RATIO")</f>
        <v>#N/A Field Not Applicable</v>
      </c>
    </row>
    <row r="560" spans="1:20" x14ac:dyDescent="0.25">
      <c r="A560" t="s">
        <v>14</v>
      </c>
      <c r="B560" t="str">
        <f>_xll.BDP("912833A8 Govt","TICKER")</f>
        <v>S</v>
      </c>
      <c r="C560">
        <f>_xll.BDP("912833A8 Govt","CPN")</f>
        <v>0</v>
      </c>
      <c r="D560" t="str">
        <f>_xll.BDP("912833A8 Govt","YLD_YTM_BID")</f>
        <v>#N/A N/A</v>
      </c>
      <c r="E560" t="str">
        <f>_xll.BDP("912833A8 Govt","MATURITY")</f>
        <v>6/15/2004</v>
      </c>
      <c r="F560" t="str">
        <f>_xll.BDP("912833A8 Govt","MTY_TYP")</f>
        <v>NORMAL</v>
      </c>
      <c r="G560" t="str">
        <f>_xll.BDP("912833A8 Govt","CRNCY")</f>
        <v>USD</v>
      </c>
      <c r="H560" t="str">
        <f>_xll.BDP("912833A8 Govt","COUNTRY_FULL_NAME")</f>
        <v>UNITED STATES</v>
      </c>
      <c r="I560" t="str">
        <f>_xll.BDP("912833A8 Govt","FIRST_CPN_DT")</f>
        <v>#N/A Field Not Applicable</v>
      </c>
      <c r="J560" t="str">
        <f>_xll.BDP("912833A8 Govt","COUPON_FREQUENCY_DESCRIPTION")</f>
        <v>#N/A Field Not Applicable</v>
      </c>
      <c r="K560" t="str">
        <f>_xll.BDP("912833A8 Govt","CPN_TYP")</f>
        <v>ZERO</v>
      </c>
      <c r="L560" t="str">
        <f>_xll.BDP("912833A8 Govt","ID_ISIN")</f>
        <v>US912833A834</v>
      </c>
      <c r="N560">
        <v>0</v>
      </c>
      <c r="O560" t="str">
        <f>_xll.BDP("912833A8 Govt","ISSUE_DT")</f>
        <v>12/15/2003</v>
      </c>
      <c r="P560" t="str">
        <f>_xll.BDP("912833A8 Govt","SECURITY_NAME")</f>
        <v>S 0 06/15/04</v>
      </c>
      <c r="Q560" t="str">
        <f>_xll.BDP("912833A8 Govt","DAY_CNT_DES")</f>
        <v>ACT/ACT</v>
      </c>
      <c r="R560">
        <v>100</v>
      </c>
      <c r="S560" t="str">
        <f>_xll.BDP("912833A8 Govt","ID_CUSIP")</f>
        <v>912833A83</v>
      </c>
      <c r="T560" t="str">
        <f>_xll.BDP("912833A8 Govt","IDX_RATIO")</f>
        <v>#N/A Field Not Applicable</v>
      </c>
    </row>
    <row r="561" spans="1:20" x14ac:dyDescent="0.25">
      <c r="A561" t="s">
        <v>14</v>
      </c>
      <c r="B561" t="str">
        <f>_xll.BDP("912833B2 Govt","TICKER")</f>
        <v>S</v>
      </c>
      <c r="C561">
        <f>_xll.BDP("912833B2 Govt","CPN")</f>
        <v>0</v>
      </c>
      <c r="D561" t="str">
        <f>_xll.BDP("912833B2 Govt","YLD_YTM_BID")</f>
        <v>#N/A N/A</v>
      </c>
      <c r="E561" t="str">
        <f>_xll.BDP("912833B2 Govt","MATURITY")</f>
        <v>6/15/2005</v>
      </c>
      <c r="F561" t="str">
        <f>_xll.BDP("912833B2 Govt","MTY_TYP")</f>
        <v>NORMAL</v>
      </c>
      <c r="G561" t="str">
        <f>_xll.BDP("912833B2 Govt","CRNCY")</f>
        <v>USD</v>
      </c>
      <c r="H561" t="str">
        <f>_xll.BDP("912833B2 Govt","COUNTRY_FULL_NAME")</f>
        <v>UNITED STATES</v>
      </c>
      <c r="I561" t="str">
        <f>_xll.BDP("912833B2 Govt","FIRST_CPN_DT")</f>
        <v>#N/A Field Not Applicable</v>
      </c>
      <c r="J561" t="str">
        <f>_xll.BDP("912833B2 Govt","COUPON_FREQUENCY_DESCRIPTION")</f>
        <v>#N/A Field Not Applicable</v>
      </c>
      <c r="K561" t="str">
        <f>_xll.BDP("912833B2 Govt","CPN_TYP")</f>
        <v>ZERO</v>
      </c>
      <c r="L561" t="str">
        <f>_xll.BDP("912833B2 Govt","ID_ISIN")</f>
        <v>US912833B246</v>
      </c>
      <c r="N561">
        <v>0</v>
      </c>
      <c r="O561" t="str">
        <f>_xll.BDP("912833B2 Govt","ISSUE_DT")</f>
        <v>12/15/2003</v>
      </c>
      <c r="P561" t="str">
        <f>_xll.BDP("912833B2 Govt","SECURITY_NAME")</f>
        <v>S 0 06/15/05</v>
      </c>
      <c r="Q561" t="str">
        <f>_xll.BDP("912833B2 Govt","DAY_CNT_DES")</f>
        <v>ACT/ACT</v>
      </c>
      <c r="R561">
        <v>100</v>
      </c>
      <c r="S561" t="str">
        <f>_xll.BDP("912833B2 Govt","ID_CUSIP")</f>
        <v>912833B25</v>
      </c>
      <c r="T561" t="str">
        <f>_xll.BDP("912833B2 Govt","IDX_RATIO")</f>
        <v>#N/A Field Not Applicable</v>
      </c>
    </row>
    <row r="562" spans="1:20" x14ac:dyDescent="0.25">
      <c r="A562" t="s">
        <v>14</v>
      </c>
      <c r="B562" t="str">
        <f>_xll.BDP("912833BZ Govt","TICKER")</f>
        <v>S</v>
      </c>
      <c r="C562">
        <f>_xll.BDP("912833BZ Govt","CPN")</f>
        <v>0</v>
      </c>
      <c r="D562" t="str">
        <f>_xll.BDP("912833BZ Govt","YLD_YTM_BID")</f>
        <v>#N/A N/A</v>
      </c>
      <c r="E562" t="str">
        <f>_xll.BDP("912833BZ Govt","MATURITY")</f>
        <v>2/15/1999</v>
      </c>
      <c r="F562" t="str">
        <f>_xll.BDP("912833BZ Govt","MTY_TYP")</f>
        <v>NORMAL</v>
      </c>
      <c r="G562" t="str">
        <f>_xll.BDP("912833BZ Govt","CRNCY")</f>
        <v>USD</v>
      </c>
      <c r="H562" t="str">
        <f>_xll.BDP("912833BZ Govt","COUNTRY_FULL_NAME")</f>
        <v>UNITED STATES</v>
      </c>
      <c r="I562" t="str">
        <f>_xll.BDP("912833BZ Govt","FIRST_CPN_DT")</f>
        <v>#N/A Field Not Applicable</v>
      </c>
      <c r="J562" t="str">
        <f>_xll.BDP("912833BZ Govt","COUPON_FREQUENCY_DESCRIPTION")</f>
        <v>#N/A Field Not Applicable</v>
      </c>
      <c r="K562" t="str">
        <f>_xll.BDP("912833BZ Govt","CPN_TYP")</f>
        <v>ZERO</v>
      </c>
      <c r="L562" t="str">
        <f>_xll.BDP("912833BZ Govt","ID_ISIN")</f>
        <v>US912833BZ23</v>
      </c>
      <c r="N562">
        <v>0</v>
      </c>
      <c r="O562" t="str">
        <f>_xll.BDP("912833BZ Govt","ISSUE_DT")</f>
        <v>2/15/1985</v>
      </c>
      <c r="P562" t="str">
        <f>_xll.BDP("912833BZ Govt","SECURITY_NAME")</f>
        <v>S 0 02/15/99</v>
      </c>
      <c r="Q562" t="str">
        <f>_xll.BDP("912833BZ Govt","DAY_CNT_DES")</f>
        <v>ACT/ACT</v>
      </c>
      <c r="R562">
        <v>100</v>
      </c>
      <c r="S562" t="str">
        <f>_xll.BDP("912833BZ Govt","ID_CUSIP")</f>
        <v>912833BZ2</v>
      </c>
      <c r="T562" t="str">
        <f>_xll.BDP("912833BZ Govt","IDX_RATIO")</f>
        <v>#N/A Field Not Applicable</v>
      </c>
    </row>
    <row r="563" spans="1:20" x14ac:dyDescent="0.25">
      <c r="A563" t="s">
        <v>14</v>
      </c>
      <c r="B563" t="str">
        <f>_xll.BDP("912833C6 Govt","TICKER")</f>
        <v>S</v>
      </c>
      <c r="C563">
        <f>_xll.BDP("912833C6 Govt","CPN")</f>
        <v>0</v>
      </c>
      <c r="D563" t="str">
        <f>_xll.BDP("912833C6 Govt","YLD_YTM_BID")</f>
        <v>#N/A N/A</v>
      </c>
      <c r="E563" t="str">
        <f>_xll.BDP("912833C6 Govt","MATURITY")</f>
        <v>7/15/2008</v>
      </c>
      <c r="F563" t="str">
        <f>_xll.BDP("912833C6 Govt","MTY_TYP")</f>
        <v>NORMAL</v>
      </c>
      <c r="G563" t="str">
        <f>_xll.BDP("912833C6 Govt","CRNCY")</f>
        <v>USD</v>
      </c>
      <c r="H563" t="str">
        <f>_xll.BDP("912833C6 Govt","COUNTRY_FULL_NAME")</f>
        <v>UNITED STATES</v>
      </c>
      <c r="I563" t="str">
        <f>_xll.BDP("912833C6 Govt","FIRST_CPN_DT")</f>
        <v>#N/A Field Not Applicable</v>
      </c>
      <c r="J563" t="str">
        <f>_xll.BDP("912833C6 Govt","COUPON_FREQUENCY_DESCRIPTION")</f>
        <v>#N/A Field Not Applicable</v>
      </c>
      <c r="K563" t="str">
        <f>_xll.BDP("912833C6 Govt","CPN_TYP")</f>
        <v>ZERO</v>
      </c>
      <c r="L563" t="str">
        <f>_xll.BDP("912833C6 Govt","ID_ISIN")</f>
        <v>US912833C657</v>
      </c>
      <c r="N563">
        <v>0</v>
      </c>
      <c r="O563" t="str">
        <f>_xll.BDP("912833C6 Govt","ISSUE_DT")</f>
        <v>1/15/2004</v>
      </c>
      <c r="P563" t="str">
        <f>_xll.BDP("912833C6 Govt","SECURITY_NAME")</f>
        <v>S 0 07/15/08</v>
      </c>
      <c r="Q563" t="str">
        <f>_xll.BDP("912833C6 Govt","DAY_CNT_DES")</f>
        <v>ACT/ACT</v>
      </c>
      <c r="R563">
        <v>100</v>
      </c>
      <c r="S563" t="str">
        <f>_xll.BDP("912833C6 Govt","ID_CUSIP")</f>
        <v>912833C65</v>
      </c>
      <c r="T563" t="str">
        <f>_xll.BDP("912833C6 Govt","IDX_RATIO")</f>
        <v>#N/A Field Not Applicable</v>
      </c>
    </row>
    <row r="564" spans="1:20" x14ac:dyDescent="0.25">
      <c r="A564" t="s">
        <v>14</v>
      </c>
      <c r="B564" t="str">
        <f>_xll.BDP("912833CP Govt","TICKER")</f>
        <v>S</v>
      </c>
      <c r="C564">
        <f>_xll.BDP("912833CP Govt","CPN")</f>
        <v>0</v>
      </c>
      <c r="D564" t="str">
        <f>_xll.BDP("912833CP Govt","YLD_YTM_BID")</f>
        <v>#N/A N/A</v>
      </c>
      <c r="E564" t="str">
        <f>_xll.BDP("912833CP Govt","MATURITY")</f>
        <v>2/15/2006</v>
      </c>
      <c r="F564" t="str">
        <f>_xll.BDP("912833CP Govt","MTY_TYP")</f>
        <v>NORMAL</v>
      </c>
      <c r="G564" t="str">
        <f>_xll.BDP("912833CP Govt","CRNCY")</f>
        <v>USD</v>
      </c>
      <c r="H564" t="str">
        <f>_xll.BDP("912833CP Govt","COUNTRY_FULL_NAME")</f>
        <v>UNITED STATES</v>
      </c>
      <c r="I564" t="str">
        <f>_xll.BDP("912833CP Govt","FIRST_CPN_DT")</f>
        <v>#N/A Field Not Applicable</v>
      </c>
      <c r="J564" t="str">
        <f>_xll.BDP("912833CP Govt","COUPON_FREQUENCY_DESCRIPTION")</f>
        <v>#N/A Field Not Applicable</v>
      </c>
      <c r="K564" t="str">
        <f>_xll.BDP("912833CP Govt","CPN_TYP")</f>
        <v>ZERO</v>
      </c>
      <c r="L564" t="str">
        <f>_xll.BDP("912833CP Govt","ID_ISIN")</f>
        <v>US912833CP32</v>
      </c>
      <c r="N564">
        <v>0</v>
      </c>
      <c r="O564" t="str">
        <f>_xll.BDP("912833CP Govt","ISSUE_DT")</f>
        <v>2/15/1985</v>
      </c>
      <c r="P564" t="str">
        <f>_xll.BDP("912833CP Govt","SECURITY_NAME")</f>
        <v>S 0 02/15/06</v>
      </c>
      <c r="Q564" t="str">
        <f>_xll.BDP("912833CP Govt","DAY_CNT_DES")</f>
        <v>ACT/ACT</v>
      </c>
      <c r="R564">
        <v>100</v>
      </c>
      <c r="S564" t="str">
        <f>_xll.BDP("912833CP Govt","ID_CUSIP")</f>
        <v>912833CP3</v>
      </c>
      <c r="T564" t="str">
        <f>_xll.BDP("912833CP Govt","IDX_RATIO")</f>
        <v>#N/A Field Not Applicable</v>
      </c>
    </row>
    <row r="565" spans="1:20" x14ac:dyDescent="0.25">
      <c r="A565" t="s">
        <v>14</v>
      </c>
      <c r="B565" t="str">
        <f>_xll.BDP("912833KH Govt","TICKER")</f>
        <v>S</v>
      </c>
      <c r="C565">
        <f>_xll.BDP("912833KH Govt","CPN")</f>
        <v>0</v>
      </c>
      <c r="D565" t="str">
        <f>_xll.BDP("912833KH Govt","YLD_YTM_BID")</f>
        <v>#N/A N/A</v>
      </c>
      <c r="E565" t="str">
        <f>_xll.BDP("912833KH Govt","MATURITY")</f>
        <v>5/15/2016</v>
      </c>
      <c r="F565" t="str">
        <f>_xll.BDP("912833KH Govt","MTY_TYP")</f>
        <v>NORMAL</v>
      </c>
      <c r="G565" t="str">
        <f>_xll.BDP("912833KH Govt","CRNCY")</f>
        <v>USD</v>
      </c>
      <c r="H565" t="str">
        <f>_xll.BDP("912833KH Govt","COUNTRY_FULL_NAME")</f>
        <v>UNITED STATES</v>
      </c>
      <c r="I565" t="str">
        <f>_xll.BDP("912833KH Govt","FIRST_CPN_DT")</f>
        <v>#N/A Field Not Applicable</v>
      </c>
      <c r="J565" t="str">
        <f>_xll.BDP("912833KH Govt","COUPON_FREQUENCY_DESCRIPTION")</f>
        <v>#N/A Field Not Applicable</v>
      </c>
      <c r="K565" t="str">
        <f>_xll.BDP("912833KH Govt","CPN_TYP")</f>
        <v>ZERO</v>
      </c>
      <c r="L565" t="str">
        <f>_xll.BDP("912833KH Govt","ID_ISIN")</f>
        <v>US912833KH24</v>
      </c>
      <c r="N565">
        <v>0</v>
      </c>
      <c r="O565" t="str">
        <f>_xll.BDP("912833KH Govt","ISSUE_DT")</f>
        <v>5/15/1986</v>
      </c>
      <c r="P565" t="str">
        <f>_xll.BDP("912833KH Govt","SECURITY_NAME")</f>
        <v>S 0 05/15/16</v>
      </c>
      <c r="Q565" t="str">
        <f>_xll.BDP("912833KH Govt","DAY_CNT_DES")</f>
        <v>ACT/ACT</v>
      </c>
      <c r="R565">
        <v>100</v>
      </c>
      <c r="S565" t="str">
        <f>_xll.BDP("912833KH Govt","ID_CUSIP")</f>
        <v>912833KH2</v>
      </c>
      <c r="T565" t="str">
        <f>_xll.BDP("912833KH Govt","IDX_RATIO")</f>
        <v>#N/A Field Not Applicable</v>
      </c>
    </row>
    <row r="566" spans="1:20" x14ac:dyDescent="0.25">
      <c r="A566" t="s">
        <v>14</v>
      </c>
      <c r="B566" t="str">
        <f>_xll.BDP("912833KQ Govt","TICKER")</f>
        <v>S</v>
      </c>
      <c r="C566">
        <f>_xll.BDP("912833KQ Govt","CPN")</f>
        <v>0</v>
      </c>
      <c r="D566" t="str">
        <f>_xll.BDP("912833KQ Govt","YLD_YTM_BID")</f>
        <v>#N/A N/A</v>
      </c>
      <c r="E566" t="str">
        <f>_xll.BDP("912833KQ Govt","MATURITY")</f>
        <v>2/15/2018</v>
      </c>
      <c r="F566" t="str">
        <f>_xll.BDP("912833KQ Govt","MTY_TYP")</f>
        <v>NORMAL</v>
      </c>
      <c r="G566" t="str">
        <f>_xll.BDP("912833KQ Govt","CRNCY")</f>
        <v>USD</v>
      </c>
      <c r="H566" t="str">
        <f>_xll.BDP("912833KQ Govt","COUNTRY_FULL_NAME")</f>
        <v>UNITED STATES</v>
      </c>
      <c r="I566" t="str">
        <f>_xll.BDP("912833KQ Govt","FIRST_CPN_DT")</f>
        <v>#N/A Field Not Applicable</v>
      </c>
      <c r="J566" t="str">
        <f>_xll.BDP("912833KQ Govt","COUPON_FREQUENCY_DESCRIPTION")</f>
        <v>#N/A Field Not Applicable</v>
      </c>
      <c r="K566" t="str">
        <f>_xll.BDP("912833KQ Govt","CPN_TYP")</f>
        <v>ZERO</v>
      </c>
      <c r="L566" t="str">
        <f>_xll.BDP("912833KQ Govt","ID_ISIN")</f>
        <v>US912833KQ23</v>
      </c>
      <c r="N566">
        <v>0</v>
      </c>
      <c r="O566" t="str">
        <f>_xll.BDP("912833KQ Govt","ISSUE_DT")</f>
        <v>5/16/1988</v>
      </c>
      <c r="P566" t="str">
        <f>_xll.BDP("912833KQ Govt","SECURITY_NAME")</f>
        <v>S 0 02/15/18</v>
      </c>
      <c r="Q566" t="str">
        <f>_xll.BDP("912833KQ Govt","DAY_CNT_DES")</f>
        <v>ACT/ACT</v>
      </c>
      <c r="R566">
        <v>100</v>
      </c>
      <c r="S566" t="str">
        <f>_xll.BDP("912833KQ Govt","ID_CUSIP")</f>
        <v>912833KQ2</v>
      </c>
      <c r="T566" t="str">
        <f>_xll.BDP("912833KQ Govt","IDX_RATIO")</f>
        <v>#N/A Field Not Applicable</v>
      </c>
    </row>
    <row r="567" spans="1:20" x14ac:dyDescent="0.25">
      <c r="A567" t="s">
        <v>14</v>
      </c>
      <c r="B567" t="str">
        <f>_xll.BDP("912833ME Govt","TICKER")</f>
        <v>S</v>
      </c>
      <c r="C567">
        <f>_xll.BDP("912833ME Govt","CPN")</f>
        <v>0</v>
      </c>
      <c r="D567" t="str">
        <f>_xll.BDP("912833ME Govt","YLD_YTM_BID")</f>
        <v>#N/A N/A</v>
      </c>
      <c r="E567" t="str">
        <f>_xll.BDP("912833ME Govt","MATURITY")</f>
        <v>1/15/1998</v>
      </c>
      <c r="F567" t="str">
        <f>_xll.BDP("912833ME Govt","MTY_TYP")</f>
        <v>NORMAL</v>
      </c>
      <c r="G567" t="str">
        <f>_xll.BDP("912833ME Govt","CRNCY")</f>
        <v>USD</v>
      </c>
      <c r="H567" t="str">
        <f>_xll.BDP("912833ME Govt","COUNTRY_FULL_NAME")</f>
        <v>UNITED STATES</v>
      </c>
      <c r="I567" t="str">
        <f>_xll.BDP("912833ME Govt","FIRST_CPN_DT")</f>
        <v>#N/A Field Not Applicable</v>
      </c>
      <c r="J567" t="str">
        <f>_xll.BDP("912833ME Govt","COUPON_FREQUENCY_DESCRIPTION")</f>
        <v>#N/A Field Not Applicable</v>
      </c>
      <c r="K567" t="str">
        <f>_xll.BDP("912833ME Govt","CPN_TYP")</f>
        <v>ZERO</v>
      </c>
      <c r="L567" t="str">
        <f>_xll.BDP("912833ME Govt","ID_ISIN")</f>
        <v>US912833ME74</v>
      </c>
      <c r="N567">
        <v>0</v>
      </c>
      <c r="O567" t="str">
        <f>_xll.BDP("912833ME Govt","ISSUE_DT")</f>
        <v>7/15/1996</v>
      </c>
      <c r="P567" t="str">
        <f>_xll.BDP("912833ME Govt","SECURITY_NAME")</f>
        <v>S 0 01/15/98</v>
      </c>
      <c r="Q567" t="str">
        <f>_xll.BDP("912833ME Govt","DAY_CNT_DES")</f>
        <v>ACT/ACT</v>
      </c>
      <c r="R567">
        <v>100</v>
      </c>
      <c r="S567" t="str">
        <f>_xll.BDP("912833ME Govt","ID_CUSIP")</f>
        <v>912833ME7</v>
      </c>
      <c r="T567" t="str">
        <f>_xll.BDP("912833ME Govt","IDX_RATIO")</f>
        <v>#N/A Field Not Applicable</v>
      </c>
    </row>
    <row r="568" spans="1:20" x14ac:dyDescent="0.25">
      <c r="A568" t="s">
        <v>14</v>
      </c>
      <c r="B568" t="str">
        <f>_xll.BDP("912833ML Govt","TICKER")</f>
        <v>S</v>
      </c>
      <c r="C568">
        <f>_xll.BDP("912833ML Govt","CPN")</f>
        <v>0</v>
      </c>
      <c r="D568" t="str">
        <f>_xll.BDP("912833ML Govt","YLD_YTM_BID")</f>
        <v>#N/A N/A</v>
      </c>
      <c r="E568" t="str">
        <f>_xll.BDP("912833ML Govt","MATURITY")</f>
        <v>7/15/1999</v>
      </c>
      <c r="F568" t="str">
        <f>_xll.BDP("912833ML Govt","MTY_TYP")</f>
        <v>NORMAL</v>
      </c>
      <c r="G568" t="str">
        <f>_xll.BDP("912833ML Govt","CRNCY")</f>
        <v>USD</v>
      </c>
      <c r="H568" t="str">
        <f>_xll.BDP("912833ML Govt","COUNTRY_FULL_NAME")</f>
        <v>UNITED STATES</v>
      </c>
      <c r="I568" t="str">
        <f>_xll.BDP("912833ML Govt","FIRST_CPN_DT")</f>
        <v>#N/A Field Not Applicable</v>
      </c>
      <c r="J568" t="str">
        <f>_xll.BDP("912833ML Govt","COUPON_FREQUENCY_DESCRIPTION")</f>
        <v>#N/A Field Not Applicable</v>
      </c>
      <c r="K568" t="str">
        <f>_xll.BDP("912833ML Govt","CPN_TYP")</f>
        <v>ZERO</v>
      </c>
      <c r="L568" t="str">
        <f>_xll.BDP("912833ML Govt","ID_ISIN")</f>
        <v>US912833ML18</v>
      </c>
      <c r="N568">
        <v>0</v>
      </c>
      <c r="O568" t="str">
        <f>_xll.BDP("912833ML Govt","ISSUE_DT")</f>
        <v>7/15/1996</v>
      </c>
      <c r="P568" t="str">
        <f>_xll.BDP("912833ML Govt","SECURITY_NAME")</f>
        <v>S 0 07/15/99</v>
      </c>
      <c r="Q568" t="str">
        <f>_xll.BDP("912833ML Govt","DAY_CNT_DES")</f>
        <v>ACT/ACT</v>
      </c>
      <c r="R568">
        <v>100</v>
      </c>
      <c r="S568" t="str">
        <f>_xll.BDP("912833ML Govt","ID_CUSIP")</f>
        <v>912833ML1</v>
      </c>
      <c r="T568" t="str">
        <f>_xll.BDP("912833ML Govt","IDX_RATIO")</f>
        <v>#N/A Field Not Applicable</v>
      </c>
    </row>
    <row r="569" spans="1:20" x14ac:dyDescent="0.25">
      <c r="A569" t="s">
        <v>14</v>
      </c>
      <c r="B569" t="str">
        <f>_xll.BDP("912833MY Govt","TICKER")</f>
        <v>S</v>
      </c>
      <c r="C569">
        <f>_xll.BDP("912833MY Govt","CPN")</f>
        <v>0</v>
      </c>
      <c r="D569" t="str">
        <f>_xll.BDP("912833MY Govt","YLD_YTM_BID")</f>
        <v>#N/A N/A</v>
      </c>
      <c r="E569" t="str">
        <f>_xll.BDP("912833MY Govt","MATURITY")</f>
        <v>7/15/2002</v>
      </c>
      <c r="F569" t="str">
        <f>_xll.BDP("912833MY Govt","MTY_TYP")</f>
        <v>NORMAL</v>
      </c>
      <c r="G569" t="str">
        <f>_xll.BDP("912833MY Govt","CRNCY")</f>
        <v>USD</v>
      </c>
      <c r="H569" t="str">
        <f>_xll.BDP("912833MY Govt","COUNTRY_FULL_NAME")</f>
        <v>UNITED STATES</v>
      </c>
      <c r="I569" t="str">
        <f>_xll.BDP("912833MY Govt","FIRST_CPN_DT")</f>
        <v>#N/A Field Not Applicable</v>
      </c>
      <c r="J569" t="str">
        <f>_xll.BDP("912833MY Govt","COUPON_FREQUENCY_DESCRIPTION")</f>
        <v>#N/A Field Not Applicable</v>
      </c>
      <c r="K569" t="str">
        <f>_xll.BDP("912833MY Govt","CPN_TYP")</f>
        <v>ZERO</v>
      </c>
      <c r="L569" t="str">
        <f>_xll.BDP("912833MY Govt","ID_ISIN")</f>
        <v>US912833MY39</v>
      </c>
      <c r="N569">
        <v>0</v>
      </c>
      <c r="O569" t="str">
        <f>_xll.BDP("912833MY Govt","ISSUE_DT")</f>
        <v>7/15/1996</v>
      </c>
      <c r="P569" t="str">
        <f>_xll.BDP("912833MY Govt","SECURITY_NAME")</f>
        <v>S 0 07/15/02</v>
      </c>
      <c r="Q569" t="str">
        <f>_xll.BDP("912833MY Govt","DAY_CNT_DES")</f>
        <v>ACT/ACT</v>
      </c>
      <c r="R569">
        <v>100</v>
      </c>
      <c r="S569" t="str">
        <f>_xll.BDP("912833MY Govt","ID_CUSIP")</f>
        <v>912833MY3</v>
      </c>
      <c r="T569" t="str">
        <f>_xll.BDP("912833MY Govt","IDX_RATIO")</f>
        <v>#N/A Field Not Applicable</v>
      </c>
    </row>
    <row r="570" spans="1:20" x14ac:dyDescent="0.25">
      <c r="A570" t="s">
        <v>14</v>
      </c>
      <c r="B570" t="str">
        <f>_xll.BDP("912833NC Govt","TICKER")</f>
        <v>S</v>
      </c>
      <c r="C570">
        <f>_xll.BDP("912833NC Govt","CPN")</f>
        <v>0</v>
      </c>
      <c r="D570" t="str">
        <f>_xll.BDP("912833NC Govt","YLD_YTM_BID")</f>
        <v>#N/A N/A</v>
      </c>
      <c r="E570" t="str">
        <f>_xll.BDP("912833NC Govt","MATURITY")</f>
        <v>7/15/2003</v>
      </c>
      <c r="F570" t="str">
        <f>_xll.BDP("912833NC Govt","MTY_TYP")</f>
        <v>NORMAL</v>
      </c>
      <c r="G570" t="str">
        <f>_xll.BDP("912833NC Govt","CRNCY")</f>
        <v>USD</v>
      </c>
      <c r="H570" t="str">
        <f>_xll.BDP("912833NC Govt","COUNTRY_FULL_NAME")</f>
        <v>UNITED STATES</v>
      </c>
      <c r="I570" t="str">
        <f>_xll.BDP("912833NC Govt","FIRST_CPN_DT")</f>
        <v>#N/A Field Not Applicable</v>
      </c>
      <c r="J570" t="str">
        <f>_xll.BDP("912833NC Govt","COUPON_FREQUENCY_DESCRIPTION")</f>
        <v>#N/A Field Not Applicable</v>
      </c>
      <c r="K570" t="str">
        <f>_xll.BDP("912833NC Govt","CPN_TYP")</f>
        <v>ZERO</v>
      </c>
      <c r="L570" t="str">
        <f>_xll.BDP("912833NC Govt","ID_ISIN")</f>
        <v>US912833NC00</v>
      </c>
      <c r="N570">
        <v>0</v>
      </c>
      <c r="O570" t="str">
        <f>_xll.BDP("912833NC Govt","ISSUE_DT")</f>
        <v>7/15/1996</v>
      </c>
      <c r="P570" t="str">
        <f>_xll.BDP("912833NC Govt","SECURITY_NAME")</f>
        <v>S 0 07/15/03</v>
      </c>
      <c r="Q570" t="str">
        <f>_xll.BDP("912833NC Govt","DAY_CNT_DES")</f>
        <v>ACT/ACT</v>
      </c>
      <c r="R570">
        <v>100</v>
      </c>
      <c r="S570" t="str">
        <f>_xll.BDP("912833NC Govt","ID_CUSIP")</f>
        <v>912833NC0</v>
      </c>
      <c r="T570" t="str">
        <f>_xll.BDP("912833NC Govt","IDX_RATIO")</f>
        <v>#N/A Field Not Applicable</v>
      </c>
    </row>
    <row r="571" spans="1:20" x14ac:dyDescent="0.25">
      <c r="A571" t="s">
        <v>14</v>
      </c>
      <c r="B571" t="str">
        <f>_xll.BDP("912833NE Govt","TICKER")</f>
        <v>S</v>
      </c>
      <c r="C571">
        <f>_xll.BDP("912833NE Govt","CPN")</f>
        <v>0</v>
      </c>
      <c r="D571" t="str">
        <f>_xll.BDP("912833NE Govt","YLD_YTM_BID")</f>
        <v>#N/A N/A</v>
      </c>
      <c r="E571" t="str">
        <f>_xll.BDP("912833NE Govt","MATURITY")</f>
        <v>1/15/2004</v>
      </c>
      <c r="F571" t="str">
        <f>_xll.BDP("912833NE Govt","MTY_TYP")</f>
        <v>NORMAL</v>
      </c>
      <c r="G571" t="str">
        <f>_xll.BDP("912833NE Govt","CRNCY")</f>
        <v>USD</v>
      </c>
      <c r="H571" t="str">
        <f>_xll.BDP("912833NE Govt","COUNTRY_FULL_NAME")</f>
        <v>UNITED STATES</v>
      </c>
      <c r="I571" t="str">
        <f>_xll.BDP("912833NE Govt","FIRST_CPN_DT")</f>
        <v>#N/A Field Not Applicable</v>
      </c>
      <c r="J571" t="str">
        <f>_xll.BDP("912833NE Govt","COUPON_FREQUENCY_DESCRIPTION")</f>
        <v>#N/A Field Not Applicable</v>
      </c>
      <c r="K571" t="str">
        <f>_xll.BDP("912833NE Govt","CPN_TYP")</f>
        <v>ZERO</v>
      </c>
      <c r="L571" t="str">
        <f>_xll.BDP("912833NE Govt","ID_ISIN")</f>
        <v>US912833NE65</v>
      </c>
      <c r="N571">
        <v>0</v>
      </c>
      <c r="O571" t="str">
        <f>_xll.BDP("912833NE Govt","ISSUE_DT")</f>
        <v>7/15/1996</v>
      </c>
      <c r="P571" t="str">
        <f>_xll.BDP("912833NE Govt","SECURITY_NAME")</f>
        <v>S 0 01/15/04</v>
      </c>
      <c r="Q571" t="str">
        <f>_xll.BDP("912833NE Govt","DAY_CNT_DES")</f>
        <v>ACT/ACT</v>
      </c>
      <c r="R571">
        <v>100</v>
      </c>
      <c r="S571" t="str">
        <f>_xll.BDP("912833NE Govt","ID_CUSIP")</f>
        <v>912833NE6</v>
      </c>
      <c r="T571" t="str">
        <f>_xll.BDP("912833NE Govt","IDX_RATIO")</f>
        <v>#N/A Field Not Applicable</v>
      </c>
    </row>
    <row r="572" spans="1:20" x14ac:dyDescent="0.25">
      <c r="A572" t="s">
        <v>14</v>
      </c>
      <c r="B572" t="str">
        <f>_xll.BDP("912833NR Govt","TICKER")</f>
        <v>S</v>
      </c>
      <c r="C572">
        <f>_xll.BDP("912833NR Govt","CPN")</f>
        <v>0</v>
      </c>
      <c r="D572" t="str">
        <f>_xll.BDP("912833NR Govt","YLD_YTM_BID")</f>
        <v>#N/A N/A</v>
      </c>
      <c r="E572" t="str">
        <f>_xll.BDP("912833NR Govt","MATURITY")</f>
        <v>10/15/2006</v>
      </c>
      <c r="F572" t="str">
        <f>_xll.BDP("912833NR Govt","MTY_TYP")</f>
        <v>NORMAL</v>
      </c>
      <c r="G572" t="str">
        <f>_xll.BDP("912833NR Govt","CRNCY")</f>
        <v>USD</v>
      </c>
      <c r="H572" t="str">
        <f>_xll.BDP("912833NR Govt","COUNTRY_FULL_NAME")</f>
        <v>UNITED STATES</v>
      </c>
      <c r="I572" t="str">
        <f>_xll.BDP("912833NR Govt","FIRST_CPN_DT")</f>
        <v>#N/A Field Not Applicable</v>
      </c>
      <c r="J572" t="str">
        <f>_xll.BDP("912833NR Govt","COUPON_FREQUENCY_DESCRIPTION")</f>
        <v>#N/A Field Not Applicable</v>
      </c>
      <c r="K572" t="str">
        <f>_xll.BDP("912833NR Govt","CPN_TYP")</f>
        <v>ZERO</v>
      </c>
      <c r="L572" t="str">
        <f>_xll.BDP("912833NR Govt","ID_ISIN")</f>
        <v>US912833NR78</v>
      </c>
      <c r="N572">
        <v>0</v>
      </c>
      <c r="O572" t="str">
        <f>_xll.BDP("912833NR Govt","ISSUE_DT")</f>
        <v>10/15/1996</v>
      </c>
      <c r="P572" t="str">
        <f>_xll.BDP("912833NR Govt","SECURITY_NAME")</f>
        <v>S 0 10/15/06</v>
      </c>
      <c r="Q572" t="str">
        <f>_xll.BDP("912833NR Govt","DAY_CNT_DES")</f>
        <v>ACT/ACT</v>
      </c>
      <c r="R572">
        <v>100</v>
      </c>
      <c r="S572" t="str">
        <f>_xll.BDP("912833NR Govt","ID_CUSIP")</f>
        <v>912833NR7</v>
      </c>
      <c r="T572" t="str">
        <f>_xll.BDP("912833NR Govt","IDX_RATIO")</f>
        <v>#N/A Field Not Applicable</v>
      </c>
    </row>
    <row r="573" spans="1:20" x14ac:dyDescent="0.25">
      <c r="A573" t="s">
        <v>14</v>
      </c>
      <c r="B573" t="str">
        <f>_xll.BDP("912833PK Govt","TICKER")</f>
        <v>S</v>
      </c>
      <c r="C573">
        <f>_xll.BDP("912833PK Govt","CPN")</f>
        <v>0</v>
      </c>
      <c r="D573" t="str">
        <f>_xll.BDP("912833PK Govt","YLD_YTM_BID")</f>
        <v>#N/A N/A</v>
      </c>
      <c r="E573" t="str">
        <f>_xll.BDP("912833PK Govt","MATURITY")</f>
        <v>3/31/2000</v>
      </c>
      <c r="F573" t="str">
        <f>_xll.BDP("912833PK Govt","MTY_TYP")</f>
        <v>NORMAL</v>
      </c>
      <c r="G573" t="str">
        <f>_xll.BDP("912833PK Govt","CRNCY")</f>
        <v>USD</v>
      </c>
      <c r="H573" t="str">
        <f>_xll.BDP("912833PK Govt","COUNTRY_FULL_NAME")</f>
        <v>UNITED STATES</v>
      </c>
      <c r="I573" t="str">
        <f>_xll.BDP("912833PK Govt","FIRST_CPN_DT")</f>
        <v>#N/A Field Not Applicable</v>
      </c>
      <c r="J573" t="str">
        <f>_xll.BDP("912833PK Govt","COUPON_FREQUENCY_DESCRIPTION")</f>
        <v>#N/A Field Not Applicable</v>
      </c>
      <c r="K573" t="str">
        <f>_xll.BDP("912833PK Govt","CPN_TYP")</f>
        <v>ZERO</v>
      </c>
      <c r="L573" t="str">
        <f>_xll.BDP("912833PK Govt","ID_ISIN")</f>
        <v>US912833PK08</v>
      </c>
      <c r="N573">
        <v>0</v>
      </c>
      <c r="O573" t="str">
        <f>_xll.BDP("912833PK Govt","ISSUE_DT")</f>
        <v>9/30/1997</v>
      </c>
      <c r="P573" t="str">
        <f>_xll.BDP("912833PK Govt","SECURITY_NAME")</f>
        <v>S 0 03/31/00</v>
      </c>
      <c r="Q573" t="str">
        <f>_xll.BDP("912833PK Govt","DAY_CNT_DES")</f>
        <v>ACT/ACT</v>
      </c>
      <c r="R573">
        <v>100</v>
      </c>
      <c r="S573" t="str">
        <f>_xll.BDP("912833PK Govt","ID_CUSIP")</f>
        <v>912833PK0</v>
      </c>
      <c r="T573" t="str">
        <f>_xll.BDP("912833PK Govt","IDX_RATIO")</f>
        <v>#N/A Field Not Applicable</v>
      </c>
    </row>
    <row r="574" spans="1:20" x14ac:dyDescent="0.25">
      <c r="A574" t="s">
        <v>14</v>
      </c>
      <c r="B574" t="str">
        <f>_xll.BDP("912833PS Govt","TICKER")</f>
        <v>S</v>
      </c>
      <c r="C574">
        <f>_xll.BDP("912833PS Govt","CPN")</f>
        <v>0</v>
      </c>
      <c r="D574" t="str">
        <f>_xll.BDP("912833PS Govt","YLD_YTM_BID")</f>
        <v>#N/A N/A</v>
      </c>
      <c r="E574" t="str">
        <f>_xll.BDP("912833PS Govt","MATURITY")</f>
        <v>10/31/1998</v>
      </c>
      <c r="F574" t="str">
        <f>_xll.BDP("912833PS Govt","MTY_TYP")</f>
        <v>NORMAL</v>
      </c>
      <c r="G574" t="str">
        <f>_xll.BDP("912833PS Govt","CRNCY")</f>
        <v>USD</v>
      </c>
      <c r="H574" t="str">
        <f>_xll.BDP("912833PS Govt","COUNTRY_FULL_NAME")</f>
        <v>UNITED STATES</v>
      </c>
      <c r="I574" t="str">
        <f>_xll.BDP("912833PS Govt","FIRST_CPN_DT")</f>
        <v>#N/A Field Not Applicable</v>
      </c>
      <c r="J574" t="str">
        <f>_xll.BDP("912833PS Govt","COUPON_FREQUENCY_DESCRIPTION")</f>
        <v>#N/A Field Not Applicable</v>
      </c>
      <c r="K574" t="str">
        <f>_xll.BDP("912833PS Govt","CPN_TYP")</f>
        <v>ZERO</v>
      </c>
      <c r="L574" t="str">
        <f>_xll.BDP("912833PS Govt","ID_ISIN")</f>
        <v>US912833PS34</v>
      </c>
      <c r="N574">
        <v>0</v>
      </c>
      <c r="O574" t="str">
        <f>_xll.BDP("912833PS Govt","ISSUE_DT")</f>
        <v>10/31/1997</v>
      </c>
      <c r="P574" t="str">
        <f>_xll.BDP("912833PS Govt","SECURITY_NAME")</f>
        <v>S 0 10/31/98</v>
      </c>
      <c r="Q574" t="str">
        <f>_xll.BDP("912833PS Govt","DAY_CNT_DES")</f>
        <v>ACT/ACT</v>
      </c>
      <c r="R574">
        <v>100</v>
      </c>
      <c r="S574" t="str">
        <f>_xll.BDP("912833PS Govt","ID_CUSIP")</f>
        <v>912833PS3</v>
      </c>
      <c r="T574" t="str">
        <f>_xll.BDP("912833PS Govt","IDX_RATIO")</f>
        <v>#N/A Field Not Applicable</v>
      </c>
    </row>
    <row r="575" spans="1:20" x14ac:dyDescent="0.25">
      <c r="A575" t="s">
        <v>14</v>
      </c>
      <c r="B575" t="str">
        <f>_xll.BDP("912833PT Govt","TICKER")</f>
        <v>S</v>
      </c>
      <c r="C575">
        <f>_xll.BDP("912833PT Govt","CPN")</f>
        <v>0</v>
      </c>
      <c r="D575" t="str">
        <f>_xll.BDP("912833PT Govt","YLD_YTM_BID")</f>
        <v>#N/A N/A</v>
      </c>
      <c r="E575" t="str">
        <f>_xll.BDP("912833PT Govt","MATURITY")</f>
        <v>4/30/1999</v>
      </c>
      <c r="F575" t="str">
        <f>_xll.BDP("912833PT Govt","MTY_TYP")</f>
        <v>NORMAL</v>
      </c>
      <c r="G575" t="str">
        <f>_xll.BDP("912833PT Govt","CRNCY")</f>
        <v>USD</v>
      </c>
      <c r="H575" t="str">
        <f>_xll.BDP("912833PT Govt","COUNTRY_FULL_NAME")</f>
        <v>UNITED STATES</v>
      </c>
      <c r="I575" t="str">
        <f>_xll.BDP("912833PT Govt","FIRST_CPN_DT")</f>
        <v>#N/A Field Not Applicable</v>
      </c>
      <c r="J575" t="str">
        <f>_xll.BDP("912833PT Govt","COUPON_FREQUENCY_DESCRIPTION")</f>
        <v>#N/A Field Not Applicable</v>
      </c>
      <c r="K575" t="str">
        <f>_xll.BDP("912833PT Govt","CPN_TYP")</f>
        <v>ZERO</v>
      </c>
      <c r="L575" t="str">
        <f>_xll.BDP("912833PT Govt","ID_ISIN")</f>
        <v>US912833PT17</v>
      </c>
      <c r="N575">
        <v>0</v>
      </c>
      <c r="O575" t="str">
        <f>_xll.BDP("912833PT Govt","ISSUE_DT")</f>
        <v>10/31/1997</v>
      </c>
      <c r="P575" t="str">
        <f>_xll.BDP("912833PT Govt","SECURITY_NAME")</f>
        <v>S 0 04/30/99</v>
      </c>
      <c r="Q575" t="str">
        <f>_xll.BDP("912833PT Govt","DAY_CNT_DES")</f>
        <v>ACT/ACT</v>
      </c>
      <c r="R575">
        <v>100</v>
      </c>
      <c r="S575" t="str">
        <f>_xll.BDP("912833PT Govt","ID_CUSIP")</f>
        <v>912833PT1</v>
      </c>
      <c r="T575" t="str">
        <f>_xll.BDP("912833PT Govt","IDX_RATIO")</f>
        <v>#N/A Field Not Applicable</v>
      </c>
    </row>
    <row r="576" spans="1:20" x14ac:dyDescent="0.25">
      <c r="A576" t="s">
        <v>14</v>
      </c>
      <c r="B576" t="str">
        <f>_xll.BDP("912833QD Govt","TICKER")</f>
        <v>S</v>
      </c>
      <c r="C576">
        <f>_xll.BDP("912833QD Govt","CPN")</f>
        <v>0</v>
      </c>
      <c r="D576" t="str">
        <f>_xll.BDP("912833QD Govt","YLD_YTM_BID")</f>
        <v>#N/A N/A</v>
      </c>
      <c r="E576" t="str">
        <f>_xll.BDP("912833QD Govt","MATURITY")</f>
        <v>11/30/1998</v>
      </c>
      <c r="F576" t="str">
        <f>_xll.BDP("912833QD Govt","MTY_TYP")</f>
        <v>NORMAL</v>
      </c>
      <c r="G576" t="str">
        <f>_xll.BDP("912833QD Govt","CRNCY")</f>
        <v>USD</v>
      </c>
      <c r="H576" t="str">
        <f>_xll.BDP("912833QD Govt","COUNTRY_FULL_NAME")</f>
        <v>UNITED STATES</v>
      </c>
      <c r="I576" t="str">
        <f>_xll.BDP("912833QD Govt","FIRST_CPN_DT")</f>
        <v>#N/A Field Not Applicable</v>
      </c>
      <c r="J576" t="str">
        <f>_xll.BDP("912833QD Govt","COUPON_FREQUENCY_DESCRIPTION")</f>
        <v>#N/A Field Not Applicable</v>
      </c>
      <c r="K576" t="str">
        <f>_xll.BDP("912833QD Govt","CPN_TYP")</f>
        <v>ZERO</v>
      </c>
      <c r="L576" t="str">
        <f>_xll.BDP("912833QD Govt","ID_ISIN")</f>
        <v>US912833QD55</v>
      </c>
      <c r="N576">
        <v>0</v>
      </c>
      <c r="O576" t="str">
        <f>_xll.BDP("912833QD Govt","ISSUE_DT")</f>
        <v>12/1/1997</v>
      </c>
      <c r="P576" t="str">
        <f>_xll.BDP("912833QD Govt","SECURITY_NAME")</f>
        <v>S 0 11/30/98</v>
      </c>
      <c r="Q576" t="str">
        <f>_xll.BDP("912833QD Govt","DAY_CNT_DES")</f>
        <v>ACT/ACT</v>
      </c>
      <c r="R576">
        <v>100</v>
      </c>
      <c r="S576" t="str">
        <f>_xll.BDP("912833QD Govt","ID_CUSIP")</f>
        <v>912833QD5</v>
      </c>
      <c r="T576" t="str">
        <f>_xll.BDP("912833QD Govt","IDX_RATIO")</f>
        <v>#N/A Field Not Applicable</v>
      </c>
    </row>
    <row r="577" spans="1:20" x14ac:dyDescent="0.25">
      <c r="A577" t="s">
        <v>14</v>
      </c>
      <c r="B577" t="str">
        <f>_xll.BDP("912833QN Govt","TICKER")</f>
        <v>S</v>
      </c>
      <c r="C577">
        <f>_xll.BDP("912833QN Govt","CPN")</f>
        <v>0</v>
      </c>
      <c r="D577" t="str">
        <f>_xll.BDP("912833QN Govt","YLD_YTM_BID")</f>
        <v>#N/A N/A</v>
      </c>
      <c r="E577" t="str">
        <f>_xll.BDP("912833QN Govt","MATURITY")</f>
        <v>6/30/1998</v>
      </c>
      <c r="F577" t="str">
        <f>_xll.BDP("912833QN Govt","MTY_TYP")</f>
        <v>NORMAL</v>
      </c>
      <c r="G577" t="str">
        <f>_xll.BDP("912833QN Govt","CRNCY")</f>
        <v>USD</v>
      </c>
      <c r="H577" t="str">
        <f>_xll.BDP("912833QN Govt","COUNTRY_FULL_NAME")</f>
        <v>UNITED STATES</v>
      </c>
      <c r="I577" t="str">
        <f>_xll.BDP("912833QN Govt","FIRST_CPN_DT")</f>
        <v>#N/A Field Not Applicable</v>
      </c>
      <c r="J577" t="str">
        <f>_xll.BDP("912833QN Govt","COUPON_FREQUENCY_DESCRIPTION")</f>
        <v>#N/A Field Not Applicable</v>
      </c>
      <c r="K577" t="str">
        <f>_xll.BDP("912833QN Govt","CPN_TYP")</f>
        <v>ZERO</v>
      </c>
      <c r="L577" t="str">
        <f>_xll.BDP("912833QN Govt","ID_ISIN")</f>
        <v>US912833QN38</v>
      </c>
      <c r="N577">
        <v>0</v>
      </c>
      <c r="O577" t="str">
        <f>_xll.BDP("912833QN Govt","ISSUE_DT")</f>
        <v>12/31/1997</v>
      </c>
      <c r="P577" t="str">
        <f>_xll.BDP("912833QN Govt","SECURITY_NAME")</f>
        <v>S 0 06/30/98</v>
      </c>
      <c r="Q577" t="str">
        <f>_xll.BDP("912833QN Govt","DAY_CNT_DES")</f>
        <v>ACT/ACT</v>
      </c>
      <c r="R577">
        <v>100</v>
      </c>
      <c r="S577" t="str">
        <f>_xll.BDP("912833QN Govt","ID_CUSIP")</f>
        <v>912833QN3</v>
      </c>
      <c r="T577" t="str">
        <f>_xll.BDP("912833QN Govt","IDX_RATIO")</f>
        <v>#N/A Field Not Applicable</v>
      </c>
    </row>
    <row r="578" spans="1:20" x14ac:dyDescent="0.25">
      <c r="A578" t="s">
        <v>14</v>
      </c>
      <c r="B578" t="str">
        <f>_xll.BDP("912833RK Govt","TICKER")</f>
        <v>S</v>
      </c>
      <c r="C578">
        <f>_xll.BDP("912833RK Govt","CPN")</f>
        <v>0</v>
      </c>
      <c r="D578" t="str">
        <f>_xll.BDP("912833RK Govt","YLD_YTM_BID")</f>
        <v>#N/A N/A</v>
      </c>
      <c r="E578" t="str">
        <f>_xll.BDP("912833RK Govt","MATURITY")</f>
        <v>2/28/1999</v>
      </c>
      <c r="F578" t="str">
        <f>_xll.BDP("912833RK Govt","MTY_TYP")</f>
        <v>NORMAL</v>
      </c>
      <c r="G578" t="str">
        <f>_xll.BDP("912833RK Govt","CRNCY")</f>
        <v>USD</v>
      </c>
      <c r="H578" t="str">
        <f>_xll.BDP("912833RK Govt","COUNTRY_FULL_NAME")</f>
        <v>UNITED STATES</v>
      </c>
      <c r="I578" t="str">
        <f>_xll.BDP("912833RK Govt","FIRST_CPN_DT")</f>
        <v>#N/A Field Not Applicable</v>
      </c>
      <c r="J578" t="str">
        <f>_xll.BDP("912833RK Govt","COUPON_FREQUENCY_DESCRIPTION")</f>
        <v>#N/A Field Not Applicable</v>
      </c>
      <c r="K578" t="str">
        <f>_xll.BDP("912833RK Govt","CPN_TYP")</f>
        <v>ZERO</v>
      </c>
      <c r="L578" t="str">
        <f>_xll.BDP("912833RK Govt","ID_ISIN")</f>
        <v>US912833RK89</v>
      </c>
      <c r="N578">
        <v>0</v>
      </c>
      <c r="O578" t="str">
        <f>_xll.BDP("912833RK Govt","ISSUE_DT")</f>
        <v>3/2/1998</v>
      </c>
      <c r="P578" t="str">
        <f>_xll.BDP("912833RK Govt","SECURITY_NAME")</f>
        <v>S 0 02/28/99</v>
      </c>
      <c r="Q578" t="str">
        <f>_xll.BDP("912833RK Govt","DAY_CNT_DES")</f>
        <v>ACT/ACT</v>
      </c>
      <c r="R578">
        <v>100</v>
      </c>
      <c r="S578" t="str">
        <f>_xll.BDP("912833RK Govt","ID_CUSIP")</f>
        <v>912833RK8</v>
      </c>
      <c r="T578" t="str">
        <f>_xll.BDP("912833RK Govt","IDX_RATIO")</f>
        <v>#N/A Field Not Applicable</v>
      </c>
    </row>
    <row r="579" spans="1:20" x14ac:dyDescent="0.25">
      <c r="A579" t="s">
        <v>14</v>
      </c>
      <c r="B579" t="str">
        <f>_xll.BDP("912833RN Govt","TICKER")</f>
        <v>S</v>
      </c>
      <c r="C579">
        <f>_xll.BDP("912833RN Govt","CPN")</f>
        <v>0</v>
      </c>
      <c r="D579" t="str">
        <f>_xll.BDP("912833RN Govt","YLD_YTM_BID")</f>
        <v>#N/A N/A</v>
      </c>
      <c r="E579" t="str">
        <f>_xll.BDP("912833RN Govt","MATURITY")</f>
        <v>8/31/2000</v>
      </c>
      <c r="F579" t="str">
        <f>_xll.BDP("912833RN Govt","MTY_TYP")</f>
        <v>NORMAL</v>
      </c>
      <c r="G579" t="str">
        <f>_xll.BDP("912833RN Govt","CRNCY")</f>
        <v>USD</v>
      </c>
      <c r="H579" t="str">
        <f>_xll.BDP("912833RN Govt","COUNTRY_FULL_NAME")</f>
        <v>UNITED STATES</v>
      </c>
      <c r="I579" t="str">
        <f>_xll.BDP("912833RN Govt","FIRST_CPN_DT")</f>
        <v>#N/A Field Not Applicable</v>
      </c>
      <c r="J579" t="str">
        <f>_xll.BDP("912833RN Govt","COUPON_FREQUENCY_DESCRIPTION")</f>
        <v>#N/A Field Not Applicable</v>
      </c>
      <c r="K579" t="str">
        <f>_xll.BDP("912833RN Govt","CPN_TYP")</f>
        <v>ZERO</v>
      </c>
      <c r="L579" t="str">
        <f>_xll.BDP("912833RN Govt","ID_ISIN")</f>
        <v>US912833RN29</v>
      </c>
      <c r="N579">
        <v>0</v>
      </c>
      <c r="O579" t="str">
        <f>_xll.BDP("912833RN Govt","ISSUE_DT")</f>
        <v>3/2/1998</v>
      </c>
      <c r="P579" t="str">
        <f>_xll.BDP("912833RN Govt","SECURITY_NAME")</f>
        <v>S 0 08/31/00</v>
      </c>
      <c r="Q579" t="str">
        <f>_xll.BDP("912833RN Govt","DAY_CNT_DES")</f>
        <v>ACT/ACT</v>
      </c>
      <c r="R579">
        <v>100</v>
      </c>
      <c r="S579" t="str">
        <f>_xll.BDP("912833RN Govt","ID_CUSIP")</f>
        <v>912833RN2</v>
      </c>
      <c r="T579" t="str">
        <f>_xll.BDP("912833RN Govt","IDX_RATIO")</f>
        <v>#N/A Field Not Applicable</v>
      </c>
    </row>
    <row r="580" spans="1:20" x14ac:dyDescent="0.25">
      <c r="A580" t="s">
        <v>14</v>
      </c>
      <c r="B580" t="str">
        <f>_xll.BDP("912833RT Govt","TICKER")</f>
        <v>S</v>
      </c>
      <c r="C580">
        <f>_xll.BDP("912833RT Govt","CPN")</f>
        <v>0</v>
      </c>
      <c r="D580" t="str">
        <f>_xll.BDP("912833RT Govt","YLD_YTM_BID")</f>
        <v>#N/A N/A</v>
      </c>
      <c r="E580" t="str">
        <f>_xll.BDP("912833RT Govt","MATURITY")</f>
        <v>2/28/2003</v>
      </c>
      <c r="F580" t="str">
        <f>_xll.BDP("912833RT Govt","MTY_TYP")</f>
        <v>NORMAL</v>
      </c>
      <c r="G580" t="str">
        <f>_xll.BDP("912833RT Govt","CRNCY")</f>
        <v>USD</v>
      </c>
      <c r="H580" t="str">
        <f>_xll.BDP("912833RT Govt","COUNTRY_FULL_NAME")</f>
        <v>UNITED STATES</v>
      </c>
      <c r="I580" t="str">
        <f>_xll.BDP("912833RT Govt","FIRST_CPN_DT")</f>
        <v>#N/A Field Not Applicable</v>
      </c>
      <c r="J580" t="str">
        <f>_xll.BDP("912833RT Govt","COUPON_FREQUENCY_DESCRIPTION")</f>
        <v>#N/A Field Not Applicable</v>
      </c>
      <c r="K580" t="str">
        <f>_xll.BDP("912833RT Govt","CPN_TYP")</f>
        <v>ZERO</v>
      </c>
      <c r="L580" t="str">
        <f>_xll.BDP("912833RT Govt","ID_ISIN")</f>
        <v>US912833RT98</v>
      </c>
      <c r="N580">
        <v>0</v>
      </c>
      <c r="O580" t="str">
        <f>_xll.BDP("912833RT Govt","ISSUE_DT")</f>
        <v>3/2/1998</v>
      </c>
      <c r="P580" t="str">
        <f>_xll.BDP("912833RT Govt","SECURITY_NAME")</f>
        <v>S 0 02/28/03</v>
      </c>
      <c r="Q580" t="str">
        <f>_xll.BDP("912833RT Govt","DAY_CNT_DES")</f>
        <v>ACT/ACT</v>
      </c>
      <c r="R580">
        <v>100</v>
      </c>
      <c r="S580" t="str">
        <f>_xll.BDP("912833RT Govt","ID_CUSIP")</f>
        <v>912833RT9</v>
      </c>
      <c r="T580" t="str">
        <f>_xll.BDP("912833RT Govt","IDX_RATIO")</f>
        <v>#N/A Field Not Applicable</v>
      </c>
    </row>
    <row r="581" spans="1:20" x14ac:dyDescent="0.25">
      <c r="A581" t="s">
        <v>14</v>
      </c>
      <c r="B581" t="str">
        <f>_xll.BDP("912833RV Govt","TICKER")</f>
        <v>S</v>
      </c>
      <c r="C581">
        <f>_xll.BDP("912833RV Govt","CPN")</f>
        <v>0</v>
      </c>
      <c r="D581" t="str">
        <f>_xll.BDP("912833RV Govt","YLD_YTM_BID")</f>
        <v>#N/A N/A</v>
      </c>
      <c r="E581" t="str">
        <f>_xll.BDP("912833RV Govt","MATURITY")</f>
        <v>4/30/2003</v>
      </c>
      <c r="F581" t="str">
        <f>_xll.BDP("912833RV Govt","MTY_TYP")</f>
        <v>NORMAL</v>
      </c>
      <c r="G581" t="str">
        <f>_xll.BDP("912833RV Govt","CRNCY")</f>
        <v>USD</v>
      </c>
      <c r="H581" t="str">
        <f>_xll.BDP("912833RV Govt","COUNTRY_FULL_NAME")</f>
        <v>UNITED STATES</v>
      </c>
      <c r="I581" t="str">
        <f>_xll.BDP("912833RV Govt","FIRST_CPN_DT")</f>
        <v>#N/A Field Not Applicable</v>
      </c>
      <c r="J581" t="str">
        <f>_xll.BDP("912833RV Govt","COUPON_FREQUENCY_DESCRIPTION")</f>
        <v>#N/A Field Not Applicable</v>
      </c>
      <c r="K581" t="str">
        <f>_xll.BDP("912833RV Govt","CPN_TYP")</f>
        <v>ZERO</v>
      </c>
      <c r="L581" t="str">
        <f>_xll.BDP("912833RV Govt","ID_ISIN")</f>
        <v>US912833RV45</v>
      </c>
      <c r="N581">
        <v>0</v>
      </c>
      <c r="O581" t="str">
        <f>_xll.BDP("912833RV Govt","ISSUE_DT")</f>
        <v>4/30/1998</v>
      </c>
      <c r="P581" t="str">
        <f>_xll.BDP("912833RV Govt","SECURITY_NAME")</f>
        <v>S 0 04/30/03</v>
      </c>
      <c r="Q581" t="str">
        <f>_xll.BDP("912833RV Govt","DAY_CNT_DES")</f>
        <v>ACT/ACT</v>
      </c>
      <c r="R581">
        <v>100</v>
      </c>
      <c r="S581" t="str">
        <f>_xll.BDP("912833RV Govt","ID_CUSIP")</f>
        <v>912833RV4</v>
      </c>
      <c r="T581" t="str">
        <f>_xll.BDP("912833RV Govt","IDX_RATIO")</f>
        <v>#N/A Field Not Applicable</v>
      </c>
    </row>
    <row r="582" spans="1:20" x14ac:dyDescent="0.25">
      <c r="A582" t="s">
        <v>14</v>
      </c>
      <c r="B582" t="str">
        <f>_xll.BDP("912833Y5 Govt","TICKER")</f>
        <v>S</v>
      </c>
      <c r="C582">
        <f>_xll.BDP("912833Y5 Govt","CPN")</f>
        <v>0</v>
      </c>
      <c r="D582" t="str">
        <f>_xll.BDP("912833Y5 Govt","YLD_YTM_BID")</f>
        <v>#N/A N/A</v>
      </c>
      <c r="E582" t="str">
        <f>_xll.BDP("912833Y5 Govt","MATURITY")</f>
        <v>8/31/2012</v>
      </c>
      <c r="F582" t="str">
        <f>_xll.BDP("912833Y5 Govt","MTY_TYP")</f>
        <v>NORMAL</v>
      </c>
      <c r="G582" t="str">
        <f>_xll.BDP("912833Y5 Govt","CRNCY")</f>
        <v>USD</v>
      </c>
      <c r="H582" t="str">
        <f>_xll.BDP("912833Y5 Govt","COUNTRY_FULL_NAME")</f>
        <v>UNITED STATES</v>
      </c>
      <c r="I582" t="str">
        <f>_xll.BDP("912833Y5 Govt","FIRST_CPN_DT")</f>
        <v>#N/A Field Not Applicable</v>
      </c>
      <c r="J582" t="str">
        <f>_xll.BDP("912833Y5 Govt","COUPON_FREQUENCY_DESCRIPTION")</f>
        <v>#N/A Field Not Applicable</v>
      </c>
      <c r="K582" t="str">
        <f>_xll.BDP("912833Y5 Govt","CPN_TYP")</f>
        <v>ZERO</v>
      </c>
      <c r="L582" t="str">
        <f>_xll.BDP("912833Y5 Govt","ID_ISIN")</f>
        <v>US912833Y537</v>
      </c>
      <c r="N582">
        <v>0</v>
      </c>
      <c r="O582" t="str">
        <f>_xll.BDP("912833Y5 Govt","ISSUE_DT")</f>
        <v>8/31/2007</v>
      </c>
      <c r="P582" t="str">
        <f>_xll.BDP("912833Y5 Govt","SECURITY_NAME")</f>
        <v>S 0 08/31/12</v>
      </c>
      <c r="Q582" t="str">
        <f>_xll.BDP("912833Y5 Govt","DAY_CNT_DES")</f>
        <v>ACT/ACT</v>
      </c>
      <c r="R582">
        <v>100</v>
      </c>
      <c r="S582" t="str">
        <f>_xll.BDP("912833Y5 Govt","ID_CUSIP")</f>
        <v>912833Y53</v>
      </c>
      <c r="T582" t="str">
        <f>_xll.BDP("912833Y5 Govt","IDX_RATIO")</f>
        <v>#N/A Field Not Applicable</v>
      </c>
    </row>
    <row r="583" spans="1:20" x14ac:dyDescent="0.25">
      <c r="A583" t="s">
        <v>14</v>
      </c>
      <c r="B583" t="str">
        <f>_xll.BDP("912833Y7 Govt","TICKER")</f>
        <v>S</v>
      </c>
      <c r="C583">
        <f>_xll.BDP("912833Y7 Govt","CPN")</f>
        <v>0</v>
      </c>
      <c r="D583" t="str">
        <f>_xll.BDP("912833Y7 Govt","YLD_YTM_BID")</f>
        <v>#N/A N/A</v>
      </c>
      <c r="E583" t="str">
        <f>_xll.BDP("912833Y7 Govt","MATURITY")</f>
        <v>10/31/2012</v>
      </c>
      <c r="F583" t="str">
        <f>_xll.BDP("912833Y7 Govt","MTY_TYP")</f>
        <v>NORMAL</v>
      </c>
      <c r="G583" t="str">
        <f>_xll.BDP("912833Y7 Govt","CRNCY")</f>
        <v>USD</v>
      </c>
      <c r="H583" t="str">
        <f>_xll.BDP("912833Y7 Govt","COUNTRY_FULL_NAME")</f>
        <v>UNITED STATES</v>
      </c>
      <c r="I583" t="str">
        <f>_xll.BDP("912833Y7 Govt","FIRST_CPN_DT")</f>
        <v>#N/A Field Not Applicable</v>
      </c>
      <c r="J583" t="str">
        <f>_xll.BDP("912833Y7 Govt","COUPON_FREQUENCY_DESCRIPTION")</f>
        <v>#N/A Field Not Applicable</v>
      </c>
      <c r="K583" t="str">
        <f>_xll.BDP("912833Y7 Govt","CPN_TYP")</f>
        <v>ZERO</v>
      </c>
      <c r="L583" t="str">
        <f>_xll.BDP("912833Y7 Govt","ID_ISIN")</f>
        <v>US912833Y792</v>
      </c>
      <c r="N583">
        <v>0</v>
      </c>
      <c r="O583" t="str">
        <f>_xll.BDP("912833Y7 Govt","ISSUE_DT")</f>
        <v>10/31/2007</v>
      </c>
      <c r="P583" t="str">
        <f>_xll.BDP("912833Y7 Govt","SECURITY_NAME")</f>
        <v>S 0 10/31/12</v>
      </c>
      <c r="Q583" t="str">
        <f>_xll.BDP("912833Y7 Govt","DAY_CNT_DES")</f>
        <v>ACT/ACT</v>
      </c>
      <c r="R583">
        <v>100</v>
      </c>
      <c r="S583" t="str">
        <f>_xll.BDP("912833Y7 Govt","ID_CUSIP")</f>
        <v>912833Y79</v>
      </c>
      <c r="T583" t="str">
        <f>_xll.BDP("912833Y7 Govt","IDX_RATIO")</f>
        <v>#N/A Field Not Applicable</v>
      </c>
    </row>
    <row r="584" spans="1:20" x14ac:dyDescent="0.25">
      <c r="A584" t="s">
        <v>14</v>
      </c>
      <c r="B584" t="str">
        <f>_xll.BDP("912833YK Govt","TICKER")</f>
        <v>S</v>
      </c>
      <c r="C584">
        <f>_xll.BDP("912833YK Govt","CPN")</f>
        <v>0</v>
      </c>
      <c r="D584" t="str">
        <f>_xll.BDP("912833YK Govt","YLD_YTM_BID")</f>
        <v>#N/A N/A</v>
      </c>
      <c r="E584" t="str">
        <f>_xll.BDP("912833YK Govt","MATURITY")</f>
        <v>10/31/2003</v>
      </c>
      <c r="F584" t="str">
        <f>_xll.BDP("912833YK Govt","MTY_TYP")</f>
        <v>NORMAL</v>
      </c>
      <c r="G584" t="str">
        <f>_xll.BDP("912833YK Govt","CRNCY")</f>
        <v>USD</v>
      </c>
      <c r="H584" t="str">
        <f>_xll.BDP("912833YK Govt","COUNTRY_FULL_NAME")</f>
        <v>UNITED STATES</v>
      </c>
      <c r="I584" t="str">
        <f>_xll.BDP("912833YK Govt","FIRST_CPN_DT")</f>
        <v>#N/A Field Not Applicable</v>
      </c>
      <c r="J584" t="str">
        <f>_xll.BDP("912833YK Govt","COUPON_FREQUENCY_DESCRIPTION")</f>
        <v>#N/A Field Not Applicable</v>
      </c>
      <c r="K584" t="str">
        <f>_xll.BDP("912833YK Govt","CPN_TYP")</f>
        <v>ZERO</v>
      </c>
      <c r="L584" t="str">
        <f>_xll.BDP("912833YK Govt","ID_ISIN")</f>
        <v>US912833YK07</v>
      </c>
      <c r="N584">
        <v>0</v>
      </c>
      <c r="O584" t="str">
        <f>_xll.BDP("912833YK Govt","ISSUE_DT")</f>
        <v>10/31/2001</v>
      </c>
      <c r="P584" t="str">
        <f>_xll.BDP("912833YK Govt","SECURITY_NAME")</f>
        <v>S 0 10/31/03</v>
      </c>
      <c r="Q584" t="str">
        <f>_xll.BDP("912833YK Govt","DAY_CNT_DES")</f>
        <v>ACT/ACT</v>
      </c>
      <c r="R584">
        <v>100</v>
      </c>
      <c r="S584" t="str">
        <f>_xll.BDP("912833YK Govt","ID_CUSIP")</f>
        <v>912833YK0</v>
      </c>
      <c r="T584" t="str">
        <f>_xll.BDP("912833YK Govt","IDX_RATIO")</f>
        <v>#N/A Field Not Applicable</v>
      </c>
    </row>
    <row r="585" spans="1:20" x14ac:dyDescent="0.25">
      <c r="A585" t="s">
        <v>14</v>
      </c>
      <c r="B585" t="str">
        <f>_xll.BDP("912833YS Govt","TICKER")</f>
        <v>S</v>
      </c>
      <c r="C585">
        <f>_xll.BDP("912833YS Govt","CPN")</f>
        <v>0</v>
      </c>
      <c r="D585" t="str">
        <f>_xll.BDP("912833YS Govt","YLD_YTM_BID")</f>
        <v>#N/A N/A</v>
      </c>
      <c r="E585" t="str">
        <f>_xll.BDP("912833YS Govt","MATURITY")</f>
        <v>3/31/2004</v>
      </c>
      <c r="F585" t="str">
        <f>_xll.BDP("912833YS Govt","MTY_TYP")</f>
        <v>NORMAL</v>
      </c>
      <c r="G585" t="str">
        <f>_xll.BDP("912833YS Govt","CRNCY")</f>
        <v>USD</v>
      </c>
      <c r="H585" t="str">
        <f>_xll.BDP("912833YS Govt","COUNTRY_FULL_NAME")</f>
        <v>UNITED STATES</v>
      </c>
      <c r="I585" t="str">
        <f>_xll.BDP("912833YS Govt","FIRST_CPN_DT")</f>
        <v>#N/A Field Not Applicable</v>
      </c>
      <c r="J585" t="str">
        <f>_xll.BDP("912833YS Govt","COUPON_FREQUENCY_DESCRIPTION")</f>
        <v>#N/A Field Not Applicable</v>
      </c>
      <c r="K585" t="str">
        <f>_xll.BDP("912833YS Govt","CPN_TYP")</f>
        <v>ZERO</v>
      </c>
      <c r="L585" t="str">
        <f>_xll.BDP("912833YS Govt","ID_ISIN")</f>
        <v>US912833YS33</v>
      </c>
      <c r="N585">
        <v>0</v>
      </c>
      <c r="O585" t="str">
        <f>_xll.BDP("912833YS Govt","ISSUE_DT")</f>
        <v>4/1/2002</v>
      </c>
      <c r="P585" t="str">
        <f>_xll.BDP("912833YS Govt","SECURITY_NAME")</f>
        <v>S 0 03/31/04</v>
      </c>
      <c r="Q585" t="str">
        <f>_xll.BDP("912833YS Govt","DAY_CNT_DES")</f>
        <v>ACT/ACT</v>
      </c>
      <c r="R585">
        <v>100</v>
      </c>
      <c r="S585" t="str">
        <f>_xll.BDP("912833YS Govt","ID_CUSIP")</f>
        <v>912833YS3</v>
      </c>
      <c r="T585" t="str">
        <f>_xll.BDP("912833YS Govt","IDX_RATIO")</f>
        <v>#N/A Field Not Applicable</v>
      </c>
    </row>
    <row r="586" spans="1:20" x14ac:dyDescent="0.25">
      <c r="A586" t="s">
        <v>14</v>
      </c>
      <c r="B586" t="str">
        <f>_xll.BDP("912833YU Govt","TICKER")</f>
        <v>S</v>
      </c>
      <c r="C586">
        <f>_xll.BDP("912833YU Govt","CPN")</f>
        <v>0</v>
      </c>
      <c r="D586" t="str">
        <f>_xll.BDP("912833YU Govt","YLD_YTM_BID")</f>
        <v>#N/A N/A</v>
      </c>
      <c r="E586" t="str">
        <f>_xll.BDP("912833YU Govt","MATURITY")</f>
        <v>5/31/2004</v>
      </c>
      <c r="F586" t="str">
        <f>_xll.BDP("912833YU Govt","MTY_TYP")</f>
        <v>NORMAL</v>
      </c>
      <c r="G586" t="str">
        <f>_xll.BDP("912833YU Govt","CRNCY")</f>
        <v>USD</v>
      </c>
      <c r="H586" t="str">
        <f>_xll.BDP("912833YU Govt","COUNTRY_FULL_NAME")</f>
        <v>UNITED STATES</v>
      </c>
      <c r="I586" t="str">
        <f>_xll.BDP("912833YU Govt","FIRST_CPN_DT")</f>
        <v>#N/A Field Not Applicable</v>
      </c>
      <c r="J586" t="str">
        <f>_xll.BDP("912833YU Govt","COUPON_FREQUENCY_DESCRIPTION")</f>
        <v>#N/A Field Not Applicable</v>
      </c>
      <c r="K586" t="str">
        <f>_xll.BDP("912833YU Govt","CPN_TYP")</f>
        <v>ZERO</v>
      </c>
      <c r="L586" t="str">
        <f>_xll.BDP("912833YU Govt","ID_ISIN")</f>
        <v>US912833YU88</v>
      </c>
      <c r="N586">
        <v>0</v>
      </c>
      <c r="O586" t="str">
        <f>_xll.BDP("912833YU Govt","ISSUE_DT")</f>
        <v>5/31/2002</v>
      </c>
      <c r="P586" t="str">
        <f>_xll.BDP("912833YU Govt","SECURITY_NAME")</f>
        <v>S 0 05/31/04</v>
      </c>
      <c r="Q586" t="str">
        <f>_xll.BDP("912833YU Govt","DAY_CNT_DES")</f>
        <v>ACT/ACT</v>
      </c>
      <c r="R586">
        <v>100</v>
      </c>
      <c r="S586" t="str">
        <f>_xll.BDP("912833YU Govt","ID_CUSIP")</f>
        <v>912833YU8</v>
      </c>
      <c r="T586" t="str">
        <f>_xll.BDP("912833YU Govt","IDX_RATIO")</f>
        <v>#N/A Field Not Applicable</v>
      </c>
    </row>
    <row r="587" spans="1:20" x14ac:dyDescent="0.25">
      <c r="A587" t="s">
        <v>14</v>
      </c>
      <c r="B587" t="str">
        <f>_xll.BDP("912833ZF Govt","TICKER")</f>
        <v>S</v>
      </c>
      <c r="C587">
        <f>_xll.BDP("912833ZF Govt","CPN")</f>
        <v>0</v>
      </c>
      <c r="D587" t="str">
        <f>_xll.BDP("912833ZF Govt","YLD_YTM_BID")</f>
        <v>#N/A N/A</v>
      </c>
      <c r="E587" t="str">
        <f>_xll.BDP("912833ZF Govt","MATURITY")</f>
        <v>3/31/2005</v>
      </c>
      <c r="F587" t="str">
        <f>_xll.BDP("912833ZF Govt","MTY_TYP")</f>
        <v>NORMAL</v>
      </c>
      <c r="G587" t="str">
        <f>_xll.BDP("912833ZF Govt","CRNCY")</f>
        <v>USD</v>
      </c>
      <c r="H587" t="str">
        <f>_xll.BDP("912833ZF Govt","COUNTRY_FULL_NAME")</f>
        <v>UNITED STATES</v>
      </c>
      <c r="I587" t="str">
        <f>_xll.BDP("912833ZF Govt","FIRST_CPN_DT")</f>
        <v>#N/A Field Not Applicable</v>
      </c>
      <c r="J587" t="str">
        <f>_xll.BDP("912833ZF Govt","COUPON_FREQUENCY_DESCRIPTION")</f>
        <v>#N/A Field Not Applicable</v>
      </c>
      <c r="K587" t="str">
        <f>_xll.BDP("912833ZF Govt","CPN_TYP")</f>
        <v>ZERO</v>
      </c>
      <c r="L587" t="str">
        <f>_xll.BDP("912833ZF Govt","ID_ISIN")</f>
        <v>US912833ZF03</v>
      </c>
      <c r="N587">
        <v>0</v>
      </c>
      <c r="O587" t="str">
        <f>_xll.BDP("912833ZF Govt","ISSUE_DT")</f>
        <v>3/31/2003</v>
      </c>
      <c r="P587" t="str">
        <f>_xll.BDP("912833ZF Govt","SECURITY_NAME")</f>
        <v>S 0 03/31/05</v>
      </c>
      <c r="Q587" t="str">
        <f>_xll.BDP("912833ZF Govt","DAY_CNT_DES")</f>
        <v>ACT/ACT</v>
      </c>
      <c r="R587">
        <v>100</v>
      </c>
      <c r="S587" t="str">
        <f>_xll.BDP("912833ZF Govt","ID_CUSIP")</f>
        <v>912833ZF0</v>
      </c>
      <c r="T587" t="str">
        <f>_xll.BDP("912833ZF Govt","IDX_RATIO")</f>
        <v>#N/A Field Not Applicable</v>
      </c>
    </row>
    <row r="588" spans="1:20" x14ac:dyDescent="0.25">
      <c r="A588" t="s">
        <v>14</v>
      </c>
      <c r="B588" t="str">
        <f>_xll.BDP("912833ZX Govt","TICKER")</f>
        <v>S</v>
      </c>
      <c r="C588">
        <f>_xll.BDP("912833ZX Govt","CPN")</f>
        <v>0</v>
      </c>
      <c r="D588" t="str">
        <f>_xll.BDP("912833ZX Govt","YLD_YTM_BID")</f>
        <v>#N/A N/A</v>
      </c>
      <c r="E588" t="str">
        <f>_xll.BDP("912833ZX Govt","MATURITY")</f>
        <v>3/15/2008</v>
      </c>
      <c r="F588" t="str">
        <f>_xll.BDP("912833ZX Govt","MTY_TYP")</f>
        <v>NORMAL</v>
      </c>
      <c r="G588" t="str">
        <f>_xll.BDP("912833ZX Govt","CRNCY")</f>
        <v>USD</v>
      </c>
      <c r="H588" t="str">
        <f>_xll.BDP("912833ZX Govt","COUNTRY_FULL_NAME")</f>
        <v>UNITED STATES</v>
      </c>
      <c r="I588" t="str">
        <f>_xll.BDP("912833ZX Govt","FIRST_CPN_DT")</f>
        <v>#N/A Field Not Applicable</v>
      </c>
      <c r="J588" t="str">
        <f>_xll.BDP("912833ZX Govt","COUPON_FREQUENCY_DESCRIPTION")</f>
        <v>#N/A Field Not Applicable</v>
      </c>
      <c r="K588" t="str">
        <f>_xll.BDP("912833ZX Govt","CPN_TYP")</f>
        <v>ZERO</v>
      </c>
      <c r="L588" t="str">
        <f>_xll.BDP("912833ZX Govt","ID_ISIN")</f>
        <v>US912833ZX19</v>
      </c>
      <c r="N588">
        <v>0</v>
      </c>
      <c r="O588" t="str">
        <f>_xll.BDP("912833ZX Govt","ISSUE_DT")</f>
        <v>9/15/2003</v>
      </c>
      <c r="P588" t="str">
        <f>_xll.BDP("912833ZX Govt","SECURITY_NAME")</f>
        <v>S 0 03/15/08</v>
      </c>
      <c r="Q588" t="str">
        <f>_xll.BDP("912833ZX Govt","DAY_CNT_DES")</f>
        <v>ACT/ACT</v>
      </c>
      <c r="R588">
        <v>100</v>
      </c>
      <c r="S588" t="str">
        <f>_xll.BDP("912833ZX Govt","ID_CUSIP")</f>
        <v>912833ZX1</v>
      </c>
      <c r="T588" t="str">
        <f>_xll.BDP("912833ZX Govt","IDX_RATIO")</f>
        <v>#N/A Field Not Applicable</v>
      </c>
    </row>
    <row r="589" spans="1:20" x14ac:dyDescent="0.25">
      <c r="A589" t="s">
        <v>14</v>
      </c>
      <c r="B589" t="str">
        <f>_xll.BDP("912834AA Govt","TICKER")</f>
        <v>S</v>
      </c>
      <c r="C589">
        <f>_xll.BDP("912834AA Govt","CPN")</f>
        <v>0</v>
      </c>
      <c r="D589" t="str">
        <f>_xll.BDP("912834AA Govt","YLD_YTM_BID")</f>
        <v>#N/A N/A</v>
      </c>
      <c r="E589" t="str">
        <f>_xll.BDP("912834AA Govt","MATURITY")</f>
        <v>5/31/2013</v>
      </c>
      <c r="F589" t="str">
        <f>_xll.BDP("912834AA Govt","MTY_TYP")</f>
        <v>NORMAL</v>
      </c>
      <c r="G589" t="str">
        <f>_xll.BDP("912834AA Govt","CRNCY")</f>
        <v>USD</v>
      </c>
      <c r="H589" t="str">
        <f>_xll.BDP("912834AA Govt","COUNTRY_FULL_NAME")</f>
        <v>UNITED STATES</v>
      </c>
      <c r="I589" t="str">
        <f>_xll.BDP("912834AA Govt","FIRST_CPN_DT")</f>
        <v>#N/A Field Not Applicable</v>
      </c>
      <c r="J589" t="str">
        <f>_xll.BDP("912834AA Govt","COUPON_FREQUENCY_DESCRIPTION")</f>
        <v>#N/A Field Not Applicable</v>
      </c>
      <c r="K589" t="str">
        <f>_xll.BDP("912834AA Govt","CPN_TYP")</f>
        <v>ZERO</v>
      </c>
      <c r="L589" t="str">
        <f>_xll.BDP("912834AA Govt","ID_ISIN")</f>
        <v>US912834AA63</v>
      </c>
      <c r="N589">
        <v>0</v>
      </c>
      <c r="O589" t="str">
        <f>_xll.BDP("912834AA Govt","ISSUE_DT")</f>
        <v>6/2/2008</v>
      </c>
      <c r="P589" t="str">
        <f>_xll.BDP("912834AA Govt","SECURITY_NAME")</f>
        <v>S 0 05/31/13</v>
      </c>
      <c r="Q589" t="str">
        <f>_xll.BDP("912834AA Govt","DAY_CNT_DES")</f>
        <v>ACT/ACT</v>
      </c>
      <c r="R589">
        <v>100</v>
      </c>
      <c r="S589" t="str">
        <f>_xll.BDP("912834AA Govt","ID_CUSIP")</f>
        <v>912834AA6</v>
      </c>
      <c r="T589" t="str">
        <f>_xll.BDP("912834AA Govt","IDX_RATIO")</f>
        <v>#N/A Field Not Applicable</v>
      </c>
    </row>
    <row r="590" spans="1:20" x14ac:dyDescent="0.25">
      <c r="A590" t="s">
        <v>14</v>
      </c>
      <c r="B590" t="str">
        <f>_xll.BDP("912834AG Govt","TICKER")</f>
        <v>S</v>
      </c>
      <c r="C590">
        <f>_xll.BDP("912834AG Govt","CPN")</f>
        <v>0</v>
      </c>
      <c r="D590" t="str">
        <f>_xll.BDP("912834AG Govt","YLD_YTM_BID")</f>
        <v>#N/A N/A</v>
      </c>
      <c r="E590" t="str">
        <f>_xll.BDP("912834AG Govt","MATURITY")</f>
        <v>9/30/2013</v>
      </c>
      <c r="F590" t="str">
        <f>_xll.BDP("912834AG Govt","MTY_TYP")</f>
        <v>NORMAL</v>
      </c>
      <c r="G590" t="str">
        <f>_xll.BDP("912834AG Govt","CRNCY")</f>
        <v>USD</v>
      </c>
      <c r="H590" t="str">
        <f>_xll.BDP("912834AG Govt","COUNTRY_FULL_NAME")</f>
        <v>UNITED STATES</v>
      </c>
      <c r="I590" t="str">
        <f>_xll.BDP("912834AG Govt","FIRST_CPN_DT")</f>
        <v>#N/A Field Not Applicable</v>
      </c>
      <c r="J590" t="str">
        <f>_xll.BDP("912834AG Govt","COUPON_FREQUENCY_DESCRIPTION")</f>
        <v>#N/A Field Not Applicable</v>
      </c>
      <c r="K590" t="str">
        <f>_xll.BDP("912834AG Govt","CPN_TYP")</f>
        <v>ZERO</v>
      </c>
      <c r="L590" t="str">
        <f>_xll.BDP("912834AG Govt","ID_ISIN")</f>
        <v>US912834AG34</v>
      </c>
      <c r="N590">
        <v>0</v>
      </c>
      <c r="O590" t="str">
        <f>_xll.BDP("912834AG Govt","ISSUE_DT")</f>
        <v>9/30/2008</v>
      </c>
      <c r="P590" t="str">
        <f>_xll.BDP("912834AG Govt","SECURITY_NAME")</f>
        <v>S 0 09/30/13</v>
      </c>
      <c r="Q590" t="str">
        <f>_xll.BDP("912834AG Govt","DAY_CNT_DES")</f>
        <v>ACT/ACT</v>
      </c>
      <c r="R590">
        <v>100</v>
      </c>
      <c r="S590" t="str">
        <f>_xll.BDP("912834AG Govt","ID_CUSIP")</f>
        <v>912834AG3</v>
      </c>
      <c r="T590" t="str">
        <f>_xll.BDP("912834AG Govt","IDX_RATIO")</f>
        <v>#N/A Field Not Applicable</v>
      </c>
    </row>
    <row r="591" spans="1:20" x14ac:dyDescent="0.25">
      <c r="A591" t="s">
        <v>14</v>
      </c>
      <c r="B591" t="str">
        <f>_xll.BDP("912834AJ Govt","TICKER")</f>
        <v>S</v>
      </c>
      <c r="C591">
        <f>_xll.BDP("912834AJ Govt","CPN")</f>
        <v>0</v>
      </c>
      <c r="D591" t="str">
        <f>_xll.BDP("912834AJ Govt","YLD_YTM_BID")</f>
        <v>#N/A N/A</v>
      </c>
      <c r="E591" t="str">
        <f>_xll.BDP("912834AJ Govt","MATURITY")</f>
        <v>11/30/2013</v>
      </c>
      <c r="F591" t="str">
        <f>_xll.BDP("912834AJ Govt","MTY_TYP")</f>
        <v>NORMAL</v>
      </c>
      <c r="G591" t="str">
        <f>_xll.BDP("912834AJ Govt","CRNCY")</f>
        <v>USD</v>
      </c>
      <c r="H591" t="str">
        <f>_xll.BDP("912834AJ Govt","COUNTRY_FULL_NAME")</f>
        <v>UNITED STATES</v>
      </c>
      <c r="I591" t="str">
        <f>_xll.BDP("912834AJ Govt","FIRST_CPN_DT")</f>
        <v>#N/A Field Not Applicable</v>
      </c>
      <c r="J591" t="str">
        <f>_xll.BDP("912834AJ Govt","COUPON_FREQUENCY_DESCRIPTION")</f>
        <v>#N/A Field Not Applicable</v>
      </c>
      <c r="K591" t="str">
        <f>_xll.BDP("912834AJ Govt","CPN_TYP")</f>
        <v>ZERO</v>
      </c>
      <c r="L591" t="str">
        <f>_xll.BDP("912834AJ Govt","ID_ISIN")</f>
        <v>US912834AJ72</v>
      </c>
      <c r="N591">
        <v>0</v>
      </c>
      <c r="O591" t="str">
        <f>_xll.BDP("912834AJ Govt","ISSUE_DT")</f>
        <v>12/1/2008</v>
      </c>
      <c r="P591" t="str">
        <f>_xll.BDP("912834AJ Govt","SECURITY_NAME")</f>
        <v>S 0 11/30/13</v>
      </c>
      <c r="Q591" t="str">
        <f>_xll.BDP("912834AJ Govt","DAY_CNT_DES")</f>
        <v>ACT/ACT</v>
      </c>
      <c r="R591">
        <v>100</v>
      </c>
      <c r="S591" t="str">
        <f>_xll.BDP("912834AJ Govt","ID_CUSIP")</f>
        <v>912834AJ7</v>
      </c>
      <c r="T591" t="str">
        <f>_xll.BDP("912834AJ Govt","IDX_RATIO")</f>
        <v>#N/A Field Not Applicable</v>
      </c>
    </row>
    <row r="592" spans="1:20" x14ac:dyDescent="0.25">
      <c r="A592" t="s">
        <v>14</v>
      </c>
      <c r="B592" t="str">
        <f>_xll.BDP("912834BG Govt","TICKER")</f>
        <v>S</v>
      </c>
      <c r="C592">
        <f>_xll.BDP("912834BG Govt","CPN")</f>
        <v>0</v>
      </c>
      <c r="D592" t="str">
        <f>_xll.BDP("912834BG Govt","YLD_YTM_BID")</f>
        <v>#N/A N/A</v>
      </c>
      <c r="E592" t="str">
        <f>_xll.BDP("912834BG Govt","MATURITY")</f>
        <v>9/30/2015</v>
      </c>
      <c r="F592" t="str">
        <f>_xll.BDP("912834BG Govt","MTY_TYP")</f>
        <v>NORMAL</v>
      </c>
      <c r="G592" t="str">
        <f>_xll.BDP("912834BG Govt","CRNCY")</f>
        <v>USD</v>
      </c>
      <c r="H592" t="str">
        <f>_xll.BDP("912834BG Govt","COUNTRY_FULL_NAME")</f>
        <v>UNITED STATES</v>
      </c>
      <c r="I592" t="str">
        <f>_xll.BDP("912834BG Govt","FIRST_CPN_DT")</f>
        <v>#N/A Field Not Applicable</v>
      </c>
      <c r="J592" t="str">
        <f>_xll.BDP("912834BG Govt","COUPON_FREQUENCY_DESCRIPTION")</f>
        <v>#N/A Field Not Applicable</v>
      </c>
      <c r="K592" t="str">
        <f>_xll.BDP("912834BG Govt","CPN_TYP")</f>
        <v>ZERO</v>
      </c>
      <c r="L592" t="str">
        <f>_xll.BDP("912834BG Govt","ID_ISIN")</f>
        <v>US912834BG25</v>
      </c>
      <c r="N592">
        <v>0</v>
      </c>
      <c r="O592" t="str">
        <f>_xll.BDP("912834BG Govt","ISSUE_DT")</f>
        <v>3/31/2009</v>
      </c>
      <c r="P592" t="str">
        <f>_xll.BDP("912834BG Govt","SECURITY_NAME")</f>
        <v>S 0 09/30/15</v>
      </c>
      <c r="Q592" t="str">
        <f>_xll.BDP("912834BG Govt","DAY_CNT_DES")</f>
        <v>ACT/ACT</v>
      </c>
      <c r="R592">
        <v>100</v>
      </c>
      <c r="S592" t="str">
        <f>_xll.BDP("912834BG Govt","ID_CUSIP")</f>
        <v>912834BG2</v>
      </c>
      <c r="T592" t="str">
        <f>_xll.BDP("912834BG Govt","IDX_RATIO")</f>
        <v>#N/A Field Not Applicable</v>
      </c>
    </row>
    <row r="593" spans="1:20" x14ac:dyDescent="0.25">
      <c r="A593" t="s">
        <v>14</v>
      </c>
      <c r="B593" t="str">
        <f>_xll.BDP("912834EA Govt","TICKER")</f>
        <v>S</v>
      </c>
      <c r="C593">
        <f>_xll.BDP("912834EA Govt","CPN")</f>
        <v>0</v>
      </c>
      <c r="D593" t="str">
        <f>_xll.BDP("912834EA Govt","YLD_YTM_BID")</f>
        <v>#N/A N/A</v>
      </c>
      <c r="E593" t="str">
        <f>_xll.BDP("912834EA Govt","MATURITY")</f>
        <v>5/31/2016</v>
      </c>
      <c r="F593" t="str">
        <f>_xll.BDP("912834EA Govt","MTY_TYP")</f>
        <v>NORMAL</v>
      </c>
      <c r="G593" t="str">
        <f>_xll.BDP("912834EA Govt","CRNCY")</f>
        <v>USD</v>
      </c>
      <c r="H593" t="str">
        <f>_xll.BDP("912834EA Govt","COUNTRY_FULL_NAME")</f>
        <v>UNITED STATES</v>
      </c>
      <c r="I593" t="str">
        <f>_xll.BDP("912834EA Govt","FIRST_CPN_DT")</f>
        <v>#N/A Field Not Applicable</v>
      </c>
      <c r="J593" t="str">
        <f>_xll.BDP("912834EA Govt","COUPON_FREQUENCY_DESCRIPTION")</f>
        <v>#N/A Field Not Applicable</v>
      </c>
      <c r="K593" t="str">
        <f>_xll.BDP("912834EA Govt","CPN_TYP")</f>
        <v>ZERO</v>
      </c>
      <c r="L593" t="str">
        <f>_xll.BDP("912834EA Govt","ID_ISIN")</f>
        <v>US912834EA28</v>
      </c>
      <c r="N593">
        <v>0</v>
      </c>
      <c r="O593" t="str">
        <f>_xll.BDP("912834EA Govt","ISSUE_DT")</f>
        <v>6/1/2009</v>
      </c>
      <c r="P593" t="str">
        <f>_xll.BDP("912834EA Govt","SECURITY_NAME")</f>
        <v>S 0 05/31/16</v>
      </c>
      <c r="Q593" t="str">
        <f>_xll.BDP("912834EA Govt","DAY_CNT_DES")</f>
        <v>ACT/ACT</v>
      </c>
      <c r="R593">
        <v>100</v>
      </c>
      <c r="S593" t="str">
        <f>_xll.BDP("912834EA Govt","ID_CUSIP")</f>
        <v>912834EA2</v>
      </c>
      <c r="T593" t="str">
        <f>_xll.BDP("912834EA Govt","IDX_RATIO")</f>
        <v>#N/A Field Not Applicable</v>
      </c>
    </row>
    <row r="594" spans="1:20" x14ac:dyDescent="0.25">
      <c r="A594" t="s">
        <v>14</v>
      </c>
      <c r="B594" t="str">
        <f>_xll.BDP("912834EF Govt","TICKER")</f>
        <v>S</v>
      </c>
      <c r="C594">
        <f>_xll.BDP("912834EF Govt","CPN")</f>
        <v>0</v>
      </c>
      <c r="D594" t="str">
        <f>_xll.BDP("912834EF Govt","YLD_YTM_BID")</f>
        <v>#N/A N/A</v>
      </c>
      <c r="E594" t="str">
        <f>_xll.BDP("912834EF Govt","MATURITY")</f>
        <v>12/31/2015</v>
      </c>
      <c r="F594" t="str">
        <f>_xll.BDP("912834EF Govt","MTY_TYP")</f>
        <v>NORMAL</v>
      </c>
      <c r="G594" t="str">
        <f>_xll.BDP("912834EF Govt","CRNCY")</f>
        <v>USD</v>
      </c>
      <c r="H594" t="str">
        <f>_xll.BDP("912834EF Govt","COUNTRY_FULL_NAME")</f>
        <v>UNITED STATES</v>
      </c>
      <c r="I594" t="str">
        <f>_xll.BDP("912834EF Govt","FIRST_CPN_DT")</f>
        <v>#N/A Field Not Applicable</v>
      </c>
      <c r="J594" t="str">
        <f>_xll.BDP("912834EF Govt","COUPON_FREQUENCY_DESCRIPTION")</f>
        <v>#N/A Field Not Applicable</v>
      </c>
      <c r="K594" t="str">
        <f>_xll.BDP("912834EF Govt","CPN_TYP")</f>
        <v>ZERO</v>
      </c>
      <c r="L594" t="str">
        <f>_xll.BDP("912834EF Govt","ID_ISIN")</f>
        <v>US912834EF15</v>
      </c>
      <c r="N594">
        <v>0</v>
      </c>
      <c r="O594" t="str">
        <f>_xll.BDP("912834EF Govt","ISSUE_DT")</f>
        <v>6/30/2009</v>
      </c>
      <c r="P594" t="str">
        <f>_xll.BDP("912834EF Govt","SECURITY_NAME")</f>
        <v>S 0 12/31/15</v>
      </c>
      <c r="Q594" t="str">
        <f>_xll.BDP("912834EF Govt","DAY_CNT_DES")</f>
        <v>ACT/ACT</v>
      </c>
      <c r="R594">
        <v>100</v>
      </c>
      <c r="S594" t="str">
        <f>_xll.BDP("912834EF Govt","ID_CUSIP")</f>
        <v>912834EF1</v>
      </c>
      <c r="T594" t="str">
        <f>_xll.BDP("912834EF Govt","IDX_RATIO")</f>
        <v>#N/A Field Not Applicable</v>
      </c>
    </row>
    <row r="595" spans="1:20" x14ac:dyDescent="0.25">
      <c r="A595" t="s">
        <v>14</v>
      </c>
      <c r="B595" t="str">
        <f>_xll.BDP("912834EJ Govt","TICKER")</f>
        <v>S</v>
      </c>
      <c r="C595">
        <f>_xll.BDP("912834EJ Govt","CPN")</f>
        <v>0</v>
      </c>
      <c r="D595" t="str">
        <f>_xll.BDP("912834EJ Govt","YLD_YTM_BID")</f>
        <v>#N/A N/A</v>
      </c>
      <c r="E595" t="str">
        <f>_xll.BDP("912834EJ Govt","MATURITY")</f>
        <v>7/31/2014</v>
      </c>
      <c r="F595" t="str">
        <f>_xll.BDP("912834EJ Govt","MTY_TYP")</f>
        <v>NORMAL</v>
      </c>
      <c r="G595" t="str">
        <f>_xll.BDP("912834EJ Govt","CRNCY")</f>
        <v>USD</v>
      </c>
      <c r="H595" t="str">
        <f>_xll.BDP("912834EJ Govt","COUNTRY_FULL_NAME")</f>
        <v>UNITED STATES</v>
      </c>
      <c r="I595" t="str">
        <f>_xll.BDP("912834EJ Govt","FIRST_CPN_DT")</f>
        <v>#N/A Field Not Applicable</v>
      </c>
      <c r="J595" t="str">
        <f>_xll.BDP("912834EJ Govt","COUPON_FREQUENCY_DESCRIPTION")</f>
        <v>#N/A Field Not Applicable</v>
      </c>
      <c r="K595" t="str">
        <f>_xll.BDP("912834EJ Govt","CPN_TYP")</f>
        <v>ZERO</v>
      </c>
      <c r="L595" t="str">
        <f>_xll.BDP("912834EJ Govt","ID_ISIN")</f>
        <v>US912834EJ37</v>
      </c>
      <c r="N595">
        <v>0</v>
      </c>
      <c r="O595" t="str">
        <f>_xll.BDP("912834EJ Govt","ISSUE_DT")</f>
        <v>7/31/2009</v>
      </c>
      <c r="P595" t="str">
        <f>_xll.BDP("912834EJ Govt","SECURITY_NAME")</f>
        <v>S 0 07/31/14</v>
      </c>
      <c r="Q595" t="str">
        <f>_xll.BDP("912834EJ Govt","DAY_CNT_DES")</f>
        <v>ACT/ACT</v>
      </c>
      <c r="R595">
        <v>100</v>
      </c>
      <c r="S595" t="str">
        <f>_xll.BDP("912834EJ Govt","ID_CUSIP")</f>
        <v>912834EJ3</v>
      </c>
      <c r="T595" t="str">
        <f>_xll.BDP("912834EJ Govt","IDX_RATIO")</f>
        <v>#N/A Field Not Applicable</v>
      </c>
    </row>
    <row r="596" spans="1:20" x14ac:dyDescent="0.25">
      <c r="A596" t="s">
        <v>14</v>
      </c>
      <c r="B596" t="str">
        <f>_xll.BDP("912834ER Govt","TICKER")</f>
        <v>S</v>
      </c>
      <c r="C596">
        <f>_xll.BDP("912834ER Govt","CPN")</f>
        <v>0</v>
      </c>
      <c r="D596" t="str">
        <f>_xll.BDP("912834ER Govt","YLD_YTM_BID")</f>
        <v>#N/A N/A</v>
      </c>
      <c r="E596" t="str">
        <f>_xll.BDP("912834ER Govt","MATURITY")</f>
        <v>9/15/2012</v>
      </c>
      <c r="F596" t="str">
        <f>_xll.BDP("912834ER Govt","MTY_TYP")</f>
        <v>NORMAL</v>
      </c>
      <c r="G596" t="str">
        <f>_xll.BDP("912834ER Govt","CRNCY")</f>
        <v>USD</v>
      </c>
      <c r="H596" t="str">
        <f>_xll.BDP("912834ER Govt","COUNTRY_FULL_NAME")</f>
        <v>UNITED STATES</v>
      </c>
      <c r="I596" t="str">
        <f>_xll.BDP("912834ER Govt","FIRST_CPN_DT")</f>
        <v>#N/A Field Not Applicable</v>
      </c>
      <c r="J596" t="str">
        <f>_xll.BDP("912834ER Govt","COUPON_FREQUENCY_DESCRIPTION")</f>
        <v>#N/A Field Not Applicable</v>
      </c>
      <c r="K596" t="str">
        <f>_xll.BDP("912834ER Govt","CPN_TYP")</f>
        <v>ZERO</v>
      </c>
      <c r="L596" t="str">
        <f>_xll.BDP("912834ER Govt","ID_ISIN")</f>
        <v>US912834ER52</v>
      </c>
      <c r="N596">
        <v>0</v>
      </c>
      <c r="O596" t="str">
        <f>_xll.BDP("912834ER Govt","ISSUE_DT")</f>
        <v>9/15/2009</v>
      </c>
      <c r="P596" t="str">
        <f>_xll.BDP("912834ER Govt","SECURITY_NAME")</f>
        <v>S 0 09/15/12</v>
      </c>
      <c r="Q596" t="str">
        <f>_xll.BDP("912834ER Govt","DAY_CNT_DES")</f>
        <v>ACT/ACT</v>
      </c>
      <c r="R596">
        <v>100</v>
      </c>
      <c r="S596" t="str">
        <f>_xll.BDP("912834ER Govt","ID_CUSIP")</f>
        <v>912834ER5</v>
      </c>
      <c r="T596" t="str">
        <f>_xll.BDP("912834ER Govt","IDX_RATIO")</f>
        <v>#N/A Field Not Applicable</v>
      </c>
    </row>
    <row r="597" spans="1:20" x14ac:dyDescent="0.25">
      <c r="A597" t="s">
        <v>14</v>
      </c>
      <c r="B597" t="str">
        <f>_xll.BDP("9128332E Govt","TICKER")</f>
        <v>S</v>
      </c>
      <c r="C597">
        <f>_xll.BDP("9128332E Govt","CPN")</f>
        <v>0</v>
      </c>
      <c r="D597" t="str">
        <f>_xll.BDP("9128332E Govt","YLD_YTM_BID")</f>
        <v>#N/A N/A</v>
      </c>
      <c r="E597" t="str">
        <f>_xll.BDP("9128332E Govt","MATURITY")</f>
        <v>4/30/2006</v>
      </c>
      <c r="F597" t="str">
        <f>_xll.BDP("9128332E Govt","MTY_TYP")</f>
        <v>NORMAL</v>
      </c>
      <c r="G597" t="str">
        <f>_xll.BDP("9128332E Govt","CRNCY")</f>
        <v>USD</v>
      </c>
      <c r="H597" t="str">
        <f>_xll.BDP("9128332E Govt","COUNTRY_FULL_NAME")</f>
        <v>UNITED STATES</v>
      </c>
      <c r="I597" t="str">
        <f>_xll.BDP("9128332E Govt","FIRST_CPN_DT")</f>
        <v>#N/A Field Not Applicable</v>
      </c>
      <c r="J597" t="str">
        <f>_xll.BDP("9128332E Govt","COUPON_FREQUENCY_DESCRIPTION")</f>
        <v>#N/A Field Not Applicable</v>
      </c>
      <c r="K597" t="str">
        <f>_xll.BDP("9128332E Govt","CPN_TYP")</f>
        <v>ZERO</v>
      </c>
      <c r="L597" t="str">
        <f>_xll.BDP("9128332E Govt","ID_ISIN")</f>
        <v>US9128332E92</v>
      </c>
      <c r="N597">
        <v>0</v>
      </c>
      <c r="O597" t="str">
        <f>_xll.BDP("9128332E Govt","ISSUE_DT")</f>
        <v>4/30/2004</v>
      </c>
      <c r="P597" t="str">
        <f>_xll.BDP("9128332E Govt","SECURITY_NAME")</f>
        <v>S 0 04/30/06</v>
      </c>
      <c r="Q597" t="str">
        <f>_xll.BDP("9128332E Govt","DAY_CNT_DES")</f>
        <v>ACT/ACT</v>
      </c>
      <c r="R597">
        <v>100</v>
      </c>
      <c r="S597" t="str">
        <f>_xll.BDP("9128332E Govt","ID_CUSIP")</f>
        <v>9128332E9</v>
      </c>
      <c r="T597" t="str">
        <f>_xll.BDP("9128332E Govt","IDX_RATIO")</f>
        <v>#N/A Field Not Applicable</v>
      </c>
    </row>
    <row r="598" spans="1:20" x14ac:dyDescent="0.25">
      <c r="A598" t="s">
        <v>14</v>
      </c>
      <c r="B598" t="str">
        <f>_xll.BDP("9128332J Govt","TICKER")</f>
        <v>S</v>
      </c>
      <c r="C598">
        <f>_xll.BDP("9128332J Govt","CPN")</f>
        <v>0</v>
      </c>
      <c r="D598" t="str">
        <f>_xll.BDP("9128332J Govt","YLD_YTM_BID")</f>
        <v>#N/A N/A</v>
      </c>
      <c r="E598" t="str">
        <f>_xll.BDP("9128332J Govt","MATURITY")</f>
        <v>7/15/2009</v>
      </c>
      <c r="F598" t="str">
        <f>_xll.BDP("9128332J Govt","MTY_TYP")</f>
        <v>NORMAL</v>
      </c>
      <c r="G598" t="str">
        <f>_xll.BDP("9128332J Govt","CRNCY")</f>
        <v>USD</v>
      </c>
      <c r="H598" t="str">
        <f>_xll.BDP("9128332J Govt","COUNTRY_FULL_NAME")</f>
        <v>UNITED STATES</v>
      </c>
      <c r="I598" t="str">
        <f>_xll.BDP("9128332J Govt","FIRST_CPN_DT")</f>
        <v>#N/A Field Not Applicable</v>
      </c>
      <c r="J598" t="str">
        <f>_xll.BDP("9128332J Govt","COUPON_FREQUENCY_DESCRIPTION")</f>
        <v>#N/A Field Not Applicable</v>
      </c>
      <c r="K598" t="str">
        <f>_xll.BDP("9128332J Govt","CPN_TYP")</f>
        <v>ZERO</v>
      </c>
      <c r="L598" t="str">
        <f>_xll.BDP("9128332J Govt","ID_ISIN")</f>
        <v>US9128332J89</v>
      </c>
      <c r="N598">
        <v>0</v>
      </c>
      <c r="O598" t="str">
        <f>_xll.BDP("9128332J Govt","ISSUE_DT")</f>
        <v>7/15/2004</v>
      </c>
      <c r="P598" t="str">
        <f>_xll.BDP("9128332J Govt","SECURITY_NAME")</f>
        <v>S 0 07/15/09</v>
      </c>
      <c r="Q598" t="str">
        <f>_xll.BDP("9128332J Govt","DAY_CNT_DES")</f>
        <v>ACT/ACT</v>
      </c>
      <c r="R598">
        <v>100</v>
      </c>
      <c r="S598" t="str">
        <f>_xll.BDP("9128332J Govt","ID_CUSIP")</f>
        <v>9128332J8</v>
      </c>
      <c r="T598" t="str">
        <f>_xll.BDP("9128332J Govt","IDX_RATIO")</f>
        <v>#N/A Field Not Applicable</v>
      </c>
    </row>
    <row r="599" spans="1:20" x14ac:dyDescent="0.25">
      <c r="A599" t="s">
        <v>14</v>
      </c>
      <c r="B599" t="str">
        <f>_xll.BDP("9128333M Govt","TICKER")</f>
        <v>S</v>
      </c>
      <c r="C599">
        <f>_xll.BDP("9128333M Govt","CPN")</f>
        <v>0</v>
      </c>
      <c r="D599" t="str">
        <f>_xll.BDP("9128333M Govt","YLD_YTM_BID")</f>
        <v>#N/A N/A</v>
      </c>
      <c r="E599" t="str">
        <f>_xll.BDP("9128333M Govt","MATURITY")</f>
        <v>10/15/2009</v>
      </c>
      <c r="F599" t="str">
        <f>_xll.BDP("9128333M Govt","MTY_TYP")</f>
        <v>NORMAL</v>
      </c>
      <c r="G599" t="str">
        <f>_xll.BDP("9128333M Govt","CRNCY")</f>
        <v>USD</v>
      </c>
      <c r="H599" t="str">
        <f>_xll.BDP("9128333M Govt","COUNTRY_FULL_NAME")</f>
        <v>UNITED STATES</v>
      </c>
      <c r="I599" t="str">
        <f>_xll.BDP("9128333M Govt","FIRST_CPN_DT")</f>
        <v>#N/A Field Not Applicable</v>
      </c>
      <c r="J599" t="str">
        <f>_xll.BDP("9128333M Govt","COUPON_FREQUENCY_DESCRIPTION")</f>
        <v>#N/A Field Not Applicable</v>
      </c>
      <c r="K599" t="str">
        <f>_xll.BDP("9128333M Govt","CPN_TYP")</f>
        <v>ZERO</v>
      </c>
      <c r="L599" t="str">
        <f>_xll.BDP("9128333M Govt","ID_ISIN")</f>
        <v>US9128333M00</v>
      </c>
      <c r="N599">
        <v>0</v>
      </c>
      <c r="O599" t="str">
        <f>_xll.BDP("9128333M Govt","ISSUE_DT")</f>
        <v>10/15/2004</v>
      </c>
      <c r="P599" t="str">
        <f>_xll.BDP("9128333M Govt","SECURITY_NAME")</f>
        <v>S 0 10/15/09</v>
      </c>
      <c r="Q599" t="str">
        <f>_xll.BDP("9128333M Govt","DAY_CNT_DES")</f>
        <v>ACT/ACT</v>
      </c>
      <c r="R599">
        <v>100</v>
      </c>
      <c r="S599" t="str">
        <f>_xll.BDP("9128333M Govt","ID_CUSIP")</f>
        <v>9128333M0</v>
      </c>
      <c r="T599" t="str">
        <f>_xll.BDP("9128333M Govt","IDX_RATIO")</f>
        <v>#N/A Field Not Applicable</v>
      </c>
    </row>
    <row r="600" spans="1:20" x14ac:dyDescent="0.25">
      <c r="A600" t="s">
        <v>14</v>
      </c>
      <c r="B600" t="str">
        <f>_xll.BDP("9128333H Govt","TICKER")</f>
        <v>S</v>
      </c>
      <c r="C600">
        <f>_xll.BDP("9128333H Govt","CPN")</f>
        <v>0</v>
      </c>
      <c r="D600" t="str">
        <f>_xll.BDP("9128333H Govt","YLD_YTM_BID")</f>
        <v>#N/A N/A</v>
      </c>
      <c r="E600" t="str">
        <f>_xll.BDP("9128333H Govt","MATURITY")</f>
        <v>7/31/2006</v>
      </c>
      <c r="F600" t="str">
        <f>_xll.BDP("9128333H Govt","MTY_TYP")</f>
        <v>NORMAL</v>
      </c>
      <c r="G600" t="str">
        <f>_xll.BDP("9128333H Govt","CRNCY")</f>
        <v>USD</v>
      </c>
      <c r="H600" t="str">
        <f>_xll.BDP("9128333H Govt","COUNTRY_FULL_NAME")</f>
        <v>UNITED STATES</v>
      </c>
      <c r="I600" t="str">
        <f>_xll.BDP("9128333H Govt","FIRST_CPN_DT")</f>
        <v>#N/A Field Not Applicable</v>
      </c>
      <c r="J600" t="str">
        <f>_xll.BDP("9128333H Govt","COUPON_FREQUENCY_DESCRIPTION")</f>
        <v>#N/A Field Not Applicable</v>
      </c>
      <c r="K600" t="str">
        <f>_xll.BDP("9128333H Govt","CPN_TYP")</f>
        <v>ZERO</v>
      </c>
      <c r="L600" t="str">
        <f>_xll.BDP("9128333H Govt","ID_ISIN")</f>
        <v>US9128333H15</v>
      </c>
      <c r="N600">
        <v>0</v>
      </c>
      <c r="O600" t="str">
        <f>_xll.BDP("9128333H Govt","ISSUE_DT")</f>
        <v>8/2/2004</v>
      </c>
      <c r="P600" t="str">
        <f>_xll.BDP("9128333H Govt","SECURITY_NAME")</f>
        <v>S 0 07/31/06</v>
      </c>
      <c r="Q600" t="str">
        <f>_xll.BDP("9128333H Govt","DAY_CNT_DES")</f>
        <v>ACT/ACT</v>
      </c>
      <c r="R600">
        <v>100</v>
      </c>
      <c r="S600" t="str">
        <f>_xll.BDP("9128333H Govt","ID_CUSIP")</f>
        <v>9128333H1</v>
      </c>
      <c r="T600" t="str">
        <f>_xll.BDP("9128333H Govt","IDX_RATIO")</f>
        <v>#N/A Field Not Applicable</v>
      </c>
    </row>
    <row r="601" spans="1:20" x14ac:dyDescent="0.25">
      <c r="A601" t="s">
        <v>14</v>
      </c>
      <c r="B601" t="str">
        <f>_xll.BDP("9128333X Govt","TICKER")</f>
        <v>S</v>
      </c>
      <c r="C601">
        <f>_xll.BDP("9128333X Govt","CPN")</f>
        <v>0</v>
      </c>
      <c r="D601" t="str">
        <f>_xll.BDP("9128333X Govt","YLD_YTM_BID")</f>
        <v>#N/A N/A</v>
      </c>
      <c r="E601" t="str">
        <f>_xll.BDP("9128333X Govt","MATURITY")</f>
        <v>4/15/2010</v>
      </c>
      <c r="F601" t="str">
        <f>_xll.BDP("9128333X Govt","MTY_TYP")</f>
        <v>NORMAL</v>
      </c>
      <c r="G601" t="str">
        <f>_xll.BDP("9128333X Govt","CRNCY")</f>
        <v>USD</v>
      </c>
      <c r="H601" t="str">
        <f>_xll.BDP("9128333X Govt","COUNTRY_FULL_NAME")</f>
        <v>UNITED STATES</v>
      </c>
      <c r="I601" t="str">
        <f>_xll.BDP("9128333X Govt","FIRST_CPN_DT")</f>
        <v>#N/A Field Not Applicable</v>
      </c>
      <c r="J601" t="str">
        <f>_xll.BDP("9128333X Govt","COUPON_FREQUENCY_DESCRIPTION")</f>
        <v>#N/A Field Not Applicable</v>
      </c>
      <c r="K601" t="str">
        <f>_xll.BDP("9128333X Govt","CPN_TYP")</f>
        <v>ZERO</v>
      </c>
      <c r="L601" t="str">
        <f>_xll.BDP("9128333X Govt","ID_ISIN")</f>
        <v>US9128333X64</v>
      </c>
      <c r="N601">
        <v>0</v>
      </c>
      <c r="O601" t="str">
        <f>_xll.BDP("9128333X Govt","ISSUE_DT")</f>
        <v>4/15/2005</v>
      </c>
      <c r="P601" t="str">
        <f>_xll.BDP("9128333X Govt","SECURITY_NAME")</f>
        <v>S 0 04/15/10</v>
      </c>
      <c r="Q601" t="str">
        <f>_xll.BDP("9128333X Govt","DAY_CNT_DES")</f>
        <v>ACT/ACT</v>
      </c>
      <c r="R601">
        <v>100</v>
      </c>
      <c r="S601" t="str">
        <f>_xll.BDP("9128333X Govt","ID_CUSIP")</f>
        <v>9128333X6</v>
      </c>
      <c r="T601" t="str">
        <f>_xll.BDP("9128333X Govt","IDX_RATIO")</f>
        <v>#N/A Field Not Applicable</v>
      </c>
    </row>
    <row r="602" spans="1:20" x14ac:dyDescent="0.25">
      <c r="A602" t="s">
        <v>14</v>
      </c>
      <c r="B602" t="str">
        <f>_xll.BDP("9128333Z Govt","TICKER")</f>
        <v>S</v>
      </c>
      <c r="C602">
        <f>_xll.BDP("9128333Z Govt","CPN")</f>
        <v>0</v>
      </c>
      <c r="D602" t="str">
        <f>_xll.BDP("9128333Z Govt","YLD_YTM_BID")</f>
        <v>#N/A N/A</v>
      </c>
      <c r="E602" t="str">
        <f>_xll.BDP("9128333Z Govt","MATURITY")</f>
        <v>5/31/2007</v>
      </c>
      <c r="F602" t="str">
        <f>_xll.BDP("9128333Z Govt","MTY_TYP")</f>
        <v>NORMAL</v>
      </c>
      <c r="G602" t="str">
        <f>_xll.BDP("9128333Z Govt","CRNCY")</f>
        <v>USD</v>
      </c>
      <c r="H602" t="str">
        <f>_xll.BDP("9128333Z Govt","COUNTRY_FULL_NAME")</f>
        <v>UNITED STATES</v>
      </c>
      <c r="I602" t="str">
        <f>_xll.BDP("9128333Z Govt","FIRST_CPN_DT")</f>
        <v>#N/A Field Not Applicable</v>
      </c>
      <c r="J602" t="str">
        <f>_xll.BDP("9128333Z Govt","COUPON_FREQUENCY_DESCRIPTION")</f>
        <v>#N/A Field Not Applicable</v>
      </c>
      <c r="K602" t="str">
        <f>_xll.BDP("9128333Z Govt","CPN_TYP")</f>
        <v>ZERO</v>
      </c>
      <c r="L602" t="str">
        <f>_xll.BDP("9128333Z Govt","ID_ISIN")</f>
        <v>US9128333Z13</v>
      </c>
      <c r="N602">
        <v>0</v>
      </c>
      <c r="O602" t="str">
        <f>_xll.BDP("9128333Z Govt","ISSUE_DT")</f>
        <v>5/31/2005</v>
      </c>
      <c r="P602" t="str">
        <f>_xll.BDP("9128333Z Govt","SECURITY_NAME")</f>
        <v>S 0 05/31/07</v>
      </c>
      <c r="Q602" t="str">
        <f>_xll.BDP("9128333Z Govt","DAY_CNT_DES")</f>
        <v>ACT/ACT</v>
      </c>
      <c r="R602">
        <v>100</v>
      </c>
      <c r="S602" t="str">
        <f>_xll.BDP("9128333Z Govt","ID_CUSIP")</f>
        <v>9128333Z1</v>
      </c>
      <c r="T602" t="str">
        <f>_xll.BDP("9128333Z Govt","IDX_RATIO")</f>
        <v>#N/A Field Not Applicable</v>
      </c>
    </row>
    <row r="603" spans="1:20" x14ac:dyDescent="0.25">
      <c r="A603" t="s">
        <v>14</v>
      </c>
      <c r="B603" t="str">
        <f>_xll.BDP("9128334B Govt","TICKER")</f>
        <v>S</v>
      </c>
      <c r="C603">
        <f>_xll.BDP("9128334B Govt","CPN")</f>
        <v>0</v>
      </c>
      <c r="D603" t="str">
        <f>_xll.BDP("9128334B Govt","YLD_YTM_BID")</f>
        <v>#N/A N/A</v>
      </c>
      <c r="E603" t="str">
        <f>_xll.BDP("9128334B Govt","MATURITY")</f>
        <v>6/30/2007</v>
      </c>
      <c r="F603" t="str">
        <f>_xll.BDP("9128334B Govt","MTY_TYP")</f>
        <v>NORMAL</v>
      </c>
      <c r="G603" t="str">
        <f>_xll.BDP("9128334B Govt","CRNCY")</f>
        <v>USD</v>
      </c>
      <c r="H603" t="str">
        <f>_xll.BDP("9128334B Govt","COUNTRY_FULL_NAME")</f>
        <v>UNITED STATES</v>
      </c>
      <c r="I603" t="str">
        <f>_xll.BDP("9128334B Govt","FIRST_CPN_DT")</f>
        <v>#N/A Field Not Applicable</v>
      </c>
      <c r="J603" t="str">
        <f>_xll.BDP("9128334B Govt","COUPON_FREQUENCY_DESCRIPTION")</f>
        <v>#N/A Field Not Applicable</v>
      </c>
      <c r="K603" t="str">
        <f>_xll.BDP("9128334B Govt","CPN_TYP")</f>
        <v>ZERO</v>
      </c>
      <c r="L603" t="str">
        <f>_xll.BDP("9128334B Govt","ID_ISIN")</f>
        <v>US9128334B36</v>
      </c>
      <c r="N603">
        <v>0</v>
      </c>
      <c r="O603" t="str">
        <f>_xll.BDP("9128334B Govt","ISSUE_DT")</f>
        <v>6/30/2005</v>
      </c>
      <c r="P603" t="str">
        <f>_xll.BDP("9128334B Govt","SECURITY_NAME")</f>
        <v>S 0 06/30/07</v>
      </c>
      <c r="Q603" t="str">
        <f>_xll.BDP("9128334B Govt","DAY_CNT_DES")</f>
        <v>ACT/ACT</v>
      </c>
      <c r="R603">
        <v>100</v>
      </c>
      <c r="S603" t="str">
        <f>_xll.BDP("9128334B Govt","ID_CUSIP")</f>
        <v>9128334B3</v>
      </c>
      <c r="T603" t="str">
        <f>_xll.BDP("9128334B Govt","IDX_RATIO")</f>
        <v>#N/A Field Not Applicable</v>
      </c>
    </row>
    <row r="604" spans="1:20" x14ac:dyDescent="0.25">
      <c r="A604" t="s">
        <v>14</v>
      </c>
      <c r="B604" t="str">
        <f>_xll.BDP("9128334F Govt","TICKER")</f>
        <v>S</v>
      </c>
      <c r="C604">
        <f>_xll.BDP("9128334F Govt","CPN")</f>
        <v>0</v>
      </c>
      <c r="D604" t="str">
        <f>_xll.BDP("9128334F Govt","YLD_YTM_BID")</f>
        <v>#N/A N/A</v>
      </c>
      <c r="E604" t="str">
        <f>_xll.BDP("9128334F Govt","MATURITY")</f>
        <v>9/15/2010</v>
      </c>
      <c r="F604" t="str">
        <f>_xll.BDP("9128334F Govt","MTY_TYP")</f>
        <v>NORMAL</v>
      </c>
      <c r="G604" t="str">
        <f>_xll.BDP("9128334F Govt","CRNCY")</f>
        <v>USD</v>
      </c>
      <c r="H604" t="str">
        <f>_xll.BDP("9128334F Govt","COUNTRY_FULL_NAME")</f>
        <v>UNITED STATES</v>
      </c>
      <c r="I604" t="str">
        <f>_xll.BDP("9128334F Govt","FIRST_CPN_DT")</f>
        <v>#N/A Field Not Applicable</v>
      </c>
      <c r="J604" t="str">
        <f>_xll.BDP("9128334F Govt","COUPON_FREQUENCY_DESCRIPTION")</f>
        <v>#N/A Field Not Applicable</v>
      </c>
      <c r="K604" t="str">
        <f>_xll.BDP("9128334F Govt","CPN_TYP")</f>
        <v>ZERO</v>
      </c>
      <c r="L604" t="str">
        <f>_xll.BDP("9128334F Govt","ID_ISIN")</f>
        <v>US9128334F40</v>
      </c>
      <c r="N604">
        <v>0</v>
      </c>
      <c r="O604" t="str">
        <f>_xll.BDP("9128334F Govt","ISSUE_DT")</f>
        <v>9/15/2005</v>
      </c>
      <c r="P604" t="str">
        <f>_xll.BDP("9128334F Govt","SECURITY_NAME")</f>
        <v>S 0 09/15/10</v>
      </c>
      <c r="Q604" t="str">
        <f>_xll.BDP("9128334F Govt","DAY_CNT_DES")</f>
        <v>ACT/ACT</v>
      </c>
      <c r="R604">
        <v>100</v>
      </c>
      <c r="S604" t="str">
        <f>_xll.BDP("9128334F Govt","ID_CUSIP")</f>
        <v>9128334F4</v>
      </c>
      <c r="T604" t="str">
        <f>_xll.BDP("9128334F Govt","IDX_RATIO")</f>
        <v>#N/A Field Not Applicable</v>
      </c>
    </row>
    <row r="605" spans="1:20" x14ac:dyDescent="0.25">
      <c r="A605" t="s">
        <v>14</v>
      </c>
      <c r="B605" t="str">
        <f>_xll.BDP("9128334J Govt","TICKER")</f>
        <v>S</v>
      </c>
      <c r="C605">
        <f>_xll.BDP("9128334J Govt","CPN")</f>
        <v>0</v>
      </c>
      <c r="D605" t="str">
        <f>_xll.BDP("9128334J Govt","YLD_YTM_BID")</f>
        <v>#N/A N/A</v>
      </c>
      <c r="E605" t="str">
        <f>_xll.BDP("9128334J Govt","MATURITY")</f>
        <v>10/31/2007</v>
      </c>
      <c r="F605" t="str">
        <f>_xll.BDP("9128334J Govt","MTY_TYP")</f>
        <v>NORMAL</v>
      </c>
      <c r="G605" t="str">
        <f>_xll.BDP("9128334J Govt","CRNCY")</f>
        <v>USD</v>
      </c>
      <c r="H605" t="str">
        <f>_xll.BDP("9128334J Govt","COUNTRY_FULL_NAME")</f>
        <v>UNITED STATES</v>
      </c>
      <c r="I605" t="str">
        <f>_xll.BDP("9128334J Govt","FIRST_CPN_DT")</f>
        <v>#N/A Field Not Applicable</v>
      </c>
      <c r="J605" t="str">
        <f>_xll.BDP("9128334J Govt","COUPON_FREQUENCY_DESCRIPTION")</f>
        <v>#N/A Field Not Applicable</v>
      </c>
      <c r="K605" t="str">
        <f>_xll.BDP("9128334J Govt","CPN_TYP")</f>
        <v>ZERO</v>
      </c>
      <c r="L605" t="str">
        <f>_xll.BDP("9128334J Govt","ID_ISIN")</f>
        <v>US9128334J61</v>
      </c>
      <c r="N605">
        <v>0</v>
      </c>
      <c r="O605" t="str">
        <f>_xll.BDP("9128334J Govt","ISSUE_DT")</f>
        <v>10/31/2005</v>
      </c>
      <c r="P605" t="str">
        <f>_xll.BDP("9128334J Govt","SECURITY_NAME")</f>
        <v>S 0 10/31/07</v>
      </c>
      <c r="Q605" t="str">
        <f>_xll.BDP("9128334J Govt","DAY_CNT_DES")</f>
        <v>ACT/ACT</v>
      </c>
      <c r="R605">
        <v>100</v>
      </c>
      <c r="S605" t="str">
        <f>_xll.BDP("9128334J Govt","ID_CUSIP")</f>
        <v>9128334J6</v>
      </c>
      <c r="T605" t="str">
        <f>_xll.BDP("9128334J Govt","IDX_RATIO")</f>
        <v>#N/A Field Not Applicable</v>
      </c>
    </row>
    <row r="606" spans="1:20" x14ac:dyDescent="0.25">
      <c r="A606" t="s">
        <v>14</v>
      </c>
      <c r="B606" t="str">
        <f>_xll.BDP("9128336U Govt","TICKER")</f>
        <v>S</v>
      </c>
      <c r="C606">
        <f>_xll.BDP("9128336U Govt","CPN")</f>
        <v>0</v>
      </c>
      <c r="D606" t="str">
        <f>_xll.BDP("9128336U Govt","YLD_YTM_BID")</f>
        <v>#N/A N/A</v>
      </c>
      <c r="E606" t="str">
        <f>_xll.BDP("9128336U Govt","MATURITY")</f>
        <v>1/31/2011</v>
      </c>
      <c r="F606" t="str">
        <f>_xll.BDP("9128336U Govt","MTY_TYP")</f>
        <v>NORMAL</v>
      </c>
      <c r="G606" t="str">
        <f>_xll.BDP("9128336U Govt","CRNCY")</f>
        <v>USD</v>
      </c>
      <c r="H606" t="str">
        <f>_xll.BDP("9128336U Govt","COUNTRY_FULL_NAME")</f>
        <v>UNITED STATES</v>
      </c>
      <c r="I606" t="str">
        <f>_xll.BDP("9128336U Govt","FIRST_CPN_DT")</f>
        <v>#N/A Field Not Applicable</v>
      </c>
      <c r="J606" t="str">
        <f>_xll.BDP("9128336U Govt","COUPON_FREQUENCY_DESCRIPTION")</f>
        <v>#N/A Field Not Applicable</v>
      </c>
      <c r="K606" t="str">
        <f>_xll.BDP("9128336U Govt","CPN_TYP")</f>
        <v>ZERO</v>
      </c>
      <c r="L606" t="str">
        <f>_xll.BDP("9128336U Govt","ID_ISIN")</f>
        <v>US9128336U98</v>
      </c>
      <c r="N606">
        <v>0</v>
      </c>
      <c r="O606" t="str">
        <f>_xll.BDP("9128336U Govt","ISSUE_DT")</f>
        <v>7/31/2006</v>
      </c>
      <c r="P606" t="str">
        <f>_xll.BDP("9128336U Govt","SECURITY_NAME")</f>
        <v>S 0 01/31/11</v>
      </c>
      <c r="Q606" t="str">
        <f>_xll.BDP("9128336U Govt","DAY_CNT_DES")</f>
        <v>ACT/ACT</v>
      </c>
      <c r="R606">
        <v>100</v>
      </c>
      <c r="S606" t="str">
        <f>_xll.BDP("9128336U Govt","ID_CUSIP")</f>
        <v>9128336U9</v>
      </c>
      <c r="T606" t="str">
        <f>_xll.BDP("9128336U Govt","IDX_RATIO")</f>
        <v>#N/A Field Not Applicable</v>
      </c>
    </row>
    <row r="607" spans="1:20" x14ac:dyDescent="0.25">
      <c r="A607" t="s">
        <v>14</v>
      </c>
      <c r="B607" t="str">
        <f>_xll.BDP("9128336W Govt","TICKER")</f>
        <v>S</v>
      </c>
      <c r="C607">
        <f>_xll.BDP("9128336W Govt","CPN")</f>
        <v>0</v>
      </c>
      <c r="D607" t="str">
        <f>_xll.BDP("9128336W Govt","YLD_YTM_BID")</f>
        <v>#N/A N/A</v>
      </c>
      <c r="E607" t="str">
        <f>_xll.BDP("9128336W Govt","MATURITY")</f>
        <v>8/31/2011</v>
      </c>
      <c r="F607" t="str">
        <f>_xll.BDP("9128336W Govt","MTY_TYP")</f>
        <v>NORMAL</v>
      </c>
      <c r="G607" t="str">
        <f>_xll.BDP("9128336W Govt","CRNCY")</f>
        <v>USD</v>
      </c>
      <c r="H607" t="str">
        <f>_xll.BDP("9128336W Govt","COUNTRY_FULL_NAME")</f>
        <v>UNITED STATES</v>
      </c>
      <c r="I607" t="str">
        <f>_xll.BDP("9128336W Govt","FIRST_CPN_DT")</f>
        <v>#N/A Field Not Applicable</v>
      </c>
      <c r="J607" t="str">
        <f>_xll.BDP("9128336W Govt","COUPON_FREQUENCY_DESCRIPTION")</f>
        <v>#N/A Field Not Applicable</v>
      </c>
      <c r="K607" t="str">
        <f>_xll.BDP("9128336W Govt","CPN_TYP")</f>
        <v>ZERO</v>
      </c>
      <c r="L607" t="str">
        <f>_xll.BDP("9128336W Govt","ID_ISIN")</f>
        <v>US9128336W54</v>
      </c>
      <c r="N607">
        <v>0</v>
      </c>
      <c r="O607" t="str">
        <f>_xll.BDP("9128336W Govt","ISSUE_DT")</f>
        <v>8/31/2006</v>
      </c>
      <c r="P607" t="str">
        <f>_xll.BDP("9128336W Govt","SECURITY_NAME")</f>
        <v>S 0 08/31/11</v>
      </c>
      <c r="Q607" t="str">
        <f>_xll.BDP("9128336W Govt","DAY_CNT_DES")</f>
        <v>ACT/ACT</v>
      </c>
      <c r="R607">
        <v>100</v>
      </c>
      <c r="S607" t="str">
        <f>_xll.BDP("9128336W Govt","ID_CUSIP")</f>
        <v>9128336W5</v>
      </c>
      <c r="T607" t="str">
        <f>_xll.BDP("9128336W Govt","IDX_RATIO")</f>
        <v>#N/A Field Not Applicable</v>
      </c>
    </row>
    <row r="608" spans="1:20" x14ac:dyDescent="0.25">
      <c r="A608" t="s">
        <v>14</v>
      </c>
      <c r="B608" t="str">
        <f>_xll.BDP("912833A2 Govt","TICKER")</f>
        <v>S</v>
      </c>
      <c r="C608">
        <f>_xll.BDP("912833A2 Govt","CPN")</f>
        <v>0</v>
      </c>
      <c r="D608" t="str">
        <f>_xll.BDP("912833A2 Govt","YLD_YTM_BID")</f>
        <v>#N/A N/A</v>
      </c>
      <c r="E608" t="str">
        <f>_xll.BDP("912833A2 Govt","MATURITY")</f>
        <v>4/15/2007</v>
      </c>
      <c r="F608" t="str">
        <f>_xll.BDP("912833A2 Govt","MTY_TYP")</f>
        <v>NORMAL</v>
      </c>
      <c r="G608" t="str">
        <f>_xll.BDP("912833A2 Govt","CRNCY")</f>
        <v>USD</v>
      </c>
      <c r="H608" t="str">
        <f>_xll.BDP("912833A2 Govt","COUNTRY_FULL_NAME")</f>
        <v>UNITED STATES</v>
      </c>
      <c r="I608" t="str">
        <f>_xll.BDP("912833A2 Govt","FIRST_CPN_DT")</f>
        <v>#N/A Field Not Applicable</v>
      </c>
      <c r="J608" t="str">
        <f>_xll.BDP("912833A2 Govt","COUPON_FREQUENCY_DESCRIPTION")</f>
        <v>#N/A Field Not Applicable</v>
      </c>
      <c r="K608" t="str">
        <f>_xll.BDP("912833A2 Govt","CPN_TYP")</f>
        <v>ZERO</v>
      </c>
      <c r="L608" t="str">
        <f>_xll.BDP("912833A2 Govt","ID_ISIN")</f>
        <v>US912833A263</v>
      </c>
      <c r="N608">
        <v>0</v>
      </c>
      <c r="O608" t="str">
        <f>_xll.BDP("912833A2 Govt","ISSUE_DT")</f>
        <v>10/15/2003</v>
      </c>
      <c r="P608" t="str">
        <f>_xll.BDP("912833A2 Govt","SECURITY_NAME")</f>
        <v>S 0 04/15/07</v>
      </c>
      <c r="Q608" t="str">
        <f>_xll.BDP("912833A2 Govt","DAY_CNT_DES")</f>
        <v>ACT/ACT</v>
      </c>
      <c r="R608">
        <v>100</v>
      </c>
      <c r="S608" t="str">
        <f>_xll.BDP("912833A2 Govt","ID_CUSIP")</f>
        <v>912833A26</v>
      </c>
      <c r="T608" t="str">
        <f>_xll.BDP("912833A2 Govt","IDX_RATIO")</f>
        <v>#N/A Field Not Applicable</v>
      </c>
    </row>
    <row r="609" spans="1:20" x14ac:dyDescent="0.25">
      <c r="A609" t="s">
        <v>14</v>
      </c>
      <c r="B609" t="str">
        <f>_xll.BDP("912833A9 Govt","TICKER")</f>
        <v>S</v>
      </c>
      <c r="C609">
        <f>_xll.BDP("912833A9 Govt","CPN")</f>
        <v>0</v>
      </c>
      <c r="D609" t="str">
        <f>_xll.BDP("912833A9 Govt","YLD_YTM_BID")</f>
        <v>#N/A N/A</v>
      </c>
      <c r="E609" t="str">
        <f>_xll.BDP("912833A9 Govt","MATURITY")</f>
        <v>12/15/2004</v>
      </c>
      <c r="F609" t="str">
        <f>_xll.BDP("912833A9 Govt","MTY_TYP")</f>
        <v>NORMAL</v>
      </c>
      <c r="G609" t="str">
        <f>_xll.BDP("912833A9 Govt","CRNCY")</f>
        <v>USD</v>
      </c>
      <c r="H609" t="str">
        <f>_xll.BDP("912833A9 Govt","COUNTRY_FULL_NAME")</f>
        <v>UNITED STATES</v>
      </c>
      <c r="I609" t="str">
        <f>_xll.BDP("912833A9 Govt","FIRST_CPN_DT")</f>
        <v>#N/A Field Not Applicable</v>
      </c>
      <c r="J609" t="str">
        <f>_xll.BDP("912833A9 Govt","COUPON_FREQUENCY_DESCRIPTION")</f>
        <v>#N/A Field Not Applicable</v>
      </c>
      <c r="K609" t="str">
        <f>_xll.BDP("912833A9 Govt","CPN_TYP")</f>
        <v>ZERO</v>
      </c>
      <c r="L609" t="str">
        <f>_xll.BDP("912833A9 Govt","ID_ISIN")</f>
        <v>US912833A917</v>
      </c>
      <c r="N609">
        <v>0</v>
      </c>
      <c r="O609" t="str">
        <f>_xll.BDP("912833A9 Govt","ISSUE_DT")</f>
        <v>12/15/2003</v>
      </c>
      <c r="P609" t="str">
        <f>_xll.BDP("912833A9 Govt","SECURITY_NAME")</f>
        <v>S 0 12/15/04</v>
      </c>
      <c r="Q609" t="str">
        <f>_xll.BDP("912833A9 Govt","DAY_CNT_DES")</f>
        <v>ACT/ACT</v>
      </c>
      <c r="R609">
        <v>100</v>
      </c>
      <c r="S609" t="str">
        <f>_xll.BDP("912833A9 Govt","ID_CUSIP")</f>
        <v>912833A91</v>
      </c>
      <c r="T609" t="str">
        <f>_xll.BDP("912833A9 Govt","IDX_RATIO")</f>
        <v>#N/A Field Not Applicable</v>
      </c>
    </row>
    <row r="610" spans="1:20" x14ac:dyDescent="0.25">
      <c r="A610" t="s">
        <v>14</v>
      </c>
      <c r="B610" t="str">
        <f>_xll.BDP("912833BW Govt","TICKER")</f>
        <v>S</v>
      </c>
      <c r="C610">
        <f>_xll.BDP("912833BW Govt","CPN")</f>
        <v>0</v>
      </c>
      <c r="D610" t="str">
        <f>_xll.BDP("912833BW Govt","YLD_YTM_BID")</f>
        <v>#N/A N/A</v>
      </c>
      <c r="E610" t="str">
        <f>_xll.BDP("912833BW Govt","MATURITY")</f>
        <v>8/15/1997</v>
      </c>
      <c r="F610" t="str">
        <f>_xll.BDP("912833BW Govt","MTY_TYP")</f>
        <v>NORMAL</v>
      </c>
      <c r="G610" t="str">
        <f>_xll.BDP("912833BW Govt","CRNCY")</f>
        <v>USD</v>
      </c>
      <c r="H610" t="str">
        <f>_xll.BDP("912833BW Govt","COUNTRY_FULL_NAME")</f>
        <v>UNITED STATES</v>
      </c>
      <c r="I610" t="str">
        <f>_xll.BDP("912833BW Govt","FIRST_CPN_DT")</f>
        <v>#N/A Field Not Applicable</v>
      </c>
      <c r="J610" t="str">
        <f>_xll.BDP("912833BW Govt","COUPON_FREQUENCY_DESCRIPTION")</f>
        <v>#N/A Field Not Applicable</v>
      </c>
      <c r="K610" t="str">
        <f>_xll.BDP("912833BW Govt","CPN_TYP")</f>
        <v>ZERO</v>
      </c>
      <c r="L610" t="str">
        <f>_xll.BDP("912833BW Govt","ID_ISIN")</f>
        <v>US912833BW91</v>
      </c>
      <c r="N610">
        <v>0</v>
      </c>
      <c r="O610" t="str">
        <f>_xll.BDP("912833BW Govt","ISSUE_DT")</f>
        <v>2/15/1985</v>
      </c>
      <c r="P610" t="str">
        <f>_xll.BDP("912833BW Govt","SECURITY_NAME")</f>
        <v>S 0 08/15/97</v>
      </c>
      <c r="Q610" t="str">
        <f>_xll.BDP("912833BW Govt","DAY_CNT_DES")</f>
        <v>ACT/ACT</v>
      </c>
      <c r="R610">
        <v>100</v>
      </c>
      <c r="S610" t="str">
        <f>_xll.BDP("912833BW Govt","ID_CUSIP")</f>
        <v>912833BW9</v>
      </c>
      <c r="T610" t="str">
        <f>_xll.BDP("912833BW Govt","IDX_RATIO")</f>
        <v>#N/A Field Not Applicable</v>
      </c>
    </row>
    <row r="611" spans="1:20" x14ac:dyDescent="0.25">
      <c r="A611" t="s">
        <v>14</v>
      </c>
      <c r="B611" t="str">
        <f>_xll.BDP("912833C2 Govt","TICKER")</f>
        <v>S</v>
      </c>
      <c r="C611">
        <f>_xll.BDP("912833C2 Govt","CPN")</f>
        <v>0</v>
      </c>
      <c r="D611" t="str">
        <f>_xll.BDP("912833C2 Govt","YLD_YTM_BID")</f>
        <v>#N/A N/A</v>
      </c>
      <c r="E611" t="str">
        <f>_xll.BDP("912833C2 Govt","MATURITY")</f>
        <v>12/31/2005</v>
      </c>
      <c r="F611" t="str">
        <f>_xll.BDP("912833C2 Govt","MTY_TYP")</f>
        <v>NORMAL</v>
      </c>
      <c r="G611" t="str">
        <f>_xll.BDP("912833C2 Govt","CRNCY")</f>
        <v>USD</v>
      </c>
      <c r="H611" t="str">
        <f>_xll.BDP("912833C2 Govt","COUNTRY_FULL_NAME")</f>
        <v>UNITED STATES</v>
      </c>
      <c r="I611" t="str">
        <f>_xll.BDP("912833C2 Govt","FIRST_CPN_DT")</f>
        <v>#N/A Field Not Applicable</v>
      </c>
      <c r="J611" t="str">
        <f>_xll.BDP("912833C2 Govt","COUPON_FREQUENCY_DESCRIPTION")</f>
        <v>#N/A Field Not Applicable</v>
      </c>
      <c r="K611" t="str">
        <f>_xll.BDP("912833C2 Govt","CPN_TYP")</f>
        <v>ZERO</v>
      </c>
      <c r="L611" t="str">
        <f>_xll.BDP("912833C2 Govt","ID_ISIN")</f>
        <v>US912833C244</v>
      </c>
      <c r="N611">
        <v>0</v>
      </c>
      <c r="O611" t="str">
        <f>_xll.BDP("912833C2 Govt","ISSUE_DT")</f>
        <v>12/31/2003</v>
      </c>
      <c r="P611" t="str">
        <f>_xll.BDP("912833C2 Govt","SECURITY_NAME")</f>
        <v>S 0 12/31/05</v>
      </c>
      <c r="Q611" t="str">
        <f>_xll.BDP("912833C2 Govt","DAY_CNT_DES")</f>
        <v>ACT/ACT</v>
      </c>
      <c r="R611">
        <v>100</v>
      </c>
      <c r="S611" t="str">
        <f>_xll.BDP("912833C2 Govt","ID_CUSIP")</f>
        <v>912833C24</v>
      </c>
      <c r="T611" t="str">
        <f>_xll.BDP("912833C2 Govt","IDX_RATIO")</f>
        <v>#N/A Field Not Applicable</v>
      </c>
    </row>
    <row r="612" spans="1:20" x14ac:dyDescent="0.25">
      <c r="A612" t="s">
        <v>14</v>
      </c>
      <c r="B612" t="str">
        <f>_xll.BDP("912833C4 Govt","TICKER")</f>
        <v>S</v>
      </c>
      <c r="C612">
        <f>_xll.BDP("912833C4 Govt","CPN")</f>
        <v>0</v>
      </c>
      <c r="D612" t="str">
        <f>_xll.BDP("912833C4 Govt","YLD_YTM_BID")</f>
        <v>#N/A N/A</v>
      </c>
      <c r="E612" t="str">
        <f>_xll.BDP("912833C4 Govt","MATURITY")</f>
        <v>7/15/2007</v>
      </c>
      <c r="F612" t="str">
        <f>_xll.BDP("912833C4 Govt","MTY_TYP")</f>
        <v>NORMAL</v>
      </c>
      <c r="G612" t="str">
        <f>_xll.BDP("912833C4 Govt","CRNCY")</f>
        <v>USD</v>
      </c>
      <c r="H612" t="str">
        <f>_xll.BDP("912833C4 Govt","COUNTRY_FULL_NAME")</f>
        <v>UNITED STATES</v>
      </c>
      <c r="I612" t="str">
        <f>_xll.BDP("912833C4 Govt","FIRST_CPN_DT")</f>
        <v>#N/A Field Not Applicable</v>
      </c>
      <c r="J612" t="str">
        <f>_xll.BDP("912833C4 Govt","COUPON_FREQUENCY_DESCRIPTION")</f>
        <v>#N/A Field Not Applicable</v>
      </c>
      <c r="K612" t="str">
        <f>_xll.BDP("912833C4 Govt","CPN_TYP")</f>
        <v>ZERO</v>
      </c>
      <c r="L612" t="str">
        <f>_xll.BDP("912833C4 Govt","ID_ISIN")</f>
        <v>US912833C400</v>
      </c>
      <c r="N612">
        <v>0</v>
      </c>
      <c r="O612" t="str">
        <f>_xll.BDP("912833C4 Govt","ISSUE_DT")</f>
        <v>1/15/2004</v>
      </c>
      <c r="P612" t="str">
        <f>_xll.BDP("912833C4 Govt","SECURITY_NAME")</f>
        <v>S 0 07/15/07</v>
      </c>
      <c r="Q612" t="str">
        <f>_xll.BDP("912833C4 Govt","DAY_CNT_DES")</f>
        <v>ACT/ACT</v>
      </c>
      <c r="R612">
        <v>100</v>
      </c>
      <c r="S612" t="str">
        <f>_xll.BDP("912833C4 Govt","ID_CUSIP")</f>
        <v>912833C40</v>
      </c>
      <c r="T612" t="str">
        <f>_xll.BDP("912833C4 Govt","IDX_RATIO")</f>
        <v>#N/A Field Not Applicable</v>
      </c>
    </row>
    <row r="613" spans="1:20" x14ac:dyDescent="0.25">
      <c r="A613" t="s">
        <v>14</v>
      </c>
      <c r="B613" t="str">
        <f>_xll.BDP("912833C9 Govt","TICKER")</f>
        <v>S</v>
      </c>
      <c r="C613">
        <f>_xll.BDP("912833C9 Govt","CPN")</f>
        <v>0</v>
      </c>
      <c r="D613" t="str">
        <f>_xll.BDP("912833C9 Govt","YLD_YTM_BID")</f>
        <v>#N/A N/A</v>
      </c>
      <c r="E613" t="str">
        <f>_xll.BDP("912833C9 Govt","MATURITY")</f>
        <v>1/31/2006</v>
      </c>
      <c r="F613" t="str">
        <f>_xll.BDP("912833C9 Govt","MTY_TYP")</f>
        <v>NORMAL</v>
      </c>
      <c r="G613" t="str">
        <f>_xll.BDP("912833C9 Govt","CRNCY")</f>
        <v>USD</v>
      </c>
      <c r="H613" t="str">
        <f>_xll.BDP("912833C9 Govt","COUNTRY_FULL_NAME")</f>
        <v>UNITED STATES</v>
      </c>
      <c r="I613" t="str">
        <f>_xll.BDP("912833C9 Govt","FIRST_CPN_DT")</f>
        <v>#N/A Field Not Applicable</v>
      </c>
      <c r="J613" t="str">
        <f>_xll.BDP("912833C9 Govt","COUPON_FREQUENCY_DESCRIPTION")</f>
        <v>#N/A Field Not Applicable</v>
      </c>
      <c r="K613" t="str">
        <f>_xll.BDP("912833C9 Govt","CPN_TYP")</f>
        <v>ZERO</v>
      </c>
      <c r="L613" t="str">
        <f>_xll.BDP("912833C9 Govt","ID_ISIN")</f>
        <v>US912833C996</v>
      </c>
      <c r="N613">
        <v>0</v>
      </c>
      <c r="O613" t="str">
        <f>_xll.BDP("912833C9 Govt","ISSUE_DT")</f>
        <v>2/2/2004</v>
      </c>
      <c r="P613" t="str">
        <f>_xll.BDP("912833C9 Govt","SECURITY_NAME")</f>
        <v>S 0 01/31/06</v>
      </c>
      <c r="Q613" t="str">
        <f>_xll.BDP("912833C9 Govt","DAY_CNT_DES")</f>
        <v>ACT/ACT</v>
      </c>
      <c r="R613">
        <v>100</v>
      </c>
      <c r="S613" t="str">
        <f>_xll.BDP("912833C9 Govt","ID_CUSIP")</f>
        <v>912833C99</v>
      </c>
      <c r="T613" t="str">
        <f>_xll.BDP("912833C9 Govt","IDX_RATIO")</f>
        <v>#N/A Field Not Applicable</v>
      </c>
    </row>
    <row r="614" spans="1:20" x14ac:dyDescent="0.25">
      <c r="A614" t="s">
        <v>14</v>
      </c>
      <c r="B614" t="str">
        <f>_xll.BDP("912833CB Govt","TICKER")</f>
        <v>S</v>
      </c>
      <c r="C614">
        <f>_xll.BDP("912833CB Govt","CPN")</f>
        <v>0</v>
      </c>
      <c r="D614" t="str">
        <f>_xll.BDP("912833CB Govt","YLD_YTM_BID")</f>
        <v>#N/A N/A</v>
      </c>
      <c r="E614" t="str">
        <f>_xll.BDP("912833CB Govt","MATURITY")</f>
        <v>2/15/2000</v>
      </c>
      <c r="F614" t="str">
        <f>_xll.BDP("912833CB Govt","MTY_TYP")</f>
        <v>NORMAL</v>
      </c>
      <c r="G614" t="str">
        <f>_xll.BDP("912833CB Govt","CRNCY")</f>
        <v>USD</v>
      </c>
      <c r="H614" t="str">
        <f>_xll.BDP("912833CB Govt","COUNTRY_FULL_NAME")</f>
        <v>UNITED STATES</v>
      </c>
      <c r="I614" t="str">
        <f>_xll.BDP("912833CB Govt","FIRST_CPN_DT")</f>
        <v>#N/A Field Not Applicable</v>
      </c>
      <c r="J614" t="str">
        <f>_xll.BDP("912833CB Govt","COUPON_FREQUENCY_DESCRIPTION")</f>
        <v>#N/A Field Not Applicable</v>
      </c>
      <c r="K614" t="str">
        <f>_xll.BDP("912833CB Govt","CPN_TYP")</f>
        <v>ZERO</v>
      </c>
      <c r="L614" t="str">
        <f>_xll.BDP("912833CB Govt","ID_ISIN")</f>
        <v>US912833CB46</v>
      </c>
      <c r="N614">
        <v>0</v>
      </c>
      <c r="O614" t="str">
        <f>_xll.BDP("912833CB Govt","ISSUE_DT")</f>
        <v>2/15/1985</v>
      </c>
      <c r="P614" t="str">
        <f>_xll.BDP("912833CB Govt","SECURITY_NAME")</f>
        <v>S 0 02/15/00</v>
      </c>
      <c r="Q614" t="str">
        <f>_xll.BDP("912833CB Govt","DAY_CNT_DES")</f>
        <v>ACT/ACT</v>
      </c>
      <c r="R614">
        <v>100</v>
      </c>
      <c r="S614" t="str">
        <f>_xll.BDP("912833CB Govt","ID_CUSIP")</f>
        <v>912833CB4</v>
      </c>
      <c r="T614" t="str">
        <f>_xll.BDP("912833CB Govt","IDX_RATIO")</f>
        <v>#N/A Field Not Applicable</v>
      </c>
    </row>
    <row r="615" spans="1:20" x14ac:dyDescent="0.25">
      <c r="A615" t="s">
        <v>14</v>
      </c>
      <c r="B615" t="str">
        <f>_xll.BDP("912833CH Govt","TICKER")</f>
        <v>S</v>
      </c>
      <c r="C615">
        <f>_xll.BDP("912833CH Govt","CPN")</f>
        <v>0</v>
      </c>
      <c r="D615" t="str">
        <f>_xll.BDP("912833CH Govt","YLD_YTM_BID")</f>
        <v>#N/A N/A</v>
      </c>
      <c r="E615" t="str">
        <f>_xll.BDP("912833CH Govt","MATURITY")</f>
        <v>2/15/2003</v>
      </c>
      <c r="F615" t="str">
        <f>_xll.BDP("912833CH Govt","MTY_TYP")</f>
        <v>NORMAL</v>
      </c>
      <c r="G615" t="str">
        <f>_xll.BDP("912833CH Govt","CRNCY")</f>
        <v>USD</v>
      </c>
      <c r="H615" t="str">
        <f>_xll.BDP("912833CH Govt","COUNTRY_FULL_NAME")</f>
        <v>UNITED STATES</v>
      </c>
      <c r="I615" t="str">
        <f>_xll.BDP("912833CH Govt","FIRST_CPN_DT")</f>
        <v>#N/A Field Not Applicable</v>
      </c>
      <c r="J615" t="str">
        <f>_xll.BDP("912833CH Govt","COUPON_FREQUENCY_DESCRIPTION")</f>
        <v>#N/A Field Not Applicable</v>
      </c>
      <c r="K615" t="str">
        <f>_xll.BDP("912833CH Govt","CPN_TYP")</f>
        <v>ZERO</v>
      </c>
      <c r="L615" t="str">
        <f>_xll.BDP("912833CH Govt","ID_ISIN")</f>
        <v>US912833CH16</v>
      </c>
      <c r="N615">
        <v>0</v>
      </c>
      <c r="O615" t="str">
        <f>_xll.BDP("912833CH Govt","ISSUE_DT")</f>
        <v>2/15/1985</v>
      </c>
      <c r="P615" t="str">
        <f>_xll.BDP("912833CH Govt","SECURITY_NAME")</f>
        <v>S 0 02/15/03</v>
      </c>
      <c r="Q615" t="str">
        <f>_xll.BDP("912833CH Govt","DAY_CNT_DES")</f>
        <v>ACT/ACT</v>
      </c>
      <c r="R615">
        <v>100</v>
      </c>
      <c r="S615" t="str">
        <f>_xll.BDP("912833CH Govt","ID_CUSIP")</f>
        <v>912833CH1</v>
      </c>
      <c r="T615" t="str">
        <f>_xll.BDP("912833CH Govt","IDX_RATIO")</f>
        <v>#N/A Field Not Applicable</v>
      </c>
    </row>
    <row r="616" spans="1:20" x14ac:dyDescent="0.25">
      <c r="A616" t="s">
        <v>14</v>
      </c>
      <c r="B616" t="str">
        <f>_xll.BDP("912833CL Govt","TICKER")</f>
        <v>S</v>
      </c>
      <c r="C616">
        <f>_xll.BDP("912833CL Govt","CPN")</f>
        <v>0</v>
      </c>
      <c r="D616" t="str">
        <f>_xll.BDP("912833CL Govt","YLD_YTM_BID")</f>
        <v>#N/A N/A</v>
      </c>
      <c r="E616" t="str">
        <f>_xll.BDP("912833CL Govt","MATURITY")</f>
        <v>8/15/2004</v>
      </c>
      <c r="F616" t="str">
        <f>_xll.BDP("912833CL Govt","MTY_TYP")</f>
        <v>NORMAL</v>
      </c>
      <c r="G616" t="str">
        <f>_xll.BDP("912833CL Govt","CRNCY")</f>
        <v>USD</v>
      </c>
      <c r="H616" t="str">
        <f>_xll.BDP("912833CL Govt","COUNTRY_FULL_NAME")</f>
        <v>UNITED STATES</v>
      </c>
      <c r="I616" t="str">
        <f>_xll.BDP("912833CL Govt","FIRST_CPN_DT")</f>
        <v>#N/A Field Not Applicable</v>
      </c>
      <c r="J616" t="str">
        <f>_xll.BDP("912833CL Govt","COUPON_FREQUENCY_DESCRIPTION")</f>
        <v>#N/A Field Not Applicable</v>
      </c>
      <c r="K616" t="str">
        <f>_xll.BDP("912833CL Govt","CPN_TYP")</f>
        <v>ZERO</v>
      </c>
      <c r="L616" t="str">
        <f>_xll.BDP("912833CL Govt","ID_ISIN")</f>
        <v>US912833CL28</v>
      </c>
      <c r="N616">
        <v>0</v>
      </c>
      <c r="O616" t="str">
        <f>_xll.BDP("912833CL Govt","ISSUE_DT")</f>
        <v>2/15/1985</v>
      </c>
      <c r="P616" t="str">
        <f>_xll.BDP("912833CL Govt","SECURITY_NAME")</f>
        <v>S 0 08/15/04</v>
      </c>
      <c r="Q616" t="str">
        <f>_xll.BDP("912833CL Govt","DAY_CNT_DES")</f>
        <v>ACT/ACT</v>
      </c>
      <c r="R616">
        <v>100</v>
      </c>
      <c r="S616" t="str">
        <f>_xll.BDP("912833CL Govt","ID_CUSIP")</f>
        <v>912833CL2</v>
      </c>
      <c r="T616" t="str">
        <f>_xll.BDP("912833CL Govt","IDX_RATIO")</f>
        <v>#N/A Field Not Applicable</v>
      </c>
    </row>
    <row r="617" spans="1:20" x14ac:dyDescent="0.25">
      <c r="A617" t="s">
        <v>14</v>
      </c>
      <c r="B617" t="str">
        <f>_xll.BDP("912833CR Govt","TICKER")</f>
        <v>S</v>
      </c>
      <c r="C617">
        <f>_xll.BDP("912833CR Govt","CPN")</f>
        <v>0</v>
      </c>
      <c r="D617" t="str">
        <f>_xll.BDP("912833CR Govt","YLD_YTM_BID")</f>
        <v>#N/A N/A</v>
      </c>
      <c r="E617" t="str">
        <f>_xll.BDP("912833CR Govt","MATURITY")</f>
        <v>2/15/2007</v>
      </c>
      <c r="F617" t="str">
        <f>_xll.BDP("912833CR Govt","MTY_TYP")</f>
        <v>NORMAL</v>
      </c>
      <c r="G617" t="str">
        <f>_xll.BDP("912833CR Govt","CRNCY")</f>
        <v>USD</v>
      </c>
      <c r="H617" t="str">
        <f>_xll.BDP("912833CR Govt","COUNTRY_FULL_NAME")</f>
        <v>UNITED STATES</v>
      </c>
      <c r="I617" t="str">
        <f>_xll.BDP("912833CR Govt","FIRST_CPN_DT")</f>
        <v>#N/A Field Not Applicable</v>
      </c>
      <c r="J617" t="str">
        <f>_xll.BDP("912833CR Govt","COUPON_FREQUENCY_DESCRIPTION")</f>
        <v>#N/A Field Not Applicable</v>
      </c>
      <c r="K617" t="str">
        <f>_xll.BDP("912833CR Govt","CPN_TYP")</f>
        <v>ZERO</v>
      </c>
      <c r="L617" t="str">
        <f>_xll.BDP("912833CR Govt","ID_ISIN")</f>
        <v>US912833CR97</v>
      </c>
      <c r="N617">
        <v>0</v>
      </c>
      <c r="O617" t="str">
        <f>_xll.BDP("912833CR Govt","ISSUE_DT")</f>
        <v>2/15/1985</v>
      </c>
      <c r="P617" t="str">
        <f>_xll.BDP("912833CR Govt","SECURITY_NAME")</f>
        <v>S 0 02/15/07</v>
      </c>
      <c r="Q617" t="str">
        <f>_xll.BDP("912833CR Govt","DAY_CNT_DES")</f>
        <v>ACT/ACT</v>
      </c>
      <c r="R617">
        <v>100</v>
      </c>
      <c r="S617" t="str">
        <f>_xll.BDP("912833CR Govt","ID_CUSIP")</f>
        <v>912833CR9</v>
      </c>
      <c r="T617" t="str">
        <f>_xll.BDP("912833CR Govt","IDX_RATIO")</f>
        <v>#N/A Field Not Applicable</v>
      </c>
    </row>
    <row r="618" spans="1:20" x14ac:dyDescent="0.25">
      <c r="A618" t="s">
        <v>14</v>
      </c>
      <c r="B618" t="str">
        <f>_xll.BDP("912833FF Govt","TICKER")</f>
        <v>S</v>
      </c>
      <c r="C618">
        <f>_xll.BDP("912833FF Govt","CPN")</f>
        <v>0</v>
      </c>
      <c r="D618" t="str">
        <f>_xll.BDP("912833FF Govt","YLD_YTM_BID")</f>
        <v>#N/A N/A</v>
      </c>
      <c r="E618" t="str">
        <f>_xll.BDP("912833FF Govt","MATURITY")</f>
        <v>11/15/1997</v>
      </c>
      <c r="F618" t="str">
        <f>_xll.BDP("912833FF Govt","MTY_TYP")</f>
        <v>NORMAL</v>
      </c>
      <c r="G618" t="str">
        <f>_xll.BDP("912833FF Govt","CRNCY")</f>
        <v>USD</v>
      </c>
      <c r="H618" t="str">
        <f>_xll.BDP("912833FF Govt","COUNTRY_FULL_NAME")</f>
        <v>UNITED STATES</v>
      </c>
      <c r="I618" t="str">
        <f>_xll.BDP("912833FF Govt","FIRST_CPN_DT")</f>
        <v>#N/A Field Not Applicable</v>
      </c>
      <c r="J618" t="str">
        <f>_xll.BDP("912833FF Govt","COUPON_FREQUENCY_DESCRIPTION")</f>
        <v>#N/A Field Not Applicable</v>
      </c>
      <c r="K618" t="str">
        <f>_xll.BDP("912833FF Govt","CPN_TYP")</f>
        <v>ZERO</v>
      </c>
      <c r="L618" t="str">
        <f>_xll.BDP("912833FF Govt","ID_ISIN")</f>
        <v>US912833FF23</v>
      </c>
      <c r="N618">
        <v>0</v>
      </c>
      <c r="O618" t="str">
        <f>_xll.BDP("912833FF Govt","ISSUE_DT")</f>
        <v>11/15/1984</v>
      </c>
      <c r="P618" t="str">
        <f>_xll.BDP("912833FF Govt","SECURITY_NAME")</f>
        <v>S 0 11/15/97</v>
      </c>
      <c r="Q618" t="str">
        <f>_xll.BDP("912833FF Govt","DAY_CNT_DES")</f>
        <v>ACT/ACT</v>
      </c>
      <c r="R618">
        <v>100</v>
      </c>
      <c r="S618" t="str">
        <f>_xll.BDP("912833FF Govt","ID_CUSIP")</f>
        <v>912833FF2</v>
      </c>
      <c r="T618" t="str">
        <f>_xll.BDP("912833FF Govt","IDX_RATIO")</f>
        <v>#N/A Field Not Applicable</v>
      </c>
    </row>
    <row r="619" spans="1:20" x14ac:dyDescent="0.25">
      <c r="A619" t="s">
        <v>14</v>
      </c>
      <c r="B619" t="str">
        <f>_xll.BDP("912833FM Govt","TICKER")</f>
        <v>S</v>
      </c>
      <c r="C619">
        <f>_xll.BDP("912833FM Govt","CPN")</f>
        <v>0</v>
      </c>
      <c r="D619" t="str">
        <f>_xll.BDP("912833FM Govt","YLD_YTM_BID")</f>
        <v>#N/A N/A</v>
      </c>
      <c r="E619" t="str">
        <f>_xll.BDP("912833FM Govt","MATURITY")</f>
        <v>11/15/2000</v>
      </c>
      <c r="F619" t="str">
        <f>_xll.BDP("912833FM Govt","MTY_TYP")</f>
        <v>NORMAL</v>
      </c>
      <c r="G619" t="str">
        <f>_xll.BDP("912833FM Govt","CRNCY")</f>
        <v>USD</v>
      </c>
      <c r="H619" t="str">
        <f>_xll.BDP("912833FM Govt","COUNTRY_FULL_NAME")</f>
        <v>UNITED STATES</v>
      </c>
      <c r="I619" t="str">
        <f>_xll.BDP("912833FM Govt","FIRST_CPN_DT")</f>
        <v>#N/A Field Not Applicable</v>
      </c>
      <c r="J619" t="str">
        <f>_xll.BDP("912833FM Govt","COUPON_FREQUENCY_DESCRIPTION")</f>
        <v>#N/A Field Not Applicable</v>
      </c>
      <c r="K619" t="str">
        <f>_xll.BDP("912833FM Govt","CPN_TYP")</f>
        <v>ZERO</v>
      </c>
      <c r="L619" t="str">
        <f>_xll.BDP("912833FM Govt","ID_ISIN")</f>
        <v>US912833FM73</v>
      </c>
      <c r="N619">
        <v>0</v>
      </c>
      <c r="O619" t="str">
        <f>_xll.BDP("912833FM Govt","ISSUE_DT")</f>
        <v>11/15/1984</v>
      </c>
      <c r="P619" t="str">
        <f>_xll.BDP("912833FM Govt","SECURITY_NAME")</f>
        <v>S 0 11/15/00</v>
      </c>
      <c r="Q619" t="str">
        <f>_xll.BDP("912833FM Govt","DAY_CNT_DES")</f>
        <v>ACT/ACT</v>
      </c>
      <c r="R619">
        <v>100</v>
      </c>
      <c r="S619" t="str">
        <f>_xll.BDP("912833FM Govt","ID_CUSIP")</f>
        <v>912833FM7</v>
      </c>
      <c r="T619" t="str">
        <f>_xll.BDP("912833FM Govt","IDX_RATIO")</f>
        <v>#N/A Field Not Applicable</v>
      </c>
    </row>
    <row r="620" spans="1:20" x14ac:dyDescent="0.25">
      <c r="A620" t="s">
        <v>14</v>
      </c>
      <c r="B620" t="str">
        <f>_xll.BDP("912833FQ Govt","TICKER")</f>
        <v>S</v>
      </c>
      <c r="C620">
        <f>_xll.BDP("912833FQ Govt","CPN")</f>
        <v>0</v>
      </c>
      <c r="D620" t="str">
        <f>_xll.BDP("912833FQ Govt","YLD_YTM_BID")</f>
        <v>#N/A N/A</v>
      </c>
      <c r="E620" t="str">
        <f>_xll.BDP("912833FQ Govt","MATURITY")</f>
        <v>5/15/2002</v>
      </c>
      <c r="F620" t="str">
        <f>_xll.BDP("912833FQ Govt","MTY_TYP")</f>
        <v>NORMAL</v>
      </c>
      <c r="G620" t="str">
        <f>_xll.BDP("912833FQ Govt","CRNCY")</f>
        <v>USD</v>
      </c>
      <c r="H620" t="str">
        <f>_xll.BDP("912833FQ Govt","COUNTRY_FULL_NAME")</f>
        <v>UNITED STATES</v>
      </c>
      <c r="I620" t="str">
        <f>_xll.BDP("912833FQ Govt","FIRST_CPN_DT")</f>
        <v>#N/A Field Not Applicable</v>
      </c>
      <c r="J620" t="str">
        <f>_xll.BDP("912833FQ Govt","COUPON_FREQUENCY_DESCRIPTION")</f>
        <v>#N/A Field Not Applicable</v>
      </c>
      <c r="K620" t="str">
        <f>_xll.BDP("912833FQ Govt","CPN_TYP")</f>
        <v>ZERO</v>
      </c>
      <c r="L620" t="str">
        <f>_xll.BDP("912833FQ Govt","ID_ISIN")</f>
        <v>US912833FQ87</v>
      </c>
      <c r="N620">
        <v>0</v>
      </c>
      <c r="O620" t="str">
        <f>_xll.BDP("912833FQ Govt","ISSUE_DT")</f>
        <v>11/15/1984</v>
      </c>
      <c r="P620" t="str">
        <f>_xll.BDP("912833FQ Govt","SECURITY_NAME")</f>
        <v>S 0 05/15/02</v>
      </c>
      <c r="Q620" t="str">
        <f>_xll.BDP("912833FQ Govt","DAY_CNT_DES")</f>
        <v>ACT/ACT</v>
      </c>
      <c r="R620">
        <v>100</v>
      </c>
      <c r="S620" t="str">
        <f>_xll.BDP("912833FQ Govt","ID_CUSIP")</f>
        <v>912833FQ8</v>
      </c>
      <c r="T620" t="str">
        <f>_xll.BDP("912833FQ Govt","IDX_RATIO")</f>
        <v>#N/A Field Not Applicable</v>
      </c>
    </row>
    <row r="621" spans="1:20" x14ac:dyDescent="0.25">
      <c r="A621" t="s">
        <v>14</v>
      </c>
      <c r="B621" t="str">
        <f>_xll.BDP("912833FT Govt","TICKER")</f>
        <v>S</v>
      </c>
      <c r="C621">
        <f>_xll.BDP("912833FT Govt","CPN")</f>
        <v>0</v>
      </c>
      <c r="D621" t="str">
        <f>_xll.BDP("912833FT Govt","YLD_YTM_BID")</f>
        <v>#N/A N/A</v>
      </c>
      <c r="E621" t="str">
        <f>_xll.BDP("912833FT Govt","MATURITY")</f>
        <v>11/15/2003</v>
      </c>
      <c r="F621" t="str">
        <f>_xll.BDP("912833FT Govt","MTY_TYP")</f>
        <v>NORMAL</v>
      </c>
      <c r="G621" t="str">
        <f>_xll.BDP("912833FT Govt","CRNCY")</f>
        <v>USD</v>
      </c>
      <c r="H621" t="str">
        <f>_xll.BDP("912833FT Govt","COUNTRY_FULL_NAME")</f>
        <v>UNITED STATES</v>
      </c>
      <c r="I621" t="str">
        <f>_xll.BDP("912833FT Govt","FIRST_CPN_DT")</f>
        <v>#N/A Field Not Applicable</v>
      </c>
      <c r="J621" t="str">
        <f>_xll.BDP("912833FT Govt","COUPON_FREQUENCY_DESCRIPTION")</f>
        <v>#N/A Field Not Applicable</v>
      </c>
      <c r="K621" t="str">
        <f>_xll.BDP("912833FT Govt","CPN_TYP")</f>
        <v>ZERO</v>
      </c>
      <c r="L621" t="str">
        <f>_xll.BDP("912833FT Govt","ID_ISIN")</f>
        <v>US912833FT27</v>
      </c>
      <c r="N621">
        <v>0</v>
      </c>
      <c r="O621" t="str">
        <f>_xll.BDP("912833FT Govt","ISSUE_DT")</f>
        <v>11/15/1984</v>
      </c>
      <c r="P621" t="str">
        <f>_xll.BDP("912833FT Govt","SECURITY_NAME")</f>
        <v>S 0 11/15/03</v>
      </c>
      <c r="Q621" t="str">
        <f>_xll.BDP("912833FT Govt","DAY_CNT_DES")</f>
        <v>ACT/ACT</v>
      </c>
      <c r="R621">
        <v>100</v>
      </c>
      <c r="S621" t="str">
        <f>_xll.BDP("912833FT Govt","ID_CUSIP")</f>
        <v>912833FT2</v>
      </c>
      <c r="T621" t="str">
        <f>_xll.BDP("912833FT Govt","IDX_RATIO")</f>
        <v>#N/A Field Not Applicable</v>
      </c>
    </row>
    <row r="622" spans="1:20" x14ac:dyDescent="0.25">
      <c r="A622" t="s">
        <v>14</v>
      </c>
      <c r="B622" t="str">
        <f>_xll.BDP("912833FX Govt","TICKER")</f>
        <v>S</v>
      </c>
      <c r="C622">
        <f>_xll.BDP("912833FX Govt","CPN")</f>
        <v>0</v>
      </c>
      <c r="D622" t="str">
        <f>_xll.BDP("912833FX Govt","YLD_YTM_BID")</f>
        <v>#N/A N/A</v>
      </c>
      <c r="E622" t="str">
        <f>_xll.BDP("912833FX Govt","MATURITY")</f>
        <v>11/15/2005</v>
      </c>
      <c r="F622" t="str">
        <f>_xll.BDP("912833FX Govt","MTY_TYP")</f>
        <v>NORMAL</v>
      </c>
      <c r="G622" t="str">
        <f>_xll.BDP("912833FX Govt","CRNCY")</f>
        <v>USD</v>
      </c>
      <c r="H622" t="str">
        <f>_xll.BDP("912833FX Govt","COUNTRY_FULL_NAME")</f>
        <v>UNITED STATES</v>
      </c>
      <c r="I622" t="str">
        <f>_xll.BDP("912833FX Govt","FIRST_CPN_DT")</f>
        <v>#N/A Field Not Applicable</v>
      </c>
      <c r="J622" t="str">
        <f>_xll.BDP("912833FX Govt","COUPON_FREQUENCY_DESCRIPTION")</f>
        <v>#N/A Field Not Applicable</v>
      </c>
      <c r="K622" t="str">
        <f>_xll.BDP("912833FX Govt","CPN_TYP")</f>
        <v>ZERO</v>
      </c>
      <c r="L622" t="str">
        <f>_xll.BDP("912833FX Govt","ID_ISIN")</f>
        <v>US912833FX39</v>
      </c>
      <c r="N622">
        <v>0</v>
      </c>
      <c r="O622" t="str">
        <f>_xll.BDP("912833FX Govt","ISSUE_DT")</f>
        <v>11/15/1984</v>
      </c>
      <c r="P622" t="str">
        <f>_xll.BDP("912833FX Govt","SECURITY_NAME")</f>
        <v>S 0 11/15/05</v>
      </c>
      <c r="Q622" t="str">
        <f>_xll.BDP("912833FX Govt","DAY_CNT_DES")</f>
        <v>ACT/ACT</v>
      </c>
      <c r="R622">
        <v>100</v>
      </c>
      <c r="S622" t="str">
        <f>_xll.BDP("912833FX Govt","ID_CUSIP")</f>
        <v>912833FX3</v>
      </c>
      <c r="T622" t="str">
        <f>_xll.BDP("912833FX Govt","IDX_RATIO")</f>
        <v>#N/A Field Not Applicable</v>
      </c>
    </row>
    <row r="623" spans="1:20" x14ac:dyDescent="0.25">
      <c r="A623" t="s">
        <v>14</v>
      </c>
      <c r="B623" t="str">
        <f>_xll.BDP("912833KP Govt","TICKER")</f>
        <v>S</v>
      </c>
      <c r="C623">
        <f>_xll.BDP("912833KP Govt","CPN")</f>
        <v>0</v>
      </c>
      <c r="D623" t="str">
        <f>_xll.BDP("912833KP Govt","YLD_YTM_BID")</f>
        <v>#N/A N/A</v>
      </c>
      <c r="E623" t="str">
        <f>_xll.BDP("912833KP Govt","MATURITY")</f>
        <v>11/15/2017</v>
      </c>
      <c r="F623" t="str">
        <f>_xll.BDP("912833KP Govt","MTY_TYP")</f>
        <v>NORMAL</v>
      </c>
      <c r="G623" t="str">
        <f>_xll.BDP("912833KP Govt","CRNCY")</f>
        <v>USD</v>
      </c>
      <c r="H623" t="str">
        <f>_xll.BDP("912833KP Govt","COUNTRY_FULL_NAME")</f>
        <v>UNITED STATES</v>
      </c>
      <c r="I623" t="str">
        <f>_xll.BDP("912833KP Govt","FIRST_CPN_DT")</f>
        <v>#N/A Field Not Applicable</v>
      </c>
      <c r="J623" t="str">
        <f>_xll.BDP("912833KP Govt","COUPON_FREQUENCY_DESCRIPTION")</f>
        <v>#N/A Field Not Applicable</v>
      </c>
      <c r="K623" t="str">
        <f>_xll.BDP("912833KP Govt","CPN_TYP")</f>
        <v>ZERO</v>
      </c>
      <c r="L623" t="str">
        <f>_xll.BDP("912833KP Govt","ID_ISIN")</f>
        <v>US912833KP40</v>
      </c>
      <c r="N623">
        <v>0</v>
      </c>
      <c r="O623" t="str">
        <f>_xll.BDP("912833KP Govt","ISSUE_DT")</f>
        <v>5/16/1988</v>
      </c>
      <c r="P623" t="str">
        <f>_xll.BDP("912833KP Govt","SECURITY_NAME")</f>
        <v>S 0 11/15/17</v>
      </c>
      <c r="Q623" t="str">
        <f>_xll.BDP("912833KP Govt","DAY_CNT_DES")</f>
        <v>ACT/ACT</v>
      </c>
      <c r="R623">
        <v>100</v>
      </c>
      <c r="S623" t="str">
        <f>_xll.BDP("912833KP Govt","ID_CUSIP")</f>
        <v>912833KP4</v>
      </c>
      <c r="T623" t="str">
        <f>_xll.BDP("912833KP Govt","IDX_RATIO")</f>
        <v>#N/A Field Not Applicable</v>
      </c>
    </row>
    <row r="624" spans="1:20" x14ac:dyDescent="0.25">
      <c r="A624" t="s">
        <v>14</v>
      </c>
      <c r="B624" t="str">
        <f>_xll.BDP("912833MN Govt","TICKER")</f>
        <v>S</v>
      </c>
      <c r="C624">
        <f>_xll.BDP("912833MN Govt","CPN")</f>
        <v>0</v>
      </c>
      <c r="D624" t="str">
        <f>_xll.BDP("912833MN Govt","YLD_YTM_BID")</f>
        <v>#N/A N/A</v>
      </c>
      <c r="E624" t="str">
        <f>_xll.BDP("912833MN Govt","MATURITY")</f>
        <v>1/15/2000</v>
      </c>
      <c r="F624" t="str">
        <f>_xll.BDP("912833MN Govt","MTY_TYP")</f>
        <v>NORMAL</v>
      </c>
      <c r="G624" t="str">
        <f>_xll.BDP("912833MN Govt","CRNCY")</f>
        <v>USD</v>
      </c>
      <c r="H624" t="str">
        <f>_xll.BDP("912833MN Govt","COUNTRY_FULL_NAME")</f>
        <v>UNITED STATES</v>
      </c>
      <c r="I624" t="str">
        <f>_xll.BDP("912833MN Govt","FIRST_CPN_DT")</f>
        <v>#N/A Field Not Applicable</v>
      </c>
      <c r="J624" t="str">
        <f>_xll.BDP("912833MN Govt","COUPON_FREQUENCY_DESCRIPTION")</f>
        <v>#N/A Field Not Applicable</v>
      </c>
      <c r="K624" t="str">
        <f>_xll.BDP("912833MN Govt","CPN_TYP")</f>
        <v>ZERO</v>
      </c>
      <c r="L624" t="str">
        <f>_xll.BDP("912833MN Govt","ID_ISIN")</f>
        <v>US912833MN73</v>
      </c>
      <c r="N624">
        <v>0</v>
      </c>
      <c r="O624" t="str">
        <f>_xll.BDP("912833MN Govt","ISSUE_DT")</f>
        <v>7/15/1996</v>
      </c>
      <c r="P624" t="str">
        <f>_xll.BDP("912833MN Govt","SECURITY_NAME")</f>
        <v>S 0 01/15/00</v>
      </c>
      <c r="Q624" t="str">
        <f>_xll.BDP("912833MN Govt","DAY_CNT_DES")</f>
        <v>ACT/ACT</v>
      </c>
      <c r="R624">
        <v>100</v>
      </c>
      <c r="S624" t="str">
        <f>_xll.BDP("912833MN Govt","ID_CUSIP")</f>
        <v>912833MN7</v>
      </c>
      <c r="T624" t="str">
        <f>_xll.BDP("912833MN Govt","IDX_RATIO")</f>
        <v>#N/A Field Not Applicable</v>
      </c>
    </row>
    <row r="625" spans="1:20" x14ac:dyDescent="0.25">
      <c r="A625" t="s">
        <v>14</v>
      </c>
      <c r="B625" t="str">
        <f>_xll.BDP("912833MS Govt","TICKER")</f>
        <v>S</v>
      </c>
      <c r="C625">
        <f>_xll.BDP("912833MS Govt","CPN")</f>
        <v>0</v>
      </c>
      <c r="D625" t="str">
        <f>_xll.BDP("912833MS Govt","YLD_YTM_BID")</f>
        <v>#N/A N/A</v>
      </c>
      <c r="E625" t="str">
        <f>_xll.BDP("912833MS Govt","MATURITY")</f>
        <v>1/15/2001</v>
      </c>
      <c r="F625" t="str">
        <f>_xll.BDP("912833MS Govt","MTY_TYP")</f>
        <v>NORMAL</v>
      </c>
      <c r="G625" t="str">
        <f>_xll.BDP("912833MS Govt","CRNCY")</f>
        <v>USD</v>
      </c>
      <c r="H625" t="str">
        <f>_xll.BDP("912833MS Govt","COUNTRY_FULL_NAME")</f>
        <v>UNITED STATES</v>
      </c>
      <c r="I625" t="str">
        <f>_xll.BDP("912833MS Govt","FIRST_CPN_DT")</f>
        <v>#N/A Field Not Applicable</v>
      </c>
      <c r="J625" t="str">
        <f>_xll.BDP("912833MS Govt","COUPON_FREQUENCY_DESCRIPTION")</f>
        <v>#N/A Field Not Applicable</v>
      </c>
      <c r="K625" t="str">
        <f>_xll.BDP("912833MS Govt","CPN_TYP")</f>
        <v>ZERO</v>
      </c>
      <c r="L625" t="str">
        <f>_xll.BDP("912833MS Govt","ID_ISIN")</f>
        <v>US912833MS60</v>
      </c>
      <c r="N625">
        <v>0</v>
      </c>
      <c r="O625" t="str">
        <f>_xll.BDP("912833MS Govt","ISSUE_DT")</f>
        <v>7/15/1996</v>
      </c>
      <c r="P625" t="str">
        <f>_xll.BDP("912833MS Govt","SECURITY_NAME")</f>
        <v>S 0 01/15/01</v>
      </c>
      <c r="Q625" t="str">
        <f>_xll.BDP("912833MS Govt","DAY_CNT_DES")</f>
        <v>ACT/ACT</v>
      </c>
      <c r="R625">
        <v>100</v>
      </c>
      <c r="S625" t="str">
        <f>_xll.BDP("912833MS Govt","ID_CUSIP")</f>
        <v>912833MS6</v>
      </c>
      <c r="T625" t="str">
        <f>_xll.BDP("912833MS Govt","IDX_RATIO")</f>
        <v>#N/A Field Not Applicable</v>
      </c>
    </row>
    <row r="626" spans="1:20" x14ac:dyDescent="0.25">
      <c r="A626" t="s">
        <v>14</v>
      </c>
      <c r="B626" t="str">
        <f>_xll.BDP("912833MV Govt","TICKER")</f>
        <v>S</v>
      </c>
      <c r="C626">
        <f>_xll.BDP("912833MV Govt","CPN")</f>
        <v>0</v>
      </c>
      <c r="D626" t="str">
        <f>_xll.BDP("912833MV Govt","YLD_YTM_BID")</f>
        <v>#N/A N/A</v>
      </c>
      <c r="E626" t="str">
        <f>_xll.BDP("912833MV Govt","MATURITY")</f>
        <v>10/15/2001</v>
      </c>
      <c r="F626" t="str">
        <f>_xll.BDP("912833MV Govt","MTY_TYP")</f>
        <v>NORMAL</v>
      </c>
      <c r="G626" t="str">
        <f>_xll.BDP("912833MV Govt","CRNCY")</f>
        <v>USD</v>
      </c>
      <c r="H626" t="str">
        <f>_xll.BDP("912833MV Govt","COUNTRY_FULL_NAME")</f>
        <v>UNITED STATES</v>
      </c>
      <c r="I626" t="str">
        <f>_xll.BDP("912833MV Govt","FIRST_CPN_DT")</f>
        <v>#N/A Field Not Applicable</v>
      </c>
      <c r="J626" t="str">
        <f>_xll.BDP("912833MV Govt","COUPON_FREQUENCY_DESCRIPTION")</f>
        <v>#N/A Field Not Applicable</v>
      </c>
      <c r="K626" t="str">
        <f>_xll.BDP("912833MV Govt","CPN_TYP")</f>
        <v>ZERO</v>
      </c>
      <c r="L626" t="str">
        <f>_xll.BDP("912833MV Govt","ID_ISIN")</f>
        <v>US912833MV99</v>
      </c>
      <c r="N626">
        <v>0</v>
      </c>
      <c r="O626" t="str">
        <f>_xll.BDP("912833MV Govt","ISSUE_DT")</f>
        <v>10/15/1996</v>
      </c>
      <c r="P626" t="str">
        <f>_xll.BDP("912833MV Govt","SECURITY_NAME")</f>
        <v>S 0 10/15/01</v>
      </c>
      <c r="Q626" t="str">
        <f>_xll.BDP("912833MV Govt","DAY_CNT_DES")</f>
        <v>ACT/ACT</v>
      </c>
      <c r="R626">
        <v>100</v>
      </c>
      <c r="S626" t="str">
        <f>_xll.BDP("912833MV Govt","ID_CUSIP")</f>
        <v>912833MV9</v>
      </c>
      <c r="T626" t="str">
        <f>_xll.BDP("912833MV Govt","IDX_RATIO")</f>
        <v>#N/A Field Not Applicable</v>
      </c>
    </row>
    <row r="627" spans="1:20" x14ac:dyDescent="0.25">
      <c r="A627" t="s">
        <v>14</v>
      </c>
      <c r="B627" t="str">
        <f>_xll.BDP("912833MX Govt","TICKER")</f>
        <v>S</v>
      </c>
      <c r="C627">
        <f>_xll.BDP("912833MX Govt","CPN")</f>
        <v>0</v>
      </c>
      <c r="D627" t="str">
        <f>_xll.BDP("912833MX Govt","YLD_YTM_BID")</f>
        <v>#N/A N/A</v>
      </c>
      <c r="E627" t="str">
        <f>_xll.BDP("912833MX Govt","MATURITY")</f>
        <v>4/15/2002</v>
      </c>
      <c r="F627" t="str">
        <f>_xll.BDP("912833MX Govt","MTY_TYP")</f>
        <v>NORMAL</v>
      </c>
      <c r="G627" t="str">
        <f>_xll.BDP("912833MX Govt","CRNCY")</f>
        <v>USD</v>
      </c>
      <c r="H627" t="str">
        <f>_xll.BDP("912833MX Govt","COUNTRY_FULL_NAME")</f>
        <v>UNITED STATES</v>
      </c>
      <c r="I627" t="str">
        <f>_xll.BDP("912833MX Govt","FIRST_CPN_DT")</f>
        <v>#N/A Field Not Applicable</v>
      </c>
      <c r="J627" t="str">
        <f>_xll.BDP("912833MX Govt","COUPON_FREQUENCY_DESCRIPTION")</f>
        <v>#N/A Field Not Applicable</v>
      </c>
      <c r="K627" t="str">
        <f>_xll.BDP("912833MX Govt","CPN_TYP")</f>
        <v>ZERO</v>
      </c>
      <c r="L627" t="str">
        <f>_xll.BDP("912833MX Govt","ID_ISIN")</f>
        <v>US912833MX55</v>
      </c>
      <c r="N627">
        <v>0</v>
      </c>
      <c r="O627" t="str">
        <f>_xll.BDP("912833MX Govt","ISSUE_DT")</f>
        <v>10/15/1996</v>
      </c>
      <c r="P627" t="str">
        <f>_xll.BDP("912833MX Govt","SECURITY_NAME")</f>
        <v>S 0 04/15/02</v>
      </c>
      <c r="Q627" t="str">
        <f>_xll.BDP("912833MX Govt","DAY_CNT_DES")</f>
        <v>ACT/ACT</v>
      </c>
      <c r="R627">
        <v>100</v>
      </c>
      <c r="S627" t="str">
        <f>_xll.BDP("912833MX Govt","ID_CUSIP")</f>
        <v>912833MX5</v>
      </c>
      <c r="T627" t="str">
        <f>_xll.BDP("912833MX Govt","IDX_RATIO")</f>
        <v>#N/A Field Not Applicable</v>
      </c>
    </row>
    <row r="628" spans="1:20" x14ac:dyDescent="0.25">
      <c r="A628" t="s">
        <v>14</v>
      </c>
      <c r="B628" t="str">
        <f>_xll.BDP("912833MZ Govt","TICKER")</f>
        <v>S</v>
      </c>
      <c r="C628">
        <f>_xll.BDP("912833MZ Govt","CPN")</f>
        <v>0</v>
      </c>
      <c r="D628" t="str">
        <f>_xll.BDP("912833MZ Govt","YLD_YTM_BID")</f>
        <v>#N/A N/A</v>
      </c>
      <c r="E628" t="str">
        <f>_xll.BDP("912833MZ Govt","MATURITY")</f>
        <v>10/15/2002</v>
      </c>
      <c r="F628" t="str">
        <f>_xll.BDP("912833MZ Govt","MTY_TYP")</f>
        <v>NORMAL</v>
      </c>
      <c r="G628" t="str">
        <f>_xll.BDP("912833MZ Govt","CRNCY")</f>
        <v>USD</v>
      </c>
      <c r="H628" t="str">
        <f>_xll.BDP("912833MZ Govt","COUNTRY_FULL_NAME")</f>
        <v>UNITED STATES</v>
      </c>
      <c r="I628" t="str">
        <f>_xll.BDP("912833MZ Govt","FIRST_CPN_DT")</f>
        <v>#N/A Field Not Applicable</v>
      </c>
      <c r="J628" t="str">
        <f>_xll.BDP("912833MZ Govt","COUPON_FREQUENCY_DESCRIPTION")</f>
        <v>#N/A Field Not Applicable</v>
      </c>
      <c r="K628" t="str">
        <f>_xll.BDP("912833MZ Govt","CPN_TYP")</f>
        <v>ZERO</v>
      </c>
      <c r="L628" t="str">
        <f>_xll.BDP("912833MZ Govt","ID_ISIN")</f>
        <v>US912833MZ04</v>
      </c>
      <c r="N628">
        <v>0</v>
      </c>
      <c r="O628" t="str">
        <f>_xll.BDP("912833MZ Govt","ISSUE_DT")</f>
        <v>10/15/1996</v>
      </c>
      <c r="P628" t="str">
        <f>_xll.BDP("912833MZ Govt","SECURITY_NAME")</f>
        <v>S 0 10/15/02</v>
      </c>
      <c r="Q628" t="str">
        <f>_xll.BDP("912833MZ Govt","DAY_CNT_DES")</f>
        <v>ACT/ACT</v>
      </c>
      <c r="R628">
        <v>100</v>
      </c>
      <c r="S628" t="str">
        <f>_xll.BDP("912833MZ Govt","ID_CUSIP")</f>
        <v>912833MZ0</v>
      </c>
      <c r="T628" t="str">
        <f>_xll.BDP("912833MZ Govt","IDX_RATIO")</f>
        <v>#N/A Field Not Applicable</v>
      </c>
    </row>
    <row r="629" spans="1:20" x14ac:dyDescent="0.25">
      <c r="A629" t="s">
        <v>14</v>
      </c>
      <c r="B629" t="str">
        <f>_xll.BDP("912833NB Govt","TICKER")</f>
        <v>S</v>
      </c>
      <c r="C629">
        <f>_xll.BDP("912833NB Govt","CPN")</f>
        <v>0</v>
      </c>
      <c r="D629" t="str">
        <f>_xll.BDP("912833NB Govt","YLD_YTM_BID")</f>
        <v>#N/A N/A</v>
      </c>
      <c r="E629" t="str">
        <f>_xll.BDP("912833NB Govt","MATURITY")</f>
        <v>4/15/2003</v>
      </c>
      <c r="F629" t="str">
        <f>_xll.BDP("912833NB Govt","MTY_TYP")</f>
        <v>NORMAL</v>
      </c>
      <c r="G629" t="str">
        <f>_xll.BDP("912833NB Govt","CRNCY")</f>
        <v>USD</v>
      </c>
      <c r="H629" t="str">
        <f>_xll.BDP("912833NB Govt","COUNTRY_FULL_NAME")</f>
        <v>UNITED STATES</v>
      </c>
      <c r="I629" t="str">
        <f>_xll.BDP("912833NB Govt","FIRST_CPN_DT")</f>
        <v>#N/A Field Not Applicable</v>
      </c>
      <c r="J629" t="str">
        <f>_xll.BDP("912833NB Govt","COUPON_FREQUENCY_DESCRIPTION")</f>
        <v>#N/A Field Not Applicable</v>
      </c>
      <c r="K629" t="str">
        <f>_xll.BDP("912833NB Govt","CPN_TYP")</f>
        <v>ZERO</v>
      </c>
      <c r="L629" t="str">
        <f>_xll.BDP("912833NB Govt","ID_ISIN")</f>
        <v>US912833NB27</v>
      </c>
      <c r="N629">
        <v>0</v>
      </c>
      <c r="O629" t="str">
        <f>_xll.BDP("912833NB Govt","ISSUE_DT")</f>
        <v>10/15/1996</v>
      </c>
      <c r="P629" t="str">
        <f>_xll.BDP("912833NB Govt","SECURITY_NAME")</f>
        <v>S 0 04/15/03</v>
      </c>
      <c r="Q629" t="str">
        <f>_xll.BDP("912833NB Govt","DAY_CNT_DES")</f>
        <v>ACT/ACT</v>
      </c>
      <c r="R629">
        <v>100</v>
      </c>
      <c r="S629" t="str">
        <f>_xll.BDP("912833NB Govt","ID_CUSIP")</f>
        <v>912833NB2</v>
      </c>
      <c r="T629" t="str">
        <f>_xll.BDP("912833NB Govt","IDX_RATIO")</f>
        <v>#N/A Field Not Applicable</v>
      </c>
    </row>
    <row r="630" spans="1:20" x14ac:dyDescent="0.25">
      <c r="A630" t="s">
        <v>14</v>
      </c>
      <c r="B630" t="str">
        <f>_xll.BDP("912833QH Govt","TICKER")</f>
        <v>S</v>
      </c>
      <c r="C630">
        <f>_xll.BDP("912833QH Govt","CPN")</f>
        <v>0</v>
      </c>
      <c r="D630" t="str">
        <f>_xll.BDP("912833QH Govt","YLD_YTM_BID")</f>
        <v>#N/A N/A</v>
      </c>
      <c r="E630" t="str">
        <f>_xll.BDP("912833QH Govt","MATURITY")</f>
        <v>11/30/2000</v>
      </c>
      <c r="F630" t="str">
        <f>_xll.BDP("912833QH Govt","MTY_TYP")</f>
        <v>NORMAL</v>
      </c>
      <c r="G630" t="str">
        <f>_xll.BDP("912833QH Govt","CRNCY")</f>
        <v>USD</v>
      </c>
      <c r="H630" t="str">
        <f>_xll.BDP("912833QH Govt","COUNTRY_FULL_NAME")</f>
        <v>UNITED STATES</v>
      </c>
      <c r="I630" t="str">
        <f>_xll.BDP("912833QH Govt","FIRST_CPN_DT")</f>
        <v>#N/A Field Not Applicable</v>
      </c>
      <c r="J630" t="str">
        <f>_xll.BDP("912833QH Govt","COUPON_FREQUENCY_DESCRIPTION")</f>
        <v>#N/A Field Not Applicable</v>
      </c>
      <c r="K630" t="str">
        <f>_xll.BDP("912833QH Govt","CPN_TYP")</f>
        <v>ZERO</v>
      </c>
      <c r="L630" t="str">
        <f>_xll.BDP("912833QH Govt","ID_ISIN")</f>
        <v>US912833QH69</v>
      </c>
      <c r="N630">
        <v>0</v>
      </c>
      <c r="O630" t="str">
        <f>_xll.BDP("912833QH Govt","ISSUE_DT")</f>
        <v>12/1/1997</v>
      </c>
      <c r="P630" t="str">
        <f>_xll.BDP("912833QH Govt","SECURITY_NAME")</f>
        <v>S 0 11/30/00</v>
      </c>
      <c r="Q630" t="str">
        <f>_xll.BDP("912833QH Govt","DAY_CNT_DES")</f>
        <v>ACT/ACT</v>
      </c>
      <c r="R630">
        <v>100</v>
      </c>
      <c r="S630" t="str">
        <f>_xll.BDP("912833QH Govt","ID_CUSIP")</f>
        <v>912833QH6</v>
      </c>
      <c r="T630" t="str">
        <f>_xll.BDP("912833QH Govt","IDX_RATIO")</f>
        <v>#N/A Field Not Applicable</v>
      </c>
    </row>
    <row r="631" spans="1:20" x14ac:dyDescent="0.25">
      <c r="A631" t="s">
        <v>14</v>
      </c>
      <c r="B631" t="str">
        <f>_xll.BDP("912833QL Govt","TICKER")</f>
        <v>S</v>
      </c>
      <c r="C631">
        <f>_xll.BDP("912833QL Govt","CPN")</f>
        <v>0</v>
      </c>
      <c r="D631" t="str">
        <f>_xll.BDP("912833QL Govt","YLD_YTM_BID")</f>
        <v>#N/A N/A</v>
      </c>
      <c r="E631" t="str">
        <f>_xll.BDP("912833QL Govt","MATURITY")</f>
        <v>5/31/2002</v>
      </c>
      <c r="F631" t="str">
        <f>_xll.BDP("912833QL Govt","MTY_TYP")</f>
        <v>NORMAL</v>
      </c>
      <c r="G631" t="str">
        <f>_xll.BDP("912833QL Govt","CRNCY")</f>
        <v>USD</v>
      </c>
      <c r="H631" t="str">
        <f>_xll.BDP("912833QL Govt","COUNTRY_FULL_NAME")</f>
        <v>UNITED STATES</v>
      </c>
      <c r="I631" t="str">
        <f>_xll.BDP("912833QL Govt","FIRST_CPN_DT")</f>
        <v>#N/A Field Not Applicable</v>
      </c>
      <c r="J631" t="str">
        <f>_xll.BDP("912833QL Govt","COUPON_FREQUENCY_DESCRIPTION")</f>
        <v>#N/A Field Not Applicable</v>
      </c>
      <c r="K631" t="str">
        <f>_xll.BDP("912833QL Govt","CPN_TYP")</f>
        <v>ZERO</v>
      </c>
      <c r="L631" t="str">
        <f>_xll.BDP("912833QL Govt","ID_ISIN")</f>
        <v>US912833QL71</v>
      </c>
      <c r="N631">
        <v>0</v>
      </c>
      <c r="O631" t="str">
        <f>_xll.BDP("912833QL Govt","ISSUE_DT")</f>
        <v>12/1/1997</v>
      </c>
      <c r="P631" t="str">
        <f>_xll.BDP("912833QL Govt","SECURITY_NAME")</f>
        <v>S 0 05/31/02</v>
      </c>
      <c r="Q631" t="str">
        <f>_xll.BDP("912833QL Govt","DAY_CNT_DES")</f>
        <v>ACT/ACT</v>
      </c>
      <c r="R631">
        <v>100</v>
      </c>
      <c r="S631" t="str">
        <f>_xll.BDP("912833QL Govt","ID_CUSIP")</f>
        <v>912833QL7</v>
      </c>
      <c r="T631" t="str">
        <f>_xll.BDP("912833QL Govt","IDX_RATIO")</f>
        <v>#N/A Field Not Applicable</v>
      </c>
    </row>
    <row r="632" spans="1:20" x14ac:dyDescent="0.25">
      <c r="A632" t="s">
        <v>14</v>
      </c>
      <c r="B632" t="str">
        <f>_xll.BDP("912833QS Govt","TICKER")</f>
        <v>S</v>
      </c>
      <c r="C632">
        <f>_xll.BDP("912833QS Govt","CPN")</f>
        <v>0</v>
      </c>
      <c r="D632" t="str">
        <f>_xll.BDP("912833QS Govt","YLD_YTM_BID")</f>
        <v>#N/A N/A</v>
      </c>
      <c r="E632" t="str">
        <f>_xll.BDP("912833QS Govt","MATURITY")</f>
        <v>6/30/2000</v>
      </c>
      <c r="F632" t="str">
        <f>_xll.BDP("912833QS Govt","MTY_TYP")</f>
        <v>NORMAL</v>
      </c>
      <c r="G632" t="str">
        <f>_xll.BDP("912833QS Govt","CRNCY")</f>
        <v>USD</v>
      </c>
      <c r="H632" t="str">
        <f>_xll.BDP("912833QS Govt","COUNTRY_FULL_NAME")</f>
        <v>UNITED STATES</v>
      </c>
      <c r="I632" t="str">
        <f>_xll.BDP("912833QS Govt","FIRST_CPN_DT")</f>
        <v>#N/A Field Not Applicable</v>
      </c>
      <c r="J632" t="str">
        <f>_xll.BDP("912833QS Govt","COUPON_FREQUENCY_DESCRIPTION")</f>
        <v>#N/A Field Not Applicable</v>
      </c>
      <c r="K632" t="str">
        <f>_xll.BDP("912833QS Govt","CPN_TYP")</f>
        <v>ZERO</v>
      </c>
      <c r="L632" t="str">
        <f>_xll.BDP("912833QS Govt","ID_ISIN")</f>
        <v>US912833QS25</v>
      </c>
      <c r="N632">
        <v>0</v>
      </c>
      <c r="O632" t="str">
        <f>_xll.BDP("912833QS Govt","ISSUE_DT")</f>
        <v>12/31/1997</v>
      </c>
      <c r="P632" t="str">
        <f>_xll.BDP("912833QS Govt","SECURITY_NAME")</f>
        <v>S 0 06/30/00</v>
      </c>
      <c r="Q632" t="str">
        <f>_xll.BDP("912833QS Govt","DAY_CNT_DES")</f>
        <v>ACT/ACT</v>
      </c>
      <c r="R632">
        <v>100</v>
      </c>
      <c r="S632" t="str">
        <f>_xll.BDP("912833QS Govt","ID_CUSIP")</f>
        <v>912833QS2</v>
      </c>
      <c r="T632" t="str">
        <f>_xll.BDP("912833QS Govt","IDX_RATIO")</f>
        <v>#N/A Field Not Applicable</v>
      </c>
    </row>
    <row r="633" spans="1:20" x14ac:dyDescent="0.25">
      <c r="A633" t="s">
        <v>14</v>
      </c>
      <c r="B633" t="str">
        <f>_xll.BDP("912833QY Govt","TICKER")</f>
        <v>S</v>
      </c>
      <c r="C633">
        <f>_xll.BDP("912833QY Govt","CPN")</f>
        <v>0</v>
      </c>
      <c r="D633" t="str">
        <f>_xll.BDP("912833QY Govt","YLD_YTM_BID")</f>
        <v>#N/A N/A</v>
      </c>
      <c r="E633" t="str">
        <f>_xll.BDP("912833QY Govt","MATURITY")</f>
        <v>7/31/1998</v>
      </c>
      <c r="F633" t="str">
        <f>_xll.BDP("912833QY Govt","MTY_TYP")</f>
        <v>NORMAL</v>
      </c>
      <c r="G633" t="str">
        <f>_xll.BDP("912833QY Govt","CRNCY")</f>
        <v>USD</v>
      </c>
      <c r="H633" t="str">
        <f>_xll.BDP("912833QY Govt","COUNTRY_FULL_NAME")</f>
        <v>UNITED STATES</v>
      </c>
      <c r="I633" t="str">
        <f>_xll.BDP("912833QY Govt","FIRST_CPN_DT")</f>
        <v>#N/A Field Not Applicable</v>
      </c>
      <c r="J633" t="str">
        <f>_xll.BDP("912833QY Govt","COUPON_FREQUENCY_DESCRIPTION")</f>
        <v>#N/A Field Not Applicable</v>
      </c>
      <c r="K633" t="str">
        <f>_xll.BDP("912833QY Govt","CPN_TYP")</f>
        <v>ZERO</v>
      </c>
      <c r="L633" t="str">
        <f>_xll.BDP("912833QY Govt","ID_ISIN")</f>
        <v>US912833QY92</v>
      </c>
      <c r="N633">
        <v>0</v>
      </c>
      <c r="O633" t="str">
        <f>_xll.BDP("912833QY Govt","ISSUE_DT")</f>
        <v>2/2/1998</v>
      </c>
      <c r="P633" t="str">
        <f>_xll.BDP("912833QY Govt","SECURITY_NAME")</f>
        <v>S 0 07/31/98</v>
      </c>
      <c r="Q633" t="str">
        <f>_xll.BDP("912833QY Govt","DAY_CNT_DES")</f>
        <v>ACT/ACT</v>
      </c>
      <c r="R633">
        <v>100</v>
      </c>
      <c r="S633" t="str">
        <f>_xll.BDP("912833QY Govt","ID_CUSIP")</f>
        <v>912833QY9</v>
      </c>
      <c r="T633" t="str">
        <f>_xll.BDP("912833QY Govt","IDX_RATIO")</f>
        <v>#N/A Field Not Applicable</v>
      </c>
    </row>
    <row r="634" spans="1:20" x14ac:dyDescent="0.25">
      <c r="A634" t="s">
        <v>14</v>
      </c>
      <c r="B634" t="str">
        <f>_xll.BDP("912833RH Govt","TICKER")</f>
        <v>S</v>
      </c>
      <c r="C634">
        <f>_xll.BDP("912833RH Govt","CPN")</f>
        <v>0</v>
      </c>
      <c r="D634" t="str">
        <f>_xll.BDP("912833RH Govt","YLD_YTM_BID")</f>
        <v>#N/A N/A</v>
      </c>
      <c r="E634" t="str">
        <f>_xll.BDP("912833RH Govt","MATURITY")</f>
        <v>1/31/2003</v>
      </c>
      <c r="F634" t="str">
        <f>_xll.BDP("912833RH Govt","MTY_TYP")</f>
        <v>NORMAL</v>
      </c>
      <c r="G634" t="str">
        <f>_xll.BDP("912833RH Govt","CRNCY")</f>
        <v>USD</v>
      </c>
      <c r="H634" t="str">
        <f>_xll.BDP("912833RH Govt","COUNTRY_FULL_NAME")</f>
        <v>UNITED STATES</v>
      </c>
      <c r="I634" t="str">
        <f>_xll.BDP("912833RH Govt","FIRST_CPN_DT")</f>
        <v>#N/A Field Not Applicable</v>
      </c>
      <c r="J634" t="str">
        <f>_xll.BDP("912833RH Govt","COUPON_FREQUENCY_DESCRIPTION")</f>
        <v>#N/A Field Not Applicable</v>
      </c>
      <c r="K634" t="str">
        <f>_xll.BDP("912833RH Govt","CPN_TYP")</f>
        <v>ZERO</v>
      </c>
      <c r="L634" t="str">
        <f>_xll.BDP("912833RH Govt","ID_ISIN")</f>
        <v>US912833RH50</v>
      </c>
      <c r="N634">
        <v>0</v>
      </c>
      <c r="O634" t="str">
        <f>_xll.BDP("912833RH Govt","ISSUE_DT")</f>
        <v>2/2/1998</v>
      </c>
      <c r="P634" t="str">
        <f>_xll.BDP("912833RH Govt","SECURITY_NAME")</f>
        <v>S 0 01/31/03</v>
      </c>
      <c r="Q634" t="str">
        <f>_xll.BDP("912833RH Govt","DAY_CNT_DES")</f>
        <v>ACT/ACT</v>
      </c>
      <c r="R634">
        <v>100</v>
      </c>
      <c r="S634" t="str">
        <f>_xll.BDP("912833RH Govt","ID_CUSIP")</f>
        <v>912833RH5</v>
      </c>
      <c r="T634" t="str">
        <f>_xll.BDP("912833RH Govt","IDX_RATIO")</f>
        <v>#N/A Field Not Applicable</v>
      </c>
    </row>
    <row r="635" spans="1:20" x14ac:dyDescent="0.25">
      <c r="A635" t="s">
        <v>14</v>
      </c>
      <c r="B635" t="str">
        <f>_xll.BDP("912833RU Govt","TICKER")</f>
        <v>S</v>
      </c>
      <c r="C635">
        <f>_xll.BDP("912833RU Govt","CPN")</f>
        <v>0</v>
      </c>
      <c r="D635" t="str">
        <f>_xll.BDP("912833RU Govt","YLD_YTM_BID")</f>
        <v>#N/A N/A</v>
      </c>
      <c r="E635" t="str">
        <f>_xll.BDP("912833RU Govt","MATURITY")</f>
        <v>3/31/2003</v>
      </c>
      <c r="F635" t="str">
        <f>_xll.BDP("912833RU Govt","MTY_TYP")</f>
        <v>NORMAL</v>
      </c>
      <c r="G635" t="str">
        <f>_xll.BDP("912833RU Govt","CRNCY")</f>
        <v>USD</v>
      </c>
      <c r="H635" t="str">
        <f>_xll.BDP("912833RU Govt","COUNTRY_FULL_NAME")</f>
        <v>UNITED STATES</v>
      </c>
      <c r="I635" t="str">
        <f>_xll.BDP("912833RU Govt","FIRST_CPN_DT")</f>
        <v>#N/A Field Not Applicable</v>
      </c>
      <c r="J635" t="str">
        <f>_xll.BDP("912833RU Govt","COUPON_FREQUENCY_DESCRIPTION")</f>
        <v>#N/A Field Not Applicable</v>
      </c>
      <c r="K635" t="str">
        <f>_xll.BDP("912833RU Govt","CPN_TYP")</f>
        <v>ZERO</v>
      </c>
      <c r="L635" t="str">
        <f>_xll.BDP("912833RU Govt","ID_ISIN")</f>
        <v>US912833RU61</v>
      </c>
      <c r="N635">
        <v>0</v>
      </c>
      <c r="O635" t="str">
        <f>_xll.BDP("912833RU Govt","ISSUE_DT")</f>
        <v>3/31/1998</v>
      </c>
      <c r="P635" t="str">
        <f>_xll.BDP("912833RU Govt","SECURITY_NAME")</f>
        <v>S 0 03/31/03</v>
      </c>
      <c r="Q635" t="str">
        <f>_xll.BDP("912833RU Govt","DAY_CNT_DES")</f>
        <v>ACT/ACT</v>
      </c>
      <c r="R635">
        <v>100</v>
      </c>
      <c r="S635" t="str">
        <f>_xll.BDP("912833RU Govt","ID_CUSIP")</f>
        <v>912833RU6</v>
      </c>
      <c r="T635" t="str">
        <f>_xll.BDP("912833RU Govt","IDX_RATIO")</f>
        <v>#N/A Field Not Applicable</v>
      </c>
    </row>
    <row r="636" spans="1:20" x14ac:dyDescent="0.25">
      <c r="A636" t="s">
        <v>14</v>
      </c>
      <c r="B636" t="str">
        <f>_xll.BDP("912833YC Govt","TICKER")</f>
        <v>S</v>
      </c>
      <c r="C636">
        <f>_xll.BDP("912833YC Govt","CPN")</f>
        <v>0</v>
      </c>
      <c r="D636" t="str">
        <f>_xll.BDP("912833YC Govt","YLD_YTM_BID")</f>
        <v>#N/A N/A</v>
      </c>
      <c r="E636" t="str">
        <f>_xll.BDP("912833YC Govt","MATURITY")</f>
        <v>9/30/2003</v>
      </c>
      <c r="F636" t="str">
        <f>_xll.BDP("912833YC Govt","MTY_TYP")</f>
        <v>NORMAL</v>
      </c>
      <c r="G636" t="str">
        <f>_xll.BDP("912833YC Govt","CRNCY")</f>
        <v>USD</v>
      </c>
      <c r="H636" t="str">
        <f>_xll.BDP("912833YC Govt","COUNTRY_FULL_NAME")</f>
        <v>UNITED STATES</v>
      </c>
      <c r="I636" t="str">
        <f>_xll.BDP("912833YC Govt","FIRST_CPN_DT")</f>
        <v>#N/A Field Not Applicable</v>
      </c>
      <c r="J636" t="str">
        <f>_xll.BDP("912833YC Govt","COUPON_FREQUENCY_DESCRIPTION")</f>
        <v>#N/A Field Not Applicable</v>
      </c>
      <c r="K636" t="str">
        <f>_xll.BDP("912833YC Govt","CPN_TYP")</f>
        <v>ZERO</v>
      </c>
      <c r="L636" t="str">
        <f>_xll.BDP("912833YC Govt","ID_ISIN")</f>
        <v>US912833YC80</v>
      </c>
      <c r="N636">
        <v>0</v>
      </c>
      <c r="O636" t="str">
        <f>_xll.BDP("912833YC Govt","ISSUE_DT")</f>
        <v>10/1/2001</v>
      </c>
      <c r="P636" t="str">
        <f>_xll.BDP("912833YC Govt","SECURITY_NAME")</f>
        <v>S 0 09/30/03</v>
      </c>
      <c r="Q636" t="str">
        <f>_xll.BDP("912833YC Govt","DAY_CNT_DES")</f>
        <v>ACT/ACT</v>
      </c>
      <c r="R636">
        <v>100</v>
      </c>
      <c r="S636" t="str">
        <f>_xll.BDP("912833YC Govt","ID_CUSIP")</f>
        <v>912833YC8</v>
      </c>
      <c r="T636" t="str">
        <f>_xll.BDP("912833YC Govt","IDX_RATIO")</f>
        <v>#N/A Field Not Applicable</v>
      </c>
    </row>
    <row r="637" spans="1:20" x14ac:dyDescent="0.25">
      <c r="A637" t="s">
        <v>14</v>
      </c>
      <c r="B637" t="str">
        <f>_xll.BDP("912833ZD Govt","TICKER")</f>
        <v>S</v>
      </c>
      <c r="C637">
        <f>_xll.BDP("912833ZD Govt","CPN")</f>
        <v>0</v>
      </c>
      <c r="D637" t="str">
        <f>_xll.BDP("912833ZD Govt","YLD_YTM_BID")</f>
        <v>#N/A N/A</v>
      </c>
      <c r="E637" t="str">
        <f>_xll.BDP("912833ZD Govt","MATURITY")</f>
        <v>1/31/2005</v>
      </c>
      <c r="F637" t="str">
        <f>_xll.BDP("912833ZD Govt","MTY_TYP")</f>
        <v>NORMAL</v>
      </c>
      <c r="G637" t="str">
        <f>_xll.BDP("912833ZD Govt","CRNCY")</f>
        <v>USD</v>
      </c>
      <c r="H637" t="str">
        <f>_xll.BDP("912833ZD Govt","COUNTRY_FULL_NAME")</f>
        <v>UNITED STATES</v>
      </c>
      <c r="I637" t="str">
        <f>_xll.BDP("912833ZD Govt","FIRST_CPN_DT")</f>
        <v>#N/A Field Not Applicable</v>
      </c>
      <c r="J637" t="str">
        <f>_xll.BDP("912833ZD Govt","COUPON_FREQUENCY_DESCRIPTION")</f>
        <v>#N/A Field Not Applicable</v>
      </c>
      <c r="K637" t="str">
        <f>_xll.BDP("912833ZD Govt","CPN_TYP")</f>
        <v>ZERO</v>
      </c>
      <c r="L637" t="str">
        <f>_xll.BDP("912833ZD Govt","ID_ISIN")</f>
        <v>US912833ZD54</v>
      </c>
      <c r="N637">
        <v>0</v>
      </c>
      <c r="O637" t="str">
        <f>_xll.BDP("912833ZD Govt","ISSUE_DT")</f>
        <v>1/31/2003</v>
      </c>
      <c r="P637" t="str">
        <f>_xll.BDP("912833ZD Govt","SECURITY_NAME")</f>
        <v>S 0 01/31/05</v>
      </c>
      <c r="Q637" t="str">
        <f>_xll.BDP("912833ZD Govt","DAY_CNT_DES")</f>
        <v>ACT/ACT</v>
      </c>
      <c r="R637">
        <v>100</v>
      </c>
      <c r="S637" t="str">
        <f>_xll.BDP("912833ZD Govt","ID_CUSIP")</f>
        <v>912833ZD5</v>
      </c>
      <c r="T637" t="str">
        <f>_xll.BDP("912833ZD Govt","IDX_RATIO")</f>
        <v>#N/A Field Not Applicable</v>
      </c>
    </row>
    <row r="638" spans="1:20" x14ac:dyDescent="0.25">
      <c r="A638" t="s">
        <v>14</v>
      </c>
      <c r="B638" t="str">
        <f>_xll.BDP("912833ZN Govt","TICKER")</f>
        <v>S</v>
      </c>
      <c r="C638">
        <f>_xll.BDP("912833ZN Govt","CPN")</f>
        <v>0</v>
      </c>
      <c r="D638" t="str">
        <f>_xll.BDP("912833ZN Govt","YLD_YTM_BID")</f>
        <v>#N/A N/A</v>
      </c>
      <c r="E638" t="str">
        <f>_xll.BDP("912833ZN Govt","MATURITY")</f>
        <v>8/31/2005</v>
      </c>
      <c r="F638" t="str">
        <f>_xll.BDP("912833ZN Govt","MTY_TYP")</f>
        <v>NORMAL</v>
      </c>
      <c r="G638" t="str">
        <f>_xll.BDP("912833ZN Govt","CRNCY")</f>
        <v>USD</v>
      </c>
      <c r="H638" t="str">
        <f>_xll.BDP("912833ZN Govt","COUNTRY_FULL_NAME")</f>
        <v>UNITED STATES</v>
      </c>
      <c r="I638" t="str">
        <f>_xll.BDP("912833ZN Govt","FIRST_CPN_DT")</f>
        <v>#N/A Field Not Applicable</v>
      </c>
      <c r="J638" t="str">
        <f>_xll.BDP("912833ZN Govt","COUPON_FREQUENCY_DESCRIPTION")</f>
        <v>#N/A Field Not Applicable</v>
      </c>
      <c r="K638" t="str">
        <f>_xll.BDP("912833ZN Govt","CPN_TYP")</f>
        <v>ZERO</v>
      </c>
      <c r="L638" t="str">
        <f>_xll.BDP("912833ZN Govt","ID_ISIN")</f>
        <v>US912833ZN37</v>
      </c>
      <c r="N638">
        <v>0</v>
      </c>
      <c r="O638" t="str">
        <f>_xll.BDP("912833ZN Govt","ISSUE_DT")</f>
        <v>9/2/2003</v>
      </c>
      <c r="P638" t="str">
        <f>_xll.BDP("912833ZN Govt","SECURITY_NAME")</f>
        <v>S 0 08/31/05</v>
      </c>
      <c r="Q638" t="str">
        <f>_xll.BDP("912833ZN Govt","DAY_CNT_DES")</f>
        <v>ACT/ACT</v>
      </c>
      <c r="R638">
        <v>100</v>
      </c>
      <c r="S638" t="str">
        <f>_xll.BDP("912833ZN Govt","ID_CUSIP")</f>
        <v>912833ZN3</v>
      </c>
      <c r="T638" t="str">
        <f>_xll.BDP("912833ZN Govt","IDX_RATIO")</f>
        <v>#N/A Field Not Applicable</v>
      </c>
    </row>
    <row r="639" spans="1:20" x14ac:dyDescent="0.25">
      <c r="A639" t="s">
        <v>14</v>
      </c>
      <c r="B639" t="str">
        <f>_xll.BDP("912833ZQ Govt","TICKER")</f>
        <v>S</v>
      </c>
      <c r="C639">
        <f>_xll.BDP("912833ZQ Govt","CPN")</f>
        <v>0</v>
      </c>
      <c r="D639" t="str">
        <f>_xll.BDP("912833ZQ Govt","YLD_YTM_BID")</f>
        <v>#N/A N/A</v>
      </c>
      <c r="E639" t="str">
        <f>_xll.BDP("912833ZQ Govt","MATURITY")</f>
        <v>9/15/2004</v>
      </c>
      <c r="F639" t="str">
        <f>_xll.BDP("912833ZQ Govt","MTY_TYP")</f>
        <v>NORMAL</v>
      </c>
      <c r="G639" t="str">
        <f>_xll.BDP("912833ZQ Govt","CRNCY")</f>
        <v>USD</v>
      </c>
      <c r="H639" t="str">
        <f>_xll.BDP("912833ZQ Govt","COUNTRY_FULL_NAME")</f>
        <v>UNITED STATES</v>
      </c>
      <c r="I639" t="str">
        <f>_xll.BDP("912833ZQ Govt","FIRST_CPN_DT")</f>
        <v>#N/A Field Not Applicable</v>
      </c>
      <c r="J639" t="str">
        <f>_xll.BDP("912833ZQ Govt","COUPON_FREQUENCY_DESCRIPTION")</f>
        <v>#N/A Field Not Applicable</v>
      </c>
      <c r="K639" t="str">
        <f>_xll.BDP("912833ZQ Govt","CPN_TYP")</f>
        <v>ZERO</v>
      </c>
      <c r="L639" t="str">
        <f>_xll.BDP("912833ZQ Govt","ID_ISIN")</f>
        <v>US912833ZQ67</v>
      </c>
      <c r="N639">
        <v>0</v>
      </c>
      <c r="O639" t="str">
        <f>_xll.BDP("912833ZQ Govt","ISSUE_DT")</f>
        <v>9/15/2003</v>
      </c>
      <c r="P639" t="str">
        <f>_xll.BDP("912833ZQ Govt","SECURITY_NAME")</f>
        <v>S 0 09/15/04</v>
      </c>
      <c r="Q639" t="str">
        <f>_xll.BDP("912833ZQ Govt","DAY_CNT_DES")</f>
        <v>ACT/ACT</v>
      </c>
      <c r="R639">
        <v>100</v>
      </c>
      <c r="S639" t="str">
        <f>_xll.BDP("912833ZQ Govt","ID_CUSIP")</f>
        <v>912833ZQ6</v>
      </c>
      <c r="T639" t="str">
        <f>_xll.BDP("912833ZQ Govt","IDX_RATIO")</f>
        <v>#N/A Field Not Applicable</v>
      </c>
    </row>
    <row r="640" spans="1:20" x14ac:dyDescent="0.25">
      <c r="A640" t="s">
        <v>14</v>
      </c>
      <c r="B640" t="str">
        <f>_xll.BDP("912833ZW Govt","TICKER")</f>
        <v>S</v>
      </c>
      <c r="C640">
        <f>_xll.BDP("912833ZW Govt","CPN")</f>
        <v>0</v>
      </c>
      <c r="D640" t="str">
        <f>_xll.BDP("912833ZW Govt","YLD_YTM_BID")</f>
        <v>#N/A N/A</v>
      </c>
      <c r="E640" t="str">
        <f>_xll.BDP("912833ZW Govt","MATURITY")</f>
        <v>9/15/2007</v>
      </c>
      <c r="F640" t="str">
        <f>_xll.BDP("912833ZW Govt","MTY_TYP")</f>
        <v>NORMAL</v>
      </c>
      <c r="G640" t="str">
        <f>_xll.BDP("912833ZW Govt","CRNCY")</f>
        <v>USD</v>
      </c>
      <c r="H640" t="str">
        <f>_xll.BDP("912833ZW Govt","COUNTRY_FULL_NAME")</f>
        <v>UNITED STATES</v>
      </c>
      <c r="I640" t="str">
        <f>_xll.BDP("912833ZW Govt","FIRST_CPN_DT")</f>
        <v>#N/A Field Not Applicable</v>
      </c>
      <c r="J640" t="str">
        <f>_xll.BDP("912833ZW Govt","COUPON_FREQUENCY_DESCRIPTION")</f>
        <v>#N/A Field Not Applicable</v>
      </c>
      <c r="K640" t="str">
        <f>_xll.BDP("912833ZW Govt","CPN_TYP")</f>
        <v>ZERO</v>
      </c>
      <c r="L640" t="str">
        <f>_xll.BDP("912833ZW Govt","ID_ISIN")</f>
        <v>US912833ZW36</v>
      </c>
      <c r="N640">
        <v>0</v>
      </c>
      <c r="O640" t="str">
        <f>_xll.BDP("912833ZW Govt","ISSUE_DT")</f>
        <v>9/15/2003</v>
      </c>
      <c r="P640" t="str">
        <f>_xll.BDP("912833ZW Govt","SECURITY_NAME")</f>
        <v>S 0 09/15/07</v>
      </c>
      <c r="Q640" t="str">
        <f>_xll.BDP("912833ZW Govt","DAY_CNT_DES")</f>
        <v>ACT/ACT</v>
      </c>
      <c r="R640">
        <v>100</v>
      </c>
      <c r="S640" t="str">
        <f>_xll.BDP("912833ZW Govt","ID_CUSIP")</f>
        <v>912833ZW3</v>
      </c>
      <c r="T640" t="str">
        <f>_xll.BDP("912833ZW Govt","IDX_RATIO")</f>
        <v>#N/A Field Not Applicable</v>
      </c>
    </row>
    <row r="641" spans="1:20" x14ac:dyDescent="0.25">
      <c r="A641" t="s">
        <v>14</v>
      </c>
      <c r="B641" t="str">
        <f>_xll.BDP("912834AW Govt","TICKER")</f>
        <v>S</v>
      </c>
      <c r="C641">
        <f>_xll.BDP("912834AW Govt","CPN")</f>
        <v>0</v>
      </c>
      <c r="D641" t="str">
        <f>_xll.BDP("912834AW Govt","YLD_YTM_BID")</f>
        <v>#N/A N/A</v>
      </c>
      <c r="E641" t="str">
        <f>_xll.BDP("912834AW Govt","MATURITY")</f>
        <v>8/31/2014</v>
      </c>
      <c r="F641" t="str">
        <f>_xll.BDP("912834AW Govt","MTY_TYP")</f>
        <v>NORMAL</v>
      </c>
      <c r="G641" t="str">
        <f>_xll.BDP("912834AW Govt","CRNCY")</f>
        <v>USD</v>
      </c>
      <c r="H641" t="str">
        <f>_xll.BDP("912834AW Govt","COUNTRY_FULL_NAME")</f>
        <v>UNITED STATES</v>
      </c>
      <c r="I641" t="str">
        <f>_xll.BDP("912834AW Govt","FIRST_CPN_DT")</f>
        <v>#N/A Field Not Applicable</v>
      </c>
      <c r="J641" t="str">
        <f>_xll.BDP("912834AW Govt","COUPON_FREQUENCY_DESCRIPTION")</f>
        <v>#N/A Field Not Applicable</v>
      </c>
      <c r="K641" t="str">
        <f>_xll.BDP("912834AW Govt","CPN_TYP")</f>
        <v>ZERO</v>
      </c>
      <c r="L641" t="str">
        <f>_xll.BDP("912834AW Govt","ID_ISIN")</f>
        <v>US912834AW83</v>
      </c>
      <c r="N641">
        <v>0</v>
      </c>
      <c r="O641" t="str">
        <f>_xll.BDP("912834AW Govt","ISSUE_DT")</f>
        <v>3/2/2009</v>
      </c>
      <c r="P641" t="str">
        <f>_xll.BDP("912834AW Govt","SECURITY_NAME")</f>
        <v>S 0 08/31/14</v>
      </c>
      <c r="Q641" t="str">
        <f>_xll.BDP("912834AW Govt","DAY_CNT_DES")</f>
        <v>ACT/ACT</v>
      </c>
      <c r="R641">
        <v>100</v>
      </c>
      <c r="S641" t="str">
        <f>_xll.BDP("912834AW Govt","ID_CUSIP")</f>
        <v>912834AW8</v>
      </c>
      <c r="T641" t="str">
        <f>_xll.BDP("912834AW Govt","IDX_RATIO")</f>
        <v>#N/A Field Not Applicable</v>
      </c>
    </row>
    <row r="642" spans="1:20" x14ac:dyDescent="0.25">
      <c r="A642" t="s">
        <v>14</v>
      </c>
      <c r="B642" t="str">
        <f>_xll.BDP("912834AY Govt","TICKER")</f>
        <v>S</v>
      </c>
      <c r="C642">
        <f>_xll.BDP("912834AY Govt","CPN")</f>
        <v>0</v>
      </c>
      <c r="D642" t="str">
        <f>_xll.BDP("912834AY Govt","YLD_YTM_BID")</f>
        <v>#N/A N/A</v>
      </c>
      <c r="E642" t="str">
        <f>_xll.BDP("912834AY Govt","MATURITY")</f>
        <v>8/31/2015</v>
      </c>
      <c r="F642" t="str">
        <f>_xll.BDP("912834AY Govt","MTY_TYP")</f>
        <v>NORMAL</v>
      </c>
      <c r="G642" t="str">
        <f>_xll.BDP("912834AY Govt","CRNCY")</f>
        <v>USD</v>
      </c>
      <c r="H642" t="str">
        <f>_xll.BDP("912834AY Govt","COUNTRY_FULL_NAME")</f>
        <v>UNITED STATES</v>
      </c>
      <c r="I642" t="str">
        <f>_xll.BDP("912834AY Govt","FIRST_CPN_DT")</f>
        <v>#N/A Field Not Applicable</v>
      </c>
      <c r="J642" t="str">
        <f>_xll.BDP("912834AY Govt","COUPON_FREQUENCY_DESCRIPTION")</f>
        <v>#N/A Field Not Applicable</v>
      </c>
      <c r="K642" t="str">
        <f>_xll.BDP("912834AY Govt","CPN_TYP")</f>
        <v>ZERO</v>
      </c>
      <c r="L642" t="str">
        <f>_xll.BDP("912834AY Govt","ID_ISIN")</f>
        <v>US912834AY40</v>
      </c>
      <c r="N642">
        <v>0</v>
      </c>
      <c r="O642" t="str">
        <f>_xll.BDP("912834AY Govt","ISSUE_DT")</f>
        <v>3/2/2009</v>
      </c>
      <c r="P642" t="str">
        <f>_xll.BDP("912834AY Govt","SECURITY_NAME")</f>
        <v>S 0 08/31/15</v>
      </c>
      <c r="Q642" t="str">
        <f>_xll.BDP("912834AY Govt","DAY_CNT_DES")</f>
        <v>ACT/ACT</v>
      </c>
      <c r="R642">
        <v>100</v>
      </c>
      <c r="S642" t="str">
        <f>_xll.BDP("912834AY Govt","ID_CUSIP")</f>
        <v>912834AY4</v>
      </c>
      <c r="T642" t="str">
        <f>_xll.BDP("912834AY Govt","IDX_RATIO")</f>
        <v>#N/A Field Not Applicable</v>
      </c>
    </row>
    <row r="643" spans="1:20" x14ac:dyDescent="0.25">
      <c r="A643" t="s">
        <v>14</v>
      </c>
      <c r="B643" t="str">
        <f>_xll.BDP("912834BD Govt","TICKER")</f>
        <v>S</v>
      </c>
      <c r="C643">
        <f>_xll.BDP("912834BD Govt","CPN")</f>
        <v>0</v>
      </c>
      <c r="D643" t="str">
        <f>_xll.BDP("912834BD Govt","YLD_YTM_BID")</f>
        <v>#N/A N/A</v>
      </c>
      <c r="E643" t="str">
        <f>_xll.BDP("912834BD Govt","MATURITY")</f>
        <v>3/31/2014</v>
      </c>
      <c r="F643" t="str">
        <f>_xll.BDP("912834BD Govt","MTY_TYP")</f>
        <v>NORMAL</v>
      </c>
      <c r="G643" t="str">
        <f>_xll.BDP("912834BD Govt","CRNCY")</f>
        <v>USD</v>
      </c>
      <c r="H643" t="str">
        <f>_xll.BDP("912834BD Govt","COUNTRY_FULL_NAME")</f>
        <v>UNITED STATES</v>
      </c>
      <c r="I643" t="str">
        <f>_xll.BDP("912834BD Govt","FIRST_CPN_DT")</f>
        <v>#N/A Field Not Applicable</v>
      </c>
      <c r="J643" t="str">
        <f>_xll.BDP("912834BD Govt","COUPON_FREQUENCY_DESCRIPTION")</f>
        <v>#N/A Field Not Applicable</v>
      </c>
      <c r="K643" t="str">
        <f>_xll.BDP("912834BD Govt","CPN_TYP")</f>
        <v>ZERO</v>
      </c>
      <c r="L643" t="str">
        <f>_xll.BDP("912834BD Govt","ID_ISIN")</f>
        <v>US912834BD93</v>
      </c>
      <c r="N643">
        <v>0</v>
      </c>
      <c r="O643" t="str">
        <f>_xll.BDP("912834BD Govt","ISSUE_DT")</f>
        <v>3/31/2009</v>
      </c>
      <c r="P643" t="str">
        <f>_xll.BDP("912834BD Govt","SECURITY_NAME")</f>
        <v>S 0 03/31/14</v>
      </c>
      <c r="Q643" t="str">
        <f>_xll.BDP("912834BD Govt","DAY_CNT_DES")</f>
        <v>ACT/ACT</v>
      </c>
      <c r="R643">
        <v>100</v>
      </c>
      <c r="S643" t="str">
        <f>_xll.BDP("912834BD Govt","ID_CUSIP")</f>
        <v>912834BD9</v>
      </c>
      <c r="T643" t="str">
        <f>_xll.BDP("912834BD Govt","IDX_RATIO")</f>
        <v>#N/A Field Not Applicable</v>
      </c>
    </row>
    <row r="644" spans="1:20" x14ac:dyDescent="0.25">
      <c r="A644" t="s">
        <v>14</v>
      </c>
      <c r="B644" t="str">
        <f>_xll.BDP("912834EB Govt","TICKER")</f>
        <v>S</v>
      </c>
      <c r="C644">
        <f>_xll.BDP("912834EB Govt","CPN")</f>
        <v>0</v>
      </c>
      <c r="D644" t="str">
        <f>_xll.BDP("912834EB Govt","YLD_YTM_BID")</f>
        <v>#N/A N/A</v>
      </c>
      <c r="E644" t="str">
        <f>_xll.BDP("912834EB Govt","MATURITY")</f>
        <v>6/15/2012</v>
      </c>
      <c r="F644" t="str">
        <f>_xll.BDP("912834EB Govt","MTY_TYP")</f>
        <v>NORMAL</v>
      </c>
      <c r="G644" t="str">
        <f>_xll.BDP("912834EB Govt","CRNCY")</f>
        <v>USD</v>
      </c>
      <c r="H644" t="str">
        <f>_xll.BDP("912834EB Govt","COUNTRY_FULL_NAME")</f>
        <v>UNITED STATES</v>
      </c>
      <c r="I644" t="str">
        <f>_xll.BDP("912834EB Govt","FIRST_CPN_DT")</f>
        <v>#N/A Field Not Applicable</v>
      </c>
      <c r="J644" t="str">
        <f>_xll.BDP("912834EB Govt","COUPON_FREQUENCY_DESCRIPTION")</f>
        <v>#N/A Field Not Applicable</v>
      </c>
      <c r="K644" t="str">
        <f>_xll.BDP("912834EB Govt","CPN_TYP")</f>
        <v>ZERO</v>
      </c>
      <c r="L644" t="str">
        <f>_xll.BDP("912834EB Govt","ID_ISIN")</f>
        <v>US912834EB01</v>
      </c>
      <c r="N644">
        <v>0</v>
      </c>
      <c r="O644" t="str">
        <f>_xll.BDP("912834EB Govt","ISSUE_DT")</f>
        <v>6/15/2009</v>
      </c>
      <c r="P644" t="str">
        <f>_xll.BDP("912834EB Govt","SECURITY_NAME")</f>
        <v>S 0 06/15/12</v>
      </c>
      <c r="Q644" t="str">
        <f>_xll.BDP("912834EB Govt","DAY_CNT_DES")</f>
        <v>ACT/ACT</v>
      </c>
      <c r="R644">
        <v>100</v>
      </c>
      <c r="S644" t="str">
        <f>_xll.BDP("912834EB Govt","ID_CUSIP")</f>
        <v>912834EB0</v>
      </c>
      <c r="T644" t="str">
        <f>_xll.BDP("912834EB Govt","IDX_RATIO")</f>
        <v>#N/A Field Not Applicable</v>
      </c>
    </row>
    <row r="645" spans="1:20" x14ac:dyDescent="0.25">
      <c r="A645" t="s">
        <v>14</v>
      </c>
      <c r="B645" t="str">
        <f>_xll.BDP("912834ED Govt","TICKER")</f>
        <v>S</v>
      </c>
      <c r="C645">
        <f>_xll.BDP("912834ED Govt","CPN")</f>
        <v>0</v>
      </c>
      <c r="D645" t="str">
        <f>_xll.BDP("912834ED Govt","YLD_YTM_BID")</f>
        <v>#N/A N/A</v>
      </c>
      <c r="E645" t="str">
        <f>_xll.BDP("912834ED Govt","MATURITY")</f>
        <v>12/31/2014</v>
      </c>
      <c r="F645" t="str">
        <f>_xll.BDP("912834ED Govt","MTY_TYP")</f>
        <v>NORMAL</v>
      </c>
      <c r="G645" t="str">
        <f>_xll.BDP("912834ED Govt","CRNCY")</f>
        <v>USD</v>
      </c>
      <c r="H645" t="str">
        <f>_xll.BDP("912834ED Govt","COUNTRY_FULL_NAME")</f>
        <v>UNITED STATES</v>
      </c>
      <c r="I645" t="str">
        <f>_xll.BDP("912834ED Govt","FIRST_CPN_DT")</f>
        <v>#N/A Field Not Applicable</v>
      </c>
      <c r="J645" t="str">
        <f>_xll.BDP("912834ED Govt","COUPON_FREQUENCY_DESCRIPTION")</f>
        <v>#N/A Field Not Applicable</v>
      </c>
      <c r="K645" t="str">
        <f>_xll.BDP("912834ED Govt","CPN_TYP")</f>
        <v>ZERO</v>
      </c>
      <c r="L645" t="str">
        <f>_xll.BDP("912834ED Govt","ID_ISIN")</f>
        <v>US912834ED66</v>
      </c>
      <c r="N645">
        <v>0</v>
      </c>
      <c r="O645" t="str">
        <f>_xll.BDP("912834ED Govt","ISSUE_DT")</f>
        <v>6/30/2009</v>
      </c>
      <c r="P645" t="str">
        <f>_xll.BDP("912834ED Govt","SECURITY_NAME")</f>
        <v>S 0 12/31/14</v>
      </c>
      <c r="Q645" t="str">
        <f>_xll.BDP("912834ED Govt","DAY_CNT_DES")</f>
        <v>ACT/ACT</v>
      </c>
      <c r="R645">
        <v>100</v>
      </c>
      <c r="S645" t="str">
        <f>_xll.BDP("912834ED Govt","ID_CUSIP")</f>
        <v>912834ED6</v>
      </c>
      <c r="T645" t="str">
        <f>_xll.BDP("912834ED Govt","IDX_RATIO")</f>
        <v>#N/A Field Not Applicable</v>
      </c>
    </row>
    <row r="646" spans="1:20" x14ac:dyDescent="0.25">
      <c r="A646" t="s">
        <v>14</v>
      </c>
      <c r="B646" t="str">
        <f>_xll.BDP("912834JE Govt","TICKER")</f>
        <v>S</v>
      </c>
      <c r="C646">
        <f>_xll.BDP("912834JE Govt","CPN")</f>
        <v>0</v>
      </c>
      <c r="D646" t="str">
        <f>_xll.BDP("912834JE Govt","YLD_YTM_BID")</f>
        <v>#N/A N/A</v>
      </c>
      <c r="E646" t="str">
        <f>_xll.BDP("912834JE Govt","MATURITY")</f>
        <v>9/30/2017</v>
      </c>
      <c r="F646" t="str">
        <f>_xll.BDP("912834JE Govt","MTY_TYP")</f>
        <v>NORMAL</v>
      </c>
      <c r="G646" t="str">
        <f>_xll.BDP("912834JE Govt","CRNCY")</f>
        <v>USD</v>
      </c>
      <c r="H646" t="str">
        <f>_xll.BDP("912834JE Govt","COUNTRY_FULL_NAME")</f>
        <v>UNITED STATES</v>
      </c>
      <c r="I646" t="str">
        <f>_xll.BDP("912834JE Govt","FIRST_CPN_DT")</f>
        <v>#N/A Field Not Applicable</v>
      </c>
      <c r="J646" t="str">
        <f>_xll.BDP("912834JE Govt","COUPON_FREQUENCY_DESCRIPTION")</f>
        <v>#N/A Field Not Applicable</v>
      </c>
      <c r="K646" t="str">
        <f>_xll.BDP("912834JE Govt","CPN_TYP")</f>
        <v>ZERO</v>
      </c>
      <c r="L646" t="str">
        <f>_xll.BDP("912834JE Govt","ID_ISIN")</f>
        <v>US912834JE94</v>
      </c>
      <c r="N646">
        <v>0</v>
      </c>
      <c r="O646" t="str">
        <f>_xll.BDP("912834JE Govt","ISSUE_DT")</f>
        <v>9/30/2010</v>
      </c>
      <c r="P646" t="str">
        <f>_xll.BDP("912834JE Govt","SECURITY_NAME")</f>
        <v>S 0 09/30/17</v>
      </c>
      <c r="Q646" t="str">
        <f>_xll.BDP("912834JE Govt","DAY_CNT_DES")</f>
        <v>ACT/ACT</v>
      </c>
      <c r="R646">
        <v>100</v>
      </c>
      <c r="S646" t="str">
        <f>_xll.BDP("912834JE Govt","ID_CUSIP")</f>
        <v>912834JE9</v>
      </c>
      <c r="T646" t="str">
        <f>_xll.BDP("912834JE Govt","IDX_RATIO")</f>
        <v>#N/A Field Not Applicable</v>
      </c>
    </row>
    <row r="647" spans="1:20" x14ac:dyDescent="0.25">
      <c r="A647" t="s">
        <v>14</v>
      </c>
      <c r="B647" t="str">
        <f>_xll.BDP("912834JF Govt","TICKER")</f>
        <v>S</v>
      </c>
      <c r="C647">
        <f>_xll.BDP("912834JF Govt","CPN")</f>
        <v>0</v>
      </c>
      <c r="D647" t="str">
        <f>_xll.BDP("912834JF Govt","YLD_YTM_BID")</f>
        <v>#N/A N/A</v>
      </c>
      <c r="E647" t="str">
        <f>_xll.BDP("912834JF Govt","MATURITY")</f>
        <v>10/15/2013</v>
      </c>
      <c r="F647" t="str">
        <f>_xll.BDP("912834JF Govt","MTY_TYP")</f>
        <v>NORMAL</v>
      </c>
      <c r="G647" t="str">
        <f>_xll.BDP("912834JF Govt","CRNCY")</f>
        <v>USD</v>
      </c>
      <c r="H647" t="str">
        <f>_xll.BDP("912834JF Govt","COUNTRY_FULL_NAME")</f>
        <v>UNITED STATES</v>
      </c>
      <c r="I647" t="str">
        <f>_xll.BDP("912834JF Govt","FIRST_CPN_DT")</f>
        <v>#N/A Field Not Applicable</v>
      </c>
      <c r="J647" t="str">
        <f>_xll.BDP("912834JF Govt","COUPON_FREQUENCY_DESCRIPTION")</f>
        <v>#N/A Field Not Applicable</v>
      </c>
      <c r="K647" t="str">
        <f>_xll.BDP("912834JF Govt","CPN_TYP")</f>
        <v>ZERO</v>
      </c>
      <c r="L647" t="str">
        <f>_xll.BDP("912834JF Govt","ID_ISIN")</f>
        <v>US912834JF69</v>
      </c>
      <c r="N647">
        <v>0</v>
      </c>
      <c r="O647" t="str">
        <f>_xll.BDP("912834JF Govt","ISSUE_DT")</f>
        <v>10/15/2010</v>
      </c>
      <c r="P647" t="str">
        <f>_xll.BDP("912834JF Govt","SECURITY_NAME")</f>
        <v>S 0 10/15/13</v>
      </c>
      <c r="Q647" t="str">
        <f>_xll.BDP("912834JF Govt","DAY_CNT_DES")</f>
        <v>ACT/ACT</v>
      </c>
      <c r="R647">
        <v>100</v>
      </c>
      <c r="S647" t="str">
        <f>_xll.BDP("912834JF Govt","ID_CUSIP")</f>
        <v>912834JF6</v>
      </c>
      <c r="T647" t="str">
        <f>_xll.BDP("912834JF Govt","IDX_RATIO")</f>
        <v>#N/A Field Not Applicable</v>
      </c>
    </row>
    <row r="648" spans="1:20" x14ac:dyDescent="0.25">
      <c r="A648" t="s">
        <v>14</v>
      </c>
      <c r="B648" t="str">
        <f>_xll.BDP("9128332D Govt","TICKER")</f>
        <v>S</v>
      </c>
      <c r="C648">
        <f>_xll.BDP("9128332D Govt","CPN")</f>
        <v>0</v>
      </c>
      <c r="D648" t="str">
        <f>_xll.BDP("9128332D Govt","YLD_YTM_BID")</f>
        <v>#N/A N/A</v>
      </c>
      <c r="E648" t="str">
        <f>_xll.BDP("9128332D Govt","MATURITY")</f>
        <v>4/15/2009</v>
      </c>
      <c r="F648" t="str">
        <f>_xll.BDP("9128332D Govt","MTY_TYP")</f>
        <v>NORMAL</v>
      </c>
      <c r="G648" t="str">
        <f>_xll.BDP("9128332D Govt","CRNCY")</f>
        <v>USD</v>
      </c>
      <c r="H648" t="str">
        <f>_xll.BDP("9128332D Govt","COUNTRY_FULL_NAME")</f>
        <v>UNITED STATES</v>
      </c>
      <c r="I648" t="str">
        <f>_xll.BDP("9128332D Govt","FIRST_CPN_DT")</f>
        <v>#N/A Field Not Applicable</v>
      </c>
      <c r="J648" t="str">
        <f>_xll.BDP("9128332D Govt","COUPON_FREQUENCY_DESCRIPTION")</f>
        <v>#N/A Field Not Applicable</v>
      </c>
      <c r="K648" t="str">
        <f>_xll.BDP("9128332D Govt","CPN_TYP")</f>
        <v>ZERO</v>
      </c>
      <c r="L648" t="str">
        <f>_xll.BDP("9128332D Govt","ID_ISIN")</f>
        <v>US9128332D10</v>
      </c>
      <c r="N648">
        <v>0</v>
      </c>
      <c r="O648" t="str">
        <f>_xll.BDP("9128332D Govt","ISSUE_DT")</f>
        <v>4/15/2004</v>
      </c>
      <c r="P648" t="str">
        <f>_xll.BDP("9128332D Govt","SECURITY_NAME")</f>
        <v>S 0 04/15/09</v>
      </c>
      <c r="Q648" t="str">
        <f>_xll.BDP("9128332D Govt","DAY_CNT_DES")</f>
        <v>ACT/ACT</v>
      </c>
      <c r="R648">
        <v>100</v>
      </c>
      <c r="S648" t="str">
        <f>_xll.BDP("9128332D Govt","ID_CUSIP")</f>
        <v>9128332D1</v>
      </c>
      <c r="T648" t="str">
        <f>_xll.BDP("9128332D Govt","IDX_RATIO")</f>
        <v>#N/A Field Not Applicable</v>
      </c>
    </row>
    <row r="649" spans="1:20" x14ac:dyDescent="0.25">
      <c r="A649" t="s">
        <v>14</v>
      </c>
      <c r="B649" t="str">
        <f>_xll.BDP("9128335S Govt","TICKER")</f>
        <v>S</v>
      </c>
      <c r="C649">
        <f>_xll.BDP("9128335S Govt","CPN")</f>
        <v>0</v>
      </c>
      <c r="D649" t="str">
        <f>_xll.BDP("9128335S Govt","YLD_YTM_BID")</f>
        <v>#N/A N/A</v>
      </c>
      <c r="E649" t="str">
        <f>_xll.BDP("9128335S Govt","MATURITY")</f>
        <v>4/30/2008</v>
      </c>
      <c r="F649" t="str">
        <f>_xll.BDP("9128335S Govt","MTY_TYP")</f>
        <v>NORMAL</v>
      </c>
      <c r="G649" t="str">
        <f>_xll.BDP("9128335S Govt","CRNCY")</f>
        <v>USD</v>
      </c>
      <c r="H649" t="str">
        <f>_xll.BDP("9128335S Govt","COUNTRY_FULL_NAME")</f>
        <v>UNITED STATES</v>
      </c>
      <c r="I649" t="str">
        <f>_xll.BDP("9128335S Govt","FIRST_CPN_DT")</f>
        <v>#N/A Field Not Applicable</v>
      </c>
      <c r="J649" t="str">
        <f>_xll.BDP("9128335S Govt","COUPON_FREQUENCY_DESCRIPTION")</f>
        <v>#N/A Field Not Applicable</v>
      </c>
      <c r="K649" t="str">
        <f>_xll.BDP("9128335S Govt","CPN_TYP")</f>
        <v>ZERO</v>
      </c>
      <c r="L649" t="str">
        <f>_xll.BDP("9128335S Govt","ID_ISIN")</f>
        <v>US9128335S51</v>
      </c>
      <c r="N649">
        <v>0</v>
      </c>
      <c r="O649" t="str">
        <f>_xll.BDP("9128335S Govt","ISSUE_DT")</f>
        <v>5/1/2006</v>
      </c>
      <c r="P649" t="str">
        <f>_xll.BDP("9128335S Govt","SECURITY_NAME")</f>
        <v>S 0 04/30/08</v>
      </c>
      <c r="Q649" t="str">
        <f>_xll.BDP("9128335S Govt","DAY_CNT_DES")</f>
        <v>ACT/ACT</v>
      </c>
      <c r="R649">
        <v>100</v>
      </c>
      <c r="S649" t="str">
        <f>_xll.BDP("9128335S Govt","ID_CUSIP")</f>
        <v>9128335S5</v>
      </c>
      <c r="T649" t="str">
        <f>_xll.BDP("9128335S Govt","IDX_RATIO")</f>
        <v>#N/A Field Not Applicable</v>
      </c>
    </row>
    <row r="650" spans="1:20" x14ac:dyDescent="0.25">
      <c r="A650" t="s">
        <v>14</v>
      </c>
      <c r="B650" t="str">
        <f>_xll.BDP("9128335Z Govt","TICKER")</f>
        <v>S</v>
      </c>
      <c r="C650">
        <f>_xll.BDP("9128335Z Govt","CPN")</f>
        <v>0</v>
      </c>
      <c r="D650" t="str">
        <f>_xll.BDP("9128335Z Govt","YLD_YTM_BID")</f>
        <v>#N/A N/A</v>
      </c>
      <c r="E650" t="str">
        <f>_xll.BDP("9128335Z Govt","MATURITY")</f>
        <v>5/31/2008</v>
      </c>
      <c r="F650" t="str">
        <f>_xll.BDP("9128335Z Govt","MTY_TYP")</f>
        <v>NORMAL</v>
      </c>
      <c r="G650" t="str">
        <f>_xll.BDP("9128335Z Govt","CRNCY")</f>
        <v>USD</v>
      </c>
      <c r="H650" t="str">
        <f>_xll.BDP("9128335Z Govt","COUNTRY_FULL_NAME")</f>
        <v>UNITED STATES</v>
      </c>
      <c r="I650" t="str">
        <f>_xll.BDP("9128335Z Govt","FIRST_CPN_DT")</f>
        <v>#N/A Field Not Applicable</v>
      </c>
      <c r="J650" t="str">
        <f>_xll.BDP("9128335Z Govt","COUPON_FREQUENCY_DESCRIPTION")</f>
        <v>#N/A Field Not Applicable</v>
      </c>
      <c r="K650" t="str">
        <f>_xll.BDP("9128335Z Govt","CPN_TYP")</f>
        <v>ZERO</v>
      </c>
      <c r="L650" t="str">
        <f>_xll.BDP("9128335Z Govt","ID_ISIN")</f>
        <v>US9128335Z94</v>
      </c>
      <c r="N650">
        <v>0</v>
      </c>
      <c r="O650" t="str">
        <f>_xll.BDP("9128335Z Govt","ISSUE_DT")</f>
        <v>5/31/2006</v>
      </c>
      <c r="P650" t="str">
        <f>_xll.BDP("9128335Z Govt","SECURITY_NAME")</f>
        <v>S 0 05/31/08</v>
      </c>
      <c r="Q650" t="str">
        <f>_xll.BDP("9128335Z Govt","DAY_CNT_DES")</f>
        <v>ACT/ACT</v>
      </c>
      <c r="R650">
        <v>100</v>
      </c>
      <c r="S650" t="str">
        <f>_xll.BDP("9128335Z Govt","ID_CUSIP")</f>
        <v>9128335Z9</v>
      </c>
      <c r="T650" t="str">
        <f>_xll.BDP("9128335Z Govt","IDX_RATIO")</f>
        <v>#N/A Field Not Applicable</v>
      </c>
    </row>
    <row r="651" spans="1:20" x14ac:dyDescent="0.25">
      <c r="A651" t="s">
        <v>14</v>
      </c>
      <c r="B651" t="str">
        <f>_xll.BDP("9128337L Govt","TICKER")</f>
        <v>S</v>
      </c>
      <c r="C651">
        <f>_xll.BDP("9128337L Govt","CPN")</f>
        <v>0</v>
      </c>
      <c r="D651" t="str">
        <f>_xll.BDP("9128337L Govt","YLD_YTM_BID")</f>
        <v>#N/A N/A</v>
      </c>
      <c r="E651" t="str">
        <f>_xll.BDP("9128337L Govt","MATURITY")</f>
        <v>6/30/2012</v>
      </c>
      <c r="F651" t="str">
        <f>_xll.BDP("9128337L Govt","MTY_TYP")</f>
        <v>NORMAL</v>
      </c>
      <c r="G651" t="str">
        <f>_xll.BDP("9128337L Govt","CRNCY")</f>
        <v>USD</v>
      </c>
      <c r="H651" t="str">
        <f>_xll.BDP("9128337L Govt","COUNTRY_FULL_NAME")</f>
        <v>UNITED STATES</v>
      </c>
      <c r="I651" t="str">
        <f>_xll.BDP("9128337L Govt","FIRST_CPN_DT")</f>
        <v>#N/A Field Not Applicable</v>
      </c>
      <c r="J651" t="str">
        <f>_xll.BDP("9128337L Govt","COUPON_FREQUENCY_DESCRIPTION")</f>
        <v>#N/A Field Not Applicable</v>
      </c>
      <c r="K651" t="str">
        <f>_xll.BDP("9128337L Govt","CPN_TYP")</f>
        <v>ZERO</v>
      </c>
      <c r="L651" t="str">
        <f>_xll.BDP("9128337L Govt","ID_ISIN")</f>
        <v>US9128337L80</v>
      </c>
      <c r="N651">
        <v>0</v>
      </c>
      <c r="O651" t="str">
        <f>_xll.BDP("9128337L Govt","ISSUE_DT")</f>
        <v>7/2/2007</v>
      </c>
      <c r="P651" t="str">
        <f>_xll.BDP("9128337L Govt","SECURITY_NAME")</f>
        <v>S 0 06/30/12</v>
      </c>
      <c r="Q651" t="str">
        <f>_xll.BDP("9128337L Govt","DAY_CNT_DES")</f>
        <v>ACT/ACT</v>
      </c>
      <c r="R651">
        <v>100</v>
      </c>
      <c r="S651" t="str">
        <f>_xll.BDP("9128337L Govt","ID_CUSIP")</f>
        <v>9128337L8</v>
      </c>
      <c r="T651" t="str">
        <f>_xll.BDP("9128337L Govt","IDX_RATIO")</f>
        <v>#N/A Field Not Applicable</v>
      </c>
    </row>
    <row r="652" spans="1:20" x14ac:dyDescent="0.25">
      <c r="A652" t="s">
        <v>14</v>
      </c>
      <c r="B652" t="str">
        <f>_xll.BDP("912833A6 Govt","TICKER")</f>
        <v>S</v>
      </c>
      <c r="C652">
        <f>_xll.BDP("912833A6 Govt","CPN")</f>
        <v>0</v>
      </c>
      <c r="D652" t="str">
        <f>_xll.BDP("912833A6 Govt","YLD_YTM_BID")</f>
        <v>#N/A N/A</v>
      </c>
      <c r="E652" t="str">
        <f>_xll.BDP("912833A6 Govt","MATURITY")</f>
        <v>10/31/2005</v>
      </c>
      <c r="F652" t="str">
        <f>_xll.BDP("912833A6 Govt","MTY_TYP")</f>
        <v>NORMAL</v>
      </c>
      <c r="G652" t="str">
        <f>_xll.BDP("912833A6 Govt","CRNCY")</f>
        <v>USD</v>
      </c>
      <c r="H652" t="str">
        <f>_xll.BDP("912833A6 Govt","COUNTRY_FULL_NAME")</f>
        <v>UNITED STATES</v>
      </c>
      <c r="I652" t="str">
        <f>_xll.BDP("912833A6 Govt","FIRST_CPN_DT")</f>
        <v>#N/A Field Not Applicable</v>
      </c>
      <c r="J652" t="str">
        <f>_xll.BDP("912833A6 Govt","COUPON_FREQUENCY_DESCRIPTION")</f>
        <v>#N/A Field Not Applicable</v>
      </c>
      <c r="K652" t="str">
        <f>_xll.BDP("912833A6 Govt","CPN_TYP")</f>
        <v>ZERO</v>
      </c>
      <c r="L652" t="str">
        <f>_xll.BDP("912833A6 Govt","ID_ISIN")</f>
        <v>US912833A677</v>
      </c>
      <c r="N652">
        <v>0</v>
      </c>
      <c r="O652" t="str">
        <f>_xll.BDP("912833A6 Govt","ISSUE_DT")</f>
        <v>10/31/2003</v>
      </c>
      <c r="P652" t="str">
        <f>_xll.BDP("912833A6 Govt","SECURITY_NAME")</f>
        <v>S 0 10/31/05</v>
      </c>
      <c r="Q652" t="str">
        <f>_xll.BDP("912833A6 Govt","DAY_CNT_DES")</f>
        <v>ACT/ACT</v>
      </c>
      <c r="R652">
        <v>100</v>
      </c>
      <c r="S652" t="str">
        <f>_xll.BDP("912833A6 Govt","ID_CUSIP")</f>
        <v>912833A67</v>
      </c>
      <c r="T652" t="str">
        <f>_xll.BDP("912833A6 Govt","IDX_RATIO")</f>
        <v>#N/A Field Not Applicable</v>
      </c>
    </row>
    <row r="653" spans="1:20" x14ac:dyDescent="0.25">
      <c r="A653" t="s">
        <v>14</v>
      </c>
      <c r="B653" t="str">
        <f>_xll.BDP("912833A7 Govt","TICKER")</f>
        <v>S</v>
      </c>
      <c r="C653">
        <f>_xll.BDP("912833A7 Govt","CPN")</f>
        <v>0</v>
      </c>
      <c r="D653" t="str">
        <f>_xll.BDP("912833A7 Govt","YLD_YTM_BID")</f>
        <v>#N/A N/A</v>
      </c>
      <c r="E653" t="str">
        <f>_xll.BDP("912833A7 Govt","MATURITY")</f>
        <v>11/30/2005</v>
      </c>
      <c r="F653" t="str">
        <f>_xll.BDP("912833A7 Govt","MTY_TYP")</f>
        <v>NORMAL</v>
      </c>
      <c r="G653" t="str">
        <f>_xll.BDP("912833A7 Govt","CRNCY")</f>
        <v>USD</v>
      </c>
      <c r="H653" t="str">
        <f>_xll.BDP("912833A7 Govt","COUNTRY_FULL_NAME")</f>
        <v>UNITED STATES</v>
      </c>
      <c r="I653" t="str">
        <f>_xll.BDP("912833A7 Govt","FIRST_CPN_DT")</f>
        <v>#N/A Field Not Applicable</v>
      </c>
      <c r="J653" t="str">
        <f>_xll.BDP("912833A7 Govt","COUPON_FREQUENCY_DESCRIPTION")</f>
        <v>#N/A Field Not Applicable</v>
      </c>
      <c r="K653" t="str">
        <f>_xll.BDP("912833A7 Govt","CPN_TYP")</f>
        <v>ZERO</v>
      </c>
      <c r="L653" t="str">
        <f>_xll.BDP("912833A7 Govt","ID_ISIN")</f>
        <v>US912833A750</v>
      </c>
      <c r="N653">
        <v>0</v>
      </c>
      <c r="O653" t="str">
        <f>_xll.BDP("912833A7 Govt","ISSUE_DT")</f>
        <v>12/1/2003</v>
      </c>
      <c r="P653" t="str">
        <f>_xll.BDP("912833A7 Govt","SECURITY_NAME")</f>
        <v>S 0 11/30/05</v>
      </c>
      <c r="Q653" t="str">
        <f>_xll.BDP("912833A7 Govt","DAY_CNT_DES")</f>
        <v>ACT/ACT</v>
      </c>
      <c r="R653">
        <v>100</v>
      </c>
      <c r="S653" t="str">
        <f>_xll.BDP("912833A7 Govt","ID_CUSIP")</f>
        <v>912833A75</v>
      </c>
      <c r="T653" t="str">
        <f>_xll.BDP("912833A7 Govt","IDX_RATIO")</f>
        <v>#N/A Field Not Applicable</v>
      </c>
    </row>
    <row r="654" spans="1:20" x14ac:dyDescent="0.25">
      <c r="A654" t="s">
        <v>14</v>
      </c>
      <c r="B654" t="str">
        <f>_xll.BDP("912833B4 Govt","TICKER")</f>
        <v>S</v>
      </c>
      <c r="C654">
        <f>_xll.BDP("912833B4 Govt","CPN")</f>
        <v>0</v>
      </c>
      <c r="D654" t="str">
        <f>_xll.BDP("912833B4 Govt","YLD_YTM_BID")</f>
        <v>#N/A N/A</v>
      </c>
      <c r="E654" t="str">
        <f>_xll.BDP("912833B4 Govt","MATURITY")</f>
        <v>6/15/2006</v>
      </c>
      <c r="F654" t="str">
        <f>_xll.BDP("912833B4 Govt","MTY_TYP")</f>
        <v>NORMAL</v>
      </c>
      <c r="G654" t="str">
        <f>_xll.BDP("912833B4 Govt","CRNCY")</f>
        <v>USD</v>
      </c>
      <c r="H654" t="str">
        <f>_xll.BDP("912833B4 Govt","COUNTRY_FULL_NAME")</f>
        <v>UNITED STATES</v>
      </c>
      <c r="I654" t="str">
        <f>_xll.BDP("912833B4 Govt","FIRST_CPN_DT")</f>
        <v>#N/A Field Not Applicable</v>
      </c>
      <c r="J654" t="str">
        <f>_xll.BDP("912833B4 Govt","COUPON_FREQUENCY_DESCRIPTION")</f>
        <v>#N/A Field Not Applicable</v>
      </c>
      <c r="K654" t="str">
        <f>_xll.BDP("912833B4 Govt","CPN_TYP")</f>
        <v>ZERO</v>
      </c>
      <c r="L654" t="str">
        <f>_xll.BDP("912833B4 Govt","ID_ISIN")</f>
        <v>US912833B410</v>
      </c>
      <c r="N654">
        <v>0</v>
      </c>
      <c r="O654" t="str">
        <f>_xll.BDP("912833B4 Govt","ISSUE_DT")</f>
        <v>12/15/2003</v>
      </c>
      <c r="P654" t="str">
        <f>_xll.BDP("912833B4 Govt","SECURITY_NAME")</f>
        <v>S 0 06/15/06</v>
      </c>
      <c r="Q654" t="str">
        <f>_xll.BDP("912833B4 Govt","DAY_CNT_DES")</f>
        <v>ACT/ACT</v>
      </c>
      <c r="R654">
        <v>100</v>
      </c>
      <c r="S654" t="str">
        <f>_xll.BDP("912833B4 Govt","ID_CUSIP")</f>
        <v>912833B41</v>
      </c>
      <c r="T654" t="str">
        <f>_xll.BDP("912833B4 Govt","IDX_RATIO")</f>
        <v>#N/A Field Not Applicable</v>
      </c>
    </row>
    <row r="655" spans="1:20" x14ac:dyDescent="0.25">
      <c r="A655" t="s">
        <v>14</v>
      </c>
      <c r="B655" t="str">
        <f>_xll.BDP("912833CF Govt","TICKER")</f>
        <v>S</v>
      </c>
      <c r="C655">
        <f>_xll.BDP("912833CF Govt","CPN")</f>
        <v>0</v>
      </c>
      <c r="D655" t="str">
        <f>_xll.BDP("912833CF Govt","YLD_YTM_BID")</f>
        <v>#N/A N/A</v>
      </c>
      <c r="E655" t="str">
        <f>_xll.BDP("912833CF Govt","MATURITY")</f>
        <v>2/15/2002</v>
      </c>
      <c r="F655" t="str">
        <f>_xll.BDP("912833CF Govt","MTY_TYP")</f>
        <v>NORMAL</v>
      </c>
      <c r="G655" t="str">
        <f>_xll.BDP("912833CF Govt","CRNCY")</f>
        <v>USD</v>
      </c>
      <c r="H655" t="str">
        <f>_xll.BDP("912833CF Govt","COUNTRY_FULL_NAME")</f>
        <v>UNITED STATES</v>
      </c>
      <c r="I655" t="str">
        <f>_xll.BDP("912833CF Govt","FIRST_CPN_DT")</f>
        <v>#N/A Field Not Applicable</v>
      </c>
      <c r="J655" t="str">
        <f>_xll.BDP("912833CF Govt","COUPON_FREQUENCY_DESCRIPTION")</f>
        <v>#N/A Field Not Applicable</v>
      </c>
      <c r="K655" t="str">
        <f>_xll.BDP("912833CF Govt","CPN_TYP")</f>
        <v>ZERO</v>
      </c>
      <c r="L655" t="str">
        <f>_xll.BDP("912833CF Govt","ID_ISIN")</f>
        <v>US912833CF59</v>
      </c>
      <c r="N655">
        <v>0</v>
      </c>
      <c r="O655" t="str">
        <f>_xll.BDP("912833CF Govt","ISSUE_DT")</f>
        <v>2/15/1985</v>
      </c>
      <c r="P655" t="str">
        <f>_xll.BDP("912833CF Govt","SECURITY_NAME")</f>
        <v>S 0 02/15/02</v>
      </c>
      <c r="Q655" t="str">
        <f>_xll.BDP("912833CF Govt","DAY_CNT_DES")</f>
        <v>ACT/ACT</v>
      </c>
      <c r="R655">
        <v>100</v>
      </c>
      <c r="S655" t="str">
        <f>_xll.BDP("912833CF Govt","ID_CUSIP")</f>
        <v>912833CF5</v>
      </c>
      <c r="T655" t="str">
        <f>_xll.BDP("912833CF Govt","IDX_RATIO")</f>
        <v>#N/A Field Not Applicable</v>
      </c>
    </row>
    <row r="656" spans="1:20" x14ac:dyDescent="0.25">
      <c r="A656" t="s">
        <v>14</v>
      </c>
      <c r="B656" t="str">
        <f>_xll.BDP("912833CM Govt","TICKER")</f>
        <v>S</v>
      </c>
      <c r="C656">
        <f>_xll.BDP("912833CM Govt","CPN")</f>
        <v>0</v>
      </c>
      <c r="D656" t="str">
        <f>_xll.BDP("912833CM Govt","YLD_YTM_BID")</f>
        <v>#N/A N/A</v>
      </c>
      <c r="E656" t="str">
        <f>_xll.BDP("912833CM Govt","MATURITY")</f>
        <v>2/15/2005</v>
      </c>
      <c r="F656" t="str">
        <f>_xll.BDP("912833CM Govt","MTY_TYP")</f>
        <v>NORMAL</v>
      </c>
      <c r="G656" t="str">
        <f>_xll.BDP("912833CM Govt","CRNCY")</f>
        <v>USD</v>
      </c>
      <c r="H656" t="str">
        <f>_xll.BDP("912833CM Govt","COUNTRY_FULL_NAME")</f>
        <v>UNITED STATES</v>
      </c>
      <c r="I656" t="str">
        <f>_xll.BDP("912833CM Govt","FIRST_CPN_DT")</f>
        <v>#N/A Field Not Applicable</v>
      </c>
      <c r="J656" t="str">
        <f>_xll.BDP("912833CM Govt","COUPON_FREQUENCY_DESCRIPTION")</f>
        <v>#N/A Field Not Applicable</v>
      </c>
      <c r="K656" t="str">
        <f>_xll.BDP("912833CM Govt","CPN_TYP")</f>
        <v>ZERO</v>
      </c>
      <c r="L656" t="str">
        <f>_xll.BDP("912833CM Govt","ID_ISIN")</f>
        <v>US912833CM01</v>
      </c>
      <c r="N656">
        <v>0</v>
      </c>
      <c r="O656" t="str">
        <f>_xll.BDP("912833CM Govt","ISSUE_DT")</f>
        <v>2/15/1985</v>
      </c>
      <c r="P656" t="str">
        <f>_xll.BDP("912833CM Govt","SECURITY_NAME")</f>
        <v>S 0 02/15/05</v>
      </c>
      <c r="Q656" t="str">
        <f>_xll.BDP("912833CM Govt","DAY_CNT_DES")</f>
        <v>ACT/ACT</v>
      </c>
      <c r="R656">
        <v>100</v>
      </c>
      <c r="S656" t="str">
        <f>_xll.BDP("912833CM Govt","ID_CUSIP")</f>
        <v>912833CM0</v>
      </c>
      <c r="T656" t="str">
        <f>_xll.BDP("912833CM Govt","IDX_RATIO")</f>
        <v>#N/A Field Not Applicable</v>
      </c>
    </row>
    <row r="657" spans="1:20" x14ac:dyDescent="0.25">
      <c r="A657" t="s">
        <v>14</v>
      </c>
      <c r="B657" t="str">
        <f>_xll.BDP("912833CT Govt","TICKER")</f>
        <v>S</v>
      </c>
      <c r="C657">
        <f>_xll.BDP("912833CT Govt","CPN")</f>
        <v>0</v>
      </c>
      <c r="D657" t="str">
        <f>_xll.BDP("912833CT Govt","YLD_YTM_BID")</f>
        <v>#N/A N/A</v>
      </c>
      <c r="E657" t="str">
        <f>_xll.BDP("912833CT Govt","MATURITY")</f>
        <v>2/15/2008</v>
      </c>
      <c r="F657" t="str">
        <f>_xll.BDP("912833CT Govt","MTY_TYP")</f>
        <v>NORMAL</v>
      </c>
      <c r="G657" t="str">
        <f>_xll.BDP("912833CT Govt","CRNCY")</f>
        <v>USD</v>
      </c>
      <c r="H657" t="str">
        <f>_xll.BDP("912833CT Govt","COUNTRY_FULL_NAME")</f>
        <v>UNITED STATES</v>
      </c>
      <c r="I657" t="str">
        <f>_xll.BDP("912833CT Govt","FIRST_CPN_DT")</f>
        <v>#N/A Field Not Applicable</v>
      </c>
      <c r="J657" t="str">
        <f>_xll.BDP("912833CT Govt","COUPON_FREQUENCY_DESCRIPTION")</f>
        <v>#N/A Field Not Applicable</v>
      </c>
      <c r="K657" t="str">
        <f>_xll.BDP("912833CT Govt","CPN_TYP")</f>
        <v>ZERO</v>
      </c>
      <c r="L657" t="str">
        <f>_xll.BDP("912833CT Govt","ID_ISIN")</f>
        <v>US912833CT53</v>
      </c>
      <c r="N657">
        <v>0</v>
      </c>
      <c r="O657" t="str">
        <f>_xll.BDP("912833CT Govt","ISSUE_DT")</f>
        <v>2/15/1985</v>
      </c>
      <c r="P657" t="str">
        <f>_xll.BDP("912833CT Govt","SECURITY_NAME")</f>
        <v>S 0 02/15/08</v>
      </c>
      <c r="Q657" t="str">
        <f>_xll.BDP("912833CT Govt","DAY_CNT_DES")</f>
        <v>ACT/ACT</v>
      </c>
      <c r="R657">
        <v>100</v>
      </c>
      <c r="S657" t="str">
        <f>_xll.BDP("912833CT Govt","ID_CUSIP")</f>
        <v>912833CT5</v>
      </c>
      <c r="T657" t="str">
        <f>_xll.BDP("912833CT Govt","IDX_RATIO")</f>
        <v>#N/A Field Not Applicable</v>
      </c>
    </row>
    <row r="658" spans="1:20" x14ac:dyDescent="0.25">
      <c r="A658" t="s">
        <v>14</v>
      </c>
      <c r="B658" t="str">
        <f>_xll.BDP("912833CV Govt","TICKER")</f>
        <v>S</v>
      </c>
      <c r="C658">
        <f>_xll.BDP("912833CV Govt","CPN")</f>
        <v>0</v>
      </c>
      <c r="D658" t="str">
        <f>_xll.BDP("912833CV Govt","YLD_YTM_BID")</f>
        <v>#N/A N/A</v>
      </c>
      <c r="E658" t="str">
        <f>_xll.BDP("912833CV Govt","MATURITY")</f>
        <v>2/15/2009</v>
      </c>
      <c r="F658" t="str">
        <f>_xll.BDP("912833CV Govt","MTY_TYP")</f>
        <v>NORMAL</v>
      </c>
      <c r="G658" t="str">
        <f>_xll.BDP("912833CV Govt","CRNCY")</f>
        <v>USD</v>
      </c>
      <c r="H658" t="str">
        <f>_xll.BDP("912833CV Govt","COUNTRY_FULL_NAME")</f>
        <v>UNITED STATES</v>
      </c>
      <c r="I658" t="str">
        <f>_xll.BDP("912833CV Govt","FIRST_CPN_DT")</f>
        <v>#N/A Field Not Applicable</v>
      </c>
      <c r="J658" t="str">
        <f>_xll.BDP("912833CV Govt","COUPON_FREQUENCY_DESCRIPTION")</f>
        <v>#N/A Field Not Applicable</v>
      </c>
      <c r="K658" t="str">
        <f>_xll.BDP("912833CV Govt","CPN_TYP")</f>
        <v>ZERO</v>
      </c>
      <c r="L658" t="str">
        <f>_xll.BDP("912833CV Govt","ID_ISIN")</f>
        <v>US912833CV00</v>
      </c>
      <c r="N658">
        <v>0</v>
      </c>
      <c r="O658" t="str">
        <f>_xll.BDP("912833CV Govt","ISSUE_DT")</f>
        <v>2/15/1985</v>
      </c>
      <c r="P658" t="str">
        <f>_xll.BDP("912833CV Govt","SECURITY_NAME")</f>
        <v>S 0 02/15/09</v>
      </c>
      <c r="Q658" t="str">
        <f>_xll.BDP("912833CV Govt","DAY_CNT_DES")</f>
        <v>ACT/ACT</v>
      </c>
      <c r="R658">
        <v>100</v>
      </c>
      <c r="S658" t="str">
        <f>_xll.BDP("912833CV Govt","ID_CUSIP")</f>
        <v>912833CV0</v>
      </c>
      <c r="T658" t="str">
        <f>_xll.BDP("912833CV Govt","IDX_RATIO")</f>
        <v>#N/A Field Not Applicable</v>
      </c>
    </row>
    <row r="659" spans="1:20" x14ac:dyDescent="0.25">
      <c r="A659" t="s">
        <v>14</v>
      </c>
      <c r="B659" t="str">
        <f>_xll.BDP("912833DD Govt","TICKER")</f>
        <v>S</v>
      </c>
      <c r="C659">
        <f>_xll.BDP("912833DD Govt","CPN")</f>
        <v>0</v>
      </c>
      <c r="D659" t="str">
        <f>_xll.BDP("912833DD Govt","YLD_YTM_BID")</f>
        <v>#N/A N/A</v>
      </c>
      <c r="E659" t="str">
        <f>_xll.BDP("912833DD Govt","MATURITY")</f>
        <v>2/15/2013</v>
      </c>
      <c r="F659" t="str">
        <f>_xll.BDP("912833DD Govt","MTY_TYP")</f>
        <v>NORMAL</v>
      </c>
      <c r="G659" t="str">
        <f>_xll.BDP("912833DD Govt","CRNCY")</f>
        <v>USD</v>
      </c>
      <c r="H659" t="str">
        <f>_xll.BDP("912833DD Govt","COUNTRY_FULL_NAME")</f>
        <v>UNITED STATES</v>
      </c>
      <c r="I659" t="str">
        <f>_xll.BDP("912833DD Govt","FIRST_CPN_DT")</f>
        <v>#N/A Field Not Applicable</v>
      </c>
      <c r="J659" t="str">
        <f>_xll.BDP("912833DD Govt","COUPON_FREQUENCY_DESCRIPTION")</f>
        <v>#N/A Field Not Applicable</v>
      </c>
      <c r="K659" t="str">
        <f>_xll.BDP("912833DD Govt","CPN_TYP")</f>
        <v>ZERO</v>
      </c>
      <c r="L659" t="str">
        <f>_xll.BDP("912833DD Govt","ID_ISIN")</f>
        <v>US912833DD92</v>
      </c>
      <c r="N659">
        <v>0</v>
      </c>
      <c r="O659" t="str">
        <f>_xll.BDP("912833DD Govt","ISSUE_DT")</f>
        <v>2/15/1985</v>
      </c>
      <c r="P659" t="str">
        <f>_xll.BDP("912833DD Govt","SECURITY_NAME")</f>
        <v>S 0 02/15/13</v>
      </c>
      <c r="Q659" t="str">
        <f>_xll.BDP("912833DD Govt","DAY_CNT_DES")</f>
        <v>ACT/ACT</v>
      </c>
      <c r="R659">
        <v>100</v>
      </c>
      <c r="S659" t="str">
        <f>_xll.BDP("912833DD Govt","ID_CUSIP")</f>
        <v>912833DD9</v>
      </c>
      <c r="T659" t="str">
        <f>_xll.BDP("912833DD Govt","IDX_RATIO")</f>
        <v>#N/A Field Not Applicable</v>
      </c>
    </row>
    <row r="660" spans="1:20" x14ac:dyDescent="0.25">
      <c r="A660" t="s">
        <v>14</v>
      </c>
      <c r="B660" t="str">
        <f>_xll.BDP("912833DF Govt","TICKER")</f>
        <v>S</v>
      </c>
      <c r="C660">
        <f>_xll.BDP("912833DF Govt","CPN")</f>
        <v>0</v>
      </c>
      <c r="D660" t="str">
        <f>_xll.BDP("912833DF Govt","YLD_YTM_BID")</f>
        <v>#N/A N/A</v>
      </c>
      <c r="E660" t="str">
        <f>_xll.BDP("912833DF Govt","MATURITY")</f>
        <v>2/15/2014</v>
      </c>
      <c r="F660" t="str">
        <f>_xll.BDP("912833DF Govt","MTY_TYP")</f>
        <v>NORMAL</v>
      </c>
      <c r="G660" t="str">
        <f>_xll.BDP("912833DF Govt","CRNCY")</f>
        <v>USD</v>
      </c>
      <c r="H660" t="str">
        <f>_xll.BDP("912833DF Govt","COUNTRY_FULL_NAME")</f>
        <v>UNITED STATES</v>
      </c>
      <c r="I660" t="str">
        <f>_xll.BDP("912833DF Govt","FIRST_CPN_DT")</f>
        <v>#N/A Field Not Applicable</v>
      </c>
      <c r="J660" t="str">
        <f>_xll.BDP("912833DF Govt","COUPON_FREQUENCY_DESCRIPTION")</f>
        <v>#N/A Field Not Applicable</v>
      </c>
      <c r="K660" t="str">
        <f>_xll.BDP("912833DF Govt","CPN_TYP")</f>
        <v>ZERO</v>
      </c>
      <c r="L660" t="str">
        <f>_xll.BDP("912833DF Govt","ID_ISIN")</f>
        <v>US912833DF41</v>
      </c>
      <c r="N660">
        <v>0</v>
      </c>
      <c r="O660" t="str">
        <f>_xll.BDP("912833DF Govt","ISSUE_DT")</f>
        <v>2/15/1985</v>
      </c>
      <c r="P660" t="str">
        <f>_xll.BDP("912833DF Govt","SECURITY_NAME")</f>
        <v>S 0 02/15/14</v>
      </c>
      <c r="Q660" t="str">
        <f>_xll.BDP("912833DF Govt","DAY_CNT_DES")</f>
        <v>ACT/ACT</v>
      </c>
      <c r="R660">
        <v>100</v>
      </c>
      <c r="S660" t="str">
        <f>_xll.BDP("912833DF Govt","ID_CUSIP")</f>
        <v>912833DF4</v>
      </c>
      <c r="T660" t="str">
        <f>_xll.BDP("912833DF Govt","IDX_RATIO")</f>
        <v>#N/A Field Not Applicable</v>
      </c>
    </row>
    <row r="661" spans="1:20" x14ac:dyDescent="0.25">
      <c r="A661" t="s">
        <v>14</v>
      </c>
      <c r="B661" t="str">
        <f>_xll.BDP("912833FG Govt","TICKER")</f>
        <v>S</v>
      </c>
      <c r="C661">
        <f>_xll.BDP("912833FG Govt","CPN")</f>
        <v>0</v>
      </c>
      <c r="D661" t="str">
        <f>_xll.BDP("912833FG Govt","YLD_YTM_BID")</f>
        <v>#N/A N/A</v>
      </c>
      <c r="E661" t="str">
        <f>_xll.BDP("912833FG Govt","MATURITY")</f>
        <v>5/15/1998</v>
      </c>
      <c r="F661" t="str">
        <f>_xll.BDP("912833FG Govt","MTY_TYP")</f>
        <v>NORMAL</v>
      </c>
      <c r="G661" t="str">
        <f>_xll.BDP("912833FG Govt","CRNCY")</f>
        <v>USD</v>
      </c>
      <c r="H661" t="str">
        <f>_xll.BDP("912833FG Govt","COUNTRY_FULL_NAME")</f>
        <v>UNITED STATES</v>
      </c>
      <c r="I661" t="str">
        <f>_xll.BDP("912833FG Govt","FIRST_CPN_DT")</f>
        <v>#N/A Field Not Applicable</v>
      </c>
      <c r="J661" t="str">
        <f>_xll.BDP("912833FG Govt","COUPON_FREQUENCY_DESCRIPTION")</f>
        <v>#N/A Field Not Applicable</v>
      </c>
      <c r="K661" t="str">
        <f>_xll.BDP("912833FG Govt","CPN_TYP")</f>
        <v>ZERO</v>
      </c>
      <c r="L661" t="str">
        <f>_xll.BDP("912833FG Govt","ID_ISIN")</f>
        <v>US912833FG06</v>
      </c>
      <c r="N661">
        <v>0</v>
      </c>
      <c r="O661" t="str">
        <f>_xll.BDP("912833FG Govt","ISSUE_DT")</f>
        <v>11/15/1984</v>
      </c>
      <c r="P661" t="str">
        <f>_xll.BDP("912833FG Govt","SECURITY_NAME")</f>
        <v>S 0 05/15/98</v>
      </c>
      <c r="Q661" t="str">
        <f>_xll.BDP("912833FG Govt","DAY_CNT_DES")</f>
        <v>ACT/ACT</v>
      </c>
      <c r="R661">
        <v>100</v>
      </c>
      <c r="S661" t="str">
        <f>_xll.BDP("912833FG Govt","ID_CUSIP")</f>
        <v>912833FG0</v>
      </c>
      <c r="T661" t="str">
        <f>_xll.BDP("912833FG Govt","IDX_RATIO")</f>
        <v>#N/A Field Not Applicable</v>
      </c>
    </row>
    <row r="662" spans="1:20" x14ac:dyDescent="0.25">
      <c r="A662" t="s">
        <v>14</v>
      </c>
      <c r="B662" t="str">
        <f>_xll.BDP("912833FK Govt","TICKER")</f>
        <v>S</v>
      </c>
      <c r="C662">
        <f>_xll.BDP("912833FK Govt","CPN")</f>
        <v>0</v>
      </c>
      <c r="D662" t="str">
        <f>_xll.BDP("912833FK Govt","YLD_YTM_BID")</f>
        <v>#N/A N/A</v>
      </c>
      <c r="E662" t="str">
        <f>_xll.BDP("912833FK Govt","MATURITY")</f>
        <v>11/15/1999</v>
      </c>
      <c r="F662" t="str">
        <f>_xll.BDP("912833FK Govt","MTY_TYP")</f>
        <v>NORMAL</v>
      </c>
      <c r="G662" t="str">
        <f>_xll.BDP("912833FK Govt","CRNCY")</f>
        <v>USD</v>
      </c>
      <c r="H662" t="str">
        <f>_xll.BDP("912833FK Govt","COUNTRY_FULL_NAME")</f>
        <v>UNITED STATES</v>
      </c>
      <c r="I662" t="str">
        <f>_xll.BDP("912833FK Govt","FIRST_CPN_DT")</f>
        <v>#N/A Field Not Applicable</v>
      </c>
      <c r="J662" t="str">
        <f>_xll.BDP("912833FK Govt","COUPON_FREQUENCY_DESCRIPTION")</f>
        <v>#N/A Field Not Applicable</v>
      </c>
      <c r="K662" t="str">
        <f>_xll.BDP("912833FK Govt","CPN_TYP")</f>
        <v>ZERO</v>
      </c>
      <c r="L662" t="str">
        <f>_xll.BDP("912833FK Govt","ID_ISIN")</f>
        <v>US912833FK18</v>
      </c>
      <c r="N662">
        <v>0</v>
      </c>
      <c r="O662" t="str">
        <f>_xll.BDP("912833FK Govt","ISSUE_DT")</f>
        <v>11/15/1984</v>
      </c>
      <c r="P662" t="str">
        <f>_xll.BDP("912833FK Govt","SECURITY_NAME")</f>
        <v>S 0 11/15/99</v>
      </c>
      <c r="Q662" t="str">
        <f>_xll.BDP("912833FK Govt","DAY_CNT_DES")</f>
        <v>ACT/ACT</v>
      </c>
      <c r="R662">
        <v>100</v>
      </c>
      <c r="S662" t="str">
        <f>_xll.BDP("912833FK Govt","ID_CUSIP")</f>
        <v>912833FK1</v>
      </c>
      <c r="T662" t="str">
        <f>_xll.BDP("912833FK Govt","IDX_RATIO")</f>
        <v>#N/A Field Not Applicable</v>
      </c>
    </row>
    <row r="663" spans="1:20" x14ac:dyDescent="0.25">
      <c r="A663" t="s">
        <v>14</v>
      </c>
      <c r="B663" t="str">
        <f>_xll.BDP("912833FL Govt","TICKER")</f>
        <v>S</v>
      </c>
      <c r="C663">
        <f>_xll.BDP("912833FL Govt","CPN")</f>
        <v>0</v>
      </c>
      <c r="D663" t="str">
        <f>_xll.BDP("912833FL Govt","YLD_YTM_BID")</f>
        <v>#N/A N/A</v>
      </c>
      <c r="E663" t="str">
        <f>_xll.BDP("912833FL Govt","MATURITY")</f>
        <v>5/15/2000</v>
      </c>
      <c r="F663" t="str">
        <f>_xll.BDP("912833FL Govt","MTY_TYP")</f>
        <v>NORMAL</v>
      </c>
      <c r="G663" t="str">
        <f>_xll.BDP("912833FL Govt","CRNCY")</f>
        <v>USD</v>
      </c>
      <c r="H663" t="str">
        <f>_xll.BDP("912833FL Govt","COUNTRY_FULL_NAME")</f>
        <v>UNITED STATES</v>
      </c>
      <c r="I663" t="str">
        <f>_xll.BDP("912833FL Govt","FIRST_CPN_DT")</f>
        <v>#N/A Field Not Applicable</v>
      </c>
      <c r="J663" t="str">
        <f>_xll.BDP("912833FL Govt","COUPON_FREQUENCY_DESCRIPTION")</f>
        <v>#N/A Field Not Applicable</v>
      </c>
      <c r="K663" t="str">
        <f>_xll.BDP("912833FL Govt","CPN_TYP")</f>
        <v>ZERO</v>
      </c>
      <c r="L663" t="str">
        <f>_xll.BDP("912833FL Govt","ID_ISIN")</f>
        <v>US912833FL90</v>
      </c>
      <c r="N663">
        <v>0</v>
      </c>
      <c r="O663" t="str">
        <f>_xll.BDP("912833FL Govt","ISSUE_DT")</f>
        <v>11/15/1984</v>
      </c>
      <c r="P663" t="str">
        <f>_xll.BDP("912833FL Govt","SECURITY_NAME")</f>
        <v>S 0 05/15/00</v>
      </c>
      <c r="Q663" t="str">
        <f>_xll.BDP("912833FL Govt","DAY_CNT_DES")</f>
        <v>ACT/ACT</v>
      </c>
      <c r="R663">
        <v>100</v>
      </c>
      <c r="S663" t="str">
        <f>_xll.BDP("912833FL Govt","ID_CUSIP")</f>
        <v>912833FL9</v>
      </c>
      <c r="T663" t="str">
        <f>_xll.BDP("912833FL Govt","IDX_RATIO")</f>
        <v>#N/A Field Not Applicable</v>
      </c>
    </row>
    <row r="664" spans="1:20" x14ac:dyDescent="0.25">
      <c r="A664" t="s">
        <v>14</v>
      </c>
      <c r="B664" t="str">
        <f>_xll.BDP("912833FP Govt","TICKER")</f>
        <v>S</v>
      </c>
      <c r="C664">
        <f>_xll.BDP("912833FP Govt","CPN")</f>
        <v>0</v>
      </c>
      <c r="D664" t="str">
        <f>_xll.BDP("912833FP Govt","YLD_YTM_BID")</f>
        <v>#N/A N/A</v>
      </c>
      <c r="E664" t="str">
        <f>_xll.BDP("912833FP Govt","MATURITY")</f>
        <v>11/15/2001</v>
      </c>
      <c r="F664" t="str">
        <f>_xll.BDP("912833FP Govt","MTY_TYP")</f>
        <v>NORMAL</v>
      </c>
      <c r="G664" t="str">
        <f>_xll.BDP("912833FP Govt","CRNCY")</f>
        <v>USD</v>
      </c>
      <c r="H664" t="str">
        <f>_xll.BDP("912833FP Govt","COUNTRY_FULL_NAME")</f>
        <v>UNITED STATES</v>
      </c>
      <c r="I664" t="str">
        <f>_xll.BDP("912833FP Govt","FIRST_CPN_DT")</f>
        <v>#N/A Field Not Applicable</v>
      </c>
      <c r="J664" t="str">
        <f>_xll.BDP("912833FP Govt","COUPON_FREQUENCY_DESCRIPTION")</f>
        <v>#N/A Field Not Applicable</v>
      </c>
      <c r="K664" t="str">
        <f>_xll.BDP("912833FP Govt","CPN_TYP")</f>
        <v>ZERO</v>
      </c>
      <c r="L664" t="str">
        <f>_xll.BDP("912833FP Govt","ID_ISIN")</f>
        <v>US912833FP05</v>
      </c>
      <c r="N664">
        <v>0</v>
      </c>
      <c r="O664" t="str">
        <f>_xll.BDP("912833FP Govt","ISSUE_DT")</f>
        <v>11/15/1984</v>
      </c>
      <c r="P664" t="str">
        <f>_xll.BDP("912833FP Govt","SECURITY_NAME")</f>
        <v>S 0 11/15/01</v>
      </c>
      <c r="Q664" t="str">
        <f>_xll.BDP("912833FP Govt","DAY_CNT_DES")</f>
        <v>ACT/ACT</v>
      </c>
      <c r="R664">
        <v>100</v>
      </c>
      <c r="S664" t="str">
        <f>_xll.BDP("912833FP Govt","ID_CUSIP")</f>
        <v>912833FP0</v>
      </c>
      <c r="T664" t="str">
        <f>_xll.BDP("912833FP Govt","IDX_RATIO")</f>
        <v>#N/A Field Not Applicable</v>
      </c>
    </row>
    <row r="665" spans="1:20" x14ac:dyDescent="0.25">
      <c r="A665" t="s">
        <v>14</v>
      </c>
      <c r="B665" t="str">
        <f>_xll.BDP("912833FY Govt","TICKER")</f>
        <v>S</v>
      </c>
      <c r="C665">
        <f>_xll.BDP("912833FY Govt","CPN")</f>
        <v>0</v>
      </c>
      <c r="D665" t="str">
        <f>_xll.BDP("912833FY Govt","YLD_YTM_BID")</f>
        <v>#N/A N/A</v>
      </c>
      <c r="E665" t="str">
        <f>_xll.BDP("912833FY Govt","MATURITY")</f>
        <v>5/15/2006</v>
      </c>
      <c r="F665" t="str">
        <f>_xll.BDP("912833FY Govt","MTY_TYP")</f>
        <v>NORMAL</v>
      </c>
      <c r="G665" t="str">
        <f>_xll.BDP("912833FY Govt","CRNCY")</f>
        <v>USD</v>
      </c>
      <c r="H665" t="str">
        <f>_xll.BDP("912833FY Govt","COUNTRY_FULL_NAME")</f>
        <v>UNITED STATES</v>
      </c>
      <c r="I665" t="str">
        <f>_xll.BDP("912833FY Govt","FIRST_CPN_DT")</f>
        <v>#N/A Field Not Applicable</v>
      </c>
      <c r="J665" t="str">
        <f>_xll.BDP("912833FY Govt","COUPON_FREQUENCY_DESCRIPTION")</f>
        <v>#N/A Field Not Applicable</v>
      </c>
      <c r="K665" t="str">
        <f>_xll.BDP("912833FY Govt","CPN_TYP")</f>
        <v>ZERO</v>
      </c>
      <c r="L665" t="str">
        <f>_xll.BDP("912833FY Govt","ID_ISIN")</f>
        <v>US912833FY12</v>
      </c>
      <c r="N665">
        <v>0</v>
      </c>
      <c r="O665" t="str">
        <f>_xll.BDP("912833FY Govt","ISSUE_DT")</f>
        <v>11/15/1984</v>
      </c>
      <c r="P665" t="str">
        <f>_xll.BDP("912833FY Govt","SECURITY_NAME")</f>
        <v>S 0 05/15/06</v>
      </c>
      <c r="Q665" t="str">
        <f>_xll.BDP("912833FY Govt","DAY_CNT_DES")</f>
        <v>ACT/ACT</v>
      </c>
      <c r="R665">
        <v>100</v>
      </c>
      <c r="S665" t="str">
        <f>_xll.BDP("912833FY Govt","ID_CUSIP")</f>
        <v>912833FY1</v>
      </c>
      <c r="T665" t="str">
        <f>_xll.BDP("912833FY Govt","IDX_RATIO")</f>
        <v>#N/A Field Not Applicable</v>
      </c>
    </row>
    <row r="666" spans="1:20" x14ac:dyDescent="0.25">
      <c r="A666" t="s">
        <v>14</v>
      </c>
      <c r="B666" t="str">
        <f>_xll.BDP("912833GB Govt","TICKER")</f>
        <v>S</v>
      </c>
      <c r="C666">
        <f>_xll.BDP("912833GB Govt","CPN")</f>
        <v>0</v>
      </c>
      <c r="D666" t="str">
        <f>_xll.BDP("912833GB Govt","YLD_YTM_BID")</f>
        <v>#N/A N/A</v>
      </c>
      <c r="E666" t="str">
        <f>_xll.BDP("912833GB Govt","MATURITY")</f>
        <v>11/15/2007</v>
      </c>
      <c r="F666" t="str">
        <f>_xll.BDP("912833GB Govt","MTY_TYP")</f>
        <v>NORMAL</v>
      </c>
      <c r="G666" t="str">
        <f>_xll.BDP("912833GB Govt","CRNCY")</f>
        <v>USD</v>
      </c>
      <c r="H666" t="str">
        <f>_xll.BDP("912833GB Govt","COUNTRY_FULL_NAME")</f>
        <v>UNITED STATES</v>
      </c>
      <c r="I666" t="str">
        <f>_xll.BDP("912833GB Govt","FIRST_CPN_DT")</f>
        <v>#N/A Field Not Applicable</v>
      </c>
      <c r="J666" t="str">
        <f>_xll.BDP("912833GB Govt","COUPON_FREQUENCY_DESCRIPTION")</f>
        <v>#N/A Field Not Applicable</v>
      </c>
      <c r="K666" t="str">
        <f>_xll.BDP("912833GB Govt","CPN_TYP")</f>
        <v>ZERO</v>
      </c>
      <c r="L666" t="str">
        <f>_xll.BDP("912833GB Govt","ID_ISIN")</f>
        <v>US912833GB00</v>
      </c>
      <c r="N666">
        <v>0</v>
      </c>
      <c r="O666" t="str">
        <f>_xll.BDP("912833GB Govt","ISSUE_DT")</f>
        <v>11/15/1984</v>
      </c>
      <c r="P666" t="str">
        <f>_xll.BDP("912833GB Govt","SECURITY_NAME")</f>
        <v>S 0 11/15/07</v>
      </c>
      <c r="Q666" t="str">
        <f>_xll.BDP("912833GB Govt","DAY_CNT_DES")</f>
        <v>ACT/ACT</v>
      </c>
      <c r="R666">
        <v>100</v>
      </c>
      <c r="S666" t="str">
        <f>_xll.BDP("912833GB Govt","ID_CUSIP")</f>
        <v>912833GB0</v>
      </c>
      <c r="T666" t="str">
        <f>_xll.BDP("912833GB Govt","IDX_RATIO")</f>
        <v>#N/A Field Not Applicable</v>
      </c>
    </row>
    <row r="667" spans="1:20" x14ac:dyDescent="0.25">
      <c r="A667" t="s">
        <v>14</v>
      </c>
      <c r="B667" t="str">
        <f>_xll.BDP("912833GF Govt","TICKER")</f>
        <v>S</v>
      </c>
      <c r="C667">
        <f>_xll.BDP("912833GF Govt","CPN")</f>
        <v>0</v>
      </c>
      <c r="D667" t="str">
        <f>_xll.BDP("912833GF Govt","YLD_YTM_BID")</f>
        <v>#N/A N/A</v>
      </c>
      <c r="E667" t="str">
        <f>_xll.BDP("912833GF Govt","MATURITY")</f>
        <v>11/15/2009</v>
      </c>
      <c r="F667" t="str">
        <f>_xll.BDP("912833GF Govt","MTY_TYP")</f>
        <v>NORMAL</v>
      </c>
      <c r="G667" t="str">
        <f>_xll.BDP("912833GF Govt","CRNCY")</f>
        <v>USD</v>
      </c>
      <c r="H667" t="str">
        <f>_xll.BDP("912833GF Govt","COUNTRY_FULL_NAME")</f>
        <v>UNITED STATES</v>
      </c>
      <c r="I667" t="str">
        <f>_xll.BDP("912833GF Govt","FIRST_CPN_DT")</f>
        <v>#N/A Field Not Applicable</v>
      </c>
      <c r="J667" t="str">
        <f>_xll.BDP("912833GF Govt","COUPON_FREQUENCY_DESCRIPTION")</f>
        <v>#N/A Field Not Applicable</v>
      </c>
      <c r="K667" t="str">
        <f>_xll.BDP("912833GF Govt","CPN_TYP")</f>
        <v>ZERO</v>
      </c>
      <c r="L667" t="str">
        <f>_xll.BDP("912833GF Govt","ID_ISIN")</f>
        <v>US912833GF14</v>
      </c>
      <c r="N667">
        <v>0</v>
      </c>
      <c r="O667" t="str">
        <f>_xll.BDP("912833GF Govt","ISSUE_DT")</f>
        <v>11/15/1984</v>
      </c>
      <c r="P667" t="str">
        <f>_xll.BDP("912833GF Govt","SECURITY_NAME")</f>
        <v>S 0 11/15/09</v>
      </c>
      <c r="Q667" t="str">
        <f>_xll.BDP("912833GF Govt","DAY_CNT_DES")</f>
        <v>ACT/ACT</v>
      </c>
      <c r="R667">
        <v>100</v>
      </c>
      <c r="S667" t="str">
        <f>_xll.BDP("912833GF Govt","ID_CUSIP")</f>
        <v>912833GF1</v>
      </c>
      <c r="T667" t="str">
        <f>_xll.BDP("912833GF Govt","IDX_RATIO")</f>
        <v>#N/A Field Not Applicable</v>
      </c>
    </row>
    <row r="668" spans="1:20" x14ac:dyDescent="0.25">
      <c r="A668" t="s">
        <v>14</v>
      </c>
      <c r="B668" t="str">
        <f>_xll.BDP("912833JV Govt","TICKER")</f>
        <v>S</v>
      </c>
      <c r="C668">
        <f>_xll.BDP("912833JV Govt","CPN")</f>
        <v>0</v>
      </c>
      <c r="D668" t="str">
        <f>_xll.BDP("912833JV Govt","YLD_YTM_BID")</f>
        <v>#N/A N/A</v>
      </c>
      <c r="E668" t="str">
        <f>_xll.BDP("912833JV Govt","MATURITY")</f>
        <v>11/15/2010</v>
      </c>
      <c r="F668" t="str">
        <f>_xll.BDP("912833JV Govt","MTY_TYP")</f>
        <v>NORMAL</v>
      </c>
      <c r="G668" t="str">
        <f>_xll.BDP("912833JV Govt","CRNCY")</f>
        <v>USD</v>
      </c>
      <c r="H668" t="str">
        <f>_xll.BDP("912833JV Govt","COUNTRY_FULL_NAME")</f>
        <v>UNITED STATES</v>
      </c>
      <c r="I668" t="str">
        <f>_xll.BDP("912833JV Govt","FIRST_CPN_DT")</f>
        <v>#N/A Field Not Applicable</v>
      </c>
      <c r="J668" t="str">
        <f>_xll.BDP("912833JV Govt","COUPON_FREQUENCY_DESCRIPTION")</f>
        <v>#N/A Field Not Applicable</v>
      </c>
      <c r="K668" t="str">
        <f>_xll.BDP("912833JV Govt","CPN_TYP")</f>
        <v>ZERO</v>
      </c>
      <c r="L668" t="str">
        <f>_xll.BDP("912833JV Govt","ID_ISIN")</f>
        <v>US912833JV37</v>
      </c>
      <c r="N668">
        <v>0</v>
      </c>
      <c r="O668" t="str">
        <f>_xll.BDP("912833JV Govt","ISSUE_DT")</f>
        <v>11/15/1985</v>
      </c>
      <c r="P668" t="str">
        <f>_xll.BDP("912833JV Govt","SECURITY_NAME")</f>
        <v>S 0 11/15/10</v>
      </c>
      <c r="Q668" t="str">
        <f>_xll.BDP("912833JV Govt","DAY_CNT_DES")</f>
        <v>ACT/ACT</v>
      </c>
      <c r="R668">
        <v>100</v>
      </c>
      <c r="S668" t="str">
        <f>_xll.BDP("912833JV Govt","ID_CUSIP")</f>
        <v>912833JV3</v>
      </c>
      <c r="T668" t="str">
        <f>_xll.BDP("912833JV Govt","IDX_RATIO")</f>
        <v>#N/A Field Not Applicable</v>
      </c>
    </row>
    <row r="669" spans="1:20" x14ac:dyDescent="0.25">
      <c r="A669" t="s">
        <v>14</v>
      </c>
      <c r="B669" t="str">
        <f>_xll.BDP("912833JX Govt","TICKER")</f>
        <v>S</v>
      </c>
      <c r="C669">
        <f>_xll.BDP("912833JX Govt","CPN")</f>
        <v>0</v>
      </c>
      <c r="D669" t="str">
        <f>_xll.BDP("912833JX Govt","YLD_YTM_BID")</f>
        <v>#N/A N/A</v>
      </c>
      <c r="E669" t="str">
        <f>_xll.BDP("912833JX Govt","MATURITY")</f>
        <v>11/15/2011</v>
      </c>
      <c r="F669" t="str">
        <f>_xll.BDP("912833JX Govt","MTY_TYP")</f>
        <v>NORMAL</v>
      </c>
      <c r="G669" t="str">
        <f>_xll.BDP("912833JX Govt","CRNCY")</f>
        <v>USD</v>
      </c>
      <c r="H669" t="str">
        <f>_xll.BDP("912833JX Govt","COUNTRY_FULL_NAME")</f>
        <v>UNITED STATES</v>
      </c>
      <c r="I669" t="str">
        <f>_xll.BDP("912833JX Govt","FIRST_CPN_DT")</f>
        <v>#N/A Field Not Applicable</v>
      </c>
      <c r="J669" t="str">
        <f>_xll.BDP("912833JX Govt","COUPON_FREQUENCY_DESCRIPTION")</f>
        <v>#N/A Field Not Applicable</v>
      </c>
      <c r="K669" t="str">
        <f>_xll.BDP("912833JX Govt","CPN_TYP")</f>
        <v>ZERO</v>
      </c>
      <c r="L669" t="str">
        <f>_xll.BDP("912833JX Govt","ID_ISIN")</f>
        <v>US912833JX92</v>
      </c>
      <c r="N669">
        <v>0</v>
      </c>
      <c r="O669" t="str">
        <f>_xll.BDP("912833JX Govt","ISSUE_DT")</f>
        <v>11/15/1985</v>
      </c>
      <c r="P669" t="str">
        <f>_xll.BDP("912833JX Govt","SECURITY_NAME")</f>
        <v>S 0 11/15/11</v>
      </c>
      <c r="Q669" t="str">
        <f>_xll.BDP("912833JX Govt","DAY_CNT_DES")</f>
        <v>ACT/ACT</v>
      </c>
      <c r="R669">
        <v>100</v>
      </c>
      <c r="S669" t="str">
        <f>_xll.BDP("912833JX Govt","ID_CUSIP")</f>
        <v>912833JX9</v>
      </c>
      <c r="T669" t="str">
        <f>_xll.BDP("912833JX Govt","IDX_RATIO")</f>
        <v>#N/A Field Not Applicable</v>
      </c>
    </row>
    <row r="670" spans="1:20" x14ac:dyDescent="0.25">
      <c r="A670" t="s">
        <v>14</v>
      </c>
      <c r="B670" t="str">
        <f>_xll.BDP("912833KE Govt","TICKER")</f>
        <v>S</v>
      </c>
      <c r="C670">
        <f>_xll.BDP("912833KE Govt","CPN")</f>
        <v>0</v>
      </c>
      <c r="D670" t="str">
        <f>_xll.BDP("912833KE Govt","YLD_YTM_BID")</f>
        <v>#N/A N/A</v>
      </c>
      <c r="E670" t="str">
        <f>_xll.BDP("912833KE Govt","MATURITY")</f>
        <v>5/15/2015</v>
      </c>
      <c r="F670" t="str">
        <f>_xll.BDP("912833KE Govt","MTY_TYP")</f>
        <v>NORMAL</v>
      </c>
      <c r="G670" t="str">
        <f>_xll.BDP("912833KE Govt","CRNCY")</f>
        <v>USD</v>
      </c>
      <c r="H670" t="str">
        <f>_xll.BDP("912833KE Govt","COUNTRY_FULL_NAME")</f>
        <v>UNITED STATES</v>
      </c>
      <c r="I670" t="str">
        <f>_xll.BDP("912833KE Govt","FIRST_CPN_DT")</f>
        <v>#N/A Field Not Applicable</v>
      </c>
      <c r="J670" t="str">
        <f>_xll.BDP("912833KE Govt","COUPON_FREQUENCY_DESCRIPTION")</f>
        <v>#N/A Field Not Applicable</v>
      </c>
      <c r="K670" t="str">
        <f>_xll.BDP("912833KE Govt","CPN_TYP")</f>
        <v>ZERO</v>
      </c>
      <c r="L670" t="str">
        <f>_xll.BDP("912833KE Govt","ID_ISIN")</f>
        <v>US912833KE92</v>
      </c>
      <c r="N670">
        <v>0</v>
      </c>
      <c r="O670" t="str">
        <f>_xll.BDP("912833KE Govt","ISSUE_DT")</f>
        <v>11/15/1985</v>
      </c>
      <c r="P670" t="str">
        <f>_xll.BDP("912833KE Govt","SECURITY_NAME")</f>
        <v>S 0 05/15/15</v>
      </c>
      <c r="Q670" t="str">
        <f>_xll.BDP("912833KE Govt","DAY_CNT_DES")</f>
        <v>ACT/ACT</v>
      </c>
      <c r="R670">
        <v>100</v>
      </c>
      <c r="S670" t="str">
        <f>_xll.BDP("912833KE Govt","ID_CUSIP")</f>
        <v>912833KE9</v>
      </c>
      <c r="T670" t="str">
        <f>_xll.BDP("912833KE Govt","IDX_RATIO")</f>
        <v>#N/A Field Not Applicable</v>
      </c>
    </row>
    <row r="671" spans="1:20" x14ac:dyDescent="0.25">
      <c r="A671" t="s">
        <v>14</v>
      </c>
      <c r="B671" t="str">
        <f>_xll.BDP("912833KG Govt","TICKER")</f>
        <v>S</v>
      </c>
      <c r="C671">
        <f>_xll.BDP("912833KG Govt","CPN")</f>
        <v>0</v>
      </c>
      <c r="D671" t="str">
        <f>_xll.BDP("912833KG Govt","YLD_YTM_BID")</f>
        <v>#N/A N/A</v>
      </c>
      <c r="E671" t="str">
        <f>_xll.BDP("912833KG Govt","MATURITY")</f>
        <v>2/15/2016</v>
      </c>
      <c r="F671" t="str">
        <f>_xll.BDP("912833KG Govt","MTY_TYP")</f>
        <v>NORMAL</v>
      </c>
      <c r="G671" t="str">
        <f>_xll.BDP("912833KG Govt","CRNCY")</f>
        <v>USD</v>
      </c>
      <c r="H671" t="str">
        <f>_xll.BDP("912833KG Govt","COUNTRY_FULL_NAME")</f>
        <v>UNITED STATES</v>
      </c>
      <c r="I671" t="str">
        <f>_xll.BDP("912833KG Govt","FIRST_CPN_DT")</f>
        <v>#N/A Field Not Applicable</v>
      </c>
      <c r="J671" t="str">
        <f>_xll.BDP("912833KG Govt","COUPON_FREQUENCY_DESCRIPTION")</f>
        <v>#N/A Field Not Applicable</v>
      </c>
      <c r="K671" t="str">
        <f>_xll.BDP("912833KG Govt","CPN_TYP")</f>
        <v>ZERO</v>
      </c>
      <c r="L671" t="str">
        <f>_xll.BDP("912833KG Govt","ID_ISIN")</f>
        <v>US912833KG41</v>
      </c>
      <c r="N671">
        <v>0</v>
      </c>
      <c r="O671" t="str">
        <f>_xll.BDP("912833KG Govt","ISSUE_DT")</f>
        <v>2/15/1986</v>
      </c>
      <c r="P671" t="str">
        <f>_xll.BDP("912833KG Govt","SECURITY_NAME")</f>
        <v>S 0 02/15/16</v>
      </c>
      <c r="Q671" t="str">
        <f>_xll.BDP("912833KG Govt","DAY_CNT_DES")</f>
        <v>ACT/ACT</v>
      </c>
      <c r="R671">
        <v>100</v>
      </c>
      <c r="S671" t="str">
        <f>_xll.BDP("912833KG Govt","ID_CUSIP")</f>
        <v>912833KG4</v>
      </c>
      <c r="T671" t="str">
        <f>_xll.BDP("912833KG Govt","IDX_RATIO")</f>
        <v>#N/A Field Not Applicable</v>
      </c>
    </row>
    <row r="672" spans="1:20" x14ac:dyDescent="0.25">
      <c r="A672" t="s">
        <v>14</v>
      </c>
      <c r="B672" t="str">
        <f>_xll.BDP("912833KN Govt","TICKER")</f>
        <v>S</v>
      </c>
      <c r="C672">
        <f>_xll.BDP("912833KN Govt","CPN")</f>
        <v>0</v>
      </c>
      <c r="D672" t="str">
        <f>_xll.BDP("912833KN Govt","YLD_YTM_BID")</f>
        <v>#N/A N/A</v>
      </c>
      <c r="E672" t="str">
        <f>_xll.BDP("912833KN Govt","MATURITY")</f>
        <v>8/15/2017</v>
      </c>
      <c r="F672" t="str">
        <f>_xll.BDP("912833KN Govt","MTY_TYP")</f>
        <v>NORMAL</v>
      </c>
      <c r="G672" t="str">
        <f>_xll.BDP("912833KN Govt","CRNCY")</f>
        <v>USD</v>
      </c>
      <c r="H672" t="str">
        <f>_xll.BDP("912833KN Govt","COUNTRY_FULL_NAME")</f>
        <v>UNITED STATES</v>
      </c>
      <c r="I672" t="str">
        <f>_xll.BDP("912833KN Govt","FIRST_CPN_DT")</f>
        <v>#N/A Field Not Applicable</v>
      </c>
      <c r="J672" t="str">
        <f>_xll.BDP("912833KN Govt","COUPON_FREQUENCY_DESCRIPTION")</f>
        <v>#N/A Field Not Applicable</v>
      </c>
      <c r="K672" t="str">
        <f>_xll.BDP("912833KN Govt","CPN_TYP")</f>
        <v>ZERO</v>
      </c>
      <c r="L672" t="str">
        <f>_xll.BDP("912833KN Govt","ID_ISIN")</f>
        <v>US912833KN91</v>
      </c>
      <c r="N672">
        <v>0</v>
      </c>
      <c r="O672" t="str">
        <f>_xll.BDP("912833KN Govt","ISSUE_DT")</f>
        <v>8/15/1987</v>
      </c>
      <c r="P672" t="str">
        <f>_xll.BDP("912833KN Govt","SECURITY_NAME")</f>
        <v>S 0 08/15/17</v>
      </c>
      <c r="Q672" t="str">
        <f>_xll.BDP("912833KN Govt","DAY_CNT_DES")</f>
        <v>ACT/ACT</v>
      </c>
      <c r="R672">
        <v>100</v>
      </c>
      <c r="S672" t="str">
        <f>_xll.BDP("912833KN Govt","ID_CUSIP")</f>
        <v>912833KN9</v>
      </c>
      <c r="T672" t="str">
        <f>_xll.BDP("912833KN Govt","IDX_RATIO")</f>
        <v>#N/A Field Not Applicable</v>
      </c>
    </row>
    <row r="673" spans="1:20" x14ac:dyDescent="0.25">
      <c r="A673" t="s">
        <v>14</v>
      </c>
      <c r="B673" t="str">
        <f>_xll.BDP("912833LC Govt","TICKER")</f>
        <v>S</v>
      </c>
      <c r="C673">
        <f>_xll.BDP("912833LC Govt","CPN")</f>
        <v>0</v>
      </c>
      <c r="D673" t="str">
        <f>_xll.BDP("912833LC Govt","YLD_YTM_BID")</f>
        <v>#N/A N/A</v>
      </c>
      <c r="E673" t="str">
        <f>_xll.BDP("912833LC Govt","MATURITY")</f>
        <v>2/15/2021</v>
      </c>
      <c r="F673" t="str">
        <f>_xll.BDP("912833LC Govt","MTY_TYP")</f>
        <v>NORMAL</v>
      </c>
      <c r="G673" t="str">
        <f>_xll.BDP("912833LC Govt","CRNCY")</f>
        <v>USD</v>
      </c>
      <c r="H673" t="str">
        <f>_xll.BDP("912833LC Govt","COUNTRY_FULL_NAME")</f>
        <v>UNITED STATES</v>
      </c>
      <c r="I673" t="str">
        <f>_xll.BDP("912833LC Govt","FIRST_CPN_DT")</f>
        <v>#N/A Field Not Applicable</v>
      </c>
      <c r="J673" t="str">
        <f>_xll.BDP("912833LC Govt","COUPON_FREQUENCY_DESCRIPTION")</f>
        <v>#N/A Field Not Applicable</v>
      </c>
      <c r="K673" t="str">
        <f>_xll.BDP("912833LC Govt","CPN_TYP")</f>
        <v>ZERO</v>
      </c>
      <c r="L673" t="str">
        <f>_xll.BDP("912833LC Govt","ID_ISIN")</f>
        <v>US912833LC28</v>
      </c>
      <c r="N673">
        <v>0</v>
      </c>
      <c r="O673" t="str">
        <f>_xll.BDP("912833LC Govt","ISSUE_DT")</f>
        <v>2/15/1991</v>
      </c>
      <c r="P673" t="str">
        <f>_xll.BDP("912833LC Govt","SECURITY_NAME")</f>
        <v>S 0 02/15/21</v>
      </c>
      <c r="Q673" t="str">
        <f>_xll.BDP("912833LC Govt","DAY_CNT_DES")</f>
        <v>ACT/ACT</v>
      </c>
      <c r="R673">
        <v>100</v>
      </c>
      <c r="S673" t="str">
        <f>_xll.BDP("912833LC Govt","ID_CUSIP")</f>
        <v>912833LC2</v>
      </c>
      <c r="T673" t="str">
        <f>_xll.BDP("912833LC Govt","IDX_RATIO")</f>
        <v>#N/A Field Not Applicable</v>
      </c>
    </row>
    <row r="674" spans="1:20" x14ac:dyDescent="0.25">
      <c r="A674" t="s">
        <v>14</v>
      </c>
      <c r="B674" t="str">
        <f>_xll.BDP("912833MT Govt","TICKER")</f>
        <v>S</v>
      </c>
      <c r="C674">
        <f>_xll.BDP("912833MT Govt","CPN")</f>
        <v>0</v>
      </c>
      <c r="D674" t="str">
        <f>_xll.BDP("912833MT Govt","YLD_YTM_BID")</f>
        <v>#N/A N/A</v>
      </c>
      <c r="E674" t="str">
        <f>_xll.BDP("912833MT Govt","MATURITY")</f>
        <v>4/15/2001</v>
      </c>
      <c r="F674" t="str">
        <f>_xll.BDP("912833MT Govt","MTY_TYP")</f>
        <v>NORMAL</v>
      </c>
      <c r="G674" t="str">
        <f>_xll.BDP("912833MT Govt","CRNCY")</f>
        <v>USD</v>
      </c>
      <c r="H674" t="str">
        <f>_xll.BDP("912833MT Govt","COUNTRY_FULL_NAME")</f>
        <v>UNITED STATES</v>
      </c>
      <c r="I674" t="str">
        <f>_xll.BDP("912833MT Govt","FIRST_CPN_DT")</f>
        <v>#N/A Field Not Applicable</v>
      </c>
      <c r="J674" t="str">
        <f>_xll.BDP("912833MT Govt","COUPON_FREQUENCY_DESCRIPTION")</f>
        <v>#N/A Field Not Applicable</v>
      </c>
      <c r="K674" t="str">
        <f>_xll.BDP("912833MT Govt","CPN_TYP")</f>
        <v>ZERO</v>
      </c>
      <c r="L674" t="str">
        <f>_xll.BDP("912833MT Govt","ID_ISIN")</f>
        <v>US912833MT44</v>
      </c>
      <c r="N674">
        <v>0</v>
      </c>
      <c r="O674" t="str">
        <f>_xll.BDP("912833MT Govt","ISSUE_DT")</f>
        <v>10/15/1996</v>
      </c>
      <c r="P674" t="str">
        <f>_xll.BDP("912833MT Govt","SECURITY_NAME")</f>
        <v>S 0 04/15/01</v>
      </c>
      <c r="Q674" t="str">
        <f>_xll.BDP("912833MT Govt","DAY_CNT_DES")</f>
        <v>ACT/ACT</v>
      </c>
      <c r="R674">
        <v>100</v>
      </c>
      <c r="S674" t="str">
        <f>_xll.BDP("912833MT Govt","ID_CUSIP")</f>
        <v>912833MT4</v>
      </c>
      <c r="T674" t="str">
        <f>_xll.BDP("912833MT Govt","IDX_RATIO")</f>
        <v>#N/A Field Not Applicable</v>
      </c>
    </row>
    <row r="675" spans="1:20" x14ac:dyDescent="0.25">
      <c r="A675" t="s">
        <v>14</v>
      </c>
      <c r="B675" t="str">
        <f>_xll.BDP("912833MW Govt","TICKER")</f>
        <v>S</v>
      </c>
      <c r="C675">
        <f>_xll.BDP("912833MW Govt","CPN")</f>
        <v>0</v>
      </c>
      <c r="D675" t="str">
        <f>_xll.BDP("912833MW Govt","YLD_YTM_BID")</f>
        <v>#N/A N/A</v>
      </c>
      <c r="E675" t="str">
        <f>_xll.BDP("912833MW Govt","MATURITY")</f>
        <v>1/15/2002</v>
      </c>
      <c r="F675" t="str">
        <f>_xll.BDP("912833MW Govt","MTY_TYP")</f>
        <v>NORMAL</v>
      </c>
      <c r="G675" t="str">
        <f>_xll.BDP("912833MW Govt","CRNCY")</f>
        <v>USD</v>
      </c>
      <c r="H675" t="str">
        <f>_xll.BDP("912833MW Govt","COUNTRY_FULL_NAME")</f>
        <v>UNITED STATES</v>
      </c>
      <c r="I675" t="str">
        <f>_xll.BDP("912833MW Govt","FIRST_CPN_DT")</f>
        <v>#N/A Field Not Applicable</v>
      </c>
      <c r="J675" t="str">
        <f>_xll.BDP("912833MW Govt","COUPON_FREQUENCY_DESCRIPTION")</f>
        <v>#N/A Field Not Applicable</v>
      </c>
      <c r="K675" t="str">
        <f>_xll.BDP("912833MW Govt","CPN_TYP")</f>
        <v>ZERO</v>
      </c>
      <c r="L675" t="str">
        <f>_xll.BDP("912833MW Govt","ID_ISIN")</f>
        <v>US912833MW72</v>
      </c>
      <c r="N675">
        <v>0</v>
      </c>
      <c r="O675" t="str">
        <f>_xll.BDP("912833MW Govt","ISSUE_DT")</f>
        <v>7/15/1996</v>
      </c>
      <c r="P675" t="str">
        <f>_xll.BDP("912833MW Govt","SECURITY_NAME")</f>
        <v>S 0 01/15/02</v>
      </c>
      <c r="Q675" t="str">
        <f>_xll.BDP("912833MW Govt","DAY_CNT_DES")</f>
        <v>ACT/ACT</v>
      </c>
      <c r="R675">
        <v>100</v>
      </c>
      <c r="S675" t="str">
        <f>_xll.BDP("912833MW Govt","ID_CUSIP")</f>
        <v>912833MW7</v>
      </c>
      <c r="T675" t="str">
        <f>_xll.BDP("912833MW Govt","IDX_RATIO")</f>
        <v>#N/A Field Not Applicable</v>
      </c>
    </row>
    <row r="676" spans="1:20" x14ac:dyDescent="0.25">
      <c r="A676" t="s">
        <v>14</v>
      </c>
      <c r="B676" t="str">
        <f>_xll.BDP("912833ND Govt","TICKER")</f>
        <v>S</v>
      </c>
      <c r="C676">
        <f>_xll.BDP("912833ND Govt","CPN")</f>
        <v>0</v>
      </c>
      <c r="D676" t="str">
        <f>_xll.BDP("912833ND Govt","YLD_YTM_BID")</f>
        <v>#N/A N/A</v>
      </c>
      <c r="E676" t="str">
        <f>_xll.BDP("912833ND Govt","MATURITY")</f>
        <v>10/15/2003</v>
      </c>
      <c r="F676" t="str">
        <f>_xll.BDP("912833ND Govt","MTY_TYP")</f>
        <v>NORMAL</v>
      </c>
      <c r="G676" t="str">
        <f>_xll.BDP("912833ND Govt","CRNCY")</f>
        <v>USD</v>
      </c>
      <c r="H676" t="str">
        <f>_xll.BDP("912833ND Govt","COUNTRY_FULL_NAME")</f>
        <v>UNITED STATES</v>
      </c>
      <c r="I676" t="str">
        <f>_xll.BDP("912833ND Govt","FIRST_CPN_DT")</f>
        <v>#N/A Field Not Applicable</v>
      </c>
      <c r="J676" t="str">
        <f>_xll.BDP("912833ND Govt","COUPON_FREQUENCY_DESCRIPTION")</f>
        <v>#N/A Field Not Applicable</v>
      </c>
      <c r="K676" t="str">
        <f>_xll.BDP("912833ND Govt","CPN_TYP")</f>
        <v>ZERO</v>
      </c>
      <c r="L676" t="str">
        <f>_xll.BDP("912833ND Govt","ID_ISIN")</f>
        <v>US912833ND82</v>
      </c>
      <c r="N676">
        <v>0</v>
      </c>
      <c r="O676" t="str">
        <f>_xll.BDP("912833ND Govt","ISSUE_DT")</f>
        <v>10/15/1996</v>
      </c>
      <c r="P676" t="str">
        <f>_xll.BDP("912833ND Govt","SECURITY_NAME")</f>
        <v>S 0 10/15/03</v>
      </c>
      <c r="Q676" t="str">
        <f>_xll.BDP("912833ND Govt","DAY_CNT_DES")</f>
        <v>ACT/ACT</v>
      </c>
      <c r="R676">
        <v>100</v>
      </c>
      <c r="S676" t="str">
        <f>_xll.BDP("912833ND Govt","ID_CUSIP")</f>
        <v>912833ND8</v>
      </c>
      <c r="T676" t="str">
        <f>_xll.BDP("912833ND Govt","IDX_RATIO")</f>
        <v>#N/A Field Not Applicable</v>
      </c>
    </row>
    <row r="677" spans="1:20" x14ac:dyDescent="0.25">
      <c r="A677" t="s">
        <v>14</v>
      </c>
      <c r="B677" t="str">
        <f>_xll.BDP("912833NQ Govt","TICKER")</f>
        <v>S</v>
      </c>
      <c r="C677">
        <f>_xll.BDP("912833NQ Govt","CPN")</f>
        <v>0</v>
      </c>
      <c r="D677" t="str">
        <f>_xll.BDP("912833NQ Govt","YLD_YTM_BID")</f>
        <v>#N/A N/A</v>
      </c>
      <c r="E677" t="str">
        <f>_xll.BDP("912833NQ Govt","MATURITY")</f>
        <v>7/15/2006</v>
      </c>
      <c r="F677" t="str">
        <f>_xll.BDP("912833NQ Govt","MTY_TYP")</f>
        <v>NORMAL</v>
      </c>
      <c r="G677" t="str">
        <f>_xll.BDP("912833NQ Govt","CRNCY")</f>
        <v>USD</v>
      </c>
      <c r="H677" t="str">
        <f>_xll.BDP("912833NQ Govt","COUNTRY_FULL_NAME")</f>
        <v>UNITED STATES</v>
      </c>
      <c r="I677" t="str">
        <f>_xll.BDP("912833NQ Govt","FIRST_CPN_DT")</f>
        <v>#N/A Field Not Applicable</v>
      </c>
      <c r="J677" t="str">
        <f>_xll.BDP("912833NQ Govt","COUPON_FREQUENCY_DESCRIPTION")</f>
        <v>#N/A Field Not Applicable</v>
      </c>
      <c r="K677" t="str">
        <f>_xll.BDP("912833NQ Govt","CPN_TYP")</f>
        <v>ZERO</v>
      </c>
      <c r="L677" t="str">
        <f>_xll.BDP("912833NQ Govt","ID_ISIN")</f>
        <v>US912833NQ95</v>
      </c>
      <c r="N677">
        <v>0</v>
      </c>
      <c r="O677" t="str">
        <f>_xll.BDP("912833NQ Govt","ISSUE_DT")</f>
        <v>7/15/1996</v>
      </c>
      <c r="P677" t="str">
        <f>_xll.BDP("912833NQ Govt","SECURITY_NAME")</f>
        <v>S 0 07/15/06</v>
      </c>
      <c r="Q677" t="str">
        <f>_xll.BDP("912833NQ Govt","DAY_CNT_DES")</f>
        <v>ACT/ACT</v>
      </c>
      <c r="R677">
        <v>100</v>
      </c>
      <c r="S677" t="str">
        <f>_xll.BDP("912833NQ Govt","ID_CUSIP")</f>
        <v>912833NQ9</v>
      </c>
      <c r="T677" t="str">
        <f>_xll.BDP("912833NQ Govt","IDX_RATIO")</f>
        <v>#N/A Field Not Applicable</v>
      </c>
    </row>
    <row r="678" spans="1:20" x14ac:dyDescent="0.25">
      <c r="A678" t="s">
        <v>14</v>
      </c>
      <c r="B678" t="str">
        <f>_xll.BDP("912833PF Govt","TICKER")</f>
        <v>S</v>
      </c>
      <c r="C678">
        <f>_xll.BDP("912833PF Govt","CPN")</f>
        <v>0</v>
      </c>
      <c r="D678" t="str">
        <f>_xll.BDP("912833PF Govt","YLD_YTM_BID")</f>
        <v>#N/A N/A</v>
      </c>
      <c r="E678" t="str">
        <f>_xll.BDP("912833PF Govt","MATURITY")</f>
        <v>3/31/1998</v>
      </c>
      <c r="F678" t="str">
        <f>_xll.BDP("912833PF Govt","MTY_TYP")</f>
        <v>NORMAL</v>
      </c>
      <c r="G678" t="str">
        <f>_xll.BDP("912833PF Govt","CRNCY")</f>
        <v>USD</v>
      </c>
      <c r="H678" t="str">
        <f>_xll.BDP("912833PF Govt","COUNTRY_FULL_NAME")</f>
        <v>UNITED STATES</v>
      </c>
      <c r="I678" t="str">
        <f>_xll.BDP("912833PF Govt","FIRST_CPN_DT")</f>
        <v>#N/A Field Not Applicable</v>
      </c>
      <c r="J678" t="str">
        <f>_xll.BDP("912833PF Govt","COUPON_FREQUENCY_DESCRIPTION")</f>
        <v>#N/A Field Not Applicable</v>
      </c>
      <c r="K678" t="str">
        <f>_xll.BDP("912833PF Govt","CPN_TYP")</f>
        <v>ZERO</v>
      </c>
      <c r="L678" t="str">
        <f>_xll.BDP("912833PF Govt","ID_ISIN")</f>
        <v>US912833PF13</v>
      </c>
      <c r="N678">
        <v>0</v>
      </c>
      <c r="O678" t="str">
        <f>_xll.BDP("912833PF Govt","ISSUE_DT")</f>
        <v>9/30/1997</v>
      </c>
      <c r="P678" t="str">
        <f>_xll.BDP("912833PF Govt","SECURITY_NAME")</f>
        <v>S 0 03/31/98</v>
      </c>
      <c r="Q678" t="str">
        <f>_xll.BDP("912833PF Govt","DAY_CNT_DES")</f>
        <v>ACT/ACT</v>
      </c>
      <c r="R678">
        <v>100</v>
      </c>
      <c r="S678" t="str">
        <f>_xll.BDP("912833PF Govt","ID_CUSIP")</f>
        <v>912833PF1</v>
      </c>
      <c r="T678" t="str">
        <f>_xll.BDP("912833PF Govt","IDX_RATIO")</f>
        <v>#N/A Field Not Applicable</v>
      </c>
    </row>
    <row r="679" spans="1:20" x14ac:dyDescent="0.25">
      <c r="A679" t="s">
        <v>14</v>
      </c>
      <c r="B679" t="str">
        <f>_xll.BDP("912833PG Govt","TICKER")</f>
        <v>S</v>
      </c>
      <c r="C679">
        <f>_xll.BDP("912833PG Govt","CPN")</f>
        <v>0</v>
      </c>
      <c r="D679" t="str">
        <f>_xll.BDP("912833PG Govt","YLD_YTM_BID")</f>
        <v>#N/A N/A</v>
      </c>
      <c r="E679" t="str">
        <f>_xll.BDP("912833PG Govt","MATURITY")</f>
        <v>9/30/1998</v>
      </c>
      <c r="F679" t="str">
        <f>_xll.BDP("912833PG Govt","MTY_TYP")</f>
        <v>NORMAL</v>
      </c>
      <c r="G679" t="str">
        <f>_xll.BDP("912833PG Govt","CRNCY")</f>
        <v>USD</v>
      </c>
      <c r="H679" t="str">
        <f>_xll.BDP("912833PG Govt","COUNTRY_FULL_NAME")</f>
        <v>UNITED STATES</v>
      </c>
      <c r="I679" t="str">
        <f>_xll.BDP("912833PG Govt","FIRST_CPN_DT")</f>
        <v>#N/A Field Not Applicable</v>
      </c>
      <c r="J679" t="str">
        <f>_xll.BDP("912833PG Govt","COUPON_FREQUENCY_DESCRIPTION")</f>
        <v>#N/A Field Not Applicable</v>
      </c>
      <c r="K679" t="str">
        <f>_xll.BDP("912833PG Govt","CPN_TYP")</f>
        <v>ZERO</v>
      </c>
      <c r="L679" t="str">
        <f>_xll.BDP("912833PG Govt","ID_ISIN")</f>
        <v>US912833PG95</v>
      </c>
      <c r="N679">
        <v>0</v>
      </c>
      <c r="O679" t="str">
        <f>_xll.BDP("912833PG Govt","ISSUE_DT")</f>
        <v>9/30/1997</v>
      </c>
      <c r="P679" t="str">
        <f>_xll.BDP("912833PG Govt","SECURITY_NAME")</f>
        <v>S 0 09/30/98</v>
      </c>
      <c r="Q679" t="str">
        <f>_xll.BDP("912833PG Govt","DAY_CNT_DES")</f>
        <v>ACT/ACT</v>
      </c>
      <c r="R679">
        <v>100</v>
      </c>
      <c r="S679" t="str">
        <f>_xll.BDP("912833PG Govt","ID_CUSIP")</f>
        <v>912833PG9</v>
      </c>
      <c r="T679" t="str">
        <f>_xll.BDP("912833PG Govt","IDX_RATIO")</f>
        <v>#N/A Field Not Applicable</v>
      </c>
    </row>
    <row r="680" spans="1:20" x14ac:dyDescent="0.25">
      <c r="A680" t="s">
        <v>14</v>
      </c>
      <c r="B680" t="str">
        <f>_xll.BDP("912833PJ Govt","TICKER")</f>
        <v>S</v>
      </c>
      <c r="C680">
        <f>_xll.BDP("912833PJ Govt","CPN")</f>
        <v>0</v>
      </c>
      <c r="D680" t="str">
        <f>_xll.BDP("912833PJ Govt","YLD_YTM_BID")</f>
        <v>#N/A N/A</v>
      </c>
      <c r="E680" t="str">
        <f>_xll.BDP("912833PJ Govt","MATURITY")</f>
        <v>9/30/1999</v>
      </c>
      <c r="F680" t="str">
        <f>_xll.BDP("912833PJ Govt","MTY_TYP")</f>
        <v>NORMAL</v>
      </c>
      <c r="G680" t="str">
        <f>_xll.BDP("912833PJ Govt","CRNCY")</f>
        <v>USD</v>
      </c>
      <c r="H680" t="str">
        <f>_xll.BDP("912833PJ Govt","COUNTRY_FULL_NAME")</f>
        <v>UNITED STATES</v>
      </c>
      <c r="I680" t="str">
        <f>_xll.BDP("912833PJ Govt","FIRST_CPN_DT")</f>
        <v>#N/A Field Not Applicable</v>
      </c>
      <c r="J680" t="str">
        <f>_xll.BDP("912833PJ Govt","COUPON_FREQUENCY_DESCRIPTION")</f>
        <v>#N/A Field Not Applicable</v>
      </c>
      <c r="K680" t="str">
        <f>_xll.BDP("912833PJ Govt","CPN_TYP")</f>
        <v>ZERO</v>
      </c>
      <c r="L680" t="str">
        <f>_xll.BDP("912833PJ Govt","ID_ISIN")</f>
        <v>US912833PJ35</v>
      </c>
      <c r="N680">
        <v>0</v>
      </c>
      <c r="O680" t="str">
        <f>_xll.BDP("912833PJ Govt","ISSUE_DT")</f>
        <v>9/30/1997</v>
      </c>
      <c r="P680" t="str">
        <f>_xll.BDP("912833PJ Govt","SECURITY_NAME")</f>
        <v>S 0 09/30/99</v>
      </c>
      <c r="Q680" t="str">
        <f>_xll.BDP("912833PJ Govt","DAY_CNT_DES")</f>
        <v>ACT/ACT</v>
      </c>
      <c r="R680">
        <v>100</v>
      </c>
      <c r="S680" t="str">
        <f>_xll.BDP("912833PJ Govt","ID_CUSIP")</f>
        <v>912833PJ3</v>
      </c>
      <c r="T680" t="str">
        <f>_xll.BDP("912833PJ Govt","IDX_RATIO")</f>
        <v>#N/A Field Not Applicable</v>
      </c>
    </row>
    <row r="681" spans="1:20" x14ac:dyDescent="0.25">
      <c r="A681" t="s">
        <v>14</v>
      </c>
      <c r="B681" t="str">
        <f>_xll.BDP("912833PN Govt","TICKER")</f>
        <v>S</v>
      </c>
      <c r="C681">
        <f>_xll.BDP("912833PN Govt","CPN")</f>
        <v>0</v>
      </c>
      <c r="D681" t="str">
        <f>_xll.BDP("912833PN Govt","YLD_YTM_BID")</f>
        <v>#N/A N/A</v>
      </c>
      <c r="E681" t="str">
        <f>_xll.BDP("912833PN Govt","MATURITY")</f>
        <v>9/30/2001</v>
      </c>
      <c r="F681" t="str">
        <f>_xll.BDP("912833PN Govt","MTY_TYP")</f>
        <v>NORMAL</v>
      </c>
      <c r="G681" t="str">
        <f>_xll.BDP("912833PN Govt","CRNCY")</f>
        <v>USD</v>
      </c>
      <c r="H681" t="str">
        <f>_xll.BDP("912833PN Govt","COUNTRY_FULL_NAME")</f>
        <v>UNITED STATES</v>
      </c>
      <c r="I681" t="str">
        <f>_xll.BDP("912833PN Govt","FIRST_CPN_DT")</f>
        <v>#N/A Field Not Applicable</v>
      </c>
      <c r="J681" t="str">
        <f>_xll.BDP("912833PN Govt","COUPON_FREQUENCY_DESCRIPTION")</f>
        <v>#N/A Field Not Applicable</v>
      </c>
      <c r="K681" t="str">
        <f>_xll.BDP("912833PN Govt","CPN_TYP")</f>
        <v>ZERO</v>
      </c>
      <c r="L681" t="str">
        <f>_xll.BDP("912833PN Govt","ID_ISIN")</f>
        <v>US912833PN47</v>
      </c>
      <c r="N681">
        <v>0</v>
      </c>
      <c r="O681" t="str">
        <f>_xll.BDP("912833PN Govt","ISSUE_DT")</f>
        <v>9/30/1997</v>
      </c>
      <c r="P681" t="str">
        <f>_xll.BDP("912833PN Govt","SECURITY_NAME")</f>
        <v>S 0 09/30/01</v>
      </c>
      <c r="Q681" t="str">
        <f>_xll.BDP("912833PN Govt","DAY_CNT_DES")</f>
        <v>ACT/ACT</v>
      </c>
      <c r="R681">
        <v>100</v>
      </c>
      <c r="S681" t="str">
        <f>_xll.BDP("912833PN Govt","ID_CUSIP")</f>
        <v>912833PN4</v>
      </c>
      <c r="T681" t="str">
        <f>_xll.BDP("912833PN Govt","IDX_RATIO")</f>
        <v>#N/A Field Not Applicable</v>
      </c>
    </row>
    <row r="682" spans="1:20" x14ac:dyDescent="0.25">
      <c r="A682" t="s">
        <v>14</v>
      </c>
      <c r="B682" t="str">
        <f>_xll.BDP("912833PQ Govt","TICKER")</f>
        <v>S</v>
      </c>
      <c r="C682">
        <f>_xll.BDP("912833PQ Govt","CPN")</f>
        <v>0</v>
      </c>
      <c r="D682" t="str">
        <f>_xll.BDP("912833PQ Govt","YLD_YTM_BID")</f>
        <v>#N/A N/A</v>
      </c>
      <c r="E682" t="str">
        <f>_xll.BDP("912833PQ Govt","MATURITY")</f>
        <v>9/30/2002</v>
      </c>
      <c r="F682" t="str">
        <f>_xll.BDP("912833PQ Govt","MTY_TYP")</f>
        <v>NORMAL</v>
      </c>
      <c r="G682" t="str">
        <f>_xll.BDP("912833PQ Govt","CRNCY")</f>
        <v>USD</v>
      </c>
      <c r="H682" t="str">
        <f>_xll.BDP("912833PQ Govt","COUNTRY_FULL_NAME")</f>
        <v>UNITED STATES</v>
      </c>
      <c r="I682" t="str">
        <f>_xll.BDP("912833PQ Govt","FIRST_CPN_DT")</f>
        <v>#N/A Field Not Applicable</v>
      </c>
      <c r="J682" t="str">
        <f>_xll.BDP("912833PQ Govt","COUPON_FREQUENCY_DESCRIPTION")</f>
        <v>#N/A Field Not Applicable</v>
      </c>
      <c r="K682" t="str">
        <f>_xll.BDP("912833PQ Govt","CPN_TYP")</f>
        <v>ZERO</v>
      </c>
      <c r="L682" t="str">
        <f>_xll.BDP("912833PQ Govt","ID_ISIN")</f>
        <v>US912833PQ77</v>
      </c>
      <c r="N682">
        <v>0</v>
      </c>
      <c r="O682" t="str">
        <f>_xll.BDP("912833PQ Govt","ISSUE_DT")</f>
        <v>9/30/1997</v>
      </c>
      <c r="P682" t="str">
        <f>_xll.BDP("912833PQ Govt","SECURITY_NAME")</f>
        <v>S 0 09/30/02</v>
      </c>
      <c r="Q682" t="str">
        <f>_xll.BDP("912833PQ Govt","DAY_CNT_DES")</f>
        <v>ACT/ACT</v>
      </c>
      <c r="R682">
        <v>100</v>
      </c>
      <c r="S682" t="str">
        <f>_xll.BDP("912833PQ Govt","ID_CUSIP")</f>
        <v>912833PQ7</v>
      </c>
      <c r="T682" t="str">
        <f>_xll.BDP("912833PQ Govt","IDX_RATIO")</f>
        <v>#N/A Field Not Applicable</v>
      </c>
    </row>
    <row r="683" spans="1:20" x14ac:dyDescent="0.25">
      <c r="A683" t="s">
        <v>14</v>
      </c>
      <c r="B683" t="str">
        <f>_xll.BDP("912833PU Govt","TICKER")</f>
        <v>S</v>
      </c>
      <c r="C683">
        <f>_xll.BDP("912833PU Govt","CPN")</f>
        <v>0</v>
      </c>
      <c r="D683" t="str">
        <f>_xll.BDP("912833PU Govt","YLD_YTM_BID")</f>
        <v>#N/A N/A</v>
      </c>
      <c r="E683" t="str">
        <f>_xll.BDP("912833PU Govt","MATURITY")</f>
        <v>10/31/1999</v>
      </c>
      <c r="F683" t="str">
        <f>_xll.BDP("912833PU Govt","MTY_TYP")</f>
        <v>NORMAL</v>
      </c>
      <c r="G683" t="str">
        <f>_xll.BDP("912833PU Govt","CRNCY")</f>
        <v>USD</v>
      </c>
      <c r="H683" t="str">
        <f>_xll.BDP("912833PU Govt","COUNTRY_FULL_NAME")</f>
        <v>UNITED STATES</v>
      </c>
      <c r="I683" t="str">
        <f>_xll.BDP("912833PU Govt","FIRST_CPN_DT")</f>
        <v>#N/A Field Not Applicable</v>
      </c>
      <c r="J683" t="str">
        <f>_xll.BDP("912833PU Govt","COUPON_FREQUENCY_DESCRIPTION")</f>
        <v>#N/A Field Not Applicable</v>
      </c>
      <c r="K683" t="str">
        <f>_xll.BDP("912833PU Govt","CPN_TYP")</f>
        <v>ZERO</v>
      </c>
      <c r="L683" t="str">
        <f>_xll.BDP("912833PU Govt","ID_ISIN")</f>
        <v>US912833PU89</v>
      </c>
      <c r="N683">
        <v>0</v>
      </c>
      <c r="O683" t="str">
        <f>_xll.BDP("912833PU Govt","ISSUE_DT")</f>
        <v>10/31/1997</v>
      </c>
      <c r="P683" t="str">
        <f>_xll.BDP("912833PU Govt","SECURITY_NAME")</f>
        <v>S 0 10/31/99</v>
      </c>
      <c r="Q683" t="str">
        <f>_xll.BDP("912833PU Govt","DAY_CNT_DES")</f>
        <v>ACT/ACT</v>
      </c>
      <c r="R683">
        <v>100</v>
      </c>
      <c r="S683" t="str">
        <f>_xll.BDP("912833PU Govt","ID_CUSIP")</f>
        <v>912833PU8</v>
      </c>
      <c r="T683" t="str">
        <f>_xll.BDP("912833PU Govt","IDX_RATIO")</f>
        <v>#N/A Field Not Applicable</v>
      </c>
    </row>
    <row r="684" spans="1:20" x14ac:dyDescent="0.25">
      <c r="A684" t="s">
        <v>14</v>
      </c>
      <c r="B684" t="str">
        <f>_xll.BDP("912833QF Govt","TICKER")</f>
        <v>S</v>
      </c>
      <c r="C684">
        <f>_xll.BDP("912833QF Govt","CPN")</f>
        <v>0</v>
      </c>
      <c r="D684" t="str">
        <f>_xll.BDP("912833QF Govt","YLD_YTM_BID")</f>
        <v>#N/A N/A</v>
      </c>
      <c r="E684" t="str">
        <f>_xll.BDP("912833QF Govt","MATURITY")</f>
        <v>11/30/1999</v>
      </c>
      <c r="F684" t="str">
        <f>_xll.BDP("912833QF Govt","MTY_TYP")</f>
        <v>NORMAL</v>
      </c>
      <c r="G684" t="str">
        <f>_xll.BDP("912833QF Govt","CRNCY")</f>
        <v>USD</v>
      </c>
      <c r="H684" t="str">
        <f>_xll.BDP("912833QF Govt","COUNTRY_FULL_NAME")</f>
        <v>UNITED STATES</v>
      </c>
      <c r="I684" t="str">
        <f>_xll.BDP("912833QF Govt","FIRST_CPN_DT")</f>
        <v>#N/A Field Not Applicable</v>
      </c>
      <c r="J684" t="str">
        <f>_xll.BDP("912833QF Govt","COUPON_FREQUENCY_DESCRIPTION")</f>
        <v>#N/A Field Not Applicable</v>
      </c>
      <c r="K684" t="str">
        <f>_xll.BDP("912833QF Govt","CPN_TYP")</f>
        <v>ZERO</v>
      </c>
      <c r="L684" t="str">
        <f>_xll.BDP("912833QF Govt","ID_ISIN")</f>
        <v>US912833QF04</v>
      </c>
      <c r="N684">
        <v>0</v>
      </c>
      <c r="O684" t="str">
        <f>_xll.BDP("912833QF Govt","ISSUE_DT")</f>
        <v>12/1/1997</v>
      </c>
      <c r="P684" t="str">
        <f>_xll.BDP("912833QF Govt","SECURITY_NAME")</f>
        <v>S 0 11/30/99</v>
      </c>
      <c r="Q684" t="str">
        <f>_xll.BDP("912833QF Govt","DAY_CNT_DES")</f>
        <v>ACT/ACT</v>
      </c>
      <c r="R684">
        <v>100</v>
      </c>
      <c r="S684" t="str">
        <f>_xll.BDP("912833QF Govt","ID_CUSIP")</f>
        <v>912833QF0</v>
      </c>
      <c r="T684" t="str">
        <f>_xll.BDP("912833QF Govt","IDX_RATIO")</f>
        <v>#N/A Field Not Applicable</v>
      </c>
    </row>
    <row r="685" spans="1:20" x14ac:dyDescent="0.25">
      <c r="A685" t="s">
        <v>14</v>
      </c>
      <c r="B685" t="str">
        <f>_xll.BDP("912833QG Govt","TICKER")</f>
        <v>S</v>
      </c>
      <c r="C685">
        <f>_xll.BDP("912833QG Govt","CPN")</f>
        <v>0</v>
      </c>
      <c r="D685" t="str">
        <f>_xll.BDP("912833QG Govt","YLD_YTM_BID")</f>
        <v>#N/A N/A</v>
      </c>
      <c r="E685" t="str">
        <f>_xll.BDP("912833QG Govt","MATURITY")</f>
        <v>5/31/2000</v>
      </c>
      <c r="F685" t="str">
        <f>_xll.BDP("912833QG Govt","MTY_TYP")</f>
        <v>NORMAL</v>
      </c>
      <c r="G685" t="str">
        <f>_xll.BDP("912833QG Govt","CRNCY")</f>
        <v>USD</v>
      </c>
      <c r="H685" t="str">
        <f>_xll.BDP("912833QG Govt","COUNTRY_FULL_NAME")</f>
        <v>UNITED STATES</v>
      </c>
      <c r="I685" t="str">
        <f>_xll.BDP("912833QG Govt","FIRST_CPN_DT")</f>
        <v>#N/A Field Not Applicable</v>
      </c>
      <c r="J685" t="str">
        <f>_xll.BDP("912833QG Govt","COUPON_FREQUENCY_DESCRIPTION")</f>
        <v>#N/A Field Not Applicable</v>
      </c>
      <c r="K685" t="str">
        <f>_xll.BDP("912833QG Govt","CPN_TYP")</f>
        <v>ZERO</v>
      </c>
      <c r="L685" t="str">
        <f>_xll.BDP("912833QG Govt","ID_ISIN")</f>
        <v>US912833QG86</v>
      </c>
      <c r="N685">
        <v>0</v>
      </c>
      <c r="O685" t="str">
        <f>_xll.BDP("912833QG Govt","ISSUE_DT")</f>
        <v>12/1/1997</v>
      </c>
      <c r="P685" t="str">
        <f>_xll.BDP("912833QG Govt","SECURITY_NAME")</f>
        <v>S 0 05/31/00</v>
      </c>
      <c r="Q685" t="str">
        <f>_xll.BDP("912833QG Govt","DAY_CNT_DES")</f>
        <v>ACT/ACT</v>
      </c>
      <c r="R685">
        <v>100</v>
      </c>
      <c r="S685" t="str">
        <f>_xll.BDP("912833QG Govt","ID_CUSIP")</f>
        <v>912833QG8</v>
      </c>
      <c r="T685" t="str">
        <f>_xll.BDP("912833QG Govt","IDX_RATIO")</f>
        <v>#N/A Field Not Applicable</v>
      </c>
    </row>
    <row r="686" spans="1:20" x14ac:dyDescent="0.25">
      <c r="A686" t="s">
        <v>14</v>
      </c>
      <c r="B686" t="str">
        <f>_xll.BDP("912833QJ Govt","TICKER")</f>
        <v>S</v>
      </c>
      <c r="C686">
        <f>_xll.BDP("912833QJ Govt","CPN")</f>
        <v>0</v>
      </c>
      <c r="D686" t="str">
        <f>_xll.BDP("912833QJ Govt","YLD_YTM_BID")</f>
        <v>#N/A N/A</v>
      </c>
      <c r="E686" t="str">
        <f>_xll.BDP("912833QJ Govt","MATURITY")</f>
        <v>5/31/2001</v>
      </c>
      <c r="F686" t="str">
        <f>_xll.BDP("912833QJ Govt","MTY_TYP")</f>
        <v>NORMAL</v>
      </c>
      <c r="G686" t="str">
        <f>_xll.BDP("912833QJ Govt","CRNCY")</f>
        <v>USD</v>
      </c>
      <c r="H686" t="str">
        <f>_xll.BDP("912833QJ Govt","COUNTRY_FULL_NAME")</f>
        <v>UNITED STATES</v>
      </c>
      <c r="I686" t="str">
        <f>_xll.BDP("912833QJ Govt","FIRST_CPN_DT")</f>
        <v>#N/A Field Not Applicable</v>
      </c>
      <c r="J686" t="str">
        <f>_xll.BDP("912833QJ Govt","COUPON_FREQUENCY_DESCRIPTION")</f>
        <v>#N/A Field Not Applicable</v>
      </c>
      <c r="K686" t="str">
        <f>_xll.BDP("912833QJ Govt","CPN_TYP")</f>
        <v>ZERO</v>
      </c>
      <c r="L686" t="str">
        <f>_xll.BDP("912833QJ Govt","ID_ISIN")</f>
        <v>US912833QJ26</v>
      </c>
      <c r="N686">
        <v>0</v>
      </c>
      <c r="O686" t="str">
        <f>_xll.BDP("912833QJ Govt","ISSUE_DT")</f>
        <v>12/1/1997</v>
      </c>
      <c r="P686" t="str">
        <f>_xll.BDP("912833QJ Govt","SECURITY_NAME")</f>
        <v>S 0 05/31/01</v>
      </c>
      <c r="Q686" t="str">
        <f>_xll.BDP("912833QJ Govt","DAY_CNT_DES")</f>
        <v>ACT/ACT</v>
      </c>
      <c r="R686">
        <v>100</v>
      </c>
      <c r="S686" t="str">
        <f>_xll.BDP("912833QJ Govt","ID_CUSIP")</f>
        <v>912833QJ2</v>
      </c>
      <c r="T686" t="str">
        <f>_xll.BDP("912833QJ Govt","IDX_RATIO")</f>
        <v>#N/A Field Not Applicable</v>
      </c>
    </row>
    <row r="687" spans="1:20" x14ac:dyDescent="0.25">
      <c r="A687" t="s">
        <v>14</v>
      </c>
      <c r="B687" t="str">
        <f>_xll.BDP("912833QP Govt","TICKER")</f>
        <v>S</v>
      </c>
      <c r="C687">
        <f>_xll.BDP("912833QP Govt","CPN")</f>
        <v>0</v>
      </c>
      <c r="D687" t="str">
        <f>_xll.BDP("912833QP Govt","YLD_YTM_BID")</f>
        <v>#N/A N/A</v>
      </c>
      <c r="E687" t="str">
        <f>_xll.BDP("912833QP Govt","MATURITY")</f>
        <v>12/31/1998</v>
      </c>
      <c r="F687" t="str">
        <f>_xll.BDP("912833QP Govt","MTY_TYP")</f>
        <v>NORMAL</v>
      </c>
      <c r="G687" t="str">
        <f>_xll.BDP("912833QP Govt","CRNCY")</f>
        <v>USD</v>
      </c>
      <c r="H687" t="str">
        <f>_xll.BDP("912833QP Govt","COUNTRY_FULL_NAME")</f>
        <v>UNITED STATES</v>
      </c>
      <c r="I687" t="str">
        <f>_xll.BDP("912833QP Govt","FIRST_CPN_DT")</f>
        <v>#N/A Field Not Applicable</v>
      </c>
      <c r="J687" t="str">
        <f>_xll.BDP("912833QP Govt","COUPON_FREQUENCY_DESCRIPTION")</f>
        <v>#N/A Field Not Applicable</v>
      </c>
      <c r="K687" t="str">
        <f>_xll.BDP("912833QP Govt","CPN_TYP")</f>
        <v>ZERO</v>
      </c>
      <c r="L687" t="str">
        <f>_xll.BDP("912833QP Govt","ID_ISIN")</f>
        <v>US912833QP85</v>
      </c>
      <c r="N687">
        <v>0</v>
      </c>
      <c r="O687" t="str">
        <f>_xll.BDP("912833QP Govt","ISSUE_DT")</f>
        <v>12/31/1997</v>
      </c>
      <c r="P687" t="str">
        <f>_xll.BDP("912833QP Govt","SECURITY_NAME")</f>
        <v>S 0 12/31/98</v>
      </c>
      <c r="Q687" t="str">
        <f>_xll.BDP("912833QP Govt","DAY_CNT_DES")</f>
        <v>ACT/ACT</v>
      </c>
      <c r="R687">
        <v>100</v>
      </c>
      <c r="S687" t="str">
        <f>_xll.BDP("912833QP Govt","ID_CUSIP")</f>
        <v>912833QP8</v>
      </c>
      <c r="T687" t="str">
        <f>_xll.BDP("912833QP Govt","IDX_RATIO")</f>
        <v>#N/A Field Not Applicable</v>
      </c>
    </row>
    <row r="688" spans="1:20" x14ac:dyDescent="0.25">
      <c r="A688" t="s">
        <v>14</v>
      </c>
      <c r="B688" t="str">
        <f>_xll.BDP("912833QU Govt","TICKER")</f>
        <v>S</v>
      </c>
      <c r="C688">
        <f>_xll.BDP("912833QU Govt","CPN")</f>
        <v>0</v>
      </c>
      <c r="D688" t="str">
        <f>_xll.BDP("912833QU Govt","YLD_YTM_BID")</f>
        <v>#N/A N/A</v>
      </c>
      <c r="E688" t="str">
        <f>_xll.BDP("912833QU Govt","MATURITY")</f>
        <v>6/30/2001</v>
      </c>
      <c r="F688" t="str">
        <f>_xll.BDP("912833QU Govt","MTY_TYP")</f>
        <v>NORMAL</v>
      </c>
      <c r="G688" t="str">
        <f>_xll.BDP("912833QU Govt","CRNCY")</f>
        <v>USD</v>
      </c>
      <c r="H688" t="str">
        <f>_xll.BDP("912833QU Govt","COUNTRY_FULL_NAME")</f>
        <v>UNITED STATES</v>
      </c>
      <c r="I688" t="str">
        <f>_xll.BDP("912833QU Govt","FIRST_CPN_DT")</f>
        <v>#N/A Field Not Applicable</v>
      </c>
      <c r="J688" t="str">
        <f>_xll.BDP("912833QU Govt","COUPON_FREQUENCY_DESCRIPTION")</f>
        <v>#N/A Field Not Applicable</v>
      </c>
      <c r="K688" t="str">
        <f>_xll.BDP("912833QU Govt","CPN_TYP")</f>
        <v>ZERO</v>
      </c>
      <c r="L688" t="str">
        <f>_xll.BDP("912833QU Govt","ID_ISIN")</f>
        <v>US912833QU70</v>
      </c>
      <c r="N688">
        <v>0</v>
      </c>
      <c r="O688" t="str">
        <f>_xll.BDP("912833QU Govt","ISSUE_DT")</f>
        <v>12/31/1997</v>
      </c>
      <c r="P688" t="str">
        <f>_xll.BDP("912833QU Govt","SECURITY_NAME")</f>
        <v>S 0 06/30/01</v>
      </c>
      <c r="Q688" t="str">
        <f>_xll.BDP("912833QU Govt","DAY_CNT_DES")</f>
        <v>ACT/ACT</v>
      </c>
      <c r="R688">
        <v>100</v>
      </c>
      <c r="S688" t="str">
        <f>_xll.BDP("912833QU Govt","ID_CUSIP")</f>
        <v>912833QU7</v>
      </c>
      <c r="T688" t="str">
        <f>_xll.BDP("912833QU Govt","IDX_RATIO")</f>
        <v>#N/A Field Not Applicable</v>
      </c>
    </row>
    <row r="689" spans="1:20" x14ac:dyDescent="0.25">
      <c r="A689" t="s">
        <v>14</v>
      </c>
      <c r="B689" t="str">
        <f>_xll.BDP("912833RB Govt","TICKER")</f>
        <v>S</v>
      </c>
      <c r="C689">
        <f>_xll.BDP("912833RB Govt","CPN")</f>
        <v>0</v>
      </c>
      <c r="D689" t="str">
        <f>_xll.BDP("912833RB Govt","YLD_YTM_BID")</f>
        <v>#N/A N/A</v>
      </c>
      <c r="E689" t="str">
        <f>_xll.BDP("912833RB Govt","MATURITY")</f>
        <v>1/31/2000</v>
      </c>
      <c r="F689" t="str">
        <f>_xll.BDP("912833RB Govt","MTY_TYP")</f>
        <v>NORMAL</v>
      </c>
      <c r="G689" t="str">
        <f>_xll.BDP("912833RB Govt","CRNCY")</f>
        <v>USD</v>
      </c>
      <c r="H689" t="str">
        <f>_xll.BDP("912833RB Govt","COUNTRY_FULL_NAME")</f>
        <v>UNITED STATES</v>
      </c>
      <c r="I689" t="str">
        <f>_xll.BDP("912833RB Govt","FIRST_CPN_DT")</f>
        <v>#N/A Field Not Applicable</v>
      </c>
      <c r="J689" t="str">
        <f>_xll.BDP("912833RB Govt","COUPON_FREQUENCY_DESCRIPTION")</f>
        <v>#N/A Field Not Applicable</v>
      </c>
      <c r="K689" t="str">
        <f>_xll.BDP("912833RB Govt","CPN_TYP")</f>
        <v>ZERO</v>
      </c>
      <c r="L689" t="str">
        <f>_xll.BDP("912833RB Govt","ID_ISIN")</f>
        <v>US912833RB80</v>
      </c>
      <c r="N689">
        <v>0</v>
      </c>
      <c r="O689" t="str">
        <f>_xll.BDP("912833RB Govt","ISSUE_DT")</f>
        <v>2/2/1998</v>
      </c>
      <c r="P689" t="str">
        <f>_xll.BDP("912833RB Govt","SECURITY_NAME")</f>
        <v>S 0 01/31/00</v>
      </c>
      <c r="Q689" t="str">
        <f>_xll.BDP("912833RB Govt","DAY_CNT_DES")</f>
        <v>ACT/ACT</v>
      </c>
      <c r="R689">
        <v>100</v>
      </c>
      <c r="S689" t="str">
        <f>_xll.BDP("912833RB Govt","ID_CUSIP")</f>
        <v>912833RB8</v>
      </c>
      <c r="T689" t="str">
        <f>_xll.BDP("912833RB Govt","IDX_RATIO")</f>
        <v>#N/A Field Not Applicable</v>
      </c>
    </row>
    <row r="690" spans="1:20" x14ac:dyDescent="0.25">
      <c r="A690" t="s">
        <v>14</v>
      </c>
      <c r="B690" t="str">
        <f>_xll.BDP("912833RC Govt","TICKER")</f>
        <v>S</v>
      </c>
      <c r="C690">
        <f>_xll.BDP("912833RC Govt","CPN")</f>
        <v>0</v>
      </c>
      <c r="D690" t="str">
        <f>_xll.BDP("912833RC Govt","YLD_YTM_BID")</f>
        <v>#N/A N/A</v>
      </c>
      <c r="E690" t="str">
        <f>_xll.BDP("912833RC Govt","MATURITY")</f>
        <v>7/31/2000</v>
      </c>
      <c r="F690" t="str">
        <f>_xll.BDP("912833RC Govt","MTY_TYP")</f>
        <v>NORMAL</v>
      </c>
      <c r="G690" t="str">
        <f>_xll.BDP("912833RC Govt","CRNCY")</f>
        <v>USD</v>
      </c>
      <c r="H690" t="str">
        <f>_xll.BDP("912833RC Govt","COUNTRY_FULL_NAME")</f>
        <v>UNITED STATES</v>
      </c>
      <c r="I690" t="str">
        <f>_xll.BDP("912833RC Govt","FIRST_CPN_DT")</f>
        <v>#N/A Field Not Applicable</v>
      </c>
      <c r="J690" t="str">
        <f>_xll.BDP("912833RC Govt","COUPON_FREQUENCY_DESCRIPTION")</f>
        <v>#N/A Field Not Applicable</v>
      </c>
      <c r="K690" t="str">
        <f>_xll.BDP("912833RC Govt","CPN_TYP")</f>
        <v>ZERO</v>
      </c>
      <c r="L690" t="str">
        <f>_xll.BDP("912833RC Govt","ID_ISIN")</f>
        <v>US912833RC63</v>
      </c>
      <c r="N690">
        <v>0</v>
      </c>
      <c r="O690" t="str">
        <f>_xll.BDP("912833RC Govt","ISSUE_DT")</f>
        <v>2/2/1998</v>
      </c>
      <c r="P690" t="str">
        <f>_xll.BDP("912833RC Govt","SECURITY_NAME")</f>
        <v>S 0 07/31/00</v>
      </c>
      <c r="Q690" t="str">
        <f>_xll.BDP("912833RC Govt","DAY_CNT_DES")</f>
        <v>ACT/ACT</v>
      </c>
      <c r="R690">
        <v>100</v>
      </c>
      <c r="S690" t="str">
        <f>_xll.BDP("912833RC Govt","ID_CUSIP")</f>
        <v>912833RC6</v>
      </c>
      <c r="T690" t="str">
        <f>_xll.BDP("912833RC Govt","IDX_RATIO")</f>
        <v>#N/A Field Not Applicable</v>
      </c>
    </row>
    <row r="691" spans="1:20" x14ac:dyDescent="0.25">
      <c r="A691" t="s">
        <v>14</v>
      </c>
      <c r="B691" t="str">
        <f>_xll.BDP("912833RE Govt","TICKER")</f>
        <v>S</v>
      </c>
      <c r="C691">
        <f>_xll.BDP("912833RE Govt","CPN")</f>
        <v>0</v>
      </c>
      <c r="D691" t="str">
        <f>_xll.BDP("912833RE Govt","YLD_YTM_BID")</f>
        <v>#N/A N/A</v>
      </c>
      <c r="E691" t="str">
        <f>_xll.BDP("912833RE Govt","MATURITY")</f>
        <v>7/31/2001</v>
      </c>
      <c r="F691" t="str">
        <f>_xll.BDP("912833RE Govt","MTY_TYP")</f>
        <v>NORMAL</v>
      </c>
      <c r="G691" t="str">
        <f>_xll.BDP("912833RE Govt","CRNCY")</f>
        <v>USD</v>
      </c>
      <c r="H691" t="str">
        <f>_xll.BDP("912833RE Govt","COUNTRY_FULL_NAME")</f>
        <v>UNITED STATES</v>
      </c>
      <c r="I691" t="str">
        <f>_xll.BDP("912833RE Govt","FIRST_CPN_DT")</f>
        <v>#N/A Field Not Applicable</v>
      </c>
      <c r="J691" t="str">
        <f>_xll.BDP("912833RE Govt","COUPON_FREQUENCY_DESCRIPTION")</f>
        <v>#N/A Field Not Applicable</v>
      </c>
      <c r="K691" t="str">
        <f>_xll.BDP("912833RE Govt","CPN_TYP")</f>
        <v>ZERO</v>
      </c>
      <c r="L691" t="str">
        <f>_xll.BDP("912833RE Govt","ID_ISIN")</f>
        <v>US912833RE20</v>
      </c>
      <c r="N691">
        <v>0</v>
      </c>
      <c r="O691" t="str">
        <f>_xll.BDP("912833RE Govt","ISSUE_DT")</f>
        <v>2/2/1998</v>
      </c>
      <c r="P691" t="str">
        <f>_xll.BDP("912833RE Govt","SECURITY_NAME")</f>
        <v>S 0 07/31/01</v>
      </c>
      <c r="Q691" t="str">
        <f>_xll.BDP("912833RE Govt","DAY_CNT_DES")</f>
        <v>ACT/ACT</v>
      </c>
      <c r="R691">
        <v>100</v>
      </c>
      <c r="S691" t="str">
        <f>_xll.BDP("912833RE Govt","ID_CUSIP")</f>
        <v>912833RE2</v>
      </c>
      <c r="T691" t="str">
        <f>_xll.BDP("912833RE Govt","IDX_RATIO")</f>
        <v>#N/A Field Not Applicable</v>
      </c>
    </row>
    <row r="692" spans="1:20" x14ac:dyDescent="0.25">
      <c r="A692" t="s">
        <v>14</v>
      </c>
      <c r="B692" t="str">
        <f>_xll.BDP("912833RQ Govt","TICKER")</f>
        <v>S</v>
      </c>
      <c r="C692">
        <f>_xll.BDP("912833RQ Govt","CPN")</f>
        <v>0</v>
      </c>
      <c r="D692" t="str">
        <f>_xll.BDP("912833RQ Govt","YLD_YTM_BID")</f>
        <v>#N/A N/A</v>
      </c>
      <c r="E692" t="str">
        <f>_xll.BDP("912833RQ Govt","MATURITY")</f>
        <v>8/31/2001</v>
      </c>
      <c r="F692" t="str">
        <f>_xll.BDP("912833RQ Govt","MTY_TYP")</f>
        <v>NORMAL</v>
      </c>
      <c r="G692" t="str">
        <f>_xll.BDP("912833RQ Govt","CRNCY")</f>
        <v>USD</v>
      </c>
      <c r="H692" t="str">
        <f>_xll.BDP("912833RQ Govt","COUNTRY_FULL_NAME")</f>
        <v>UNITED STATES</v>
      </c>
      <c r="I692" t="str">
        <f>_xll.BDP("912833RQ Govt","FIRST_CPN_DT")</f>
        <v>#N/A Field Not Applicable</v>
      </c>
      <c r="J692" t="str">
        <f>_xll.BDP("912833RQ Govt","COUPON_FREQUENCY_DESCRIPTION")</f>
        <v>#N/A Field Not Applicable</v>
      </c>
      <c r="K692" t="str">
        <f>_xll.BDP("912833RQ Govt","CPN_TYP")</f>
        <v>ZERO</v>
      </c>
      <c r="L692" t="str">
        <f>_xll.BDP("912833RQ Govt","ID_ISIN")</f>
        <v>US912833RQ59</v>
      </c>
      <c r="N692">
        <v>0</v>
      </c>
      <c r="O692" t="str">
        <f>_xll.BDP("912833RQ Govt","ISSUE_DT")</f>
        <v>3/2/1998</v>
      </c>
      <c r="P692" t="str">
        <f>_xll.BDP("912833RQ Govt","SECURITY_NAME")</f>
        <v>S 0 08/31/01</v>
      </c>
      <c r="Q692" t="str">
        <f>_xll.BDP("912833RQ Govt","DAY_CNT_DES")</f>
        <v>ACT/ACT</v>
      </c>
      <c r="R692">
        <v>100</v>
      </c>
      <c r="S692" t="str">
        <f>_xll.BDP("912833RQ Govt","ID_CUSIP")</f>
        <v>912833RQ5</v>
      </c>
      <c r="T692" t="str">
        <f>_xll.BDP("912833RQ Govt","IDX_RATIO")</f>
        <v>#N/A Field Not Applicable</v>
      </c>
    </row>
    <row r="693" spans="1:20" x14ac:dyDescent="0.25">
      <c r="A693" t="s">
        <v>14</v>
      </c>
      <c r="B693" t="str">
        <f>_xll.BDP("912833RR Govt","TICKER")</f>
        <v>S</v>
      </c>
      <c r="C693">
        <f>_xll.BDP("912833RR Govt","CPN")</f>
        <v>0</v>
      </c>
      <c r="D693" t="str">
        <f>_xll.BDP("912833RR Govt","YLD_YTM_BID")</f>
        <v>#N/A N/A</v>
      </c>
      <c r="E693" t="str">
        <f>_xll.BDP("912833RR Govt","MATURITY")</f>
        <v>2/28/2002</v>
      </c>
      <c r="F693" t="str">
        <f>_xll.BDP("912833RR Govt","MTY_TYP")</f>
        <v>NORMAL</v>
      </c>
      <c r="G693" t="str">
        <f>_xll.BDP("912833RR Govt","CRNCY")</f>
        <v>USD</v>
      </c>
      <c r="H693" t="str">
        <f>_xll.BDP("912833RR Govt","COUNTRY_FULL_NAME")</f>
        <v>UNITED STATES</v>
      </c>
      <c r="I693" t="str">
        <f>_xll.BDP("912833RR Govt","FIRST_CPN_DT")</f>
        <v>#N/A Field Not Applicable</v>
      </c>
      <c r="J693" t="str">
        <f>_xll.BDP("912833RR Govt","COUPON_FREQUENCY_DESCRIPTION")</f>
        <v>#N/A Field Not Applicable</v>
      </c>
      <c r="K693" t="str">
        <f>_xll.BDP("912833RR Govt","CPN_TYP")</f>
        <v>ZERO</v>
      </c>
      <c r="L693" t="str">
        <f>_xll.BDP("912833RR Govt","ID_ISIN")</f>
        <v>US912833RR33</v>
      </c>
      <c r="N693">
        <v>0</v>
      </c>
      <c r="O693" t="str">
        <f>_xll.BDP("912833RR Govt","ISSUE_DT")</f>
        <v>3/2/1998</v>
      </c>
      <c r="P693" t="str">
        <f>_xll.BDP("912833RR Govt","SECURITY_NAME")</f>
        <v>S 0 02/28/02</v>
      </c>
      <c r="Q693" t="str">
        <f>_xll.BDP("912833RR Govt","DAY_CNT_DES")</f>
        <v>ACT/ACT</v>
      </c>
      <c r="R693">
        <v>100</v>
      </c>
      <c r="S693" t="str">
        <f>_xll.BDP("912833RR Govt","ID_CUSIP")</f>
        <v>912833RR3</v>
      </c>
      <c r="T693" t="str">
        <f>_xll.BDP("912833RR Govt","IDX_RATIO")</f>
        <v>#N/A Field Not Applicable</v>
      </c>
    </row>
    <row r="694" spans="1:20" x14ac:dyDescent="0.25">
      <c r="A694" t="s">
        <v>14</v>
      </c>
      <c r="B694" t="str">
        <f>_xll.BDP("912833YA Govt","TICKER")</f>
        <v>S</v>
      </c>
      <c r="C694">
        <f>_xll.BDP("912833YA Govt","CPN")</f>
        <v>0</v>
      </c>
      <c r="D694" t="str">
        <f>_xll.BDP("912833YA Govt","YLD_YTM_BID")</f>
        <v>#N/A N/A</v>
      </c>
      <c r="E694" t="str">
        <f>_xll.BDP("912833YA Govt","MATURITY")</f>
        <v>7/31/2003</v>
      </c>
      <c r="F694" t="str">
        <f>_xll.BDP("912833YA Govt","MTY_TYP")</f>
        <v>NORMAL</v>
      </c>
      <c r="G694" t="str">
        <f>_xll.BDP("912833YA Govt","CRNCY")</f>
        <v>USD</v>
      </c>
      <c r="H694" t="str">
        <f>_xll.BDP("912833YA Govt","COUNTRY_FULL_NAME")</f>
        <v>UNITED STATES</v>
      </c>
      <c r="I694" t="str">
        <f>_xll.BDP("912833YA Govt","FIRST_CPN_DT")</f>
        <v>#N/A Field Not Applicable</v>
      </c>
      <c r="J694" t="str">
        <f>_xll.BDP("912833YA Govt","COUPON_FREQUENCY_DESCRIPTION")</f>
        <v>#N/A Field Not Applicable</v>
      </c>
      <c r="K694" t="str">
        <f>_xll.BDP("912833YA Govt","CPN_TYP")</f>
        <v>ZERO</v>
      </c>
      <c r="L694" t="str">
        <f>_xll.BDP("912833YA Govt","ID_ISIN")</f>
        <v>US912833YA25</v>
      </c>
      <c r="N694">
        <v>0</v>
      </c>
      <c r="O694" t="str">
        <f>_xll.BDP("912833YA Govt","ISSUE_DT")</f>
        <v>7/31/2001</v>
      </c>
      <c r="P694" t="str">
        <f>_xll.BDP("912833YA Govt","SECURITY_NAME")</f>
        <v>S 0 07/31/03</v>
      </c>
      <c r="Q694" t="str">
        <f>_xll.BDP("912833YA Govt","DAY_CNT_DES")</f>
        <v>ACT/ACT</v>
      </c>
      <c r="R694">
        <v>100</v>
      </c>
      <c r="S694" t="str">
        <f>_xll.BDP("912833YA Govt","ID_CUSIP")</f>
        <v>912833YA2</v>
      </c>
      <c r="T694" t="str">
        <f>_xll.BDP("912833YA Govt","IDX_RATIO")</f>
        <v>#N/A Field Not Applicable</v>
      </c>
    </row>
    <row r="695" spans="1:20" x14ac:dyDescent="0.25">
      <c r="A695" t="s">
        <v>14</v>
      </c>
      <c r="B695" t="str">
        <f>_xll.BDP("912833YZ Govt","TICKER")</f>
        <v>S</v>
      </c>
      <c r="C695">
        <f>_xll.BDP("912833YZ Govt","CPN")</f>
        <v>0</v>
      </c>
      <c r="D695" t="str">
        <f>_xll.BDP("912833YZ Govt","YLD_YTM_BID")</f>
        <v>#N/A N/A</v>
      </c>
      <c r="E695" t="str">
        <f>_xll.BDP("912833YZ Govt","MATURITY")</f>
        <v>9/30/2004</v>
      </c>
      <c r="F695" t="str">
        <f>_xll.BDP("912833YZ Govt","MTY_TYP")</f>
        <v>NORMAL</v>
      </c>
      <c r="G695" t="str">
        <f>_xll.BDP("912833YZ Govt","CRNCY")</f>
        <v>USD</v>
      </c>
      <c r="H695" t="str">
        <f>_xll.BDP("912833YZ Govt","COUNTRY_FULL_NAME")</f>
        <v>UNITED STATES</v>
      </c>
      <c r="I695" t="str">
        <f>_xll.BDP("912833YZ Govt","FIRST_CPN_DT")</f>
        <v>#N/A Field Not Applicable</v>
      </c>
      <c r="J695" t="str">
        <f>_xll.BDP("912833YZ Govt","COUPON_FREQUENCY_DESCRIPTION")</f>
        <v>#N/A Field Not Applicable</v>
      </c>
      <c r="K695" t="str">
        <f>_xll.BDP("912833YZ Govt","CPN_TYP")</f>
        <v>ZERO</v>
      </c>
      <c r="L695" t="str">
        <f>_xll.BDP("912833YZ Govt","ID_ISIN")</f>
        <v>US912833YZ75</v>
      </c>
      <c r="N695">
        <v>0</v>
      </c>
      <c r="O695" t="str">
        <f>_xll.BDP("912833YZ Govt","ISSUE_DT")</f>
        <v>9/30/2002</v>
      </c>
      <c r="P695" t="str">
        <f>_xll.BDP("912833YZ Govt","SECURITY_NAME")</f>
        <v>S 0 09/30/04</v>
      </c>
      <c r="Q695" t="str">
        <f>_xll.BDP("912833YZ Govt","DAY_CNT_DES")</f>
        <v>ACT/ACT</v>
      </c>
      <c r="R695">
        <v>100</v>
      </c>
      <c r="S695" t="str">
        <f>_xll.BDP("912833YZ Govt","ID_CUSIP")</f>
        <v>912833YZ7</v>
      </c>
      <c r="T695" t="str">
        <f>_xll.BDP("912833YZ Govt","IDX_RATIO")</f>
        <v>#N/A Field Not Applicable</v>
      </c>
    </row>
    <row r="696" spans="1:20" x14ac:dyDescent="0.25">
      <c r="A696" t="s">
        <v>14</v>
      </c>
      <c r="B696" t="str">
        <f>_xll.BDP("912833Z7 Govt","TICKER")</f>
        <v>S</v>
      </c>
      <c r="C696">
        <f>_xll.BDP("912833Z7 Govt","CPN")</f>
        <v>0</v>
      </c>
      <c r="D696" t="str">
        <f>_xll.BDP("912833Z7 Govt","YLD_YTM_BID")</f>
        <v>#N/A N/A</v>
      </c>
      <c r="E696" t="str">
        <f>_xll.BDP("912833Z7 Govt","MATURITY")</f>
        <v>2/28/2013</v>
      </c>
      <c r="F696" t="str">
        <f>_xll.BDP("912833Z7 Govt","MTY_TYP")</f>
        <v>NORMAL</v>
      </c>
      <c r="G696" t="str">
        <f>_xll.BDP("912833Z7 Govt","CRNCY")</f>
        <v>USD</v>
      </c>
      <c r="H696" t="str">
        <f>_xll.BDP("912833Z7 Govt","COUNTRY_FULL_NAME")</f>
        <v>UNITED STATES</v>
      </c>
      <c r="I696" t="str">
        <f>_xll.BDP("912833Z7 Govt","FIRST_CPN_DT")</f>
        <v>#N/A Field Not Applicable</v>
      </c>
      <c r="J696" t="str">
        <f>_xll.BDP("912833Z7 Govt","COUPON_FREQUENCY_DESCRIPTION")</f>
        <v>#N/A Field Not Applicable</v>
      </c>
      <c r="K696" t="str">
        <f>_xll.BDP("912833Z7 Govt","CPN_TYP")</f>
        <v>ZERO</v>
      </c>
      <c r="L696" t="str">
        <f>_xll.BDP("912833Z7 Govt","ID_ISIN")</f>
        <v>US912833Z781</v>
      </c>
      <c r="N696">
        <v>0</v>
      </c>
      <c r="O696" t="str">
        <f>_xll.BDP("912833Z7 Govt","ISSUE_DT")</f>
        <v>2/29/2008</v>
      </c>
      <c r="P696" t="str">
        <f>_xll.BDP("912833Z7 Govt","SECURITY_NAME")</f>
        <v>S 0 02/28/13</v>
      </c>
      <c r="Q696" t="str">
        <f>_xll.BDP("912833Z7 Govt","DAY_CNT_DES")</f>
        <v>ACT/ACT</v>
      </c>
      <c r="R696">
        <v>100</v>
      </c>
      <c r="S696" t="str">
        <f>_xll.BDP("912833Z7 Govt","ID_CUSIP")</f>
        <v>912833Z78</v>
      </c>
      <c r="T696" t="str">
        <f>_xll.BDP("912833Z7 Govt","IDX_RATIO")</f>
        <v>#N/A Field Not Applicable</v>
      </c>
    </row>
    <row r="697" spans="1:20" x14ac:dyDescent="0.25">
      <c r="A697" t="s">
        <v>14</v>
      </c>
      <c r="B697" t="str">
        <f>_xll.BDP("912833Z8 Govt","TICKER")</f>
        <v>S</v>
      </c>
      <c r="C697">
        <f>_xll.BDP("912833Z8 Govt","CPN")</f>
        <v>0</v>
      </c>
      <c r="D697" t="str">
        <f>_xll.BDP("912833Z8 Govt","YLD_YTM_BID")</f>
        <v>#N/A N/A</v>
      </c>
      <c r="E697" t="str">
        <f>_xll.BDP("912833Z8 Govt","MATURITY")</f>
        <v>3/31/2013</v>
      </c>
      <c r="F697" t="str">
        <f>_xll.BDP("912833Z8 Govt","MTY_TYP")</f>
        <v>NORMAL</v>
      </c>
      <c r="G697" t="str">
        <f>_xll.BDP("912833Z8 Govt","CRNCY")</f>
        <v>USD</v>
      </c>
      <c r="H697" t="str">
        <f>_xll.BDP("912833Z8 Govt","COUNTRY_FULL_NAME")</f>
        <v>UNITED STATES</v>
      </c>
      <c r="I697" t="str">
        <f>_xll.BDP("912833Z8 Govt","FIRST_CPN_DT")</f>
        <v>#N/A Field Not Applicable</v>
      </c>
      <c r="J697" t="str">
        <f>_xll.BDP("912833Z8 Govt","COUPON_FREQUENCY_DESCRIPTION")</f>
        <v>#N/A Field Not Applicable</v>
      </c>
      <c r="K697" t="str">
        <f>_xll.BDP("912833Z8 Govt","CPN_TYP")</f>
        <v>ZERO</v>
      </c>
      <c r="L697" t="str">
        <f>_xll.BDP("912833Z8 Govt","ID_ISIN")</f>
        <v>US912833Z864</v>
      </c>
      <c r="N697">
        <v>0</v>
      </c>
      <c r="O697" t="str">
        <f>_xll.BDP("912833Z8 Govt","ISSUE_DT")</f>
        <v>3/31/2008</v>
      </c>
      <c r="P697" t="str">
        <f>_xll.BDP("912833Z8 Govt","SECURITY_NAME")</f>
        <v>S 0 03/31/13</v>
      </c>
      <c r="Q697" t="str">
        <f>_xll.BDP("912833Z8 Govt","DAY_CNT_DES")</f>
        <v>ACT/ACT</v>
      </c>
      <c r="R697">
        <v>100</v>
      </c>
      <c r="S697" t="str">
        <f>_xll.BDP("912833Z8 Govt","ID_CUSIP")</f>
        <v>912833Z86</v>
      </c>
      <c r="T697" t="str">
        <f>_xll.BDP("912833Z8 Govt","IDX_RATIO")</f>
        <v>#N/A Field Not Applicable</v>
      </c>
    </row>
    <row r="698" spans="1:20" x14ac:dyDescent="0.25">
      <c r="A698" t="s">
        <v>14</v>
      </c>
      <c r="B698" t="str">
        <f>_xll.BDP("912833ZH Govt","TICKER")</f>
        <v>S</v>
      </c>
      <c r="C698">
        <f>_xll.BDP("912833ZH Govt","CPN")</f>
        <v>0</v>
      </c>
      <c r="D698" t="str">
        <f>_xll.BDP("912833ZH Govt","YLD_YTM_BID")</f>
        <v>#N/A N/A</v>
      </c>
      <c r="E698" t="str">
        <f>_xll.BDP("912833ZH Govt","MATURITY")</f>
        <v>5/31/2005</v>
      </c>
      <c r="F698" t="str">
        <f>_xll.BDP("912833ZH Govt","MTY_TYP")</f>
        <v>NORMAL</v>
      </c>
      <c r="G698" t="str">
        <f>_xll.BDP("912833ZH Govt","CRNCY")</f>
        <v>USD</v>
      </c>
      <c r="H698" t="str">
        <f>_xll.BDP("912833ZH Govt","COUNTRY_FULL_NAME")</f>
        <v>UNITED STATES</v>
      </c>
      <c r="I698" t="str">
        <f>_xll.BDP("912833ZH Govt","FIRST_CPN_DT")</f>
        <v>#N/A Field Not Applicable</v>
      </c>
      <c r="J698" t="str">
        <f>_xll.BDP("912833ZH Govt","COUPON_FREQUENCY_DESCRIPTION")</f>
        <v>#N/A Field Not Applicable</v>
      </c>
      <c r="K698" t="str">
        <f>_xll.BDP("912833ZH Govt","CPN_TYP")</f>
        <v>ZERO</v>
      </c>
      <c r="L698" t="str">
        <f>_xll.BDP("912833ZH Govt","ID_ISIN")</f>
        <v>US912833ZH68</v>
      </c>
      <c r="N698">
        <v>0</v>
      </c>
      <c r="O698" t="str">
        <f>_xll.BDP("912833ZH Govt","ISSUE_DT")</f>
        <v>6/2/2003</v>
      </c>
      <c r="P698" t="str">
        <f>_xll.BDP("912833ZH Govt","SECURITY_NAME")</f>
        <v>S 0 05/31/05</v>
      </c>
      <c r="Q698" t="str">
        <f>_xll.BDP("912833ZH Govt","DAY_CNT_DES")</f>
        <v>ACT/ACT</v>
      </c>
      <c r="R698">
        <v>100</v>
      </c>
      <c r="S698" t="str">
        <f>_xll.BDP("912833ZH Govt","ID_CUSIP")</f>
        <v>912833ZH6</v>
      </c>
      <c r="T698" t="str">
        <f>_xll.BDP("912833ZH Govt","IDX_RATIO")</f>
        <v>#N/A Field Not Applicable</v>
      </c>
    </row>
    <row r="699" spans="1:20" x14ac:dyDescent="0.25">
      <c r="A699" t="s">
        <v>14</v>
      </c>
      <c r="B699" t="str">
        <f>_xll.BDP("912833ZM Govt","TICKER")</f>
        <v>S</v>
      </c>
      <c r="C699">
        <f>_xll.BDP("912833ZM Govt","CPN")</f>
        <v>0</v>
      </c>
      <c r="D699" t="str">
        <f>_xll.BDP("912833ZM Govt","YLD_YTM_BID")</f>
        <v>#N/A N/A</v>
      </c>
      <c r="E699" t="str">
        <f>_xll.BDP("912833ZM Govt","MATURITY")</f>
        <v>7/31/2005</v>
      </c>
      <c r="F699" t="str">
        <f>_xll.BDP("912833ZM Govt","MTY_TYP")</f>
        <v>NORMAL</v>
      </c>
      <c r="G699" t="str">
        <f>_xll.BDP("912833ZM Govt","CRNCY")</f>
        <v>USD</v>
      </c>
      <c r="H699" t="str">
        <f>_xll.BDP("912833ZM Govt","COUNTRY_FULL_NAME")</f>
        <v>UNITED STATES</v>
      </c>
      <c r="I699" t="str">
        <f>_xll.BDP("912833ZM Govt","FIRST_CPN_DT")</f>
        <v>#N/A Field Not Applicable</v>
      </c>
      <c r="J699" t="str">
        <f>_xll.BDP("912833ZM Govt","COUPON_FREQUENCY_DESCRIPTION")</f>
        <v>#N/A Field Not Applicable</v>
      </c>
      <c r="K699" t="str">
        <f>_xll.BDP("912833ZM Govt","CPN_TYP")</f>
        <v>ZERO</v>
      </c>
      <c r="L699" t="str">
        <f>_xll.BDP("912833ZM Govt","ID_ISIN")</f>
        <v>US912833ZM53</v>
      </c>
      <c r="N699">
        <v>0</v>
      </c>
      <c r="O699" t="str">
        <f>_xll.BDP("912833ZM Govt","ISSUE_DT")</f>
        <v>7/31/2003</v>
      </c>
      <c r="P699" t="str">
        <f>_xll.BDP("912833ZM Govt","SECURITY_NAME")</f>
        <v>S 0 07/31/05</v>
      </c>
      <c r="Q699" t="str">
        <f>_xll.BDP("912833ZM Govt","DAY_CNT_DES")</f>
        <v>ACT/ACT</v>
      </c>
      <c r="R699">
        <v>100</v>
      </c>
      <c r="S699" t="str">
        <f>_xll.BDP("912833ZM Govt","ID_CUSIP")</f>
        <v>912833ZM5</v>
      </c>
      <c r="T699" t="str">
        <f>_xll.BDP("912833ZM Govt","IDX_RATIO")</f>
        <v>#N/A Field Not Applicable</v>
      </c>
    </row>
    <row r="700" spans="1:20" x14ac:dyDescent="0.25">
      <c r="A700" t="s">
        <v>14</v>
      </c>
      <c r="B700" t="str">
        <f>_xll.BDP("9128332A Govt","TICKER")</f>
        <v>S</v>
      </c>
      <c r="C700">
        <f>_xll.BDP("9128332A Govt","CPN")</f>
        <v>0</v>
      </c>
      <c r="D700" t="str">
        <f>_xll.BDP("9128332A Govt","YLD_YTM_BID")</f>
        <v>#N/A N/A</v>
      </c>
      <c r="E700" t="str">
        <f>_xll.BDP("9128332A Govt","MATURITY")</f>
        <v>2/28/2006</v>
      </c>
      <c r="F700" t="str">
        <f>_xll.BDP("9128332A Govt","MTY_TYP")</f>
        <v>NORMAL</v>
      </c>
      <c r="G700" t="str">
        <f>_xll.BDP("9128332A Govt","CRNCY")</f>
        <v>USD</v>
      </c>
      <c r="H700" t="str">
        <f>_xll.BDP("9128332A Govt","COUNTRY_FULL_NAME")</f>
        <v>UNITED STATES</v>
      </c>
      <c r="I700" t="str">
        <f>_xll.BDP("9128332A Govt","FIRST_CPN_DT")</f>
        <v>#N/A Field Not Applicable</v>
      </c>
      <c r="J700" t="str">
        <f>_xll.BDP("9128332A Govt","COUPON_FREQUENCY_DESCRIPTION")</f>
        <v>#N/A Field Not Applicable</v>
      </c>
      <c r="K700" t="str">
        <f>_xll.BDP("9128332A Govt","CPN_TYP")</f>
        <v>ZERO</v>
      </c>
      <c r="L700" t="str">
        <f>_xll.BDP("9128332A Govt","ID_ISIN")</f>
        <v>US9128332A70</v>
      </c>
      <c r="N700">
        <v>0</v>
      </c>
      <c r="O700" t="str">
        <f>_xll.BDP("9128332A Govt","ISSUE_DT")</f>
        <v>3/1/2004</v>
      </c>
      <c r="P700" t="str">
        <f>_xll.BDP("9128332A Govt","SECURITY_NAME")</f>
        <v>S 0 02/28/06</v>
      </c>
      <c r="Q700" t="str">
        <f>_xll.BDP("9128332A Govt","DAY_CNT_DES")</f>
        <v>ACT/ACT</v>
      </c>
      <c r="R700">
        <v>100</v>
      </c>
      <c r="S700" t="str">
        <f>_xll.BDP("9128332A Govt","ID_CUSIP")</f>
        <v>9128332A7</v>
      </c>
      <c r="T700" t="str">
        <f>_xll.BDP("9128332A Govt","IDX_RATIO")</f>
        <v>#N/A Field Not Applicable</v>
      </c>
    </row>
    <row r="701" spans="1:20" x14ac:dyDescent="0.25">
      <c r="A701" t="s">
        <v>14</v>
      </c>
      <c r="B701" t="str">
        <f>_xll.BDP("9128332C Govt","TICKER")</f>
        <v>S</v>
      </c>
      <c r="C701">
        <f>_xll.BDP("9128332C Govt","CPN")</f>
        <v>0</v>
      </c>
      <c r="D701" t="str">
        <f>_xll.BDP("9128332C Govt","YLD_YTM_BID")</f>
        <v>#N/A N/A</v>
      </c>
      <c r="E701" t="str">
        <f>_xll.BDP("9128332C Govt","MATURITY")</f>
        <v>3/31/2006</v>
      </c>
      <c r="F701" t="str">
        <f>_xll.BDP("9128332C Govt","MTY_TYP")</f>
        <v>NORMAL</v>
      </c>
      <c r="G701" t="str">
        <f>_xll.BDP("9128332C Govt","CRNCY")</f>
        <v>USD</v>
      </c>
      <c r="H701" t="str">
        <f>_xll.BDP("9128332C Govt","COUNTRY_FULL_NAME")</f>
        <v>UNITED STATES</v>
      </c>
      <c r="I701" t="str">
        <f>_xll.BDP("9128332C Govt","FIRST_CPN_DT")</f>
        <v>#N/A Field Not Applicable</v>
      </c>
      <c r="J701" t="str">
        <f>_xll.BDP("9128332C Govt","COUPON_FREQUENCY_DESCRIPTION")</f>
        <v>#N/A Field Not Applicable</v>
      </c>
      <c r="K701" t="str">
        <f>_xll.BDP("9128332C Govt","CPN_TYP")</f>
        <v>ZERO</v>
      </c>
      <c r="L701" t="str">
        <f>_xll.BDP("9128332C Govt","ID_ISIN")</f>
        <v>US9128332C37</v>
      </c>
      <c r="N701">
        <v>0</v>
      </c>
      <c r="O701" t="str">
        <f>_xll.BDP("9128332C Govt","ISSUE_DT")</f>
        <v>3/31/2004</v>
      </c>
      <c r="P701" t="str">
        <f>_xll.BDP("9128332C Govt","SECURITY_NAME")</f>
        <v>S 0 03/31/06</v>
      </c>
      <c r="Q701" t="str">
        <f>_xll.BDP("9128332C Govt","DAY_CNT_DES")</f>
        <v>ACT/ACT</v>
      </c>
      <c r="R701">
        <v>100</v>
      </c>
      <c r="S701" t="str">
        <f>_xll.BDP("9128332C Govt","ID_CUSIP")</f>
        <v>9128332C3</v>
      </c>
      <c r="T701" t="str">
        <f>_xll.BDP("9128332C Govt","IDX_RATIO")</f>
        <v>#N/A Field Not Applicable</v>
      </c>
    </row>
    <row r="702" spans="1:20" x14ac:dyDescent="0.25">
      <c r="A702" t="s">
        <v>14</v>
      </c>
      <c r="B702" t="str">
        <f>_xll.BDP("9128332F Govt","TICKER")</f>
        <v>S</v>
      </c>
      <c r="C702">
        <f>_xll.BDP("9128332F Govt","CPN")</f>
        <v>0</v>
      </c>
      <c r="D702" t="str">
        <f>_xll.BDP("9128332F Govt","YLD_YTM_BID")</f>
        <v>#N/A N/A</v>
      </c>
      <c r="E702" t="str">
        <f>_xll.BDP("9128332F Govt","MATURITY")</f>
        <v>5/31/2006</v>
      </c>
      <c r="F702" t="str">
        <f>_xll.BDP("9128332F Govt","MTY_TYP")</f>
        <v>NORMAL</v>
      </c>
      <c r="G702" t="str">
        <f>_xll.BDP("9128332F Govt","CRNCY")</f>
        <v>USD</v>
      </c>
      <c r="H702" t="str">
        <f>_xll.BDP("9128332F Govt","COUNTRY_FULL_NAME")</f>
        <v>UNITED STATES</v>
      </c>
      <c r="I702" t="str">
        <f>_xll.BDP("9128332F Govt","FIRST_CPN_DT")</f>
        <v>#N/A Field Not Applicable</v>
      </c>
      <c r="J702" t="str">
        <f>_xll.BDP("9128332F Govt","COUPON_FREQUENCY_DESCRIPTION")</f>
        <v>#N/A Field Not Applicable</v>
      </c>
      <c r="K702" t="str">
        <f>_xll.BDP("9128332F Govt","CPN_TYP")</f>
        <v>ZERO</v>
      </c>
      <c r="L702" t="str">
        <f>_xll.BDP("9128332F Govt","ID_ISIN")</f>
        <v>US9128332F67</v>
      </c>
      <c r="N702">
        <v>0</v>
      </c>
      <c r="O702" t="str">
        <f>_xll.BDP("9128332F Govt","ISSUE_DT")</f>
        <v>6/1/2004</v>
      </c>
      <c r="P702" t="str">
        <f>_xll.BDP("9128332F Govt","SECURITY_NAME")</f>
        <v>S 0 05/31/06</v>
      </c>
      <c r="Q702" t="str">
        <f>_xll.BDP("9128332F Govt","DAY_CNT_DES")</f>
        <v>ACT/ACT</v>
      </c>
      <c r="R702">
        <v>100</v>
      </c>
      <c r="S702" t="str">
        <f>_xll.BDP("9128332F Govt","ID_CUSIP")</f>
        <v>9128332F6</v>
      </c>
      <c r="T702" t="str">
        <f>_xll.BDP("9128332F Govt","IDX_RATIO")</f>
        <v>#N/A Field Not Applicable</v>
      </c>
    </row>
    <row r="703" spans="1:20" x14ac:dyDescent="0.25">
      <c r="A703" t="s">
        <v>14</v>
      </c>
      <c r="B703" t="str">
        <f>_xll.BDP("9128332G Govt","TICKER")</f>
        <v>S</v>
      </c>
      <c r="C703">
        <f>_xll.BDP("9128332G Govt","CPN")</f>
        <v>0</v>
      </c>
      <c r="D703" t="str">
        <f>_xll.BDP("9128332G Govt","YLD_YTM_BID")</f>
        <v>#N/A N/A</v>
      </c>
      <c r="E703" t="str">
        <f>_xll.BDP("9128332G Govt","MATURITY")</f>
        <v>6/15/2009</v>
      </c>
      <c r="F703" t="str">
        <f>_xll.BDP("9128332G Govt","MTY_TYP")</f>
        <v>NORMAL</v>
      </c>
      <c r="G703" t="str">
        <f>_xll.BDP("9128332G Govt","CRNCY")</f>
        <v>USD</v>
      </c>
      <c r="H703" t="str">
        <f>_xll.BDP("9128332G Govt","COUNTRY_FULL_NAME")</f>
        <v>UNITED STATES</v>
      </c>
      <c r="I703" t="str">
        <f>_xll.BDP("9128332G Govt","FIRST_CPN_DT")</f>
        <v>#N/A Field Not Applicable</v>
      </c>
      <c r="J703" t="str">
        <f>_xll.BDP("9128332G Govt","COUPON_FREQUENCY_DESCRIPTION")</f>
        <v>#N/A Field Not Applicable</v>
      </c>
      <c r="K703" t="str">
        <f>_xll.BDP("9128332G Govt","CPN_TYP")</f>
        <v>ZERO</v>
      </c>
      <c r="L703" t="str">
        <f>_xll.BDP("9128332G Govt","ID_ISIN")</f>
        <v>US9128332G41</v>
      </c>
      <c r="N703">
        <v>0</v>
      </c>
      <c r="O703" t="str">
        <f>_xll.BDP("9128332G Govt","ISSUE_DT")</f>
        <v>6/15/2004</v>
      </c>
      <c r="P703" t="str">
        <f>_xll.BDP("9128332G Govt","SECURITY_NAME")</f>
        <v>S 0 06/15/09</v>
      </c>
      <c r="Q703" t="str">
        <f>_xll.BDP("9128332G Govt","DAY_CNT_DES")</f>
        <v>ACT/ACT</v>
      </c>
      <c r="R703">
        <v>100</v>
      </c>
      <c r="S703" t="str">
        <f>_xll.BDP("9128332G Govt","ID_CUSIP")</f>
        <v>9128332G4</v>
      </c>
      <c r="T703" t="str">
        <f>_xll.BDP("9128332G Govt","IDX_RATIO")</f>
        <v>#N/A Field Not Applicable</v>
      </c>
    </row>
    <row r="704" spans="1:20" x14ac:dyDescent="0.25">
      <c r="A704" t="s">
        <v>14</v>
      </c>
      <c r="B704" t="str">
        <f>_xll.BDP("9128333P Govt","TICKER")</f>
        <v>S</v>
      </c>
      <c r="C704">
        <f>_xll.BDP("9128333P Govt","CPN")</f>
        <v>0</v>
      </c>
      <c r="D704" t="str">
        <f>_xll.BDP("9128333P Govt","YLD_YTM_BID")</f>
        <v>#N/A N/A</v>
      </c>
      <c r="E704" t="str">
        <f>_xll.BDP("9128333P Govt","MATURITY")</f>
        <v>11/30/2006</v>
      </c>
      <c r="F704" t="str">
        <f>_xll.BDP("9128333P Govt","MTY_TYP")</f>
        <v>NORMAL</v>
      </c>
      <c r="G704" t="str">
        <f>_xll.BDP("9128333P Govt","CRNCY")</f>
        <v>USD</v>
      </c>
      <c r="H704" t="str">
        <f>_xll.BDP("9128333P Govt","COUNTRY_FULL_NAME")</f>
        <v>UNITED STATES</v>
      </c>
      <c r="I704" t="str">
        <f>_xll.BDP("9128333P Govt","FIRST_CPN_DT")</f>
        <v>#N/A Field Not Applicable</v>
      </c>
      <c r="J704" t="str">
        <f>_xll.BDP("9128333P Govt","COUPON_FREQUENCY_DESCRIPTION")</f>
        <v>#N/A Field Not Applicable</v>
      </c>
      <c r="K704" t="str">
        <f>_xll.BDP("9128333P Govt","CPN_TYP")</f>
        <v>ZERO</v>
      </c>
      <c r="L704" t="str">
        <f>_xll.BDP("9128333P Govt","ID_ISIN")</f>
        <v>US9128333P31</v>
      </c>
      <c r="N704">
        <v>0</v>
      </c>
      <c r="O704" t="str">
        <f>_xll.BDP("9128333P Govt","ISSUE_DT")</f>
        <v>11/30/2004</v>
      </c>
      <c r="P704" t="str">
        <f>_xll.BDP("9128333P Govt","SECURITY_NAME")</f>
        <v>S 0 11/30/06</v>
      </c>
      <c r="Q704" t="str">
        <f>_xll.BDP("9128333P Govt","DAY_CNT_DES")</f>
        <v>ACT/ACT</v>
      </c>
      <c r="R704">
        <v>100</v>
      </c>
      <c r="S704" t="str">
        <f>_xll.BDP("9128333P Govt","ID_CUSIP")</f>
        <v>9128333P3</v>
      </c>
      <c r="T704" t="str">
        <f>_xll.BDP("9128333P Govt","IDX_RATIO")</f>
        <v>#N/A Field Not Applicable</v>
      </c>
    </row>
    <row r="705" spans="1:20" x14ac:dyDescent="0.25">
      <c r="A705" t="s">
        <v>14</v>
      </c>
      <c r="B705" t="str">
        <f>_xll.BDP("9128333R Govt","TICKER")</f>
        <v>S</v>
      </c>
      <c r="C705">
        <f>_xll.BDP("9128333R Govt","CPN")</f>
        <v>0</v>
      </c>
      <c r="D705" t="str">
        <f>_xll.BDP("9128333R Govt","YLD_YTM_BID")</f>
        <v>#N/A N/A</v>
      </c>
      <c r="E705" t="str">
        <f>_xll.BDP("9128333R Govt","MATURITY")</f>
        <v>12/31/2006</v>
      </c>
      <c r="F705" t="str">
        <f>_xll.BDP("9128333R Govt","MTY_TYP")</f>
        <v>NORMAL</v>
      </c>
      <c r="G705" t="str">
        <f>_xll.BDP("9128333R Govt","CRNCY")</f>
        <v>USD</v>
      </c>
      <c r="H705" t="str">
        <f>_xll.BDP("9128333R Govt","COUNTRY_FULL_NAME")</f>
        <v>UNITED STATES</v>
      </c>
      <c r="I705" t="str">
        <f>_xll.BDP("9128333R Govt","FIRST_CPN_DT")</f>
        <v>#N/A Field Not Applicable</v>
      </c>
      <c r="J705" t="str">
        <f>_xll.BDP("9128333R Govt","COUPON_FREQUENCY_DESCRIPTION")</f>
        <v>#N/A Field Not Applicable</v>
      </c>
      <c r="K705" t="str">
        <f>_xll.BDP("9128333R Govt","CPN_TYP")</f>
        <v>ZERO</v>
      </c>
      <c r="L705" t="str">
        <f>_xll.BDP("9128333R Govt","ID_ISIN")</f>
        <v>US9128333R96</v>
      </c>
      <c r="N705">
        <v>0</v>
      </c>
      <c r="O705" t="str">
        <f>_xll.BDP("9128333R Govt","ISSUE_DT")</f>
        <v>12/31/2004</v>
      </c>
      <c r="P705" t="str">
        <f>_xll.BDP("9128333R Govt","SECURITY_NAME")</f>
        <v>S 0 12/31/06</v>
      </c>
      <c r="Q705" t="str">
        <f>_xll.BDP("9128333R Govt","DAY_CNT_DES")</f>
        <v>ACT/ACT</v>
      </c>
      <c r="R705">
        <v>100</v>
      </c>
      <c r="S705" t="str">
        <f>_xll.BDP("9128333R Govt","ID_CUSIP")</f>
        <v>9128333R9</v>
      </c>
      <c r="T705" t="str">
        <f>_xll.BDP("9128333R Govt","IDX_RATIO")</f>
        <v>#N/A Field Not Applicable</v>
      </c>
    </row>
    <row r="706" spans="1:20" x14ac:dyDescent="0.25">
      <c r="A706" t="s">
        <v>14</v>
      </c>
      <c r="B706" t="str">
        <f>_xll.BDP("9128333U Govt","TICKER")</f>
        <v>S</v>
      </c>
      <c r="C706">
        <f>_xll.BDP("9128333U Govt","CPN")</f>
        <v>0</v>
      </c>
      <c r="D706" t="str">
        <f>_xll.BDP("9128333U Govt","YLD_YTM_BID")</f>
        <v>#N/A N/A</v>
      </c>
      <c r="E706" t="str">
        <f>_xll.BDP("9128333U Govt","MATURITY")</f>
        <v>2/28/2007</v>
      </c>
      <c r="F706" t="str">
        <f>_xll.BDP("9128333U Govt","MTY_TYP")</f>
        <v>NORMAL</v>
      </c>
      <c r="G706" t="str">
        <f>_xll.BDP("9128333U Govt","CRNCY")</f>
        <v>USD</v>
      </c>
      <c r="H706" t="str">
        <f>_xll.BDP("9128333U Govt","COUNTRY_FULL_NAME")</f>
        <v>UNITED STATES</v>
      </c>
      <c r="I706" t="str">
        <f>_xll.BDP("9128333U Govt","FIRST_CPN_DT")</f>
        <v>#N/A Field Not Applicable</v>
      </c>
      <c r="J706" t="str">
        <f>_xll.BDP("9128333U Govt","COUPON_FREQUENCY_DESCRIPTION")</f>
        <v>#N/A Field Not Applicable</v>
      </c>
      <c r="K706" t="str">
        <f>_xll.BDP("9128333U Govt","CPN_TYP")</f>
        <v>ZERO</v>
      </c>
      <c r="L706" t="str">
        <f>_xll.BDP("9128333U Govt","ID_ISIN")</f>
        <v>US9128333U26</v>
      </c>
      <c r="N706">
        <v>0</v>
      </c>
      <c r="O706" t="str">
        <f>_xll.BDP("9128333U Govt","ISSUE_DT")</f>
        <v>2/28/2005</v>
      </c>
      <c r="P706" t="str">
        <f>_xll.BDP("9128333U Govt","SECURITY_NAME")</f>
        <v>S 0 02/28/07</v>
      </c>
      <c r="Q706" t="str">
        <f>_xll.BDP("9128333U Govt","DAY_CNT_DES")</f>
        <v>ACT/ACT</v>
      </c>
      <c r="R706">
        <v>100</v>
      </c>
      <c r="S706" t="str">
        <f>_xll.BDP("9128333U Govt","ID_CUSIP")</f>
        <v>9128333U2</v>
      </c>
      <c r="T706" t="str">
        <f>_xll.BDP("9128333U Govt","IDX_RATIO")</f>
        <v>#N/A Field Not Applicable</v>
      </c>
    </row>
    <row r="707" spans="1:20" x14ac:dyDescent="0.25">
      <c r="A707" t="s">
        <v>14</v>
      </c>
      <c r="B707" t="str">
        <f>_xll.BDP("9128334C Govt","TICKER")</f>
        <v>S</v>
      </c>
      <c r="C707">
        <f>_xll.BDP("9128334C Govt","CPN")</f>
        <v>0</v>
      </c>
      <c r="D707" t="str">
        <f>_xll.BDP("9128334C Govt","YLD_YTM_BID")</f>
        <v>#N/A N/A</v>
      </c>
      <c r="E707" t="str">
        <f>_xll.BDP("9128334C Govt","MATURITY")</f>
        <v>7/15/2010</v>
      </c>
      <c r="F707" t="str">
        <f>_xll.BDP("9128334C Govt","MTY_TYP")</f>
        <v>NORMAL</v>
      </c>
      <c r="G707" t="str">
        <f>_xll.BDP("9128334C Govt","CRNCY")</f>
        <v>USD</v>
      </c>
      <c r="H707" t="str">
        <f>_xll.BDP("9128334C Govt","COUNTRY_FULL_NAME")</f>
        <v>UNITED STATES</v>
      </c>
      <c r="I707" t="str">
        <f>_xll.BDP("9128334C Govt","FIRST_CPN_DT")</f>
        <v>#N/A Field Not Applicable</v>
      </c>
      <c r="J707" t="str">
        <f>_xll.BDP("9128334C Govt","COUPON_FREQUENCY_DESCRIPTION")</f>
        <v>#N/A Field Not Applicable</v>
      </c>
      <c r="K707" t="str">
        <f>_xll.BDP("9128334C Govt","CPN_TYP")</f>
        <v>ZERO</v>
      </c>
      <c r="L707" t="str">
        <f>_xll.BDP("9128334C Govt","ID_ISIN")</f>
        <v>US9128334C19</v>
      </c>
      <c r="N707">
        <v>0</v>
      </c>
      <c r="O707" t="str">
        <f>_xll.BDP("9128334C Govt","ISSUE_DT")</f>
        <v>7/15/2005</v>
      </c>
      <c r="P707" t="str">
        <f>_xll.BDP("9128334C Govt","SECURITY_NAME")</f>
        <v>S 0 07/15/10</v>
      </c>
      <c r="Q707" t="str">
        <f>_xll.BDP("9128334C Govt","DAY_CNT_DES")</f>
        <v>ACT/ACT</v>
      </c>
      <c r="R707">
        <v>100</v>
      </c>
      <c r="S707" t="str">
        <f>_xll.BDP("9128334C Govt","ID_CUSIP")</f>
        <v>9128334C1</v>
      </c>
      <c r="T707" t="str">
        <f>_xll.BDP("9128334C Govt","IDX_RATIO")</f>
        <v>#N/A Field Not Applicable</v>
      </c>
    </row>
    <row r="708" spans="1:20" x14ac:dyDescent="0.25">
      <c r="A708" t="s">
        <v>14</v>
      </c>
      <c r="B708" t="str">
        <f>_xll.BDP("9128334E Govt","TICKER")</f>
        <v>S</v>
      </c>
      <c r="C708">
        <f>_xll.BDP("9128334E Govt","CPN")</f>
        <v>0</v>
      </c>
      <c r="D708" t="str">
        <f>_xll.BDP("9128334E Govt","YLD_YTM_BID")</f>
        <v>#N/A N/A</v>
      </c>
      <c r="E708" t="str">
        <f>_xll.BDP("9128334E Govt","MATURITY")</f>
        <v>8/31/2007</v>
      </c>
      <c r="F708" t="str">
        <f>_xll.BDP("9128334E Govt","MTY_TYP")</f>
        <v>NORMAL</v>
      </c>
      <c r="G708" t="str">
        <f>_xll.BDP("9128334E Govt","CRNCY")</f>
        <v>USD</v>
      </c>
      <c r="H708" t="str">
        <f>_xll.BDP("9128334E Govt","COUNTRY_FULL_NAME")</f>
        <v>UNITED STATES</v>
      </c>
      <c r="I708" t="str">
        <f>_xll.BDP("9128334E Govt","FIRST_CPN_DT")</f>
        <v>#N/A Field Not Applicable</v>
      </c>
      <c r="J708" t="str">
        <f>_xll.BDP("9128334E Govt","COUPON_FREQUENCY_DESCRIPTION")</f>
        <v>#N/A Field Not Applicable</v>
      </c>
      <c r="K708" t="str">
        <f>_xll.BDP("9128334E Govt","CPN_TYP")</f>
        <v>ZERO</v>
      </c>
      <c r="L708" t="str">
        <f>_xll.BDP("9128334E Govt","ID_ISIN")</f>
        <v>US9128334E74</v>
      </c>
      <c r="N708">
        <v>0</v>
      </c>
      <c r="O708" t="str">
        <f>_xll.BDP("9128334E Govt","ISSUE_DT")</f>
        <v>8/31/2005</v>
      </c>
      <c r="P708" t="str">
        <f>_xll.BDP("9128334E Govt","SECURITY_NAME")</f>
        <v>S 0 08/31/07</v>
      </c>
      <c r="Q708" t="str">
        <f>_xll.BDP("9128334E Govt","DAY_CNT_DES")</f>
        <v>ACT/ACT</v>
      </c>
      <c r="R708">
        <v>100</v>
      </c>
      <c r="S708" t="str">
        <f>_xll.BDP("9128334E Govt","ID_CUSIP")</f>
        <v>9128334E7</v>
      </c>
      <c r="T708" t="str">
        <f>_xll.BDP("9128334E Govt","IDX_RATIO")</f>
        <v>#N/A Field Not Applicable</v>
      </c>
    </row>
    <row r="709" spans="1:20" x14ac:dyDescent="0.25">
      <c r="A709" t="s">
        <v>14</v>
      </c>
      <c r="B709" t="str">
        <f>_xll.BDP("9128334G Govt","TICKER")</f>
        <v>S</v>
      </c>
      <c r="C709">
        <f>_xll.BDP("9128334G Govt","CPN")</f>
        <v>0</v>
      </c>
      <c r="D709" t="str">
        <f>_xll.BDP("9128334G Govt","YLD_YTM_BID")</f>
        <v>#N/A N/A</v>
      </c>
      <c r="E709" t="str">
        <f>_xll.BDP("9128334G Govt","MATURITY")</f>
        <v>9/30/2007</v>
      </c>
      <c r="F709" t="str">
        <f>_xll.BDP("9128334G Govt","MTY_TYP")</f>
        <v>NORMAL</v>
      </c>
      <c r="G709" t="str">
        <f>_xll.BDP("9128334G Govt","CRNCY")</f>
        <v>USD</v>
      </c>
      <c r="H709" t="str">
        <f>_xll.BDP("9128334G Govt","COUNTRY_FULL_NAME")</f>
        <v>UNITED STATES</v>
      </c>
      <c r="I709" t="str">
        <f>_xll.BDP("9128334G Govt","FIRST_CPN_DT")</f>
        <v>#N/A Field Not Applicable</v>
      </c>
      <c r="J709" t="str">
        <f>_xll.BDP("9128334G Govt","COUPON_FREQUENCY_DESCRIPTION")</f>
        <v>#N/A Field Not Applicable</v>
      </c>
      <c r="K709" t="str">
        <f>_xll.BDP("9128334G Govt","CPN_TYP")</f>
        <v>ZERO</v>
      </c>
      <c r="L709" t="str">
        <f>_xll.BDP("9128334G Govt","ID_ISIN")</f>
        <v>US9128334G23</v>
      </c>
      <c r="N709">
        <v>0</v>
      </c>
      <c r="O709" t="str">
        <f>_xll.BDP("9128334G Govt","ISSUE_DT")</f>
        <v>9/30/2005</v>
      </c>
      <c r="P709" t="str">
        <f>_xll.BDP("9128334G Govt","SECURITY_NAME")</f>
        <v>S 0 09/30/07</v>
      </c>
      <c r="Q709" t="str">
        <f>_xll.BDP("9128334G Govt","DAY_CNT_DES")</f>
        <v>ACT/ACT</v>
      </c>
      <c r="R709">
        <v>100</v>
      </c>
      <c r="S709" t="str">
        <f>_xll.BDP("9128334G Govt","ID_CUSIP")</f>
        <v>9128334G2</v>
      </c>
      <c r="T709" t="str">
        <f>_xll.BDP("9128334G Govt","IDX_RATIO")</f>
        <v>#N/A Field Not Applicable</v>
      </c>
    </row>
    <row r="710" spans="1:20" x14ac:dyDescent="0.25">
      <c r="A710" t="s">
        <v>14</v>
      </c>
      <c r="B710" t="str">
        <f>_xll.BDP("9128335M Govt","TICKER")</f>
        <v>S</v>
      </c>
      <c r="C710">
        <f>_xll.BDP("9128335M Govt","CPN")</f>
        <v>0</v>
      </c>
      <c r="D710" t="str">
        <f>_xll.BDP("9128335M Govt","YLD_YTM_BID")</f>
        <v>#N/A N/A</v>
      </c>
      <c r="E710" t="str">
        <f>_xll.BDP("9128335M Govt","MATURITY")</f>
        <v>3/31/2009</v>
      </c>
      <c r="F710" t="str">
        <f>_xll.BDP("9128335M Govt","MTY_TYP")</f>
        <v>NORMAL</v>
      </c>
      <c r="G710" t="str">
        <f>_xll.BDP("9128335M Govt","CRNCY")</f>
        <v>USD</v>
      </c>
      <c r="H710" t="str">
        <f>_xll.BDP("9128335M Govt","COUNTRY_FULL_NAME")</f>
        <v>UNITED STATES</v>
      </c>
      <c r="I710" t="str">
        <f>_xll.BDP("9128335M Govt","FIRST_CPN_DT")</f>
        <v>#N/A Field Not Applicable</v>
      </c>
      <c r="J710" t="str">
        <f>_xll.BDP("9128335M Govt","COUPON_FREQUENCY_DESCRIPTION")</f>
        <v>#N/A Field Not Applicable</v>
      </c>
      <c r="K710" t="str">
        <f>_xll.BDP("9128335M Govt","CPN_TYP")</f>
        <v>ZERO</v>
      </c>
      <c r="L710" t="str">
        <f>_xll.BDP("9128335M Govt","ID_ISIN")</f>
        <v>US9128335M81</v>
      </c>
      <c r="N710">
        <v>0</v>
      </c>
      <c r="O710" t="str">
        <f>_xll.BDP("9128335M Govt","ISSUE_DT")</f>
        <v>3/31/2006</v>
      </c>
      <c r="P710" t="str">
        <f>_xll.BDP("9128335M Govt","SECURITY_NAME")</f>
        <v>S 0 03/31/09</v>
      </c>
      <c r="Q710" t="str">
        <f>_xll.BDP("9128335M Govt","DAY_CNT_DES")</f>
        <v>ACT/ACT</v>
      </c>
      <c r="R710">
        <v>100</v>
      </c>
      <c r="S710" t="str">
        <f>_xll.BDP("9128335M Govt","ID_CUSIP")</f>
        <v>9128335M8</v>
      </c>
      <c r="T710" t="str">
        <f>_xll.BDP("9128335M Govt","IDX_RATIO")</f>
        <v>#N/A Field Not Applicable</v>
      </c>
    </row>
    <row r="711" spans="1:20" x14ac:dyDescent="0.25">
      <c r="A711" t="s">
        <v>14</v>
      </c>
      <c r="B711" t="str">
        <f>_xll.BDP("9128335Q Govt","TICKER")</f>
        <v>S</v>
      </c>
      <c r="C711">
        <f>_xll.BDP("9128335Q Govt","CPN")</f>
        <v>0</v>
      </c>
      <c r="D711" t="str">
        <f>_xll.BDP("9128335Q Govt","YLD_YTM_BID")</f>
        <v>#N/A N/A</v>
      </c>
      <c r="E711" t="str">
        <f>_xll.BDP("9128335Q Govt","MATURITY")</f>
        <v>9/30/2010</v>
      </c>
      <c r="F711" t="str">
        <f>_xll.BDP("9128335Q Govt","MTY_TYP")</f>
        <v>NORMAL</v>
      </c>
      <c r="G711" t="str">
        <f>_xll.BDP("9128335Q Govt","CRNCY")</f>
        <v>USD</v>
      </c>
      <c r="H711" t="str">
        <f>_xll.BDP("9128335Q Govt","COUNTRY_FULL_NAME")</f>
        <v>UNITED STATES</v>
      </c>
      <c r="I711" t="str">
        <f>_xll.BDP("9128335Q Govt","FIRST_CPN_DT")</f>
        <v>#N/A Field Not Applicable</v>
      </c>
      <c r="J711" t="str">
        <f>_xll.BDP("9128335Q Govt","COUPON_FREQUENCY_DESCRIPTION")</f>
        <v>#N/A Field Not Applicable</v>
      </c>
      <c r="K711" t="str">
        <f>_xll.BDP("9128335Q Govt","CPN_TYP")</f>
        <v>ZERO</v>
      </c>
      <c r="L711" t="str">
        <f>_xll.BDP("9128335Q Govt","ID_ISIN")</f>
        <v>US9128335Q95</v>
      </c>
      <c r="N711">
        <v>0</v>
      </c>
      <c r="O711" t="str">
        <f>_xll.BDP("9128335Q Govt","ISSUE_DT")</f>
        <v>3/31/2006</v>
      </c>
      <c r="P711" t="str">
        <f>_xll.BDP("9128335Q Govt","SECURITY_NAME")</f>
        <v>S 0 09/30/10</v>
      </c>
      <c r="Q711" t="str">
        <f>_xll.BDP("9128335Q Govt","DAY_CNT_DES")</f>
        <v>ACT/ACT</v>
      </c>
      <c r="R711">
        <v>100</v>
      </c>
      <c r="S711" t="str">
        <f>_xll.BDP("9128335Q Govt","ID_CUSIP")</f>
        <v>9128335Q9</v>
      </c>
      <c r="T711" t="str">
        <f>_xll.BDP("9128335Q Govt","IDX_RATIO")</f>
        <v>#N/A Field Not Applicable</v>
      </c>
    </row>
    <row r="712" spans="1:20" x14ac:dyDescent="0.25">
      <c r="A712" t="s">
        <v>14</v>
      </c>
      <c r="B712" t="str">
        <f>_xll.BDP("9128335U Govt","TICKER")</f>
        <v>S</v>
      </c>
      <c r="C712">
        <f>_xll.BDP("9128335U Govt","CPN")</f>
        <v>0</v>
      </c>
      <c r="D712" t="str">
        <f>_xll.BDP("9128335U Govt","YLD_YTM_BID")</f>
        <v>#N/A N/A</v>
      </c>
      <c r="E712" t="str">
        <f>_xll.BDP("9128335U Govt","MATURITY")</f>
        <v>4/30/2009</v>
      </c>
      <c r="F712" t="str">
        <f>_xll.BDP("9128335U Govt","MTY_TYP")</f>
        <v>NORMAL</v>
      </c>
      <c r="G712" t="str">
        <f>_xll.BDP("9128335U Govt","CRNCY")</f>
        <v>USD</v>
      </c>
      <c r="H712" t="str">
        <f>_xll.BDP("9128335U Govt","COUNTRY_FULL_NAME")</f>
        <v>UNITED STATES</v>
      </c>
      <c r="I712" t="str">
        <f>_xll.BDP("9128335U Govt","FIRST_CPN_DT")</f>
        <v>#N/A Field Not Applicable</v>
      </c>
      <c r="J712" t="str">
        <f>_xll.BDP("9128335U Govt","COUPON_FREQUENCY_DESCRIPTION")</f>
        <v>#N/A Field Not Applicable</v>
      </c>
      <c r="K712" t="str">
        <f>_xll.BDP("9128335U Govt","CPN_TYP")</f>
        <v>ZERO</v>
      </c>
      <c r="L712" t="str">
        <f>_xll.BDP("9128335U Govt","ID_ISIN")</f>
        <v>US9128335U08</v>
      </c>
      <c r="N712">
        <v>0</v>
      </c>
      <c r="O712" t="str">
        <f>_xll.BDP("9128335U Govt","ISSUE_DT")</f>
        <v>5/1/2006</v>
      </c>
      <c r="P712" t="str">
        <f>_xll.BDP("9128335U Govt","SECURITY_NAME")</f>
        <v>S 0 04/30/09</v>
      </c>
      <c r="Q712" t="str">
        <f>_xll.BDP("9128335U Govt","DAY_CNT_DES")</f>
        <v>ACT/ACT</v>
      </c>
      <c r="R712">
        <v>100</v>
      </c>
      <c r="S712" t="str">
        <f>_xll.BDP("9128335U Govt","ID_CUSIP")</f>
        <v>9128335U0</v>
      </c>
      <c r="T712" t="str">
        <f>_xll.BDP("9128335U Govt","IDX_RATIO")</f>
        <v>#N/A Field Not Applicable</v>
      </c>
    </row>
    <row r="713" spans="1:20" x14ac:dyDescent="0.25">
      <c r="A713" t="s">
        <v>14</v>
      </c>
      <c r="B713" t="str">
        <f>_xll.BDP("9128336C Govt","TICKER")</f>
        <v>S</v>
      </c>
      <c r="C713">
        <f>_xll.BDP("9128336C Govt","CPN")</f>
        <v>0</v>
      </c>
      <c r="D713" t="str">
        <f>_xll.BDP("9128336C Govt","YLD_YTM_BID")</f>
        <v>#N/A N/A</v>
      </c>
      <c r="E713" t="str">
        <f>_xll.BDP("9128336C Govt","MATURITY")</f>
        <v>11/30/2009</v>
      </c>
      <c r="F713" t="str">
        <f>_xll.BDP("9128336C Govt","MTY_TYP")</f>
        <v>NORMAL</v>
      </c>
      <c r="G713" t="str">
        <f>_xll.BDP("9128336C Govt","CRNCY")</f>
        <v>USD</v>
      </c>
      <c r="H713" t="str">
        <f>_xll.BDP("9128336C Govt","COUNTRY_FULL_NAME")</f>
        <v>UNITED STATES</v>
      </c>
      <c r="I713" t="str">
        <f>_xll.BDP("9128336C Govt","FIRST_CPN_DT")</f>
        <v>#N/A Field Not Applicable</v>
      </c>
      <c r="J713" t="str">
        <f>_xll.BDP("9128336C Govt","COUPON_FREQUENCY_DESCRIPTION")</f>
        <v>#N/A Field Not Applicable</v>
      </c>
      <c r="K713" t="str">
        <f>_xll.BDP("9128336C Govt","CPN_TYP")</f>
        <v>ZERO</v>
      </c>
      <c r="L713" t="str">
        <f>_xll.BDP("9128336C Govt","ID_ISIN")</f>
        <v>US9128336C90</v>
      </c>
      <c r="N713">
        <v>0</v>
      </c>
      <c r="O713" t="str">
        <f>_xll.BDP("9128336C Govt","ISSUE_DT")</f>
        <v>5/31/2006</v>
      </c>
      <c r="P713" t="str">
        <f>_xll.BDP("9128336C Govt","SECURITY_NAME")</f>
        <v>S 0 11/30/09</v>
      </c>
      <c r="Q713" t="str">
        <f>_xll.BDP("9128336C Govt","DAY_CNT_DES")</f>
        <v>ACT/ACT</v>
      </c>
      <c r="R713">
        <v>100</v>
      </c>
      <c r="S713" t="str">
        <f>_xll.BDP("9128336C Govt","ID_CUSIP")</f>
        <v>9128336C9</v>
      </c>
      <c r="T713" t="str">
        <f>_xll.BDP("9128336C Govt","IDX_RATIO")</f>
        <v>#N/A Field Not Applicable</v>
      </c>
    </row>
    <row r="714" spans="1:20" x14ac:dyDescent="0.25">
      <c r="A714" t="s">
        <v>14</v>
      </c>
      <c r="B714" t="str">
        <f>_xll.BDP("9128336T Govt","TICKER")</f>
        <v>S</v>
      </c>
      <c r="C714">
        <f>_xll.BDP("9128336T Govt","CPN")</f>
        <v>0</v>
      </c>
      <c r="D714" t="str">
        <f>_xll.BDP("9128336T Govt","YLD_YTM_BID")</f>
        <v>#N/A N/A</v>
      </c>
      <c r="E714" t="str">
        <f>_xll.BDP("9128336T Govt","MATURITY")</f>
        <v>7/31/2010</v>
      </c>
      <c r="F714" t="str">
        <f>_xll.BDP("9128336T Govt","MTY_TYP")</f>
        <v>NORMAL</v>
      </c>
      <c r="G714" t="str">
        <f>_xll.BDP("9128336T Govt","CRNCY")</f>
        <v>USD</v>
      </c>
      <c r="H714" t="str">
        <f>_xll.BDP("9128336T Govt","COUNTRY_FULL_NAME")</f>
        <v>UNITED STATES</v>
      </c>
      <c r="I714" t="str">
        <f>_xll.BDP("9128336T Govt","FIRST_CPN_DT")</f>
        <v>#N/A Field Not Applicable</v>
      </c>
      <c r="J714" t="str">
        <f>_xll.BDP("9128336T Govt","COUPON_FREQUENCY_DESCRIPTION")</f>
        <v>#N/A Field Not Applicable</v>
      </c>
      <c r="K714" t="str">
        <f>_xll.BDP("9128336T Govt","CPN_TYP")</f>
        <v>ZERO</v>
      </c>
      <c r="L714" t="str">
        <f>_xll.BDP("9128336T Govt","ID_ISIN")</f>
        <v>US9128336T26</v>
      </c>
      <c r="N714">
        <v>0</v>
      </c>
      <c r="O714" t="str">
        <f>_xll.BDP("9128336T Govt","ISSUE_DT")</f>
        <v>7/31/2006</v>
      </c>
      <c r="P714" t="str">
        <f>_xll.BDP("9128336T Govt","SECURITY_NAME")</f>
        <v>S 0 07/31/10</v>
      </c>
      <c r="Q714" t="str">
        <f>_xll.BDP("9128336T Govt","DAY_CNT_DES")</f>
        <v>ACT/ACT</v>
      </c>
      <c r="R714">
        <v>100</v>
      </c>
      <c r="S714" t="str">
        <f>_xll.BDP("9128336T Govt","ID_CUSIP")</f>
        <v>9128336T2</v>
      </c>
      <c r="T714" t="str">
        <f>_xll.BDP("9128336T Govt","IDX_RATIO")</f>
        <v>#N/A Field Not Applicable</v>
      </c>
    </row>
    <row r="715" spans="1:20" x14ac:dyDescent="0.25">
      <c r="A715" t="s">
        <v>14</v>
      </c>
      <c r="B715" t="str">
        <f>_xll.BDP("9128336V Govt","TICKER")</f>
        <v>S</v>
      </c>
      <c r="C715">
        <f>_xll.BDP("9128336V Govt","CPN")</f>
        <v>0</v>
      </c>
      <c r="D715" t="str">
        <f>_xll.BDP("9128336V Govt","YLD_YTM_BID")</f>
        <v>#N/A N/A</v>
      </c>
      <c r="E715" t="str">
        <f>_xll.BDP("9128336V Govt","MATURITY")</f>
        <v>7/31/2011</v>
      </c>
      <c r="F715" t="str">
        <f>_xll.BDP("9128336V Govt","MTY_TYP")</f>
        <v>NORMAL</v>
      </c>
      <c r="G715" t="str">
        <f>_xll.BDP("9128336V Govt","CRNCY")</f>
        <v>USD</v>
      </c>
      <c r="H715" t="str">
        <f>_xll.BDP("9128336V Govt","COUNTRY_FULL_NAME")</f>
        <v>UNITED STATES</v>
      </c>
      <c r="I715" t="str">
        <f>_xll.BDP("9128336V Govt","FIRST_CPN_DT")</f>
        <v>#N/A Field Not Applicable</v>
      </c>
      <c r="J715" t="str">
        <f>_xll.BDP("9128336V Govt","COUPON_FREQUENCY_DESCRIPTION")</f>
        <v>#N/A Field Not Applicable</v>
      </c>
      <c r="K715" t="str">
        <f>_xll.BDP("9128336V Govt","CPN_TYP")</f>
        <v>ZERO</v>
      </c>
      <c r="L715" t="str">
        <f>_xll.BDP("9128336V Govt","ID_ISIN")</f>
        <v>US9128336V71</v>
      </c>
      <c r="N715">
        <v>0</v>
      </c>
      <c r="O715" t="str">
        <f>_xll.BDP("9128336V Govt","ISSUE_DT")</f>
        <v>7/31/2006</v>
      </c>
      <c r="P715" t="str">
        <f>_xll.BDP("9128336V Govt","SECURITY_NAME")</f>
        <v>S 0 07/31/11</v>
      </c>
      <c r="Q715" t="str">
        <f>_xll.BDP("9128336V Govt","DAY_CNT_DES")</f>
        <v>ACT/ACT</v>
      </c>
      <c r="R715">
        <v>100</v>
      </c>
      <c r="S715" t="str">
        <f>_xll.BDP("9128336V Govt","ID_CUSIP")</f>
        <v>9128336V7</v>
      </c>
      <c r="T715" t="str">
        <f>_xll.BDP("9128336V Govt","IDX_RATIO")</f>
        <v>#N/A Field Not Applicable</v>
      </c>
    </row>
    <row r="716" spans="1:20" x14ac:dyDescent="0.25">
      <c r="A716" t="s">
        <v>14</v>
      </c>
      <c r="B716" t="str">
        <f>_xll.BDP("9128337G Govt","TICKER")</f>
        <v>S</v>
      </c>
      <c r="C716">
        <f>_xll.BDP("9128337G Govt","CPN")</f>
        <v>0</v>
      </c>
      <c r="D716" t="str">
        <f>_xll.BDP("9128337G Govt","YLD_YTM_BID")</f>
        <v>#N/A N/A</v>
      </c>
      <c r="E716" t="str">
        <f>_xll.BDP("9128337G Govt","MATURITY")</f>
        <v>2/29/2012</v>
      </c>
      <c r="F716" t="str">
        <f>_xll.BDP("9128337G Govt","MTY_TYP")</f>
        <v>NORMAL</v>
      </c>
      <c r="G716" t="str">
        <f>_xll.BDP("9128337G Govt","CRNCY")</f>
        <v>USD</v>
      </c>
      <c r="H716" t="str">
        <f>_xll.BDP("9128337G Govt","COUNTRY_FULL_NAME")</f>
        <v>UNITED STATES</v>
      </c>
      <c r="I716" t="str">
        <f>_xll.BDP("9128337G Govt","FIRST_CPN_DT")</f>
        <v>#N/A Field Not Applicable</v>
      </c>
      <c r="J716" t="str">
        <f>_xll.BDP("9128337G Govt","COUPON_FREQUENCY_DESCRIPTION")</f>
        <v>#N/A Field Not Applicable</v>
      </c>
      <c r="K716" t="str">
        <f>_xll.BDP("9128337G Govt","CPN_TYP")</f>
        <v>ZERO</v>
      </c>
      <c r="L716" t="str">
        <f>_xll.BDP("9128337G Govt","ID_ISIN")</f>
        <v>US9128337G95</v>
      </c>
      <c r="N716">
        <v>0</v>
      </c>
      <c r="O716" t="str">
        <f>_xll.BDP("9128337G Govt","ISSUE_DT")</f>
        <v>2/28/2007</v>
      </c>
      <c r="P716" t="str">
        <f>_xll.BDP("9128337G Govt","SECURITY_NAME")</f>
        <v>S 0 02/29/12</v>
      </c>
      <c r="Q716" t="str">
        <f>_xll.BDP("9128337G Govt","DAY_CNT_DES")</f>
        <v>ACT/ACT</v>
      </c>
      <c r="R716">
        <v>100</v>
      </c>
      <c r="S716" t="str">
        <f>_xll.BDP("9128337G Govt","ID_CUSIP")</f>
        <v>9128337G9</v>
      </c>
      <c r="T716" t="str">
        <f>_xll.BDP("9128337G Govt","IDX_RATIO")</f>
        <v>#N/A Field Not Applicable</v>
      </c>
    </row>
    <row r="717" spans="1:20" x14ac:dyDescent="0.25">
      <c r="A717" t="s">
        <v>14</v>
      </c>
      <c r="B717" t="str">
        <f>_xll.BDP("9128332B Govt","TICKER")</f>
        <v>S</v>
      </c>
      <c r="C717">
        <f>_xll.BDP("9128332B Govt","CPN")</f>
        <v>0</v>
      </c>
      <c r="D717" t="str">
        <f>_xll.BDP("9128332B Govt","YLD_YTM_BID")</f>
        <v>#N/A N/A</v>
      </c>
      <c r="E717" t="str">
        <f>_xll.BDP("9128332B Govt","MATURITY")</f>
        <v>3/15/2009</v>
      </c>
      <c r="F717" t="str">
        <f>_xll.BDP("9128332B Govt","MTY_TYP")</f>
        <v>NORMAL</v>
      </c>
      <c r="G717" t="str">
        <f>_xll.BDP("9128332B Govt","CRNCY")</f>
        <v>USD</v>
      </c>
      <c r="H717" t="str">
        <f>_xll.BDP("9128332B Govt","COUNTRY_FULL_NAME")</f>
        <v>UNITED STATES</v>
      </c>
      <c r="I717" t="str">
        <f>_xll.BDP("9128332B Govt","FIRST_CPN_DT")</f>
        <v>#N/A Field Not Applicable</v>
      </c>
      <c r="J717" t="str">
        <f>_xll.BDP("9128332B Govt","COUPON_FREQUENCY_DESCRIPTION")</f>
        <v>#N/A Field Not Applicable</v>
      </c>
      <c r="K717" t="str">
        <f>_xll.BDP("9128332B Govt","CPN_TYP")</f>
        <v>ZERO</v>
      </c>
      <c r="L717" t="str">
        <f>_xll.BDP("9128332B Govt","ID_ISIN")</f>
        <v>US9128332B53</v>
      </c>
      <c r="N717">
        <v>0</v>
      </c>
      <c r="O717" t="str">
        <f>_xll.BDP("9128332B Govt","ISSUE_DT")</f>
        <v>3/15/2004</v>
      </c>
      <c r="P717" t="str">
        <f>_xll.BDP("9128332B Govt","SECURITY_NAME")</f>
        <v>S 0 03/15/09</v>
      </c>
      <c r="Q717" t="str">
        <f>_xll.BDP("9128332B Govt","DAY_CNT_DES")</f>
        <v>ACT/ACT</v>
      </c>
      <c r="R717">
        <v>100</v>
      </c>
      <c r="S717" t="str">
        <f>_xll.BDP("9128332B Govt","ID_CUSIP")</f>
        <v>9128332B5</v>
      </c>
      <c r="T717" t="str">
        <f>_xll.BDP("9128332B Govt","IDX_RATIO")</f>
        <v>#N/A Field Not Applicable</v>
      </c>
    </row>
    <row r="718" spans="1:20" x14ac:dyDescent="0.25">
      <c r="A718" t="s">
        <v>14</v>
      </c>
      <c r="B718" t="str">
        <f>_xll.BDP("9128332H Govt","TICKER")</f>
        <v>S</v>
      </c>
      <c r="C718">
        <f>_xll.BDP("9128332H Govt","CPN")</f>
        <v>0</v>
      </c>
      <c r="D718" t="str">
        <f>_xll.BDP("9128332H Govt","YLD_YTM_BID")</f>
        <v>#N/A N/A</v>
      </c>
      <c r="E718" t="str">
        <f>_xll.BDP("9128332H Govt","MATURITY")</f>
        <v>6/30/2006</v>
      </c>
      <c r="F718" t="str">
        <f>_xll.BDP("9128332H Govt","MTY_TYP")</f>
        <v>NORMAL</v>
      </c>
      <c r="G718" t="str">
        <f>_xll.BDP("9128332H Govt","CRNCY")</f>
        <v>USD</v>
      </c>
      <c r="H718" t="str">
        <f>_xll.BDP("9128332H Govt","COUNTRY_FULL_NAME")</f>
        <v>UNITED STATES</v>
      </c>
      <c r="I718" t="str">
        <f>_xll.BDP("9128332H Govt","FIRST_CPN_DT")</f>
        <v>#N/A Field Not Applicable</v>
      </c>
      <c r="J718" t="str">
        <f>_xll.BDP("9128332H Govt","COUPON_FREQUENCY_DESCRIPTION")</f>
        <v>#N/A Field Not Applicable</v>
      </c>
      <c r="K718" t="str">
        <f>_xll.BDP("9128332H Govt","CPN_TYP")</f>
        <v>ZERO</v>
      </c>
      <c r="L718" t="str">
        <f>_xll.BDP("9128332H Govt","ID_ISIN")</f>
        <v>US9128332H24</v>
      </c>
      <c r="N718">
        <v>0</v>
      </c>
      <c r="O718" t="str">
        <f>_xll.BDP("9128332H Govt","ISSUE_DT")</f>
        <v>6/30/2004</v>
      </c>
      <c r="P718" t="str">
        <f>_xll.BDP("9128332H Govt","SECURITY_NAME")</f>
        <v>S 0 06/30/06</v>
      </c>
      <c r="Q718" t="str">
        <f>_xll.BDP("9128332H Govt","DAY_CNT_DES")</f>
        <v>ACT/ACT</v>
      </c>
      <c r="R718">
        <v>100</v>
      </c>
      <c r="S718" t="str">
        <f>_xll.BDP("9128332H Govt","ID_CUSIP")</f>
        <v>9128332H2</v>
      </c>
      <c r="T718" t="str">
        <f>_xll.BDP("9128332H Govt","IDX_RATIO")</f>
        <v>#N/A Field Not Applicable</v>
      </c>
    </row>
    <row r="719" spans="1:20" x14ac:dyDescent="0.25">
      <c r="A719" t="s">
        <v>14</v>
      </c>
      <c r="B719" t="str">
        <f>_xll.BDP("9128333Q Govt","TICKER")</f>
        <v>S</v>
      </c>
      <c r="C719">
        <f>_xll.BDP("9128333Q Govt","CPN")</f>
        <v>0</v>
      </c>
      <c r="D719" t="str">
        <f>_xll.BDP("9128333Q Govt","YLD_YTM_BID")</f>
        <v>#N/A N/A</v>
      </c>
      <c r="E719" t="str">
        <f>_xll.BDP("9128333Q Govt","MATURITY")</f>
        <v>12/15/2009</v>
      </c>
      <c r="F719" t="str">
        <f>_xll.BDP("9128333Q Govt","MTY_TYP")</f>
        <v>NORMAL</v>
      </c>
      <c r="G719" t="str">
        <f>_xll.BDP("9128333Q Govt","CRNCY")</f>
        <v>USD</v>
      </c>
      <c r="H719" t="str">
        <f>_xll.BDP("9128333Q Govt","COUNTRY_FULL_NAME")</f>
        <v>UNITED STATES</v>
      </c>
      <c r="I719" t="str">
        <f>_xll.BDP("9128333Q Govt","FIRST_CPN_DT")</f>
        <v>#N/A Field Not Applicable</v>
      </c>
      <c r="J719" t="str">
        <f>_xll.BDP("9128333Q Govt","COUPON_FREQUENCY_DESCRIPTION")</f>
        <v>#N/A Field Not Applicable</v>
      </c>
      <c r="K719" t="str">
        <f>_xll.BDP("9128333Q Govt","CPN_TYP")</f>
        <v>ZERO</v>
      </c>
      <c r="L719" t="str">
        <f>_xll.BDP("9128333Q Govt","ID_ISIN")</f>
        <v>US9128333Q14</v>
      </c>
      <c r="N719">
        <v>0</v>
      </c>
      <c r="O719" t="str">
        <f>_xll.BDP("9128333Q Govt","ISSUE_DT")</f>
        <v>12/15/2004</v>
      </c>
      <c r="P719" t="str">
        <f>_xll.BDP("9128333Q Govt","SECURITY_NAME")</f>
        <v>S 0 12/15/09</v>
      </c>
      <c r="Q719" t="str">
        <f>_xll.BDP("9128333Q Govt","DAY_CNT_DES")</f>
        <v>ACT/ACT</v>
      </c>
      <c r="R719">
        <v>100</v>
      </c>
      <c r="S719" t="str">
        <f>_xll.BDP("9128333Q Govt","ID_CUSIP")</f>
        <v>9128333Q1</v>
      </c>
      <c r="T719" t="str">
        <f>_xll.BDP("9128333Q Govt","IDX_RATIO")</f>
        <v>#N/A Field Not Applicable</v>
      </c>
    </row>
    <row r="720" spans="1:20" x14ac:dyDescent="0.25">
      <c r="A720" t="s">
        <v>14</v>
      </c>
      <c r="B720" t="str">
        <f>_xll.BDP("9128335C Govt","TICKER")</f>
        <v>S</v>
      </c>
      <c r="C720">
        <f>_xll.BDP("9128335C Govt","CPN")</f>
        <v>0</v>
      </c>
      <c r="D720" t="str">
        <f>_xll.BDP("9128335C Govt","YLD_YTM_BID")</f>
        <v>#N/A N/A</v>
      </c>
      <c r="E720" t="str">
        <f>_xll.BDP("9128335C Govt","MATURITY")</f>
        <v>2/29/2008</v>
      </c>
      <c r="F720" t="str">
        <f>_xll.BDP("9128335C Govt","MTY_TYP")</f>
        <v>NORMAL</v>
      </c>
      <c r="G720" t="str">
        <f>_xll.BDP("9128335C Govt","CRNCY")</f>
        <v>USD</v>
      </c>
      <c r="H720" t="str">
        <f>_xll.BDP("9128335C Govt","COUNTRY_FULL_NAME")</f>
        <v>UNITED STATES</v>
      </c>
      <c r="I720" t="str">
        <f>_xll.BDP("9128335C Govt","FIRST_CPN_DT")</f>
        <v>#N/A Field Not Applicable</v>
      </c>
      <c r="J720" t="str">
        <f>_xll.BDP("9128335C Govt","COUPON_FREQUENCY_DESCRIPTION")</f>
        <v>#N/A Field Not Applicable</v>
      </c>
      <c r="K720" t="str">
        <f>_xll.BDP("9128335C Govt","CPN_TYP")</f>
        <v>ZERO</v>
      </c>
      <c r="L720" t="str">
        <f>_xll.BDP("9128335C Govt","ID_ISIN")</f>
        <v>US9128335C00</v>
      </c>
      <c r="N720">
        <v>0</v>
      </c>
      <c r="O720" t="str">
        <f>_xll.BDP("9128335C Govt","ISSUE_DT")</f>
        <v>2/28/2006</v>
      </c>
      <c r="P720" t="str">
        <f>_xll.BDP("9128335C Govt","SECURITY_NAME")</f>
        <v>S 0 02/29/08</v>
      </c>
      <c r="Q720" t="str">
        <f>_xll.BDP("9128335C Govt","DAY_CNT_DES")</f>
        <v>ACT/ACT</v>
      </c>
      <c r="R720">
        <v>100</v>
      </c>
      <c r="S720" t="str">
        <f>_xll.BDP("9128335C Govt","ID_CUSIP")</f>
        <v>9128335C0</v>
      </c>
      <c r="T720" t="str">
        <f>_xll.BDP("9128335C Govt","IDX_RATIO")</f>
        <v>#N/A Field Not Applicable</v>
      </c>
    </row>
    <row r="721" spans="1:20" x14ac:dyDescent="0.25">
      <c r="A721" t="s">
        <v>14</v>
      </c>
      <c r="B721" t="str">
        <f>_xll.BDP("9128335F Govt","TICKER")</f>
        <v>S</v>
      </c>
      <c r="C721">
        <f>_xll.BDP("9128335F Govt","CPN")</f>
        <v>0</v>
      </c>
      <c r="D721" t="str">
        <f>_xll.BDP("9128335F Govt","YLD_YTM_BID")</f>
        <v>#N/A N/A</v>
      </c>
      <c r="E721" t="str">
        <f>_xll.BDP("9128335F Govt","MATURITY")</f>
        <v>8/31/2009</v>
      </c>
      <c r="F721" t="str">
        <f>_xll.BDP("9128335F Govt","MTY_TYP")</f>
        <v>NORMAL</v>
      </c>
      <c r="G721" t="str">
        <f>_xll.BDP("9128335F Govt","CRNCY")</f>
        <v>USD</v>
      </c>
      <c r="H721" t="str">
        <f>_xll.BDP("9128335F Govt","COUNTRY_FULL_NAME")</f>
        <v>UNITED STATES</v>
      </c>
      <c r="I721" t="str">
        <f>_xll.BDP("9128335F Govt","FIRST_CPN_DT")</f>
        <v>#N/A Field Not Applicable</v>
      </c>
      <c r="J721" t="str">
        <f>_xll.BDP("9128335F Govt","COUPON_FREQUENCY_DESCRIPTION")</f>
        <v>#N/A Field Not Applicable</v>
      </c>
      <c r="K721" t="str">
        <f>_xll.BDP("9128335F Govt","CPN_TYP")</f>
        <v>ZERO</v>
      </c>
      <c r="L721" t="str">
        <f>_xll.BDP("9128335F Govt","ID_ISIN")</f>
        <v>US9128335F31</v>
      </c>
      <c r="N721">
        <v>0</v>
      </c>
      <c r="O721" t="str">
        <f>_xll.BDP("9128335F Govt","ISSUE_DT")</f>
        <v>2/28/2006</v>
      </c>
      <c r="P721" t="str">
        <f>_xll.BDP("9128335F Govt","SECURITY_NAME")</f>
        <v>S 0 08/31/09</v>
      </c>
      <c r="Q721" t="str">
        <f>_xll.BDP("9128335F Govt","DAY_CNT_DES")</f>
        <v>ACT/ACT</v>
      </c>
      <c r="R721">
        <v>100</v>
      </c>
      <c r="S721" t="str">
        <f>_xll.BDP("9128335F Govt","ID_CUSIP")</f>
        <v>9128335F3</v>
      </c>
      <c r="T721" t="str">
        <f>_xll.BDP("9128335F Govt","IDX_RATIO")</f>
        <v>#N/A Field Not Applicable</v>
      </c>
    </row>
    <row r="722" spans="1:20" x14ac:dyDescent="0.25">
      <c r="A722" t="s">
        <v>14</v>
      </c>
      <c r="B722" t="str">
        <f>_xll.BDP("9128335H Govt","TICKER")</f>
        <v>S</v>
      </c>
      <c r="C722">
        <f>_xll.BDP("9128335H Govt","CPN")</f>
        <v>0</v>
      </c>
      <c r="D722" t="str">
        <f>_xll.BDP("9128335H Govt","YLD_YTM_BID")</f>
        <v>#N/A N/A</v>
      </c>
      <c r="E722" t="str">
        <f>_xll.BDP("9128335H Govt","MATURITY")</f>
        <v>8/31/2010</v>
      </c>
      <c r="F722" t="str">
        <f>_xll.BDP("9128335H Govt","MTY_TYP")</f>
        <v>NORMAL</v>
      </c>
      <c r="G722" t="str">
        <f>_xll.BDP("9128335H Govt","CRNCY")</f>
        <v>USD</v>
      </c>
      <c r="H722" t="str">
        <f>_xll.BDP("9128335H Govt","COUNTRY_FULL_NAME")</f>
        <v>UNITED STATES</v>
      </c>
      <c r="I722" t="str">
        <f>_xll.BDP("9128335H Govt","FIRST_CPN_DT")</f>
        <v>#N/A Field Not Applicable</v>
      </c>
      <c r="J722" t="str">
        <f>_xll.BDP("9128335H Govt","COUPON_FREQUENCY_DESCRIPTION")</f>
        <v>#N/A Field Not Applicable</v>
      </c>
      <c r="K722" t="str">
        <f>_xll.BDP("9128335H Govt","CPN_TYP")</f>
        <v>ZERO</v>
      </c>
      <c r="L722" t="str">
        <f>_xll.BDP("9128335H Govt","ID_ISIN")</f>
        <v>US9128335H96</v>
      </c>
      <c r="N722">
        <v>0</v>
      </c>
      <c r="O722" t="str">
        <f>_xll.BDP("9128335H Govt","ISSUE_DT")</f>
        <v>2/28/2006</v>
      </c>
      <c r="P722" t="str">
        <f>_xll.BDP("9128335H Govt","SECURITY_NAME")</f>
        <v>S 0 08/31/10</v>
      </c>
      <c r="Q722" t="str">
        <f>_xll.BDP("9128335H Govt","DAY_CNT_DES")</f>
        <v>ACT/ACT</v>
      </c>
      <c r="R722">
        <v>100</v>
      </c>
      <c r="S722" t="str">
        <f>_xll.BDP("9128335H Govt","ID_CUSIP")</f>
        <v>9128335H9</v>
      </c>
      <c r="T722" t="str">
        <f>_xll.BDP("9128335H Govt","IDX_RATIO")</f>
        <v>#N/A Field Not Applicable</v>
      </c>
    </row>
    <row r="723" spans="1:20" x14ac:dyDescent="0.25">
      <c r="A723" t="s">
        <v>14</v>
      </c>
      <c r="B723" t="str">
        <f>_xll.BDP("9128335P Govt","TICKER")</f>
        <v>S</v>
      </c>
      <c r="C723">
        <f>_xll.BDP("9128335P Govt","CPN")</f>
        <v>0</v>
      </c>
      <c r="D723" t="str">
        <f>_xll.BDP("9128335P Govt","YLD_YTM_BID")</f>
        <v>#N/A N/A</v>
      </c>
      <c r="E723" t="str">
        <f>_xll.BDP("9128335P Govt","MATURITY")</f>
        <v>3/31/2010</v>
      </c>
      <c r="F723" t="str">
        <f>_xll.BDP("9128335P Govt","MTY_TYP")</f>
        <v>NORMAL</v>
      </c>
      <c r="G723" t="str">
        <f>_xll.BDP("9128335P Govt","CRNCY")</f>
        <v>USD</v>
      </c>
      <c r="H723" t="str">
        <f>_xll.BDP("9128335P Govt","COUNTRY_FULL_NAME")</f>
        <v>UNITED STATES</v>
      </c>
      <c r="I723" t="str">
        <f>_xll.BDP("9128335P Govt","FIRST_CPN_DT")</f>
        <v>#N/A Field Not Applicable</v>
      </c>
      <c r="J723" t="str">
        <f>_xll.BDP("9128335P Govt","COUPON_FREQUENCY_DESCRIPTION")</f>
        <v>#N/A Field Not Applicable</v>
      </c>
      <c r="K723" t="str">
        <f>_xll.BDP("9128335P Govt","CPN_TYP")</f>
        <v>ZERO</v>
      </c>
      <c r="L723" t="str">
        <f>_xll.BDP("9128335P Govt","ID_ISIN")</f>
        <v>US9128335P13</v>
      </c>
      <c r="N723">
        <v>0</v>
      </c>
      <c r="O723" t="str">
        <f>_xll.BDP("9128335P Govt","ISSUE_DT")</f>
        <v>3/31/2006</v>
      </c>
      <c r="P723" t="str">
        <f>_xll.BDP("9128335P Govt","SECURITY_NAME")</f>
        <v>S 0 03/31/10</v>
      </c>
      <c r="Q723" t="str">
        <f>_xll.BDP("9128335P Govt","DAY_CNT_DES")</f>
        <v>ACT/ACT</v>
      </c>
      <c r="R723">
        <v>100</v>
      </c>
      <c r="S723" t="str">
        <f>_xll.BDP("9128335P Govt","ID_CUSIP")</f>
        <v>9128335P1</v>
      </c>
      <c r="T723" t="str">
        <f>_xll.BDP("9128335P Govt","IDX_RATIO")</f>
        <v>#N/A Field Not Applicable</v>
      </c>
    </row>
    <row r="724" spans="1:20" x14ac:dyDescent="0.25">
      <c r="A724" t="s">
        <v>14</v>
      </c>
      <c r="B724" t="str">
        <f>_xll.BDP("9128335V Govt","TICKER")</f>
        <v>S</v>
      </c>
      <c r="C724">
        <f>_xll.BDP("9128335V Govt","CPN")</f>
        <v>0</v>
      </c>
      <c r="D724" t="str">
        <f>_xll.BDP("9128335V Govt","YLD_YTM_BID")</f>
        <v>#N/A N/A</v>
      </c>
      <c r="E724" t="str">
        <f>_xll.BDP("9128335V Govt","MATURITY")</f>
        <v>10/31/2009</v>
      </c>
      <c r="F724" t="str">
        <f>_xll.BDP("9128335V Govt","MTY_TYP")</f>
        <v>NORMAL</v>
      </c>
      <c r="G724" t="str">
        <f>_xll.BDP("9128335V Govt","CRNCY")</f>
        <v>USD</v>
      </c>
      <c r="H724" t="str">
        <f>_xll.BDP("9128335V Govt","COUNTRY_FULL_NAME")</f>
        <v>UNITED STATES</v>
      </c>
      <c r="I724" t="str">
        <f>_xll.BDP("9128335V Govt","FIRST_CPN_DT")</f>
        <v>#N/A Field Not Applicable</v>
      </c>
      <c r="J724" t="str">
        <f>_xll.BDP("9128335V Govt","COUPON_FREQUENCY_DESCRIPTION")</f>
        <v>#N/A Field Not Applicable</v>
      </c>
      <c r="K724" t="str">
        <f>_xll.BDP("9128335V Govt","CPN_TYP")</f>
        <v>ZERO</v>
      </c>
      <c r="L724" t="str">
        <f>_xll.BDP("9128335V Govt","ID_ISIN")</f>
        <v>US9128335V80</v>
      </c>
      <c r="N724">
        <v>0</v>
      </c>
      <c r="O724" t="str">
        <f>_xll.BDP("9128335V Govt","ISSUE_DT")</f>
        <v>5/1/2006</v>
      </c>
      <c r="P724" t="str">
        <f>_xll.BDP("9128335V Govt","SECURITY_NAME")</f>
        <v>S 0 10/31/09</v>
      </c>
      <c r="Q724" t="str">
        <f>_xll.BDP("9128335V Govt","DAY_CNT_DES")</f>
        <v>ACT/ACT</v>
      </c>
      <c r="R724">
        <v>100</v>
      </c>
      <c r="S724" t="str">
        <f>_xll.BDP("9128335V Govt","ID_CUSIP")</f>
        <v>9128335V8</v>
      </c>
      <c r="T724" t="str">
        <f>_xll.BDP("9128335V Govt","IDX_RATIO")</f>
        <v>#N/A Field Not Applicable</v>
      </c>
    </row>
    <row r="725" spans="1:20" x14ac:dyDescent="0.25">
      <c r="A725" t="s">
        <v>14</v>
      </c>
      <c r="B725" t="str">
        <f>_xll.BDP("9128335W Govt","TICKER")</f>
        <v>S</v>
      </c>
      <c r="C725">
        <f>_xll.BDP("9128335W Govt","CPN")</f>
        <v>0</v>
      </c>
      <c r="D725" t="str">
        <f>_xll.BDP("9128335W Govt","YLD_YTM_BID")</f>
        <v>#N/A N/A</v>
      </c>
      <c r="E725" t="str">
        <f>_xll.BDP("9128335W Govt","MATURITY")</f>
        <v>4/30/2010</v>
      </c>
      <c r="F725" t="str">
        <f>_xll.BDP("9128335W Govt","MTY_TYP")</f>
        <v>NORMAL</v>
      </c>
      <c r="G725" t="str">
        <f>_xll.BDP("9128335W Govt","CRNCY")</f>
        <v>USD</v>
      </c>
      <c r="H725" t="str">
        <f>_xll.BDP("9128335W Govt","COUNTRY_FULL_NAME")</f>
        <v>UNITED STATES</v>
      </c>
      <c r="I725" t="str">
        <f>_xll.BDP("9128335W Govt","FIRST_CPN_DT")</f>
        <v>#N/A Field Not Applicable</v>
      </c>
      <c r="J725" t="str">
        <f>_xll.BDP("9128335W Govt","COUPON_FREQUENCY_DESCRIPTION")</f>
        <v>#N/A Field Not Applicable</v>
      </c>
      <c r="K725" t="str">
        <f>_xll.BDP("9128335W Govt","CPN_TYP")</f>
        <v>ZERO</v>
      </c>
      <c r="L725" t="str">
        <f>_xll.BDP("9128335W Govt","ID_ISIN")</f>
        <v>US9128335W63</v>
      </c>
      <c r="N725">
        <v>0</v>
      </c>
      <c r="O725" t="str">
        <f>_xll.BDP("9128335W Govt","ISSUE_DT")</f>
        <v>5/1/2006</v>
      </c>
      <c r="P725" t="str">
        <f>_xll.BDP("9128335W Govt","SECURITY_NAME")</f>
        <v>S 0 04/30/10</v>
      </c>
      <c r="Q725" t="str">
        <f>_xll.BDP("9128335W Govt","DAY_CNT_DES")</f>
        <v>ACT/ACT</v>
      </c>
      <c r="R725">
        <v>100</v>
      </c>
      <c r="S725" t="str">
        <f>_xll.BDP("9128335W Govt","ID_CUSIP")</f>
        <v>9128335W6</v>
      </c>
      <c r="T725" t="str">
        <f>_xll.BDP("9128335W Govt","IDX_RATIO")</f>
        <v>#N/A Field Not Applicable</v>
      </c>
    </row>
    <row r="726" spans="1:20" x14ac:dyDescent="0.25">
      <c r="A726" t="s">
        <v>14</v>
      </c>
      <c r="B726" t="str">
        <f>_xll.BDP("9128335Y Govt","TICKER")</f>
        <v>S</v>
      </c>
      <c r="C726">
        <f>_xll.BDP("9128335Y Govt","CPN")</f>
        <v>0</v>
      </c>
      <c r="D726" t="str">
        <f>_xll.BDP("9128335Y Govt","YLD_YTM_BID")</f>
        <v>#N/A N/A</v>
      </c>
      <c r="E726" t="str">
        <f>_xll.BDP("9128335Y Govt","MATURITY")</f>
        <v>4/30/2011</v>
      </c>
      <c r="F726" t="str">
        <f>_xll.BDP("9128335Y Govt","MTY_TYP")</f>
        <v>NORMAL</v>
      </c>
      <c r="G726" t="str">
        <f>_xll.BDP("9128335Y Govt","CRNCY")</f>
        <v>USD</v>
      </c>
      <c r="H726" t="str">
        <f>_xll.BDP("9128335Y Govt","COUNTRY_FULL_NAME")</f>
        <v>UNITED STATES</v>
      </c>
      <c r="I726" t="str">
        <f>_xll.BDP("9128335Y Govt","FIRST_CPN_DT")</f>
        <v>#N/A Field Not Applicable</v>
      </c>
      <c r="J726" t="str">
        <f>_xll.BDP("9128335Y Govt","COUPON_FREQUENCY_DESCRIPTION")</f>
        <v>#N/A Field Not Applicable</v>
      </c>
      <c r="K726" t="str">
        <f>_xll.BDP("9128335Y Govt","CPN_TYP")</f>
        <v>ZERO</v>
      </c>
      <c r="L726" t="str">
        <f>_xll.BDP("9128335Y Govt","ID_ISIN")</f>
        <v>US9128335Y20</v>
      </c>
      <c r="N726">
        <v>0</v>
      </c>
      <c r="O726" t="str">
        <f>_xll.BDP("9128335Y Govt","ISSUE_DT")</f>
        <v>5/1/2006</v>
      </c>
      <c r="P726" t="str">
        <f>_xll.BDP("9128335Y Govt","SECURITY_NAME")</f>
        <v>S 0 04/30/11</v>
      </c>
      <c r="Q726" t="str">
        <f>_xll.BDP("9128335Y Govt","DAY_CNT_DES")</f>
        <v>ACT/ACT</v>
      </c>
      <c r="R726">
        <v>100</v>
      </c>
      <c r="S726" t="str">
        <f>_xll.BDP("9128335Y Govt","ID_CUSIP")</f>
        <v>9128335Y2</v>
      </c>
      <c r="T726" t="str">
        <f>_xll.BDP("9128335Y Govt","IDX_RATIO")</f>
        <v>#N/A Field Not Applicable</v>
      </c>
    </row>
    <row r="727" spans="1:20" x14ac:dyDescent="0.25">
      <c r="A727" t="s">
        <v>14</v>
      </c>
      <c r="B727" t="str">
        <f>_xll.BDP("9128336B Govt","TICKER")</f>
        <v>S</v>
      </c>
      <c r="C727">
        <f>_xll.BDP("9128336B Govt","CPN")</f>
        <v>0</v>
      </c>
      <c r="D727" t="str">
        <f>_xll.BDP("9128336B Govt","YLD_YTM_BID")</f>
        <v>#N/A N/A</v>
      </c>
      <c r="E727" t="str">
        <f>_xll.BDP("9128336B Govt","MATURITY")</f>
        <v>5/31/2009</v>
      </c>
      <c r="F727" t="str">
        <f>_xll.BDP("9128336B Govt","MTY_TYP")</f>
        <v>NORMAL</v>
      </c>
      <c r="G727" t="str">
        <f>_xll.BDP("9128336B Govt","CRNCY")</f>
        <v>USD</v>
      </c>
      <c r="H727" t="str">
        <f>_xll.BDP("9128336B Govt","COUNTRY_FULL_NAME")</f>
        <v>UNITED STATES</v>
      </c>
      <c r="I727" t="str">
        <f>_xll.BDP("9128336B Govt","FIRST_CPN_DT")</f>
        <v>#N/A Field Not Applicable</v>
      </c>
      <c r="J727" t="str">
        <f>_xll.BDP("9128336B Govt","COUPON_FREQUENCY_DESCRIPTION")</f>
        <v>#N/A Field Not Applicable</v>
      </c>
      <c r="K727" t="str">
        <f>_xll.BDP("9128336B Govt","CPN_TYP")</f>
        <v>ZERO</v>
      </c>
      <c r="L727" t="str">
        <f>_xll.BDP("9128336B Govt","ID_ISIN")</f>
        <v>US9128336B18</v>
      </c>
      <c r="N727">
        <v>0</v>
      </c>
      <c r="O727" t="str">
        <f>_xll.BDP("9128336B Govt","ISSUE_DT")</f>
        <v>5/31/2006</v>
      </c>
      <c r="P727" t="str">
        <f>_xll.BDP("9128336B Govt","SECURITY_NAME")</f>
        <v>S 0 05/31/09</v>
      </c>
      <c r="Q727" t="str">
        <f>_xll.BDP("9128336B Govt","DAY_CNT_DES")</f>
        <v>ACT/ACT</v>
      </c>
      <c r="R727">
        <v>100</v>
      </c>
      <c r="S727" t="str">
        <f>_xll.BDP("9128336B Govt","ID_CUSIP")</f>
        <v>9128336B1</v>
      </c>
      <c r="T727" t="str">
        <f>_xll.BDP("9128336B Govt","IDX_RATIO")</f>
        <v>#N/A Field Not Applicable</v>
      </c>
    </row>
    <row r="728" spans="1:20" x14ac:dyDescent="0.25">
      <c r="A728" t="s">
        <v>14</v>
      </c>
      <c r="B728" t="str">
        <f>_xll.BDP("9128336E Govt","TICKER")</f>
        <v>S</v>
      </c>
      <c r="C728">
        <f>_xll.BDP("9128336E Govt","CPN")</f>
        <v>0</v>
      </c>
      <c r="D728" t="str">
        <f>_xll.BDP("9128336E Govt","YLD_YTM_BID")</f>
        <v>#N/A N/A</v>
      </c>
      <c r="E728" t="str">
        <f>_xll.BDP("9128336E Govt","MATURITY")</f>
        <v>11/30/2010</v>
      </c>
      <c r="F728" t="str">
        <f>_xll.BDP("9128336E Govt","MTY_TYP")</f>
        <v>NORMAL</v>
      </c>
      <c r="G728" t="str">
        <f>_xll.BDP("9128336E Govt","CRNCY")</f>
        <v>USD</v>
      </c>
      <c r="H728" t="str">
        <f>_xll.BDP("9128336E Govt","COUNTRY_FULL_NAME")</f>
        <v>UNITED STATES</v>
      </c>
      <c r="I728" t="str">
        <f>_xll.BDP("9128336E Govt","FIRST_CPN_DT")</f>
        <v>#N/A Field Not Applicable</v>
      </c>
      <c r="J728" t="str">
        <f>_xll.BDP("9128336E Govt","COUPON_FREQUENCY_DESCRIPTION")</f>
        <v>#N/A Field Not Applicable</v>
      </c>
      <c r="K728" t="str">
        <f>_xll.BDP("9128336E Govt","CPN_TYP")</f>
        <v>ZERO</v>
      </c>
      <c r="L728" t="str">
        <f>_xll.BDP("9128336E Govt","ID_ISIN")</f>
        <v>US9128336E56</v>
      </c>
      <c r="N728">
        <v>0</v>
      </c>
      <c r="O728" t="str">
        <f>_xll.BDP("9128336E Govt","ISSUE_DT")</f>
        <v>5/31/2006</v>
      </c>
      <c r="P728" t="str">
        <f>_xll.BDP("9128336E Govt","SECURITY_NAME")</f>
        <v>S 0 11/30/10</v>
      </c>
      <c r="Q728" t="str">
        <f>_xll.BDP("9128336E Govt","DAY_CNT_DES")</f>
        <v>ACT/ACT</v>
      </c>
      <c r="R728">
        <v>100</v>
      </c>
      <c r="S728" t="str">
        <f>_xll.BDP("9128336E Govt","ID_CUSIP")</f>
        <v>9128336E5</v>
      </c>
      <c r="T728" t="str">
        <f>_xll.BDP("9128336E Govt","IDX_RATIO")</f>
        <v>#N/A Field Not Applicable</v>
      </c>
    </row>
    <row r="729" spans="1:20" x14ac:dyDescent="0.25">
      <c r="A729" t="s">
        <v>14</v>
      </c>
      <c r="B729" t="str">
        <f>_xll.BDP("9128336P Govt","TICKER")</f>
        <v>S</v>
      </c>
      <c r="C729">
        <f>_xll.BDP("9128336P Govt","CPN")</f>
        <v>0</v>
      </c>
      <c r="D729" t="str">
        <f>_xll.BDP("9128336P Govt","YLD_YTM_BID")</f>
        <v>#N/A N/A</v>
      </c>
      <c r="E729" t="str">
        <f>_xll.BDP("9128336P Govt","MATURITY")</f>
        <v>7/31/2008</v>
      </c>
      <c r="F729" t="str">
        <f>_xll.BDP("9128336P Govt","MTY_TYP")</f>
        <v>NORMAL</v>
      </c>
      <c r="G729" t="str">
        <f>_xll.BDP("9128336P Govt","CRNCY")</f>
        <v>USD</v>
      </c>
      <c r="H729" t="str">
        <f>_xll.BDP("9128336P Govt","COUNTRY_FULL_NAME")</f>
        <v>UNITED STATES</v>
      </c>
      <c r="I729" t="str">
        <f>_xll.BDP("9128336P Govt","FIRST_CPN_DT")</f>
        <v>#N/A Field Not Applicable</v>
      </c>
      <c r="J729" t="str">
        <f>_xll.BDP("9128336P Govt","COUPON_FREQUENCY_DESCRIPTION")</f>
        <v>#N/A Field Not Applicable</v>
      </c>
      <c r="K729" t="str">
        <f>_xll.BDP("9128336P Govt","CPN_TYP")</f>
        <v>ZERO</v>
      </c>
      <c r="L729" t="str">
        <f>_xll.BDP("9128336P Govt","ID_ISIN")</f>
        <v>US9128336P04</v>
      </c>
      <c r="N729">
        <v>0</v>
      </c>
      <c r="O729" t="str">
        <f>_xll.BDP("9128336P Govt","ISSUE_DT")</f>
        <v>7/31/2006</v>
      </c>
      <c r="P729" t="str">
        <f>_xll.BDP("9128336P Govt","SECURITY_NAME")</f>
        <v>S 0 07/31/08</v>
      </c>
      <c r="Q729" t="str">
        <f>_xll.BDP("9128336P Govt","DAY_CNT_DES")</f>
        <v>ACT/ACT</v>
      </c>
      <c r="R729">
        <v>100</v>
      </c>
      <c r="S729" t="str">
        <f>_xll.BDP("9128336P Govt","ID_CUSIP")</f>
        <v>9128336P0</v>
      </c>
      <c r="T729" t="str">
        <f>_xll.BDP("9128336P Govt","IDX_RATIO")</f>
        <v>#N/A Field Not Applicable</v>
      </c>
    </row>
    <row r="730" spans="1:20" x14ac:dyDescent="0.25">
      <c r="A730" t="s">
        <v>14</v>
      </c>
      <c r="B730" t="str">
        <f>_xll.BDP("9128337J Govt","TICKER")</f>
        <v>S</v>
      </c>
      <c r="C730">
        <f>_xll.BDP("9128337J Govt","CPN")</f>
        <v>0</v>
      </c>
      <c r="D730" t="str">
        <f>_xll.BDP("9128337J Govt","YLD_YTM_BID")</f>
        <v>#N/A N/A</v>
      </c>
      <c r="E730" t="str">
        <f>_xll.BDP("9128337J Govt","MATURITY")</f>
        <v>4/30/2012</v>
      </c>
      <c r="F730" t="str">
        <f>_xll.BDP("9128337J Govt","MTY_TYP")</f>
        <v>NORMAL</v>
      </c>
      <c r="G730" t="str">
        <f>_xll.BDP("9128337J Govt","CRNCY")</f>
        <v>USD</v>
      </c>
      <c r="H730" t="str">
        <f>_xll.BDP("9128337J Govt","COUNTRY_FULL_NAME")</f>
        <v>UNITED STATES</v>
      </c>
      <c r="I730" t="str">
        <f>_xll.BDP("9128337J Govt","FIRST_CPN_DT")</f>
        <v>#N/A Field Not Applicable</v>
      </c>
      <c r="J730" t="str">
        <f>_xll.BDP("9128337J Govt","COUPON_FREQUENCY_DESCRIPTION")</f>
        <v>#N/A Field Not Applicable</v>
      </c>
      <c r="K730" t="str">
        <f>_xll.BDP("9128337J Govt","CPN_TYP")</f>
        <v>ZERO</v>
      </c>
      <c r="L730" t="str">
        <f>_xll.BDP("9128337J Govt","ID_ISIN")</f>
        <v>US9128337J35</v>
      </c>
      <c r="N730">
        <v>0</v>
      </c>
      <c r="O730" t="str">
        <f>_xll.BDP("9128337J Govt","ISSUE_DT")</f>
        <v>4/30/2007</v>
      </c>
      <c r="P730" t="str">
        <f>_xll.BDP("9128337J Govt","SECURITY_NAME")</f>
        <v>S 0 04/30/12</v>
      </c>
      <c r="Q730" t="str">
        <f>_xll.BDP("9128337J Govt","DAY_CNT_DES")</f>
        <v>ACT/ACT</v>
      </c>
      <c r="R730">
        <v>100</v>
      </c>
      <c r="S730" t="str">
        <f>_xll.BDP("9128337J Govt","ID_CUSIP")</f>
        <v>9128337J3</v>
      </c>
      <c r="T730" t="str">
        <f>_xll.BDP("9128337J Govt","IDX_RATIO")</f>
        <v>#N/A Field Not Applicable</v>
      </c>
    </row>
    <row r="731" spans="1:20" x14ac:dyDescent="0.25">
      <c r="A731" t="s">
        <v>14</v>
      </c>
      <c r="B731" t="str">
        <f>_xll.BDP("912833A3 Govt","TICKER")</f>
        <v>S</v>
      </c>
      <c r="C731">
        <f>_xll.BDP("912833A3 Govt","CPN")</f>
        <v>0</v>
      </c>
      <c r="D731" t="str">
        <f>_xll.BDP("912833A3 Govt","YLD_YTM_BID")</f>
        <v>#N/A N/A</v>
      </c>
      <c r="E731" t="str">
        <f>_xll.BDP("912833A3 Govt","MATURITY")</f>
        <v>10/15/2007</v>
      </c>
      <c r="F731" t="str">
        <f>_xll.BDP("912833A3 Govt","MTY_TYP")</f>
        <v>NORMAL</v>
      </c>
      <c r="G731" t="str">
        <f>_xll.BDP("912833A3 Govt","CRNCY")</f>
        <v>USD</v>
      </c>
      <c r="H731" t="str">
        <f>_xll.BDP("912833A3 Govt","COUNTRY_FULL_NAME")</f>
        <v>UNITED STATES</v>
      </c>
      <c r="I731" t="str">
        <f>_xll.BDP("912833A3 Govt","FIRST_CPN_DT")</f>
        <v>#N/A Field Not Applicable</v>
      </c>
      <c r="J731" t="str">
        <f>_xll.BDP("912833A3 Govt","COUPON_FREQUENCY_DESCRIPTION")</f>
        <v>#N/A Field Not Applicable</v>
      </c>
      <c r="K731" t="str">
        <f>_xll.BDP("912833A3 Govt","CPN_TYP")</f>
        <v>ZERO</v>
      </c>
      <c r="L731" t="str">
        <f>_xll.BDP("912833A3 Govt","ID_ISIN")</f>
        <v>US912833A347</v>
      </c>
      <c r="N731">
        <v>0</v>
      </c>
      <c r="O731" t="str">
        <f>_xll.BDP("912833A3 Govt","ISSUE_DT")</f>
        <v>10/15/2003</v>
      </c>
      <c r="P731" t="str">
        <f>_xll.BDP("912833A3 Govt","SECURITY_NAME")</f>
        <v>S 0 10/15/07</v>
      </c>
      <c r="Q731" t="str">
        <f>_xll.BDP("912833A3 Govt","DAY_CNT_DES")</f>
        <v>ACT/ACT</v>
      </c>
      <c r="R731">
        <v>100</v>
      </c>
      <c r="S731" t="str">
        <f>_xll.BDP("912833A3 Govt","ID_CUSIP")</f>
        <v>912833A34</v>
      </c>
      <c r="T731" t="str">
        <f>_xll.BDP("912833A3 Govt","IDX_RATIO")</f>
        <v>#N/A Field Not Applicable</v>
      </c>
    </row>
    <row r="732" spans="1:20" x14ac:dyDescent="0.25">
      <c r="A732" t="s">
        <v>14</v>
      </c>
      <c r="B732" t="str">
        <f>_xll.BDP("912833B3 Govt","TICKER")</f>
        <v>S</v>
      </c>
      <c r="C732">
        <f>_xll.BDP("912833B3 Govt","CPN")</f>
        <v>0</v>
      </c>
      <c r="D732" t="str">
        <f>_xll.BDP("912833B3 Govt","YLD_YTM_BID")</f>
        <v>#N/A N/A</v>
      </c>
      <c r="E732" t="str">
        <f>_xll.BDP("912833B3 Govt","MATURITY")</f>
        <v>12/15/2005</v>
      </c>
      <c r="F732" t="str">
        <f>_xll.BDP("912833B3 Govt","MTY_TYP")</f>
        <v>NORMAL</v>
      </c>
      <c r="G732" t="str">
        <f>_xll.BDP("912833B3 Govt","CRNCY")</f>
        <v>USD</v>
      </c>
      <c r="H732" t="str">
        <f>_xll.BDP("912833B3 Govt","COUNTRY_FULL_NAME")</f>
        <v>UNITED STATES</v>
      </c>
      <c r="I732" t="str">
        <f>_xll.BDP("912833B3 Govt","FIRST_CPN_DT")</f>
        <v>#N/A Field Not Applicable</v>
      </c>
      <c r="J732" t="str">
        <f>_xll.BDP("912833B3 Govt","COUPON_FREQUENCY_DESCRIPTION")</f>
        <v>#N/A Field Not Applicable</v>
      </c>
      <c r="K732" t="str">
        <f>_xll.BDP("912833B3 Govt","CPN_TYP")</f>
        <v>ZERO</v>
      </c>
      <c r="L732" t="str">
        <f>_xll.BDP("912833B3 Govt","ID_ISIN")</f>
        <v>US912833B337</v>
      </c>
      <c r="N732">
        <v>0</v>
      </c>
      <c r="O732" t="str">
        <f>_xll.BDP("912833B3 Govt","ISSUE_DT")</f>
        <v>12/15/2003</v>
      </c>
      <c r="P732" t="str">
        <f>_xll.BDP("912833B3 Govt","SECURITY_NAME")</f>
        <v>S 0 12/15/05</v>
      </c>
      <c r="Q732" t="str">
        <f>_xll.BDP("912833B3 Govt","DAY_CNT_DES")</f>
        <v>ACT/ACT</v>
      </c>
      <c r="R732">
        <v>100</v>
      </c>
      <c r="S732" t="str">
        <f>_xll.BDP("912833B3 Govt","ID_CUSIP")</f>
        <v>912833B33</v>
      </c>
      <c r="T732" t="str">
        <f>_xll.BDP("912833B3 Govt","IDX_RATIO")</f>
        <v>#N/A Field Not Applicable</v>
      </c>
    </row>
    <row r="733" spans="1:20" x14ac:dyDescent="0.25">
      <c r="A733" t="s">
        <v>14</v>
      </c>
      <c r="B733" t="str">
        <f>_xll.BDP("912833CK Govt","TICKER")</f>
        <v>S</v>
      </c>
      <c r="C733">
        <f>_xll.BDP("912833CK Govt","CPN")</f>
        <v>0</v>
      </c>
      <c r="D733" t="str">
        <f>_xll.BDP("912833CK Govt","YLD_YTM_BID")</f>
        <v>#N/A N/A</v>
      </c>
      <c r="E733" t="str">
        <f>_xll.BDP("912833CK Govt","MATURITY")</f>
        <v>2/15/2004</v>
      </c>
      <c r="F733" t="str">
        <f>_xll.BDP("912833CK Govt","MTY_TYP")</f>
        <v>NORMAL</v>
      </c>
      <c r="G733" t="str">
        <f>_xll.BDP("912833CK Govt","CRNCY")</f>
        <v>USD</v>
      </c>
      <c r="H733" t="str">
        <f>_xll.BDP("912833CK Govt","COUNTRY_FULL_NAME")</f>
        <v>UNITED STATES</v>
      </c>
      <c r="I733" t="str">
        <f>_xll.BDP("912833CK Govt","FIRST_CPN_DT")</f>
        <v>#N/A Field Not Applicable</v>
      </c>
      <c r="J733" t="str">
        <f>_xll.BDP("912833CK Govt","COUPON_FREQUENCY_DESCRIPTION")</f>
        <v>#N/A Field Not Applicable</v>
      </c>
      <c r="K733" t="str">
        <f>_xll.BDP("912833CK Govt","CPN_TYP")</f>
        <v>ZERO</v>
      </c>
      <c r="L733" t="str">
        <f>_xll.BDP("912833CK Govt","ID_ISIN")</f>
        <v>US912833CK45</v>
      </c>
      <c r="N733">
        <v>0</v>
      </c>
      <c r="O733" t="str">
        <f>_xll.BDP("912833CK Govt","ISSUE_DT")</f>
        <v>2/15/1985</v>
      </c>
      <c r="P733" t="str">
        <f>_xll.BDP("912833CK Govt","SECURITY_NAME")</f>
        <v>S 0 02/15/04</v>
      </c>
      <c r="Q733" t="str">
        <f>_xll.BDP("912833CK Govt","DAY_CNT_DES")</f>
        <v>ACT/ACT</v>
      </c>
      <c r="R733">
        <v>100</v>
      </c>
      <c r="S733" t="str">
        <f>_xll.BDP("912833CK Govt","ID_CUSIP")</f>
        <v>912833CK4</v>
      </c>
      <c r="T733" t="str">
        <f>_xll.BDP("912833CK Govt","IDX_RATIO")</f>
        <v>#N/A Field Not Applicable</v>
      </c>
    </row>
    <row r="734" spans="1:20" x14ac:dyDescent="0.25">
      <c r="A734" t="s">
        <v>14</v>
      </c>
      <c r="B734" t="str">
        <f>_xll.BDP("912833CN Govt","TICKER")</f>
        <v>S</v>
      </c>
      <c r="C734">
        <f>_xll.BDP("912833CN Govt","CPN")</f>
        <v>0</v>
      </c>
      <c r="D734" t="str">
        <f>_xll.BDP("912833CN Govt","YLD_YTM_BID")</f>
        <v>#N/A N/A</v>
      </c>
      <c r="E734" t="str">
        <f>_xll.BDP("912833CN Govt","MATURITY")</f>
        <v>8/15/2005</v>
      </c>
      <c r="F734" t="str">
        <f>_xll.BDP("912833CN Govt","MTY_TYP")</f>
        <v>NORMAL</v>
      </c>
      <c r="G734" t="str">
        <f>_xll.BDP("912833CN Govt","CRNCY")</f>
        <v>USD</v>
      </c>
      <c r="H734" t="str">
        <f>_xll.BDP("912833CN Govt","COUNTRY_FULL_NAME")</f>
        <v>UNITED STATES</v>
      </c>
      <c r="I734" t="str">
        <f>_xll.BDP("912833CN Govt","FIRST_CPN_DT")</f>
        <v>#N/A Field Not Applicable</v>
      </c>
      <c r="J734" t="str">
        <f>_xll.BDP("912833CN Govt","COUPON_FREQUENCY_DESCRIPTION")</f>
        <v>#N/A Field Not Applicable</v>
      </c>
      <c r="K734" t="str">
        <f>_xll.BDP("912833CN Govt","CPN_TYP")</f>
        <v>ZERO</v>
      </c>
      <c r="L734" t="str">
        <f>_xll.BDP("912833CN Govt","ID_ISIN")</f>
        <v>US912833CN83</v>
      </c>
      <c r="N734">
        <v>0</v>
      </c>
      <c r="O734" t="str">
        <f>_xll.BDP("912833CN Govt","ISSUE_DT")</f>
        <v>2/15/1985</v>
      </c>
      <c r="P734" t="str">
        <f>_xll.BDP("912833CN Govt","SECURITY_NAME")</f>
        <v>S 0 08/15/05</v>
      </c>
      <c r="Q734" t="str">
        <f>_xll.BDP("912833CN Govt","DAY_CNT_DES")</f>
        <v>ACT/ACT</v>
      </c>
      <c r="R734">
        <v>100</v>
      </c>
      <c r="S734" t="str">
        <f>_xll.BDP("912833CN Govt","ID_CUSIP")</f>
        <v>912833CN8</v>
      </c>
      <c r="T734" t="str">
        <f>_xll.BDP("912833CN Govt","IDX_RATIO")</f>
        <v>#N/A Field Not Applicable</v>
      </c>
    </row>
    <row r="735" spans="1:20" x14ac:dyDescent="0.25">
      <c r="A735" t="s">
        <v>14</v>
      </c>
      <c r="B735" t="str">
        <f>_xll.BDP("912833CW Govt","TICKER")</f>
        <v>S</v>
      </c>
      <c r="C735">
        <f>_xll.BDP("912833CW Govt","CPN")</f>
        <v>0</v>
      </c>
      <c r="D735" t="str">
        <f>_xll.BDP("912833CW Govt","YLD_YTM_BID")</f>
        <v>#N/A N/A</v>
      </c>
      <c r="E735" t="str">
        <f>_xll.BDP("912833CW Govt","MATURITY")</f>
        <v>8/15/2009</v>
      </c>
      <c r="F735" t="str">
        <f>_xll.BDP("912833CW Govt","MTY_TYP")</f>
        <v>NORMAL</v>
      </c>
      <c r="G735" t="str">
        <f>_xll.BDP("912833CW Govt","CRNCY")</f>
        <v>USD</v>
      </c>
      <c r="H735" t="str">
        <f>_xll.BDP("912833CW Govt","COUNTRY_FULL_NAME")</f>
        <v>UNITED STATES</v>
      </c>
      <c r="I735" t="str">
        <f>_xll.BDP("912833CW Govt","FIRST_CPN_DT")</f>
        <v>#N/A Field Not Applicable</v>
      </c>
      <c r="J735" t="str">
        <f>_xll.BDP("912833CW Govt","COUPON_FREQUENCY_DESCRIPTION")</f>
        <v>#N/A Field Not Applicable</v>
      </c>
      <c r="K735" t="str">
        <f>_xll.BDP("912833CW Govt","CPN_TYP")</f>
        <v>ZERO</v>
      </c>
      <c r="L735" t="str">
        <f>_xll.BDP("912833CW Govt","ID_ISIN")</f>
        <v>US912833CW82</v>
      </c>
      <c r="N735">
        <v>0</v>
      </c>
      <c r="O735" t="str">
        <f>_xll.BDP("912833CW Govt","ISSUE_DT")</f>
        <v>2/15/1985</v>
      </c>
      <c r="P735" t="str">
        <f>_xll.BDP("912833CW Govt","SECURITY_NAME")</f>
        <v>S 0 08/15/09</v>
      </c>
      <c r="Q735" t="str">
        <f>_xll.BDP("912833CW Govt","DAY_CNT_DES")</f>
        <v>ACT/ACT</v>
      </c>
      <c r="R735">
        <v>100</v>
      </c>
      <c r="S735" t="str">
        <f>_xll.BDP("912833CW Govt","ID_CUSIP")</f>
        <v>912833CW8</v>
      </c>
      <c r="T735" t="str">
        <f>_xll.BDP("912833CW Govt","IDX_RATIO")</f>
        <v>#N/A Field Not Applicable</v>
      </c>
    </row>
    <row r="736" spans="1:20" x14ac:dyDescent="0.25">
      <c r="A736" t="s">
        <v>14</v>
      </c>
      <c r="B736" t="str">
        <f>_xll.BDP("912833DG Govt","TICKER")</f>
        <v>S</v>
      </c>
      <c r="C736">
        <f>_xll.BDP("912833DG Govt","CPN")</f>
        <v>0</v>
      </c>
      <c r="D736" t="str">
        <f>_xll.BDP("912833DG Govt","YLD_YTM_BID")</f>
        <v>#N/A N/A</v>
      </c>
      <c r="E736" t="str">
        <f>_xll.BDP("912833DG Govt","MATURITY")</f>
        <v>8/15/2014</v>
      </c>
      <c r="F736" t="str">
        <f>_xll.BDP("912833DG Govt","MTY_TYP")</f>
        <v>NORMAL</v>
      </c>
      <c r="G736" t="str">
        <f>_xll.BDP("912833DG Govt","CRNCY")</f>
        <v>USD</v>
      </c>
      <c r="H736" t="str">
        <f>_xll.BDP("912833DG Govt","COUNTRY_FULL_NAME")</f>
        <v>UNITED STATES</v>
      </c>
      <c r="I736" t="str">
        <f>_xll.BDP("912833DG Govt","FIRST_CPN_DT")</f>
        <v>#N/A Field Not Applicable</v>
      </c>
      <c r="J736" t="str">
        <f>_xll.BDP("912833DG Govt","COUPON_FREQUENCY_DESCRIPTION")</f>
        <v>#N/A Field Not Applicable</v>
      </c>
      <c r="K736" t="str">
        <f>_xll.BDP("912833DG Govt","CPN_TYP")</f>
        <v>ZERO</v>
      </c>
      <c r="L736" t="str">
        <f>_xll.BDP("912833DG Govt","ID_ISIN")</f>
        <v>US912833DG24</v>
      </c>
      <c r="N736">
        <v>0</v>
      </c>
      <c r="O736" t="str">
        <f>_xll.BDP("912833DG Govt","ISSUE_DT")</f>
        <v>2/15/1985</v>
      </c>
      <c r="P736" t="str">
        <f>_xll.BDP("912833DG Govt","SECURITY_NAME")</f>
        <v>S 0 08/15/14</v>
      </c>
      <c r="Q736" t="str">
        <f>_xll.BDP("912833DG Govt","DAY_CNT_DES")</f>
        <v>ACT/ACT</v>
      </c>
      <c r="R736">
        <v>100</v>
      </c>
      <c r="S736" t="str">
        <f>_xll.BDP("912833DG Govt","ID_CUSIP")</f>
        <v>912833DG2</v>
      </c>
      <c r="T736" t="str">
        <f>_xll.BDP("912833DG Govt","IDX_RATIO")</f>
        <v>#N/A Field Not Applicable</v>
      </c>
    </row>
    <row r="737" spans="1:20" x14ac:dyDescent="0.25">
      <c r="A737" t="s">
        <v>14</v>
      </c>
      <c r="B737" t="str">
        <f>_xll.BDP("912833FJ Govt","TICKER")</f>
        <v>S</v>
      </c>
      <c r="C737">
        <f>_xll.BDP("912833FJ Govt","CPN")</f>
        <v>0</v>
      </c>
      <c r="D737" t="str">
        <f>_xll.BDP("912833FJ Govt","YLD_YTM_BID")</f>
        <v>#N/A N/A</v>
      </c>
      <c r="E737" t="str">
        <f>_xll.BDP("912833FJ Govt","MATURITY")</f>
        <v>5/15/1999</v>
      </c>
      <c r="F737" t="str">
        <f>_xll.BDP("912833FJ Govt","MTY_TYP")</f>
        <v>NORMAL</v>
      </c>
      <c r="G737" t="str">
        <f>_xll.BDP("912833FJ Govt","CRNCY")</f>
        <v>USD</v>
      </c>
      <c r="H737" t="str">
        <f>_xll.BDP("912833FJ Govt","COUNTRY_FULL_NAME")</f>
        <v>UNITED STATES</v>
      </c>
      <c r="I737" t="str">
        <f>_xll.BDP("912833FJ Govt","FIRST_CPN_DT")</f>
        <v>#N/A Field Not Applicable</v>
      </c>
      <c r="J737" t="str">
        <f>_xll.BDP("912833FJ Govt","COUPON_FREQUENCY_DESCRIPTION")</f>
        <v>#N/A Field Not Applicable</v>
      </c>
      <c r="K737" t="str">
        <f>_xll.BDP("912833FJ Govt","CPN_TYP")</f>
        <v>ZERO</v>
      </c>
      <c r="L737" t="str">
        <f>_xll.BDP("912833FJ Govt","ID_ISIN")</f>
        <v>US912833FJ45</v>
      </c>
      <c r="N737">
        <v>0</v>
      </c>
      <c r="O737" t="str">
        <f>_xll.BDP("912833FJ Govt","ISSUE_DT")</f>
        <v>11/15/1984</v>
      </c>
      <c r="P737" t="str">
        <f>_xll.BDP("912833FJ Govt","SECURITY_NAME")</f>
        <v>S 0 05/15/99</v>
      </c>
      <c r="Q737" t="str">
        <f>_xll.BDP("912833FJ Govt","DAY_CNT_DES")</f>
        <v>ACT/ACT</v>
      </c>
      <c r="R737">
        <v>100</v>
      </c>
      <c r="S737" t="str">
        <f>_xll.BDP("912833FJ Govt","ID_CUSIP")</f>
        <v>912833FJ4</v>
      </c>
      <c r="T737" t="str">
        <f>_xll.BDP("912833FJ Govt","IDX_RATIO")</f>
        <v>#N/A Field Not Applicable</v>
      </c>
    </row>
    <row r="738" spans="1:20" x14ac:dyDescent="0.25">
      <c r="A738" t="s">
        <v>14</v>
      </c>
      <c r="B738" t="str">
        <f>_xll.BDP("912833FN Govt","TICKER")</f>
        <v>S</v>
      </c>
      <c r="C738">
        <f>_xll.BDP("912833FN Govt","CPN")</f>
        <v>0</v>
      </c>
      <c r="D738" t="str">
        <f>_xll.BDP("912833FN Govt","YLD_YTM_BID")</f>
        <v>#N/A N/A</v>
      </c>
      <c r="E738" t="str">
        <f>_xll.BDP("912833FN Govt","MATURITY")</f>
        <v>5/15/2001</v>
      </c>
      <c r="F738" t="str">
        <f>_xll.BDP("912833FN Govt","MTY_TYP")</f>
        <v>NORMAL</v>
      </c>
      <c r="G738" t="str">
        <f>_xll.BDP("912833FN Govt","CRNCY")</f>
        <v>USD</v>
      </c>
      <c r="H738" t="str">
        <f>_xll.BDP("912833FN Govt","COUNTRY_FULL_NAME")</f>
        <v>UNITED STATES</v>
      </c>
      <c r="I738" t="str">
        <f>_xll.BDP("912833FN Govt","FIRST_CPN_DT")</f>
        <v>#N/A Field Not Applicable</v>
      </c>
      <c r="J738" t="str">
        <f>_xll.BDP("912833FN Govt","COUPON_FREQUENCY_DESCRIPTION")</f>
        <v>#N/A Field Not Applicable</v>
      </c>
      <c r="K738" t="str">
        <f>_xll.BDP("912833FN Govt","CPN_TYP")</f>
        <v>ZERO</v>
      </c>
      <c r="L738" t="str">
        <f>_xll.BDP("912833FN Govt","ID_ISIN")</f>
        <v>US912833FN56</v>
      </c>
      <c r="N738">
        <v>0</v>
      </c>
      <c r="O738" t="str">
        <f>_xll.BDP("912833FN Govt","ISSUE_DT")</f>
        <v>11/15/1984</v>
      </c>
      <c r="P738" t="str">
        <f>_xll.BDP("912833FN Govt","SECURITY_NAME")</f>
        <v>S 0 05/15/01</v>
      </c>
      <c r="Q738" t="str">
        <f>_xll.BDP("912833FN Govt","DAY_CNT_DES")</f>
        <v>ACT/ACT</v>
      </c>
      <c r="R738">
        <v>100</v>
      </c>
      <c r="S738" t="str">
        <f>_xll.BDP("912833FN Govt","ID_CUSIP")</f>
        <v>912833FN5</v>
      </c>
      <c r="T738" t="str">
        <f>_xll.BDP("912833FN Govt","IDX_RATIO")</f>
        <v>#N/A Field Not Applicable</v>
      </c>
    </row>
    <row r="739" spans="1:20" x14ac:dyDescent="0.25">
      <c r="A739" t="s">
        <v>14</v>
      </c>
      <c r="B739" t="str">
        <f>_xll.BDP("912833FW Govt","TICKER")</f>
        <v>S</v>
      </c>
      <c r="C739">
        <f>_xll.BDP("912833FW Govt","CPN")</f>
        <v>0</v>
      </c>
      <c r="D739" t="str">
        <f>_xll.BDP("912833FW Govt","YLD_YTM_BID")</f>
        <v>#N/A N/A</v>
      </c>
      <c r="E739" t="str">
        <f>_xll.BDP("912833FW Govt","MATURITY")</f>
        <v>5/15/2005</v>
      </c>
      <c r="F739" t="str">
        <f>_xll.BDP("912833FW Govt","MTY_TYP")</f>
        <v>NORMAL</v>
      </c>
      <c r="G739" t="str">
        <f>_xll.BDP("912833FW Govt","CRNCY")</f>
        <v>USD</v>
      </c>
      <c r="H739" t="str">
        <f>_xll.BDP("912833FW Govt","COUNTRY_FULL_NAME")</f>
        <v>UNITED STATES</v>
      </c>
      <c r="I739" t="str">
        <f>_xll.BDP("912833FW Govt","FIRST_CPN_DT")</f>
        <v>#N/A Field Not Applicable</v>
      </c>
      <c r="J739" t="str">
        <f>_xll.BDP("912833FW Govt","COUPON_FREQUENCY_DESCRIPTION")</f>
        <v>#N/A Field Not Applicable</v>
      </c>
      <c r="K739" t="str">
        <f>_xll.BDP("912833FW Govt","CPN_TYP")</f>
        <v>ZERO</v>
      </c>
      <c r="L739" t="str">
        <f>_xll.BDP("912833FW Govt","ID_ISIN")</f>
        <v>US912833FW55</v>
      </c>
      <c r="N739">
        <v>0</v>
      </c>
      <c r="O739" t="str">
        <f>_xll.BDP("912833FW Govt","ISSUE_DT")</f>
        <v>11/15/1984</v>
      </c>
      <c r="P739" t="str">
        <f>_xll.BDP("912833FW Govt","SECURITY_NAME")</f>
        <v>S 0 05/15/05</v>
      </c>
      <c r="Q739" t="str">
        <f>_xll.BDP("912833FW Govt","DAY_CNT_DES")</f>
        <v>ACT/ACT</v>
      </c>
      <c r="R739">
        <v>100</v>
      </c>
      <c r="S739" t="str">
        <f>_xll.BDP("912833FW Govt","ID_CUSIP")</f>
        <v>912833FW5</v>
      </c>
      <c r="T739" t="str">
        <f>_xll.BDP("912833FW Govt","IDX_RATIO")</f>
        <v>#N/A Field Not Applicable</v>
      </c>
    </row>
    <row r="740" spans="1:20" x14ac:dyDescent="0.25">
      <c r="A740" t="s">
        <v>14</v>
      </c>
      <c r="B740" t="str">
        <f>_xll.BDP("912833JW Govt","TICKER")</f>
        <v>S</v>
      </c>
      <c r="C740">
        <f>_xll.BDP("912833JW Govt","CPN")</f>
        <v>0</v>
      </c>
      <c r="D740" t="str">
        <f>_xll.BDP("912833JW Govt","YLD_YTM_BID")</f>
        <v>#N/A N/A</v>
      </c>
      <c r="E740" t="str">
        <f>_xll.BDP("912833JW Govt","MATURITY")</f>
        <v>5/15/2011</v>
      </c>
      <c r="F740" t="str">
        <f>_xll.BDP("912833JW Govt","MTY_TYP")</f>
        <v>NORMAL</v>
      </c>
      <c r="G740" t="str">
        <f>_xll.BDP("912833JW Govt","CRNCY")</f>
        <v>USD</v>
      </c>
      <c r="H740" t="str">
        <f>_xll.BDP("912833JW Govt","COUNTRY_FULL_NAME")</f>
        <v>UNITED STATES</v>
      </c>
      <c r="I740" t="str">
        <f>_xll.BDP("912833JW Govt","FIRST_CPN_DT")</f>
        <v>#N/A Field Not Applicable</v>
      </c>
      <c r="J740" t="str">
        <f>_xll.BDP("912833JW Govt","COUPON_FREQUENCY_DESCRIPTION")</f>
        <v>#N/A Field Not Applicable</v>
      </c>
      <c r="K740" t="str">
        <f>_xll.BDP("912833JW Govt","CPN_TYP")</f>
        <v>ZERO</v>
      </c>
      <c r="L740" t="str">
        <f>_xll.BDP("912833JW Govt","ID_ISIN")</f>
        <v>US912833JW10</v>
      </c>
      <c r="N740">
        <v>0</v>
      </c>
      <c r="O740" t="str">
        <f>_xll.BDP("912833JW Govt","ISSUE_DT")</f>
        <v>11/15/1985</v>
      </c>
      <c r="P740" t="str">
        <f>_xll.BDP("912833JW Govt","SECURITY_NAME")</f>
        <v>S 0 05/15/11</v>
      </c>
      <c r="Q740" t="str">
        <f>_xll.BDP("912833JW Govt","DAY_CNT_DES")</f>
        <v>ACT/ACT</v>
      </c>
      <c r="R740">
        <v>100</v>
      </c>
      <c r="S740" t="str">
        <f>_xll.BDP("912833JW Govt","ID_CUSIP")</f>
        <v>912833JW1</v>
      </c>
      <c r="T740" t="str">
        <f>_xll.BDP("912833JW Govt","IDX_RATIO")</f>
        <v>#N/A Field Not Applicable</v>
      </c>
    </row>
    <row r="741" spans="1:20" x14ac:dyDescent="0.25">
      <c r="A741" t="s">
        <v>14</v>
      </c>
      <c r="B741" t="str">
        <f>_xll.BDP("912833JZ Govt","TICKER")</f>
        <v>S</v>
      </c>
      <c r="C741">
        <f>_xll.BDP("912833JZ Govt","CPN")</f>
        <v>0</v>
      </c>
      <c r="D741" t="str">
        <f>_xll.BDP("912833JZ Govt","YLD_YTM_BID")</f>
        <v>#N/A N/A</v>
      </c>
      <c r="E741" t="str">
        <f>_xll.BDP("912833JZ Govt","MATURITY")</f>
        <v>11/15/2012</v>
      </c>
      <c r="F741" t="str">
        <f>_xll.BDP("912833JZ Govt","MTY_TYP")</f>
        <v>NORMAL</v>
      </c>
      <c r="G741" t="str">
        <f>_xll.BDP("912833JZ Govt","CRNCY")</f>
        <v>USD</v>
      </c>
      <c r="H741" t="str">
        <f>_xll.BDP("912833JZ Govt","COUNTRY_FULL_NAME")</f>
        <v>UNITED STATES</v>
      </c>
      <c r="I741" t="str">
        <f>_xll.BDP("912833JZ Govt","FIRST_CPN_DT")</f>
        <v>#N/A Field Not Applicable</v>
      </c>
      <c r="J741" t="str">
        <f>_xll.BDP("912833JZ Govt","COUPON_FREQUENCY_DESCRIPTION")</f>
        <v>#N/A Field Not Applicable</v>
      </c>
      <c r="K741" t="str">
        <f>_xll.BDP("912833JZ Govt","CPN_TYP")</f>
        <v>ZERO</v>
      </c>
      <c r="L741" t="str">
        <f>_xll.BDP("912833JZ Govt","ID_ISIN")</f>
        <v>US912833JZ41</v>
      </c>
      <c r="N741">
        <v>0</v>
      </c>
      <c r="O741" t="str">
        <f>_xll.BDP("912833JZ Govt","ISSUE_DT")</f>
        <v>11/15/1985</v>
      </c>
      <c r="P741" t="str">
        <f>_xll.BDP("912833JZ Govt","SECURITY_NAME")</f>
        <v>S 0 11/15/12</v>
      </c>
      <c r="Q741" t="str">
        <f>_xll.BDP("912833JZ Govt","DAY_CNT_DES")</f>
        <v>ACT/ACT</v>
      </c>
      <c r="R741">
        <v>100</v>
      </c>
      <c r="S741" t="str">
        <f>_xll.BDP("912833JZ Govt","ID_CUSIP")</f>
        <v>912833JZ4</v>
      </c>
      <c r="T741" t="str">
        <f>_xll.BDP("912833JZ Govt","IDX_RATIO")</f>
        <v>#N/A Field Not Applicable</v>
      </c>
    </row>
    <row r="742" spans="1:20" x14ac:dyDescent="0.25">
      <c r="A742" t="s">
        <v>14</v>
      </c>
      <c r="B742" t="str">
        <f>_xll.BDP("912833KV Govt","TICKER")</f>
        <v>S</v>
      </c>
      <c r="C742">
        <f>_xll.BDP("912833KV Govt","CPN")</f>
        <v>0</v>
      </c>
      <c r="D742" t="str">
        <f>_xll.BDP("912833KV Govt","YLD_YTM_BID")</f>
        <v>#N/A N/A</v>
      </c>
      <c r="E742" t="str">
        <f>_xll.BDP("912833KV Govt","MATURITY")</f>
        <v>5/15/2019</v>
      </c>
      <c r="F742" t="str">
        <f>_xll.BDP("912833KV Govt","MTY_TYP")</f>
        <v>NORMAL</v>
      </c>
      <c r="G742" t="str">
        <f>_xll.BDP("912833KV Govt","CRNCY")</f>
        <v>USD</v>
      </c>
      <c r="H742" t="str">
        <f>_xll.BDP("912833KV Govt","COUNTRY_FULL_NAME")</f>
        <v>UNITED STATES</v>
      </c>
      <c r="I742" t="str">
        <f>_xll.BDP("912833KV Govt","FIRST_CPN_DT")</f>
        <v>#N/A Field Not Applicable</v>
      </c>
      <c r="J742" t="str">
        <f>_xll.BDP("912833KV Govt","COUPON_FREQUENCY_DESCRIPTION")</f>
        <v>#N/A Field Not Applicable</v>
      </c>
      <c r="K742" t="str">
        <f>_xll.BDP("912833KV Govt","CPN_TYP")</f>
        <v>ZERO</v>
      </c>
      <c r="L742" t="str">
        <f>_xll.BDP("912833KV Govt","ID_ISIN")</f>
        <v>US912833KV18</v>
      </c>
      <c r="N742">
        <v>0</v>
      </c>
      <c r="O742" t="str">
        <f>_xll.BDP("912833KV Govt","ISSUE_DT")</f>
        <v>5/15/1990</v>
      </c>
      <c r="P742" t="str">
        <f>_xll.BDP("912833KV Govt","SECURITY_NAME")</f>
        <v>S 0 05/15/19</v>
      </c>
      <c r="Q742" t="str">
        <f>_xll.BDP("912833KV Govt","DAY_CNT_DES")</f>
        <v>ACT/ACT</v>
      </c>
      <c r="R742">
        <v>100</v>
      </c>
      <c r="S742" t="str">
        <f>_xll.BDP("912833KV Govt","ID_CUSIP")</f>
        <v>912833KV1</v>
      </c>
      <c r="T742" t="str">
        <f>_xll.BDP("912833KV Govt","IDX_RATIO")</f>
        <v>#N/A Field Not Applicable</v>
      </c>
    </row>
    <row r="743" spans="1:20" x14ac:dyDescent="0.25">
      <c r="A743" t="s">
        <v>14</v>
      </c>
      <c r="B743" t="str">
        <f>_xll.BDP("9128333K Govt","TICKER")</f>
        <v>S</v>
      </c>
      <c r="C743">
        <f>_xll.BDP("9128333K Govt","CPN")</f>
        <v>0</v>
      </c>
      <c r="D743" t="str">
        <f>_xll.BDP("9128333K Govt","YLD_YTM_BID")</f>
        <v>#N/A N/A</v>
      </c>
      <c r="E743" t="str">
        <f>_xll.BDP("9128333K Govt","MATURITY")</f>
        <v>9/15/2009</v>
      </c>
      <c r="F743" t="str">
        <f>_xll.BDP("9128333K Govt","MTY_TYP")</f>
        <v>NORMAL</v>
      </c>
      <c r="G743" t="str">
        <f>_xll.BDP("9128333K Govt","CRNCY")</f>
        <v>USD</v>
      </c>
      <c r="H743" t="str">
        <f>_xll.BDP("9128333K Govt","COUNTRY_FULL_NAME")</f>
        <v>UNITED STATES</v>
      </c>
      <c r="I743" t="str">
        <f>_xll.BDP("9128333K Govt","FIRST_CPN_DT")</f>
        <v>#N/A Field Not Applicable</v>
      </c>
      <c r="J743" t="str">
        <f>_xll.BDP("9128333K Govt","COUPON_FREQUENCY_DESCRIPTION")</f>
        <v>#N/A Field Not Applicable</v>
      </c>
      <c r="K743" t="str">
        <f>_xll.BDP("9128333K Govt","CPN_TYP")</f>
        <v>ZERO</v>
      </c>
      <c r="L743" t="str">
        <f>_xll.BDP("9128333K Govt","ID_ISIN")</f>
        <v>US9128333K44</v>
      </c>
      <c r="N743">
        <v>0</v>
      </c>
      <c r="O743" t="str">
        <f>_xll.BDP("9128333K Govt","ISSUE_DT")</f>
        <v>9/15/2004</v>
      </c>
      <c r="P743" t="str">
        <f>_xll.BDP("9128333K Govt","SECURITY_NAME")</f>
        <v>S 0 09/15/09</v>
      </c>
      <c r="Q743" t="str">
        <f>_xll.BDP("9128333K Govt","DAY_CNT_DES")</f>
        <v>ACT/ACT</v>
      </c>
      <c r="R743">
        <v>100</v>
      </c>
      <c r="S743" t="str">
        <f>_xll.BDP("9128333K Govt","ID_CUSIP")</f>
        <v>9128333K4</v>
      </c>
      <c r="T743" t="str">
        <f>_xll.BDP("9128333K Govt","IDX_RATIO")</f>
        <v>#N/A Field Not Applicable</v>
      </c>
    </row>
    <row r="744" spans="1:20" x14ac:dyDescent="0.25">
      <c r="A744" t="s">
        <v>14</v>
      </c>
      <c r="B744" t="str">
        <f>_xll.BDP("9128334N Govt","TICKER")</f>
        <v>S</v>
      </c>
      <c r="C744">
        <f>_xll.BDP("9128334N Govt","CPN")</f>
        <v>0</v>
      </c>
      <c r="D744" t="str">
        <f>_xll.BDP("9128334N Govt","YLD_YTM_BID")</f>
        <v>#N/A N/A</v>
      </c>
      <c r="E744" t="str">
        <f>_xll.BDP("9128334N Govt","MATURITY")</f>
        <v>1/15/2011</v>
      </c>
      <c r="F744" t="str">
        <f>_xll.BDP("9128334N Govt","MTY_TYP")</f>
        <v>NORMAL</v>
      </c>
      <c r="G744" t="str">
        <f>_xll.BDP("9128334N Govt","CRNCY")</f>
        <v>USD</v>
      </c>
      <c r="H744" t="str">
        <f>_xll.BDP("9128334N Govt","COUNTRY_FULL_NAME")</f>
        <v>UNITED STATES</v>
      </c>
      <c r="I744" t="str">
        <f>_xll.BDP("9128334N Govt","FIRST_CPN_DT")</f>
        <v>#N/A Field Not Applicable</v>
      </c>
      <c r="J744" t="str">
        <f>_xll.BDP("9128334N Govt","COUPON_FREQUENCY_DESCRIPTION")</f>
        <v>#N/A Field Not Applicable</v>
      </c>
      <c r="K744" t="str">
        <f>_xll.BDP("9128334N Govt","CPN_TYP")</f>
        <v>ZERO</v>
      </c>
      <c r="L744" t="str">
        <f>_xll.BDP("9128334N Govt","ID_ISIN")</f>
        <v>US9128334N73</v>
      </c>
      <c r="N744">
        <v>0</v>
      </c>
      <c r="O744" t="str">
        <f>_xll.BDP("9128334N Govt","ISSUE_DT")</f>
        <v>1/17/2006</v>
      </c>
      <c r="P744" t="str">
        <f>_xll.BDP("9128334N Govt","SECURITY_NAME")</f>
        <v>S 0 01/15/11</v>
      </c>
      <c r="Q744" t="str">
        <f>_xll.BDP("9128334N Govt","DAY_CNT_DES")</f>
        <v>ACT/ACT</v>
      </c>
      <c r="R744">
        <v>100</v>
      </c>
      <c r="S744" t="str">
        <f>_xll.BDP("9128334N Govt","ID_CUSIP")</f>
        <v>9128334N7</v>
      </c>
      <c r="T744" t="str">
        <f>_xll.BDP("9128334N Govt","IDX_RATIO")</f>
        <v>#N/A Field Not Applicable</v>
      </c>
    </row>
    <row r="745" spans="1:20" x14ac:dyDescent="0.25">
      <c r="A745" t="s">
        <v>14</v>
      </c>
      <c r="B745" t="str">
        <f>_xll.BDP("9128335E Govt","TICKER")</f>
        <v>S</v>
      </c>
      <c r="C745">
        <f>_xll.BDP("9128335E Govt","CPN")</f>
        <v>0</v>
      </c>
      <c r="D745" t="str">
        <f>_xll.BDP("9128335E Govt","YLD_YTM_BID")</f>
        <v>#N/A N/A</v>
      </c>
      <c r="E745" t="str">
        <f>_xll.BDP("9128335E Govt","MATURITY")</f>
        <v>2/28/2009</v>
      </c>
      <c r="F745" t="str">
        <f>_xll.BDP("9128335E Govt","MTY_TYP")</f>
        <v>NORMAL</v>
      </c>
      <c r="G745" t="str">
        <f>_xll.BDP("9128335E Govt","CRNCY")</f>
        <v>USD</v>
      </c>
      <c r="H745" t="str">
        <f>_xll.BDP("9128335E Govt","COUNTRY_FULL_NAME")</f>
        <v>UNITED STATES</v>
      </c>
      <c r="I745" t="str">
        <f>_xll.BDP("9128335E Govt","FIRST_CPN_DT")</f>
        <v>#N/A Field Not Applicable</v>
      </c>
      <c r="J745" t="str">
        <f>_xll.BDP("9128335E Govt","COUPON_FREQUENCY_DESCRIPTION")</f>
        <v>#N/A Field Not Applicable</v>
      </c>
      <c r="K745" t="str">
        <f>_xll.BDP("9128335E Govt","CPN_TYP")</f>
        <v>ZERO</v>
      </c>
      <c r="L745" t="str">
        <f>_xll.BDP("9128335E Govt","ID_ISIN")</f>
        <v>US9128335E65</v>
      </c>
      <c r="N745">
        <v>0</v>
      </c>
      <c r="O745" t="str">
        <f>_xll.BDP("9128335E Govt","ISSUE_DT")</f>
        <v>2/28/2006</v>
      </c>
      <c r="P745" t="str">
        <f>_xll.BDP("9128335E Govt","SECURITY_NAME")</f>
        <v>S 0 02/28/09</v>
      </c>
      <c r="Q745" t="str">
        <f>_xll.BDP("9128335E Govt","DAY_CNT_DES")</f>
        <v>ACT/ACT</v>
      </c>
      <c r="R745">
        <v>100</v>
      </c>
      <c r="S745" t="str">
        <f>_xll.BDP("9128335E Govt","ID_CUSIP")</f>
        <v>9128335E6</v>
      </c>
      <c r="T745" t="str">
        <f>_xll.BDP("9128335E Govt","IDX_RATIO")</f>
        <v>#N/A Field Not Applicable</v>
      </c>
    </row>
    <row r="746" spans="1:20" x14ac:dyDescent="0.25">
      <c r="A746" t="s">
        <v>14</v>
      </c>
      <c r="B746" t="str">
        <f>_xll.BDP("9128335N Govt","TICKER")</f>
        <v>S</v>
      </c>
      <c r="C746">
        <f>_xll.BDP("9128335N Govt","CPN")</f>
        <v>0</v>
      </c>
      <c r="D746" t="str">
        <f>_xll.BDP("9128335N Govt","YLD_YTM_BID")</f>
        <v>#N/A N/A</v>
      </c>
      <c r="E746" t="str">
        <f>_xll.BDP("9128335N Govt","MATURITY")</f>
        <v>9/30/2009</v>
      </c>
      <c r="F746" t="str">
        <f>_xll.BDP("9128335N Govt","MTY_TYP")</f>
        <v>NORMAL</v>
      </c>
      <c r="G746" t="str">
        <f>_xll.BDP("9128335N Govt","CRNCY")</f>
        <v>USD</v>
      </c>
      <c r="H746" t="str">
        <f>_xll.BDP("9128335N Govt","COUNTRY_FULL_NAME")</f>
        <v>UNITED STATES</v>
      </c>
      <c r="I746" t="str">
        <f>_xll.BDP("9128335N Govt","FIRST_CPN_DT")</f>
        <v>#N/A Field Not Applicable</v>
      </c>
      <c r="J746" t="str">
        <f>_xll.BDP("9128335N Govt","COUPON_FREQUENCY_DESCRIPTION")</f>
        <v>#N/A Field Not Applicable</v>
      </c>
      <c r="K746" t="str">
        <f>_xll.BDP("9128335N Govt","CPN_TYP")</f>
        <v>ZERO</v>
      </c>
      <c r="L746" t="str">
        <f>_xll.BDP("9128335N Govt","ID_ISIN")</f>
        <v>US9128335N64</v>
      </c>
      <c r="N746">
        <v>0</v>
      </c>
      <c r="O746" t="str">
        <f>_xll.BDP("9128335N Govt","ISSUE_DT")</f>
        <v>3/31/2006</v>
      </c>
      <c r="P746" t="str">
        <f>_xll.BDP("9128335N Govt","SECURITY_NAME")</f>
        <v>S 0 09/30/09</v>
      </c>
      <c r="Q746" t="str">
        <f>_xll.BDP("9128335N Govt","DAY_CNT_DES")</f>
        <v>ACT/ACT</v>
      </c>
      <c r="R746">
        <v>100</v>
      </c>
      <c r="S746" t="str">
        <f>_xll.BDP("9128335N Govt","ID_CUSIP")</f>
        <v>9128335N6</v>
      </c>
      <c r="T746" t="str">
        <f>_xll.BDP("9128335N Govt","IDX_RATIO")</f>
        <v>#N/A Field Not Applicable</v>
      </c>
    </row>
    <row r="747" spans="1:20" x14ac:dyDescent="0.25">
      <c r="A747" t="s">
        <v>14</v>
      </c>
      <c r="B747" t="str">
        <f>_xll.BDP("9128335X Govt","TICKER")</f>
        <v>S</v>
      </c>
      <c r="C747">
        <f>_xll.BDP("9128335X Govt","CPN")</f>
        <v>0</v>
      </c>
      <c r="D747" t="str">
        <f>_xll.BDP("9128335X Govt","YLD_YTM_BID")</f>
        <v>#N/A N/A</v>
      </c>
      <c r="E747" t="str">
        <f>_xll.BDP("9128335X Govt","MATURITY")</f>
        <v>10/31/2010</v>
      </c>
      <c r="F747" t="str">
        <f>_xll.BDP("9128335X Govt","MTY_TYP")</f>
        <v>NORMAL</v>
      </c>
      <c r="G747" t="str">
        <f>_xll.BDP("9128335X Govt","CRNCY")</f>
        <v>USD</v>
      </c>
      <c r="H747" t="str">
        <f>_xll.BDP("9128335X Govt","COUNTRY_FULL_NAME")</f>
        <v>UNITED STATES</v>
      </c>
      <c r="I747" t="str">
        <f>_xll.BDP("9128335X Govt","FIRST_CPN_DT")</f>
        <v>#N/A Field Not Applicable</v>
      </c>
      <c r="J747" t="str">
        <f>_xll.BDP("9128335X Govt","COUPON_FREQUENCY_DESCRIPTION")</f>
        <v>#N/A Field Not Applicable</v>
      </c>
      <c r="K747" t="str">
        <f>_xll.BDP("9128335X Govt","CPN_TYP")</f>
        <v>ZERO</v>
      </c>
      <c r="L747" t="str">
        <f>_xll.BDP("9128335X Govt","ID_ISIN")</f>
        <v>US9128335X47</v>
      </c>
      <c r="N747">
        <v>0</v>
      </c>
      <c r="O747" t="str">
        <f>_xll.BDP("9128335X Govt","ISSUE_DT")</f>
        <v>5/1/2006</v>
      </c>
      <c r="P747" t="str">
        <f>_xll.BDP("9128335X Govt","SECURITY_NAME")</f>
        <v>S 0 10/31/10</v>
      </c>
      <c r="Q747" t="str">
        <f>_xll.BDP("9128335X Govt","DAY_CNT_DES")</f>
        <v>ACT/ACT</v>
      </c>
      <c r="R747">
        <v>100</v>
      </c>
      <c r="S747" t="str">
        <f>_xll.BDP("9128335X Govt","ID_CUSIP")</f>
        <v>9128335X4</v>
      </c>
      <c r="T747" t="str">
        <f>_xll.BDP("9128335X Govt","IDX_RATIO")</f>
        <v>#N/A Field Not Applicable</v>
      </c>
    </row>
    <row r="748" spans="1:20" x14ac:dyDescent="0.25">
      <c r="A748" t="s">
        <v>14</v>
      </c>
      <c r="B748" t="str">
        <f>_xll.BDP("9128336A Govt","TICKER")</f>
        <v>S</v>
      </c>
      <c r="C748">
        <f>_xll.BDP("9128336A Govt","CPN")</f>
        <v>0</v>
      </c>
      <c r="D748" t="str">
        <f>_xll.BDP("9128336A Govt","YLD_YTM_BID")</f>
        <v>#N/A N/A</v>
      </c>
      <c r="E748" t="str">
        <f>_xll.BDP("9128336A Govt","MATURITY")</f>
        <v>11/30/2008</v>
      </c>
      <c r="F748" t="str">
        <f>_xll.BDP("9128336A Govt","MTY_TYP")</f>
        <v>NORMAL</v>
      </c>
      <c r="G748" t="str">
        <f>_xll.BDP("9128336A Govt","CRNCY")</f>
        <v>USD</v>
      </c>
      <c r="H748" t="str">
        <f>_xll.BDP("9128336A Govt","COUNTRY_FULL_NAME")</f>
        <v>UNITED STATES</v>
      </c>
      <c r="I748" t="str">
        <f>_xll.BDP("9128336A Govt","FIRST_CPN_DT")</f>
        <v>#N/A Field Not Applicable</v>
      </c>
      <c r="J748" t="str">
        <f>_xll.BDP("9128336A Govt","COUPON_FREQUENCY_DESCRIPTION")</f>
        <v>#N/A Field Not Applicable</v>
      </c>
      <c r="K748" t="str">
        <f>_xll.BDP("9128336A Govt","CPN_TYP")</f>
        <v>ZERO</v>
      </c>
      <c r="L748" t="str">
        <f>_xll.BDP("9128336A Govt","ID_ISIN")</f>
        <v>US9128336A35</v>
      </c>
      <c r="N748">
        <v>0</v>
      </c>
      <c r="O748" t="str">
        <f>_xll.BDP("9128336A Govt","ISSUE_DT")</f>
        <v>5/31/2006</v>
      </c>
      <c r="P748" t="str">
        <f>_xll.BDP("9128336A Govt","SECURITY_NAME")</f>
        <v>S 0 11/30/08</v>
      </c>
      <c r="Q748" t="str">
        <f>_xll.BDP("9128336A Govt","DAY_CNT_DES")</f>
        <v>ACT/ACT</v>
      </c>
      <c r="R748">
        <v>100</v>
      </c>
      <c r="S748" t="str">
        <f>_xll.BDP("9128336A Govt","ID_CUSIP")</f>
        <v>9128336A3</v>
      </c>
      <c r="T748" t="str">
        <f>_xll.BDP("9128336A Govt","IDX_RATIO")</f>
        <v>#N/A Field Not Applicable</v>
      </c>
    </row>
    <row r="749" spans="1:20" x14ac:dyDescent="0.25">
      <c r="A749" t="s">
        <v>14</v>
      </c>
      <c r="B749" t="str">
        <f>_xll.BDP("9128336D Govt","TICKER")</f>
        <v>S</v>
      </c>
      <c r="C749">
        <f>_xll.BDP("9128336D Govt","CPN")</f>
        <v>0</v>
      </c>
      <c r="D749" t="str">
        <f>_xll.BDP("9128336D Govt","YLD_YTM_BID")</f>
        <v>#N/A N/A</v>
      </c>
      <c r="E749" t="str">
        <f>_xll.BDP("9128336D Govt","MATURITY")</f>
        <v>5/31/2010</v>
      </c>
      <c r="F749" t="str">
        <f>_xll.BDP("9128336D Govt","MTY_TYP")</f>
        <v>NORMAL</v>
      </c>
      <c r="G749" t="str">
        <f>_xll.BDP("9128336D Govt","CRNCY")</f>
        <v>USD</v>
      </c>
      <c r="H749" t="str">
        <f>_xll.BDP("9128336D Govt","COUNTRY_FULL_NAME")</f>
        <v>UNITED STATES</v>
      </c>
      <c r="I749" t="str">
        <f>_xll.BDP("9128336D Govt","FIRST_CPN_DT")</f>
        <v>#N/A Field Not Applicable</v>
      </c>
      <c r="J749" t="str">
        <f>_xll.BDP("9128336D Govt","COUPON_FREQUENCY_DESCRIPTION")</f>
        <v>#N/A Field Not Applicable</v>
      </c>
      <c r="K749" t="str">
        <f>_xll.BDP("9128336D Govt","CPN_TYP")</f>
        <v>ZERO</v>
      </c>
      <c r="L749" t="str">
        <f>_xll.BDP("9128336D Govt","ID_ISIN")</f>
        <v>US9128336D73</v>
      </c>
      <c r="N749">
        <v>0</v>
      </c>
      <c r="O749" t="str">
        <f>_xll.BDP("9128336D Govt","ISSUE_DT")</f>
        <v>5/31/2006</v>
      </c>
      <c r="P749" t="str">
        <f>_xll.BDP("9128336D Govt","SECURITY_NAME")</f>
        <v>S 0 05/31/10</v>
      </c>
      <c r="Q749" t="str">
        <f>_xll.BDP("9128336D Govt","DAY_CNT_DES")</f>
        <v>ACT/ACT</v>
      </c>
      <c r="R749">
        <v>100</v>
      </c>
      <c r="S749" t="str">
        <f>_xll.BDP("9128336D Govt","ID_CUSIP")</f>
        <v>9128336D7</v>
      </c>
      <c r="T749" t="str">
        <f>_xll.BDP("9128336D Govt","IDX_RATIO")</f>
        <v>#N/A Field Not Applicable</v>
      </c>
    </row>
    <row r="750" spans="1:20" x14ac:dyDescent="0.25">
      <c r="A750" t="s">
        <v>14</v>
      </c>
      <c r="B750" t="str">
        <f>_xll.BDP("9128336Q Govt","TICKER")</f>
        <v>S</v>
      </c>
      <c r="C750">
        <f>_xll.BDP("9128336Q Govt","CPN")</f>
        <v>0</v>
      </c>
      <c r="D750" t="str">
        <f>_xll.BDP("9128336Q Govt","YLD_YTM_BID")</f>
        <v>#N/A N/A</v>
      </c>
      <c r="E750" t="str">
        <f>_xll.BDP("9128336Q Govt","MATURITY")</f>
        <v>1/31/2009</v>
      </c>
      <c r="F750" t="str">
        <f>_xll.BDP("9128336Q Govt","MTY_TYP")</f>
        <v>NORMAL</v>
      </c>
      <c r="G750" t="str">
        <f>_xll.BDP("9128336Q Govt","CRNCY")</f>
        <v>USD</v>
      </c>
      <c r="H750" t="str">
        <f>_xll.BDP("9128336Q Govt","COUNTRY_FULL_NAME")</f>
        <v>UNITED STATES</v>
      </c>
      <c r="I750" t="str">
        <f>_xll.BDP("9128336Q Govt","FIRST_CPN_DT")</f>
        <v>#N/A Field Not Applicable</v>
      </c>
      <c r="J750" t="str">
        <f>_xll.BDP("9128336Q Govt","COUPON_FREQUENCY_DESCRIPTION")</f>
        <v>#N/A Field Not Applicable</v>
      </c>
      <c r="K750" t="str">
        <f>_xll.BDP("9128336Q Govt","CPN_TYP")</f>
        <v>ZERO</v>
      </c>
      <c r="L750" t="str">
        <f>_xll.BDP("9128336Q Govt","ID_ISIN")</f>
        <v>US9128336Q86</v>
      </c>
      <c r="N750">
        <v>0</v>
      </c>
      <c r="O750" t="str">
        <f>_xll.BDP("9128336Q Govt","ISSUE_DT")</f>
        <v>7/31/2006</v>
      </c>
      <c r="P750" t="str">
        <f>_xll.BDP("9128336Q Govt","SECURITY_NAME")</f>
        <v>S 0 01/31/09</v>
      </c>
      <c r="Q750" t="str">
        <f>_xll.BDP("9128336Q Govt","DAY_CNT_DES")</f>
        <v>ACT/ACT</v>
      </c>
      <c r="R750">
        <v>100</v>
      </c>
      <c r="S750" t="str">
        <f>_xll.BDP("9128336Q Govt","ID_CUSIP")</f>
        <v>9128336Q8</v>
      </c>
      <c r="T750" t="str">
        <f>_xll.BDP("9128336Q Govt","IDX_RATIO")</f>
        <v>#N/A Field Not Applicable</v>
      </c>
    </row>
    <row r="751" spans="1:20" x14ac:dyDescent="0.25">
      <c r="A751" t="s">
        <v>14</v>
      </c>
      <c r="B751" t="str">
        <f>_xll.BDP("9128336S Govt","TICKER")</f>
        <v>S</v>
      </c>
      <c r="C751">
        <f>_xll.BDP("9128336S Govt","CPN")</f>
        <v>0</v>
      </c>
      <c r="D751" t="str">
        <f>_xll.BDP("9128336S Govt","YLD_YTM_BID")</f>
        <v>#N/A N/A</v>
      </c>
      <c r="E751" t="str">
        <f>_xll.BDP("9128336S Govt","MATURITY")</f>
        <v>1/31/2010</v>
      </c>
      <c r="F751" t="str">
        <f>_xll.BDP("9128336S Govt","MTY_TYP")</f>
        <v>NORMAL</v>
      </c>
      <c r="G751" t="str">
        <f>_xll.BDP("9128336S Govt","CRNCY")</f>
        <v>USD</v>
      </c>
      <c r="H751" t="str">
        <f>_xll.BDP("9128336S Govt","COUNTRY_FULL_NAME")</f>
        <v>UNITED STATES</v>
      </c>
      <c r="I751" t="str">
        <f>_xll.BDP("9128336S Govt","FIRST_CPN_DT")</f>
        <v>#N/A Field Not Applicable</v>
      </c>
      <c r="J751" t="str">
        <f>_xll.BDP("9128336S Govt","COUPON_FREQUENCY_DESCRIPTION")</f>
        <v>#N/A Field Not Applicable</v>
      </c>
      <c r="K751" t="str">
        <f>_xll.BDP("9128336S Govt","CPN_TYP")</f>
        <v>ZERO</v>
      </c>
      <c r="L751" t="str">
        <f>_xll.BDP("9128336S Govt","ID_ISIN")</f>
        <v>US9128336S43</v>
      </c>
      <c r="N751">
        <v>0</v>
      </c>
      <c r="O751" t="str">
        <f>_xll.BDP("9128336S Govt","ISSUE_DT")</f>
        <v>7/31/2006</v>
      </c>
      <c r="P751" t="str">
        <f>_xll.BDP("9128336S Govt","SECURITY_NAME")</f>
        <v>S 0 01/31/10</v>
      </c>
      <c r="Q751" t="str">
        <f>_xll.BDP("9128336S Govt","DAY_CNT_DES")</f>
        <v>ACT/ACT</v>
      </c>
      <c r="R751">
        <v>100</v>
      </c>
      <c r="S751" t="str">
        <f>_xll.BDP("9128336S Govt","ID_CUSIP")</f>
        <v>9128336S4</v>
      </c>
      <c r="T751" t="str">
        <f>_xll.BDP("9128336S Govt","IDX_RATIO")</f>
        <v>#N/A Field Not Applicable</v>
      </c>
    </row>
    <row r="752" spans="1:20" x14ac:dyDescent="0.25">
      <c r="A752" t="s">
        <v>14</v>
      </c>
      <c r="B752" t="str">
        <f>_xll.BDP("912834TU Govt","TICKER")</f>
        <v>S</v>
      </c>
      <c r="C752">
        <f>_xll.BDP("912834TU Govt","CPN")</f>
        <v>0</v>
      </c>
      <c r="D752">
        <f>_xll.BDP("912834TU Govt","YLD_YTM_BID")</f>
        <v>0.79299999999999926</v>
      </c>
      <c r="E752" t="str">
        <f>_xll.BDP("912834TU Govt","MATURITY")</f>
        <v>7/31/2025</v>
      </c>
      <c r="F752" t="str">
        <f>_xll.BDP("912834TU Govt","MTY_TYP")</f>
        <v>NORMAL</v>
      </c>
      <c r="G752" t="str">
        <f>_xll.BDP("912834TU Govt","CRNCY")</f>
        <v>USD</v>
      </c>
      <c r="H752" t="str">
        <f>_xll.BDP("912834TU Govt","COUNTRY_FULL_NAME")</f>
        <v>UNITED STATES</v>
      </c>
      <c r="I752" t="str">
        <f>_xll.BDP("912834TU Govt","FIRST_CPN_DT")</f>
        <v>#N/A Field Not Applicable</v>
      </c>
      <c r="J752" t="str">
        <f>_xll.BDP("912834TU Govt","COUPON_FREQUENCY_DESCRIPTION")</f>
        <v>#N/A Field Not Applicable</v>
      </c>
      <c r="K752" t="str">
        <f>_xll.BDP("912834TU Govt","CPN_TYP")</f>
        <v>ZERO</v>
      </c>
      <c r="L752" t="str">
        <f>_xll.BDP("912834TU Govt","ID_ISIN")</f>
        <v>US912834TU27</v>
      </c>
      <c r="N752">
        <v>0</v>
      </c>
      <c r="O752" t="str">
        <f>_xll.BDP("912834TU Govt","ISSUE_DT")</f>
        <v>7/31/2018</v>
      </c>
      <c r="P752" t="str">
        <f>_xll.BDP("912834TU Govt","SECURITY_NAME")</f>
        <v>S 0 07/31/25</v>
      </c>
      <c r="Q752" t="str">
        <f>_xll.BDP("912834TU Govt","DAY_CNT_DES")</f>
        <v>ACT/ACT</v>
      </c>
      <c r="R752">
        <v>100</v>
      </c>
      <c r="S752" t="str">
        <f>_xll.BDP("912834TU Govt","ID_CUSIP")</f>
        <v>912834TU2</v>
      </c>
      <c r="T752" t="str">
        <f>_xll.BDP("912834TU Govt","IDX_RATIO")</f>
        <v>#N/A Field Not Applicable</v>
      </c>
    </row>
    <row r="753" spans="1:20" x14ac:dyDescent="0.25">
      <c r="A753" t="s">
        <v>14</v>
      </c>
      <c r="B753" t="str">
        <f>_xll.BDP("912834RW Govt","TICKER")</f>
        <v>S</v>
      </c>
      <c r="C753">
        <f>_xll.BDP("912834RW Govt","CPN")</f>
        <v>0</v>
      </c>
      <c r="D753">
        <f>_xll.BDP("912834RW Govt","YLD_YTM_BID")</f>
        <v>0.60899999999999288</v>
      </c>
      <c r="E753" t="str">
        <f>_xll.BDP("912834RW Govt","MATURITY")</f>
        <v>10/31/2024</v>
      </c>
      <c r="F753" t="str">
        <f>_xll.BDP("912834RW Govt","MTY_TYP")</f>
        <v>NORMAL</v>
      </c>
      <c r="G753" t="str">
        <f>_xll.BDP("912834RW Govt","CRNCY")</f>
        <v>USD</v>
      </c>
      <c r="H753" t="str">
        <f>_xll.BDP("912834RW Govt","COUNTRY_FULL_NAME")</f>
        <v>UNITED STATES</v>
      </c>
      <c r="I753" t="str">
        <f>_xll.BDP("912834RW Govt","FIRST_CPN_DT")</f>
        <v>#N/A Field Not Applicable</v>
      </c>
      <c r="J753" t="str">
        <f>_xll.BDP("912834RW Govt","COUPON_FREQUENCY_DESCRIPTION")</f>
        <v>#N/A Field Not Applicable</v>
      </c>
      <c r="K753" t="str">
        <f>_xll.BDP("912834RW Govt","CPN_TYP")</f>
        <v>ZERO</v>
      </c>
      <c r="L753" t="str">
        <f>_xll.BDP("912834RW Govt","ID_ISIN")</f>
        <v>US912834RW01</v>
      </c>
      <c r="N753">
        <v>0</v>
      </c>
      <c r="O753" t="str">
        <f>_xll.BDP("912834RW Govt","ISSUE_DT")</f>
        <v>10/31/2017</v>
      </c>
      <c r="P753" t="str">
        <f>_xll.BDP("912834RW Govt","SECURITY_NAME")</f>
        <v>S 0 10/31/24</v>
      </c>
      <c r="Q753" t="str">
        <f>_xll.BDP("912834RW Govt","DAY_CNT_DES")</f>
        <v>ACT/ACT</v>
      </c>
      <c r="R753">
        <v>100</v>
      </c>
      <c r="S753" t="str">
        <f>_xll.BDP("912834RW Govt","ID_CUSIP")</f>
        <v>912834RW0</v>
      </c>
      <c r="T753" t="str">
        <f>_xll.BDP("912834RW Govt","IDX_RATIO")</f>
        <v>#N/A Field Not Applicable</v>
      </c>
    </row>
    <row r="754" spans="1:20" x14ac:dyDescent="0.25">
      <c r="A754" t="s">
        <v>14</v>
      </c>
      <c r="B754" t="str">
        <f>_xll.BDP("912834UP Govt","TICKER")</f>
        <v>S</v>
      </c>
      <c r="C754">
        <f>_xll.BDP("912834UP Govt","CPN")</f>
        <v>0</v>
      </c>
      <c r="D754" t="str">
        <f>_xll.BDP("912834UP Govt","YLD_YTM_BID")</f>
        <v>#N/A N/A</v>
      </c>
      <c r="E754" t="str">
        <f>_xll.BDP("912834UP Govt","MATURITY")</f>
        <v>4/15/2022</v>
      </c>
      <c r="F754" t="str">
        <f>_xll.BDP("912834UP Govt","MTY_TYP")</f>
        <v>NORMAL</v>
      </c>
      <c r="G754" t="str">
        <f>_xll.BDP("912834UP Govt","CRNCY")</f>
        <v>USD</v>
      </c>
      <c r="H754" t="str">
        <f>_xll.BDP("912834UP Govt","COUNTRY_FULL_NAME")</f>
        <v>UNITED STATES</v>
      </c>
      <c r="I754" t="str">
        <f>_xll.BDP("912834UP Govt","FIRST_CPN_DT")</f>
        <v>#N/A Field Not Applicable</v>
      </c>
      <c r="J754" t="str">
        <f>_xll.BDP("912834UP Govt","COUPON_FREQUENCY_DESCRIPTION")</f>
        <v>#N/A Field Not Applicable</v>
      </c>
      <c r="K754" t="str">
        <f>_xll.BDP("912834UP Govt","CPN_TYP")</f>
        <v>ZERO</v>
      </c>
      <c r="L754" t="str">
        <f>_xll.BDP("912834UP Govt","ID_ISIN")</f>
        <v>US912834UP13</v>
      </c>
      <c r="N754">
        <v>0</v>
      </c>
      <c r="O754" t="str">
        <f>_xll.BDP("912834UP Govt","ISSUE_DT")</f>
        <v>4/15/2019</v>
      </c>
      <c r="P754" t="str">
        <f>_xll.BDP("912834UP Govt","SECURITY_NAME")</f>
        <v>S 0 04/15/22</v>
      </c>
      <c r="Q754" t="str">
        <f>_xll.BDP("912834UP Govt","DAY_CNT_DES")</f>
        <v>ACT/ACT</v>
      </c>
      <c r="R754">
        <v>100</v>
      </c>
      <c r="S754" t="str">
        <f>_xll.BDP("912834UP Govt","ID_CUSIP")</f>
        <v>912834UP1</v>
      </c>
      <c r="T754" t="str">
        <f>_xll.BDP("912834UP Govt","IDX_RATIO")</f>
        <v>#N/A Field Not Applicable</v>
      </c>
    </row>
    <row r="755" spans="1:20" x14ac:dyDescent="0.25">
      <c r="A755" t="s">
        <v>14</v>
      </c>
      <c r="B755" t="str">
        <f>_xll.BDP("912834UU Govt","TICKER")</f>
        <v>S</v>
      </c>
      <c r="C755">
        <f>_xll.BDP("912834UU Govt","CPN")</f>
        <v>0</v>
      </c>
      <c r="D755">
        <f>_xll.BDP("912834UU Govt","YLD_YTM_BID")</f>
        <v>1.0149999999999881</v>
      </c>
      <c r="E755" t="str">
        <f>_xll.BDP("912834UU Govt","MATURITY")</f>
        <v>6/30/2026</v>
      </c>
      <c r="F755" t="str">
        <f>_xll.BDP("912834UU Govt","MTY_TYP")</f>
        <v>NORMAL</v>
      </c>
      <c r="G755" t="str">
        <f>_xll.BDP("912834UU Govt","CRNCY")</f>
        <v>USD</v>
      </c>
      <c r="H755" t="str">
        <f>_xll.BDP("912834UU Govt","COUNTRY_FULL_NAME")</f>
        <v>UNITED STATES</v>
      </c>
      <c r="I755" t="str">
        <f>_xll.BDP("912834UU Govt","FIRST_CPN_DT")</f>
        <v>#N/A Field Not Applicable</v>
      </c>
      <c r="J755" t="str">
        <f>_xll.BDP("912834UU Govt","COUPON_FREQUENCY_DESCRIPTION")</f>
        <v>#N/A Field Not Applicable</v>
      </c>
      <c r="K755" t="str">
        <f>_xll.BDP("912834UU Govt","CPN_TYP")</f>
        <v>ZERO</v>
      </c>
      <c r="L755" t="str">
        <f>_xll.BDP("912834UU Govt","ID_ISIN")</f>
        <v>US912834UU08</v>
      </c>
      <c r="N755">
        <v>0</v>
      </c>
      <c r="O755" t="str">
        <f>_xll.BDP("912834UU Govt","ISSUE_DT")</f>
        <v>7/1/2019</v>
      </c>
      <c r="P755" t="str">
        <f>_xll.BDP("912834UU Govt","SECURITY_NAME")</f>
        <v>S 0 06/30/26</v>
      </c>
      <c r="Q755" t="str">
        <f>_xll.BDP("912834UU Govt","DAY_CNT_DES")</f>
        <v>ACT/ACT</v>
      </c>
      <c r="R755">
        <v>100</v>
      </c>
      <c r="S755" t="str">
        <f>_xll.BDP("912834UU Govt","ID_CUSIP")</f>
        <v>912834UU0</v>
      </c>
      <c r="T755" t="str">
        <f>_xll.BDP("912834UU Govt","IDX_RATIO")</f>
        <v>#N/A Field Not Applicable</v>
      </c>
    </row>
    <row r="756" spans="1:20" x14ac:dyDescent="0.25">
      <c r="A756" t="s">
        <v>14</v>
      </c>
      <c r="B756" t="str">
        <f>_xll.BDP("912834TA Govt","TICKER")</f>
        <v>S</v>
      </c>
      <c r="C756">
        <f>_xll.BDP("912834TA Govt","CPN")</f>
        <v>0</v>
      </c>
      <c r="D756">
        <f>_xll.BDP("912834TA Govt","YLD_YTM_BID")</f>
        <v>0.62799999999998413</v>
      </c>
      <c r="E756" t="str">
        <f>_xll.BDP("912834TA Govt","MATURITY")</f>
        <v>11/30/2024</v>
      </c>
      <c r="F756" t="str">
        <f>_xll.BDP("912834TA Govt","MTY_TYP")</f>
        <v>NORMAL</v>
      </c>
      <c r="G756" t="str">
        <f>_xll.BDP("912834TA Govt","CRNCY")</f>
        <v>USD</v>
      </c>
      <c r="H756" t="str">
        <f>_xll.BDP("912834TA Govt","COUNTRY_FULL_NAME")</f>
        <v>UNITED STATES</v>
      </c>
      <c r="I756" t="str">
        <f>_xll.BDP("912834TA Govt","FIRST_CPN_DT")</f>
        <v>#N/A Field Not Applicable</v>
      </c>
      <c r="J756" t="str">
        <f>_xll.BDP("912834TA Govt","COUPON_FREQUENCY_DESCRIPTION")</f>
        <v>#N/A Field Not Applicable</v>
      </c>
      <c r="K756" t="str">
        <f>_xll.BDP("912834TA Govt","CPN_TYP")</f>
        <v>ZERO</v>
      </c>
      <c r="L756" t="str">
        <f>_xll.BDP("912834TA Govt","ID_ISIN")</f>
        <v>US912834TA62</v>
      </c>
      <c r="N756">
        <v>0</v>
      </c>
      <c r="O756" t="str">
        <f>_xll.BDP("912834TA Govt","ISSUE_DT")</f>
        <v>11/30/2017</v>
      </c>
      <c r="P756" t="str">
        <f>_xll.BDP("912834TA Govt","SECURITY_NAME")</f>
        <v>S 0 11/30/24</v>
      </c>
      <c r="Q756" t="str">
        <f>_xll.BDP("912834TA Govt","DAY_CNT_DES")</f>
        <v>ACT/ACT</v>
      </c>
      <c r="R756">
        <v>100</v>
      </c>
      <c r="S756" t="str">
        <f>_xll.BDP("912834TA Govt","ID_CUSIP")</f>
        <v>912834TA6</v>
      </c>
      <c r="T756" t="str">
        <f>_xll.BDP("912834TA Govt","IDX_RATIO")</f>
        <v>#N/A Field Not Applicable</v>
      </c>
    </row>
    <row r="757" spans="1:20" x14ac:dyDescent="0.25">
      <c r="A757" t="s">
        <v>14</v>
      </c>
      <c r="B757" t="str">
        <f>_xll.BDP("912834TJ Govt","TICKER")</f>
        <v>S</v>
      </c>
      <c r="C757">
        <f>_xll.BDP("912834TJ Govt","CPN")</f>
        <v>0</v>
      </c>
      <c r="D757">
        <f>_xll.BDP("912834TJ Govt","YLD_YTM_BID")</f>
        <v>0.68899999999998407</v>
      </c>
      <c r="E757" t="str">
        <f>_xll.BDP("912834TJ Govt","MATURITY")</f>
        <v>2/28/2025</v>
      </c>
      <c r="F757" t="str">
        <f>_xll.BDP("912834TJ Govt","MTY_TYP")</f>
        <v>NORMAL</v>
      </c>
      <c r="G757" t="str">
        <f>_xll.BDP("912834TJ Govt","CRNCY")</f>
        <v>USD</v>
      </c>
      <c r="H757" t="str">
        <f>_xll.BDP("912834TJ Govt","COUNTRY_FULL_NAME")</f>
        <v>UNITED STATES</v>
      </c>
      <c r="I757" t="str">
        <f>_xll.BDP("912834TJ Govt","FIRST_CPN_DT")</f>
        <v>#N/A Field Not Applicable</v>
      </c>
      <c r="J757" t="str">
        <f>_xll.BDP("912834TJ Govt","COUPON_FREQUENCY_DESCRIPTION")</f>
        <v>#N/A Field Not Applicable</v>
      </c>
      <c r="K757" t="str">
        <f>_xll.BDP("912834TJ Govt","CPN_TYP")</f>
        <v>ZERO</v>
      </c>
      <c r="L757" t="str">
        <f>_xll.BDP("912834TJ Govt","ID_ISIN")</f>
        <v>US912834TJ71</v>
      </c>
      <c r="N757">
        <v>0</v>
      </c>
      <c r="O757" t="str">
        <f>_xll.BDP("912834TJ Govt","ISSUE_DT")</f>
        <v>2/28/2018</v>
      </c>
      <c r="P757" t="str">
        <f>_xll.BDP("912834TJ Govt","SECURITY_NAME")</f>
        <v>S 0 02/28/25</v>
      </c>
      <c r="Q757" t="str">
        <f>_xll.BDP("912834TJ Govt","DAY_CNT_DES")</f>
        <v>ACT/ACT</v>
      </c>
      <c r="R757">
        <v>100</v>
      </c>
      <c r="S757" t="str">
        <f>_xll.BDP("912834TJ Govt","ID_CUSIP")</f>
        <v>912834TJ7</v>
      </c>
      <c r="T757" t="str">
        <f>_xll.BDP("912834TJ Govt","IDX_RATIO")</f>
        <v>#N/A Field Not Applicable</v>
      </c>
    </row>
    <row r="758" spans="1:20" x14ac:dyDescent="0.25">
      <c r="A758" t="s">
        <v>14</v>
      </c>
      <c r="B758" t="str">
        <f>_xll.BDP("912834TQ Govt","TICKER")</f>
        <v>S</v>
      </c>
      <c r="C758">
        <f>_xll.BDP("912834TQ Govt","CPN")</f>
        <v>0</v>
      </c>
      <c r="D758">
        <f>_xll.BDP("912834TQ Govt","YLD_YTM_BID")</f>
        <v>0.75199999999999712</v>
      </c>
      <c r="E758" t="str">
        <f>_xll.BDP("912834TQ Govt","MATURITY")</f>
        <v>5/31/2025</v>
      </c>
      <c r="F758" t="str">
        <f>_xll.BDP("912834TQ Govt","MTY_TYP")</f>
        <v>NORMAL</v>
      </c>
      <c r="G758" t="str">
        <f>_xll.BDP("912834TQ Govt","CRNCY")</f>
        <v>USD</v>
      </c>
      <c r="H758" t="str">
        <f>_xll.BDP("912834TQ Govt","COUNTRY_FULL_NAME")</f>
        <v>UNITED STATES</v>
      </c>
      <c r="I758" t="str">
        <f>_xll.BDP("912834TQ Govt","FIRST_CPN_DT")</f>
        <v>#N/A Field Not Applicable</v>
      </c>
      <c r="J758" t="str">
        <f>_xll.BDP("912834TQ Govt","COUPON_FREQUENCY_DESCRIPTION")</f>
        <v>#N/A Field Not Applicable</v>
      </c>
      <c r="K758" t="str">
        <f>_xll.BDP("912834TQ Govt","CPN_TYP")</f>
        <v>ZERO</v>
      </c>
      <c r="L758" t="str">
        <f>_xll.BDP("912834TQ Govt","ID_ISIN")</f>
        <v>US912834TQ15</v>
      </c>
      <c r="N758">
        <v>0</v>
      </c>
      <c r="O758" t="str">
        <f>_xll.BDP("912834TQ Govt","ISSUE_DT")</f>
        <v>5/31/2018</v>
      </c>
      <c r="P758" t="str">
        <f>_xll.BDP("912834TQ Govt","SECURITY_NAME")</f>
        <v>S 0 05/31/25</v>
      </c>
      <c r="Q758" t="str">
        <f>_xll.BDP("912834TQ Govt","DAY_CNT_DES")</f>
        <v>ACT/ACT</v>
      </c>
      <c r="R758">
        <v>100</v>
      </c>
      <c r="S758" t="str">
        <f>_xll.BDP("912834TQ Govt","ID_CUSIP")</f>
        <v>912834TQ1</v>
      </c>
      <c r="T758" t="str">
        <f>_xll.BDP("912834TQ Govt","IDX_RATIO")</f>
        <v>#N/A Field Not Applicable</v>
      </c>
    </row>
    <row r="759" spans="1:20" x14ac:dyDescent="0.25">
      <c r="A759" t="s">
        <v>14</v>
      </c>
      <c r="B759" t="str">
        <f>_xll.BDP("912834RU Govt","TICKER")</f>
        <v>S</v>
      </c>
      <c r="C759">
        <f>_xll.BDP("912834RU Govt","CPN")</f>
        <v>0</v>
      </c>
      <c r="D759">
        <f>_xll.BDP("912834RU Govt","YLD_YTM_BID")</f>
        <v>0.58600000000001984</v>
      </c>
      <c r="E759" t="str">
        <f>_xll.BDP("912834RU Govt","MATURITY")</f>
        <v>9/30/2024</v>
      </c>
      <c r="F759" t="str">
        <f>_xll.BDP("912834RU Govt","MTY_TYP")</f>
        <v>NORMAL</v>
      </c>
      <c r="G759" t="str">
        <f>_xll.BDP("912834RU Govt","CRNCY")</f>
        <v>USD</v>
      </c>
      <c r="H759" t="str">
        <f>_xll.BDP("912834RU Govt","COUNTRY_FULL_NAME")</f>
        <v>UNITED STATES</v>
      </c>
      <c r="I759" t="str">
        <f>_xll.BDP("912834RU Govt","FIRST_CPN_DT")</f>
        <v>#N/A Field Not Applicable</v>
      </c>
      <c r="J759" t="str">
        <f>_xll.BDP("912834RU Govt","COUPON_FREQUENCY_DESCRIPTION")</f>
        <v>#N/A Field Not Applicable</v>
      </c>
      <c r="K759" t="str">
        <f>_xll.BDP("912834RU Govt","CPN_TYP")</f>
        <v>ZERO</v>
      </c>
      <c r="L759" t="str">
        <f>_xll.BDP("912834RU Govt","ID_ISIN")</f>
        <v>US912834RU45</v>
      </c>
      <c r="N759">
        <v>0</v>
      </c>
      <c r="O759" t="str">
        <f>_xll.BDP("912834RU Govt","ISSUE_DT")</f>
        <v>10/2/2017</v>
      </c>
      <c r="P759" t="str">
        <f>_xll.BDP("912834RU Govt","SECURITY_NAME")</f>
        <v>S 0 09/30/24</v>
      </c>
      <c r="Q759" t="str">
        <f>_xll.BDP("912834RU Govt","DAY_CNT_DES")</f>
        <v>ACT/ACT</v>
      </c>
      <c r="R759">
        <v>100</v>
      </c>
      <c r="S759" t="str">
        <f>_xll.BDP("912834RU Govt","ID_CUSIP")</f>
        <v>912834RU4</v>
      </c>
      <c r="T759" t="str">
        <f>_xll.BDP("912834RU Govt","IDX_RATIO")</f>
        <v>#N/A Field Not Applicable</v>
      </c>
    </row>
    <row r="760" spans="1:20" x14ac:dyDescent="0.25">
      <c r="A760" t="s">
        <v>14</v>
      </c>
      <c r="B760" t="str">
        <f>_xll.BDP("912834TW Govt","TICKER")</f>
        <v>S</v>
      </c>
      <c r="C760">
        <f>_xll.BDP("912834TW Govt","CPN")</f>
        <v>0</v>
      </c>
      <c r="D760">
        <f>_xll.BDP("912834TW Govt","YLD_YTM_BID")</f>
        <v>0.81500000000001016</v>
      </c>
      <c r="E760" t="str">
        <f>_xll.BDP("912834TW Govt","MATURITY")</f>
        <v>8/31/2025</v>
      </c>
      <c r="F760" t="str">
        <f>_xll.BDP("912834TW Govt","MTY_TYP")</f>
        <v>NORMAL</v>
      </c>
      <c r="G760" t="str">
        <f>_xll.BDP("912834TW Govt","CRNCY")</f>
        <v>USD</v>
      </c>
      <c r="H760" t="str">
        <f>_xll.BDP("912834TW Govt","COUNTRY_FULL_NAME")</f>
        <v>UNITED STATES</v>
      </c>
      <c r="I760" t="str">
        <f>_xll.BDP("912834TW Govt","FIRST_CPN_DT")</f>
        <v>#N/A Field Not Applicable</v>
      </c>
      <c r="J760" t="str">
        <f>_xll.BDP("912834TW Govt","COUPON_FREQUENCY_DESCRIPTION")</f>
        <v>#N/A Field Not Applicable</v>
      </c>
      <c r="K760" t="str">
        <f>_xll.BDP("912834TW Govt","CPN_TYP")</f>
        <v>ZERO</v>
      </c>
      <c r="L760" t="str">
        <f>_xll.BDP("912834TW Govt","ID_ISIN")</f>
        <v>US912834TW82</v>
      </c>
      <c r="N760">
        <v>0</v>
      </c>
      <c r="O760" t="str">
        <f>_xll.BDP("912834TW Govt","ISSUE_DT")</f>
        <v>8/31/2018</v>
      </c>
      <c r="P760" t="str">
        <f>_xll.BDP("912834TW Govt","SECURITY_NAME")</f>
        <v>S 0 08/31/25</v>
      </c>
      <c r="Q760" t="str">
        <f>_xll.BDP("912834TW Govt","DAY_CNT_DES")</f>
        <v>ACT/ACT</v>
      </c>
      <c r="R760">
        <v>100</v>
      </c>
      <c r="S760" t="str">
        <f>_xll.BDP("912834TW Govt","ID_CUSIP")</f>
        <v>912834TW8</v>
      </c>
      <c r="T760" t="str">
        <f>_xll.BDP("912834TW Govt","IDX_RATIO")</f>
        <v>#N/A Field Not Applicable</v>
      </c>
    </row>
    <row r="761" spans="1:20" x14ac:dyDescent="0.25">
      <c r="A761" t="s">
        <v>14</v>
      </c>
      <c r="B761" t="str">
        <f>_xll.BDP("912834UC Govt","TICKER")</f>
        <v>S</v>
      </c>
      <c r="C761">
        <f>_xll.BDP("912834UC Govt","CPN")</f>
        <v>0</v>
      </c>
      <c r="D761">
        <f>_xll.BDP("912834UC Govt","YLD_YTM_BID")</f>
        <v>0.87500000000000355</v>
      </c>
      <c r="E761" t="str">
        <f>_xll.BDP("912834UC Govt","MATURITY")</f>
        <v>11/30/2025</v>
      </c>
      <c r="F761" t="str">
        <f>_xll.BDP("912834UC Govt","MTY_TYP")</f>
        <v>NORMAL</v>
      </c>
      <c r="G761" t="str">
        <f>_xll.BDP("912834UC Govt","CRNCY")</f>
        <v>USD</v>
      </c>
      <c r="H761" t="str">
        <f>_xll.BDP("912834UC Govt","COUNTRY_FULL_NAME")</f>
        <v>UNITED STATES</v>
      </c>
      <c r="I761" t="str">
        <f>_xll.BDP("912834UC Govt","FIRST_CPN_DT")</f>
        <v>#N/A Field Not Applicable</v>
      </c>
      <c r="J761" t="str">
        <f>_xll.BDP("912834UC Govt","COUPON_FREQUENCY_DESCRIPTION")</f>
        <v>#N/A Field Not Applicable</v>
      </c>
      <c r="K761" t="str">
        <f>_xll.BDP("912834UC Govt","CPN_TYP")</f>
        <v>ZERO</v>
      </c>
      <c r="L761" t="str">
        <f>_xll.BDP("912834UC Govt","ID_ISIN")</f>
        <v>US912834UC00</v>
      </c>
      <c r="N761">
        <v>0</v>
      </c>
      <c r="O761" t="str">
        <f>_xll.BDP("912834UC Govt","ISSUE_DT")</f>
        <v>11/30/2018</v>
      </c>
      <c r="P761" t="str">
        <f>_xll.BDP("912834UC Govt","SECURITY_NAME")</f>
        <v>S 0 11/30/25</v>
      </c>
      <c r="Q761" t="str">
        <f>_xll.BDP("912834UC Govt","DAY_CNT_DES")</f>
        <v>ACT/ACT</v>
      </c>
      <c r="R761">
        <v>100</v>
      </c>
      <c r="S761" t="str">
        <f>_xll.BDP("912834UC Govt","ID_CUSIP")</f>
        <v>912834UC0</v>
      </c>
      <c r="T761" t="str">
        <f>_xll.BDP("912834UC Govt","IDX_RATIO")</f>
        <v>#N/A Field Not Applicable</v>
      </c>
    </row>
    <row r="762" spans="1:20" x14ac:dyDescent="0.25">
      <c r="A762" t="s">
        <v>14</v>
      </c>
      <c r="B762" t="str">
        <f>_xll.BDP("912834US Govt","TICKER")</f>
        <v>S</v>
      </c>
      <c r="C762">
        <f>_xll.BDP("912834US Govt","CPN")</f>
        <v>0</v>
      </c>
      <c r="D762">
        <f>_xll.BDP("912834US Govt","YLD_YTM_BID")</f>
        <v>0.99499999999999034</v>
      </c>
      <c r="E762" t="str">
        <f>_xll.BDP("912834US Govt","MATURITY")</f>
        <v>5/31/2026</v>
      </c>
      <c r="F762" t="str">
        <f>_xll.BDP("912834US Govt","MTY_TYP")</f>
        <v>NORMAL</v>
      </c>
      <c r="G762" t="str">
        <f>_xll.BDP("912834US Govt","CRNCY")</f>
        <v>USD</v>
      </c>
      <c r="H762" t="str">
        <f>_xll.BDP("912834US Govt","COUNTRY_FULL_NAME")</f>
        <v>UNITED STATES</v>
      </c>
      <c r="I762" t="str">
        <f>_xll.BDP("912834US Govt","FIRST_CPN_DT")</f>
        <v>#N/A Field Not Applicable</v>
      </c>
      <c r="J762" t="str">
        <f>_xll.BDP("912834US Govt","COUPON_FREQUENCY_DESCRIPTION")</f>
        <v>#N/A Field Not Applicable</v>
      </c>
      <c r="K762" t="str">
        <f>_xll.BDP("912834US Govt","CPN_TYP")</f>
        <v>ZERO</v>
      </c>
      <c r="L762" t="str">
        <f>_xll.BDP("912834US Govt","ID_ISIN")</f>
        <v>US912834US51</v>
      </c>
      <c r="N762">
        <v>0</v>
      </c>
      <c r="O762" t="str">
        <f>_xll.BDP("912834US Govt","ISSUE_DT")</f>
        <v>5/31/2019</v>
      </c>
      <c r="P762" t="str">
        <f>_xll.BDP("912834US Govt","SECURITY_NAME")</f>
        <v>S 0 05/31/26</v>
      </c>
      <c r="Q762" t="str">
        <f>_xll.BDP("912834US Govt","DAY_CNT_DES")</f>
        <v>ACT/ACT</v>
      </c>
      <c r="R762">
        <v>100</v>
      </c>
      <c r="S762" t="str">
        <f>_xll.BDP("912834US Govt","ID_CUSIP")</f>
        <v>912834US5</v>
      </c>
      <c r="T762" t="str">
        <f>_xll.BDP("912834US Govt","IDX_RATIO")</f>
        <v>#N/A Field Not Applicable</v>
      </c>
    </row>
    <row r="763" spans="1:20" x14ac:dyDescent="0.25">
      <c r="A763" t="s">
        <v>14</v>
      </c>
      <c r="B763" t="str">
        <f>_xll.BDP("912834VC Govt","TICKER")</f>
        <v>S</v>
      </c>
      <c r="C763">
        <f>_xll.BDP("912834VC Govt","CPN")</f>
        <v>0</v>
      </c>
      <c r="D763">
        <f>_xll.BDP("912834VC Govt","YLD_YTM_BID")</f>
        <v>0.10300000000000864</v>
      </c>
      <c r="E763" t="str">
        <f>_xll.BDP("912834VC Govt","MATURITY")</f>
        <v>10/15/2022</v>
      </c>
      <c r="F763" t="str">
        <f>_xll.BDP("912834VC Govt","MTY_TYP")</f>
        <v>NORMAL</v>
      </c>
      <c r="G763" t="str">
        <f>_xll.BDP("912834VC Govt","CRNCY")</f>
        <v>USD</v>
      </c>
      <c r="H763" t="str">
        <f>_xll.BDP("912834VC Govt","COUNTRY_FULL_NAME")</f>
        <v>UNITED STATES</v>
      </c>
      <c r="I763" t="str">
        <f>_xll.BDP("912834VC Govt","FIRST_CPN_DT")</f>
        <v>#N/A Field Not Applicable</v>
      </c>
      <c r="J763" t="str">
        <f>_xll.BDP("912834VC Govt","COUPON_FREQUENCY_DESCRIPTION")</f>
        <v>#N/A Field Not Applicable</v>
      </c>
      <c r="K763" t="str">
        <f>_xll.BDP("912834VC Govt","CPN_TYP")</f>
        <v>ZERO</v>
      </c>
      <c r="L763" t="str">
        <f>_xll.BDP("912834VC Govt","ID_ISIN")</f>
        <v>US912834VC90</v>
      </c>
      <c r="N763">
        <v>0</v>
      </c>
      <c r="O763" t="str">
        <f>_xll.BDP("912834VC Govt","ISSUE_DT")</f>
        <v>10/15/2019</v>
      </c>
      <c r="P763" t="str">
        <f>_xll.BDP("912834VC Govt","SECURITY_NAME")</f>
        <v>S 0 10/15/22</v>
      </c>
      <c r="Q763" t="str">
        <f>_xll.BDP("912834VC Govt","DAY_CNT_DES")</f>
        <v>ACT/ACT</v>
      </c>
      <c r="R763">
        <v>100</v>
      </c>
      <c r="S763" t="str">
        <f>_xll.BDP("912834VC Govt","ID_CUSIP")</f>
        <v>912834VC9</v>
      </c>
      <c r="T763" t="str">
        <f>_xll.BDP("912834VC Govt","IDX_RATIO")</f>
        <v>#N/A Field Not Applicable</v>
      </c>
    </row>
    <row r="764" spans="1:20" x14ac:dyDescent="0.25">
      <c r="A764" t="s">
        <v>14</v>
      </c>
      <c r="B764" t="str">
        <f>_xll.BDP("912834XD Govt","TICKER")</f>
        <v>S</v>
      </c>
      <c r="C764">
        <f>_xll.BDP("912834XD Govt","CPN")</f>
        <v>0</v>
      </c>
      <c r="D764">
        <f>_xll.BDP("912834XD Govt","YLD_YTM_BID")</f>
        <v>0.52099999999999369</v>
      </c>
      <c r="E764" t="str">
        <f>_xll.BDP("912834XD Govt","MATURITY")</f>
        <v>7/15/2024</v>
      </c>
      <c r="F764" t="str">
        <f>_xll.BDP("912834XD Govt","MTY_TYP")</f>
        <v>NORMAL</v>
      </c>
      <c r="G764" t="str">
        <f>_xll.BDP("912834XD Govt","CRNCY")</f>
        <v>USD</v>
      </c>
      <c r="H764" t="str">
        <f>_xll.BDP("912834XD Govt","COUNTRY_FULL_NAME")</f>
        <v>UNITED STATES</v>
      </c>
      <c r="I764" t="str">
        <f>_xll.BDP("912834XD Govt","FIRST_CPN_DT")</f>
        <v>#N/A Field Not Applicable</v>
      </c>
      <c r="J764" t="str">
        <f>_xll.BDP("912834XD Govt","COUPON_FREQUENCY_DESCRIPTION")</f>
        <v>#N/A Field Not Applicable</v>
      </c>
      <c r="K764" t="str">
        <f>_xll.BDP("912834XD Govt","CPN_TYP")</f>
        <v>ZERO</v>
      </c>
      <c r="L764" t="str">
        <f>_xll.BDP("912834XD Govt","ID_ISIN")</f>
        <v>US912834XD55</v>
      </c>
      <c r="N764">
        <v>0</v>
      </c>
      <c r="O764" t="str">
        <f>_xll.BDP("912834XD Govt","ISSUE_DT")</f>
        <v>7/15/2021</v>
      </c>
      <c r="P764" t="str">
        <f>_xll.BDP("912834XD Govt","SECURITY_NAME")</f>
        <v>S 0 07/15/24</v>
      </c>
      <c r="Q764" t="str">
        <f>_xll.BDP("912834XD Govt","DAY_CNT_DES")</f>
        <v>ACT/ACT</v>
      </c>
      <c r="R764">
        <v>100</v>
      </c>
      <c r="S764" t="str">
        <f>_xll.BDP("912834XD Govt","ID_CUSIP")</f>
        <v>912834XD5</v>
      </c>
      <c r="T764" t="str">
        <f>_xll.BDP("912834XD Govt","IDX_RATIO")</f>
        <v>#N/A Field Not Applicable</v>
      </c>
    </row>
    <row r="765" spans="1:20" x14ac:dyDescent="0.25">
      <c r="A765" t="s">
        <v>14</v>
      </c>
      <c r="B765" t="str">
        <f>_xll.BDP("912834VD Govt","TICKER")</f>
        <v>S</v>
      </c>
      <c r="C765">
        <f>_xll.BDP("912834VD Govt","CPN")</f>
        <v>0</v>
      </c>
      <c r="D765">
        <f>_xll.BDP("912834VD Govt","YLD_YTM_BID")</f>
        <v>1.0930000000000106</v>
      </c>
      <c r="E765" t="str">
        <f>_xll.BDP("912834VD Govt","MATURITY")</f>
        <v>10/31/2026</v>
      </c>
      <c r="F765" t="str">
        <f>_xll.BDP("912834VD Govt","MTY_TYP")</f>
        <v>NORMAL</v>
      </c>
      <c r="G765" t="str">
        <f>_xll.BDP("912834VD Govt","CRNCY")</f>
        <v>USD</v>
      </c>
      <c r="H765" t="str">
        <f>_xll.BDP("912834VD Govt","COUNTRY_FULL_NAME")</f>
        <v>UNITED STATES</v>
      </c>
      <c r="I765" t="str">
        <f>_xll.BDP("912834VD Govt","FIRST_CPN_DT")</f>
        <v>#N/A Field Not Applicable</v>
      </c>
      <c r="J765" t="str">
        <f>_xll.BDP("912834VD Govt","COUPON_FREQUENCY_DESCRIPTION")</f>
        <v>#N/A Field Not Applicable</v>
      </c>
      <c r="K765" t="str">
        <f>_xll.BDP("912834VD Govt","CPN_TYP")</f>
        <v>ZERO</v>
      </c>
      <c r="L765" t="str">
        <f>_xll.BDP("912834VD Govt","ID_ISIN")</f>
        <v>US912834VD73</v>
      </c>
      <c r="N765">
        <v>0</v>
      </c>
      <c r="O765" t="str">
        <f>_xll.BDP("912834VD Govt","ISSUE_DT")</f>
        <v>10/31/2019</v>
      </c>
      <c r="P765" t="str">
        <f>_xll.BDP("912834VD Govt","SECURITY_NAME")</f>
        <v>S 0 10/31/26</v>
      </c>
      <c r="Q765" t="str">
        <f>_xll.BDP("912834VD Govt","DAY_CNT_DES")</f>
        <v>ACT/ACT</v>
      </c>
      <c r="R765">
        <v>100</v>
      </c>
      <c r="S765" t="str">
        <f>_xll.BDP("912834VD Govt","ID_CUSIP")</f>
        <v>912834VD7</v>
      </c>
      <c r="T765" t="str">
        <f>_xll.BDP("912834VD Govt","IDX_RATIO")</f>
        <v>#N/A Field Not Applicable</v>
      </c>
    </row>
    <row r="766" spans="1:20" x14ac:dyDescent="0.25">
      <c r="A766" t="s">
        <v>14</v>
      </c>
      <c r="B766" t="str">
        <f>_xll.BDP("912834VZ Govt","TICKER")</f>
        <v>S</v>
      </c>
      <c r="C766">
        <f>_xll.BDP("912834VZ Govt","CPN")</f>
        <v>0</v>
      </c>
      <c r="D766">
        <f>_xll.BDP("912834VZ Govt","YLD_YTM_BID")</f>
        <v>0.24099999999998012</v>
      </c>
      <c r="E766" t="str">
        <f>_xll.BDP("912834VZ Govt","MATURITY")</f>
        <v>7/15/2023</v>
      </c>
      <c r="F766" t="str">
        <f>_xll.BDP("912834VZ Govt","MTY_TYP")</f>
        <v>NORMAL</v>
      </c>
      <c r="G766" t="str">
        <f>_xll.BDP("912834VZ Govt","CRNCY")</f>
        <v>USD</v>
      </c>
      <c r="H766" t="str">
        <f>_xll.BDP("912834VZ Govt","COUNTRY_FULL_NAME")</f>
        <v>UNITED STATES</v>
      </c>
      <c r="I766" t="str">
        <f>_xll.BDP("912834VZ Govt","FIRST_CPN_DT")</f>
        <v>#N/A Field Not Applicable</v>
      </c>
      <c r="J766" t="str">
        <f>_xll.BDP("912834VZ Govt","COUPON_FREQUENCY_DESCRIPTION")</f>
        <v>#N/A Field Not Applicable</v>
      </c>
      <c r="K766" t="str">
        <f>_xll.BDP("912834VZ Govt","CPN_TYP")</f>
        <v>ZERO</v>
      </c>
      <c r="L766" t="str">
        <f>_xll.BDP("912834VZ Govt","ID_ISIN")</f>
        <v>US912834VZ85</v>
      </c>
      <c r="N766">
        <v>0</v>
      </c>
      <c r="O766" t="str">
        <f>_xll.BDP("912834VZ Govt","ISSUE_DT")</f>
        <v>7/15/2020</v>
      </c>
      <c r="P766" t="str">
        <f>_xll.BDP("912834VZ Govt","SECURITY_NAME")</f>
        <v>S 0 07/15/23</v>
      </c>
      <c r="Q766" t="str">
        <f>_xll.BDP("912834VZ Govt","DAY_CNT_DES")</f>
        <v>ACT/ACT</v>
      </c>
      <c r="R766">
        <v>100</v>
      </c>
      <c r="S766" t="str">
        <f>_xll.BDP("912834VZ Govt","ID_CUSIP")</f>
        <v>912834VZ8</v>
      </c>
      <c r="T766" t="str">
        <f>_xll.BDP("912834VZ Govt","IDX_RATIO")</f>
        <v>#N/A Field Not Applicable</v>
      </c>
    </row>
    <row r="767" spans="1:20" x14ac:dyDescent="0.25">
      <c r="A767" t="s">
        <v>14</v>
      </c>
      <c r="B767" t="str">
        <f>_xll.BDP("912834VX Govt","TICKER")</f>
        <v>S</v>
      </c>
      <c r="C767">
        <f>_xll.BDP("912834VX Govt","CPN")</f>
        <v>0</v>
      </c>
      <c r="D767">
        <f>_xll.BDP("912834VX Govt","YLD_YTM_BID")</f>
        <v>0.22500000000000853</v>
      </c>
      <c r="E767" t="str">
        <f>_xll.BDP("912834VX Govt","MATURITY")</f>
        <v>6/15/2023</v>
      </c>
      <c r="F767" t="str">
        <f>_xll.BDP("912834VX Govt","MTY_TYP")</f>
        <v>NORMAL</v>
      </c>
      <c r="G767" t="str">
        <f>_xll.BDP("912834VX Govt","CRNCY")</f>
        <v>USD</v>
      </c>
      <c r="H767" t="str">
        <f>_xll.BDP("912834VX Govt","COUNTRY_FULL_NAME")</f>
        <v>UNITED STATES</v>
      </c>
      <c r="I767" t="str">
        <f>_xll.BDP("912834VX Govt","FIRST_CPN_DT")</f>
        <v>#N/A Field Not Applicable</v>
      </c>
      <c r="J767" t="str">
        <f>_xll.BDP("912834VX Govt","COUPON_FREQUENCY_DESCRIPTION")</f>
        <v>#N/A Field Not Applicable</v>
      </c>
      <c r="K767" t="str">
        <f>_xll.BDP("912834VX Govt","CPN_TYP")</f>
        <v>ZERO</v>
      </c>
      <c r="L767" t="str">
        <f>_xll.BDP("912834VX Govt","ID_ISIN")</f>
        <v>US912834VX38</v>
      </c>
      <c r="N767">
        <v>0</v>
      </c>
      <c r="O767" t="str">
        <f>_xll.BDP("912834VX Govt","ISSUE_DT")</f>
        <v>6/15/2020</v>
      </c>
      <c r="P767" t="str">
        <f>_xll.BDP("912834VX Govt","SECURITY_NAME")</f>
        <v>S 0 06/15/23</v>
      </c>
      <c r="Q767" t="str">
        <f>_xll.BDP("912834VX Govt","DAY_CNT_DES")</f>
        <v>ACT/ACT</v>
      </c>
      <c r="R767">
        <v>100</v>
      </c>
      <c r="S767" t="str">
        <f>_xll.BDP("912834VX Govt","ID_CUSIP")</f>
        <v>912834VX3</v>
      </c>
      <c r="T767" t="str">
        <f>_xll.BDP("912834VX Govt","IDX_RATIO")</f>
        <v>#N/A Field Not Applicable</v>
      </c>
    </row>
    <row r="768" spans="1:20" x14ac:dyDescent="0.25">
      <c r="A768" t="s">
        <v>14</v>
      </c>
      <c r="B768" t="str">
        <f>_xll.BDP("912834WL Govt","TICKER")</f>
        <v>S</v>
      </c>
      <c r="C768">
        <f>_xll.BDP("912834WL Govt","CPN")</f>
        <v>0</v>
      </c>
      <c r="D768">
        <f>_xll.BDP("912834WL Govt","YLD_YTM_BID")</f>
        <v>0.34000000000000696</v>
      </c>
      <c r="E768" t="str">
        <f>_xll.BDP("912834WL Govt","MATURITY")</f>
        <v>12/15/2023</v>
      </c>
      <c r="F768" t="str">
        <f>_xll.BDP("912834WL Govt","MTY_TYP")</f>
        <v>NORMAL</v>
      </c>
      <c r="G768" t="str">
        <f>_xll.BDP("912834WL Govt","CRNCY")</f>
        <v>USD</v>
      </c>
      <c r="H768" t="str">
        <f>_xll.BDP("912834WL Govt","COUNTRY_FULL_NAME")</f>
        <v>UNITED STATES</v>
      </c>
      <c r="I768" t="str">
        <f>_xll.BDP("912834WL Govt","FIRST_CPN_DT")</f>
        <v>#N/A Field Not Applicable</v>
      </c>
      <c r="J768" t="str">
        <f>_xll.BDP("912834WL Govt","COUPON_FREQUENCY_DESCRIPTION")</f>
        <v>#N/A Field Not Applicable</v>
      </c>
      <c r="K768" t="str">
        <f>_xll.BDP("912834WL Govt","CPN_TYP")</f>
        <v>ZERO</v>
      </c>
      <c r="L768" t="str">
        <f>_xll.BDP("912834WL Govt","ID_ISIN")</f>
        <v>US912834WL80</v>
      </c>
      <c r="N768">
        <v>0</v>
      </c>
      <c r="O768" t="str">
        <f>_xll.BDP("912834WL Govt","ISSUE_DT")</f>
        <v>12/15/2020</v>
      </c>
      <c r="P768" t="str">
        <f>_xll.BDP("912834WL Govt","SECURITY_NAME")</f>
        <v>S 0 12/15/23</v>
      </c>
      <c r="Q768" t="str">
        <f>_xll.BDP("912834WL Govt","DAY_CNT_DES")</f>
        <v>ACT/ACT</v>
      </c>
      <c r="R768">
        <v>100</v>
      </c>
      <c r="S768" t="str">
        <f>_xll.BDP("912834WL Govt","ID_CUSIP")</f>
        <v>912834WL8</v>
      </c>
      <c r="T768" t="str">
        <f>_xll.BDP("912834WL Govt","IDX_RATIO")</f>
        <v>#N/A Field Not Applicable</v>
      </c>
    </row>
    <row r="769" spans="1:20" x14ac:dyDescent="0.25">
      <c r="A769" t="s">
        <v>14</v>
      </c>
      <c r="B769" t="str">
        <f>_xll.BDP("912834VU Govt","TICKER")</f>
        <v>S</v>
      </c>
      <c r="C769">
        <f>_xll.BDP("912834VU Govt","CPN")</f>
        <v>0</v>
      </c>
      <c r="D769">
        <f>_xll.BDP("912834VU Govt","YLD_YTM_BID")</f>
        <v>1.1880000000000113</v>
      </c>
      <c r="E769" t="str">
        <f>_xll.BDP("912834VU Govt","MATURITY")</f>
        <v>4/30/2027</v>
      </c>
      <c r="F769" t="str">
        <f>_xll.BDP("912834VU Govt","MTY_TYP")</f>
        <v>NORMAL</v>
      </c>
      <c r="G769" t="str">
        <f>_xll.BDP("912834VU Govt","CRNCY")</f>
        <v>USD</v>
      </c>
      <c r="H769" t="str">
        <f>_xll.BDP("912834VU Govt","COUNTRY_FULL_NAME")</f>
        <v>UNITED STATES</v>
      </c>
      <c r="I769" t="str">
        <f>_xll.BDP("912834VU Govt","FIRST_CPN_DT")</f>
        <v>#N/A Field Not Applicable</v>
      </c>
      <c r="J769" t="str">
        <f>_xll.BDP("912834VU Govt","COUPON_FREQUENCY_DESCRIPTION")</f>
        <v>#N/A Field Not Applicable</v>
      </c>
      <c r="K769" t="str">
        <f>_xll.BDP("912834VU Govt","CPN_TYP")</f>
        <v>ZERO</v>
      </c>
      <c r="L769" t="str">
        <f>_xll.BDP("912834VU Govt","ID_ISIN")</f>
        <v>US912834VU98</v>
      </c>
      <c r="N769">
        <v>0</v>
      </c>
      <c r="O769" t="str">
        <f>_xll.BDP("912834VU Govt","ISSUE_DT")</f>
        <v>4/30/2020</v>
      </c>
      <c r="P769" t="str">
        <f>_xll.BDP("912834VU Govt","SECURITY_NAME")</f>
        <v>S 0 04/30/27</v>
      </c>
      <c r="Q769" t="str">
        <f>_xll.BDP("912834VU Govt","DAY_CNT_DES")</f>
        <v>ACT/ACT</v>
      </c>
      <c r="R769">
        <v>100</v>
      </c>
      <c r="S769" t="str">
        <f>_xll.BDP("912834VU Govt","ID_CUSIP")</f>
        <v>912834VU9</v>
      </c>
      <c r="T769" t="str">
        <f>_xll.BDP("912834VU Govt","IDX_RATIO")</f>
        <v>#N/A Field Not Applicable</v>
      </c>
    </row>
    <row r="770" spans="1:20" x14ac:dyDescent="0.25">
      <c r="A770" t="s">
        <v>14</v>
      </c>
      <c r="B770" t="str">
        <f>_xll.BDP("912834WF Govt","TICKER")</f>
        <v>S</v>
      </c>
      <c r="C770">
        <f>_xll.BDP("912834WF Govt","CPN")</f>
        <v>0</v>
      </c>
      <c r="D770">
        <f>_xll.BDP("912834WF Govt","YLD_YTM_BID")</f>
        <v>1.269000000000009</v>
      </c>
      <c r="E770" t="str">
        <f>_xll.BDP("912834WF Govt","MATURITY")</f>
        <v>9/30/2027</v>
      </c>
      <c r="F770" t="str">
        <f>_xll.BDP("912834WF Govt","MTY_TYP")</f>
        <v>NORMAL</v>
      </c>
      <c r="G770" t="str">
        <f>_xll.BDP("912834WF Govt","CRNCY")</f>
        <v>USD</v>
      </c>
      <c r="H770" t="str">
        <f>_xll.BDP("912834WF Govt","COUNTRY_FULL_NAME")</f>
        <v>UNITED STATES</v>
      </c>
      <c r="I770" t="str">
        <f>_xll.BDP("912834WF Govt","FIRST_CPN_DT")</f>
        <v>#N/A Field Not Applicable</v>
      </c>
      <c r="J770" t="str">
        <f>_xll.BDP("912834WF Govt","COUPON_FREQUENCY_DESCRIPTION")</f>
        <v>#N/A Field Not Applicable</v>
      </c>
      <c r="K770" t="str">
        <f>_xll.BDP("912834WF Govt","CPN_TYP")</f>
        <v>ZERO</v>
      </c>
      <c r="L770" t="str">
        <f>_xll.BDP("912834WF Govt","ID_ISIN")</f>
        <v>US912834WF13</v>
      </c>
      <c r="N770">
        <v>0</v>
      </c>
      <c r="O770" t="str">
        <f>_xll.BDP("912834WF Govt","ISSUE_DT")</f>
        <v>9/30/2020</v>
      </c>
      <c r="P770" t="str">
        <f>_xll.BDP("912834WF Govt","SECURITY_NAME")</f>
        <v>S 0 09/30/27</v>
      </c>
      <c r="Q770" t="str">
        <f>_xll.BDP("912834WF Govt","DAY_CNT_DES")</f>
        <v>ACT/ACT</v>
      </c>
      <c r="R770">
        <v>100</v>
      </c>
      <c r="S770" t="str">
        <f>_xll.BDP("912834WF Govt","ID_CUSIP")</f>
        <v>912834WF1</v>
      </c>
      <c r="T770" t="str">
        <f>_xll.BDP("912834WF Govt","IDX_RATIO")</f>
        <v>#N/A Field Not Applicable</v>
      </c>
    </row>
    <row r="771" spans="1:20" x14ac:dyDescent="0.25">
      <c r="A771" t="s">
        <v>14</v>
      </c>
      <c r="B771" t="str">
        <f>_xll.BDP("912834WB Govt","TICKER")</f>
        <v>S</v>
      </c>
      <c r="C771">
        <f>_xll.BDP("912834WB Govt","CPN")</f>
        <v>0</v>
      </c>
      <c r="D771">
        <f>_xll.BDP("912834WB Govt","YLD_YTM_BID")</f>
        <v>1.2370000000000214</v>
      </c>
      <c r="E771" t="str">
        <f>_xll.BDP("912834WB Govt","MATURITY")</f>
        <v>7/31/2027</v>
      </c>
      <c r="F771" t="str">
        <f>_xll.BDP("912834WB Govt","MTY_TYP")</f>
        <v>NORMAL</v>
      </c>
      <c r="G771" t="str">
        <f>_xll.BDP("912834WB Govt","CRNCY")</f>
        <v>USD</v>
      </c>
      <c r="H771" t="str">
        <f>_xll.BDP("912834WB Govt","COUNTRY_FULL_NAME")</f>
        <v>UNITED STATES</v>
      </c>
      <c r="I771" t="str">
        <f>_xll.BDP("912834WB Govt","FIRST_CPN_DT")</f>
        <v>#N/A Field Not Applicable</v>
      </c>
      <c r="J771" t="str">
        <f>_xll.BDP("912834WB Govt","COUPON_FREQUENCY_DESCRIPTION")</f>
        <v>#N/A Field Not Applicable</v>
      </c>
      <c r="K771" t="str">
        <f>_xll.BDP("912834WB Govt","CPN_TYP")</f>
        <v>ZERO</v>
      </c>
      <c r="L771" t="str">
        <f>_xll.BDP("912834WB Govt","ID_ISIN")</f>
        <v>US912834WB09</v>
      </c>
      <c r="N771">
        <v>0</v>
      </c>
      <c r="O771" t="str">
        <f>_xll.BDP("912834WB Govt","ISSUE_DT")</f>
        <v>7/31/2020</v>
      </c>
      <c r="P771" t="str">
        <f>_xll.BDP("912834WB Govt","SECURITY_NAME")</f>
        <v>S 0 07/31/27</v>
      </c>
      <c r="Q771" t="str">
        <f>_xll.BDP("912834WB Govt","DAY_CNT_DES")</f>
        <v>ACT/ACT</v>
      </c>
      <c r="R771">
        <v>100</v>
      </c>
      <c r="S771" t="str">
        <f>_xll.BDP("912834WB Govt","ID_CUSIP")</f>
        <v>912834WB0</v>
      </c>
      <c r="T771" t="str">
        <f>_xll.BDP("912834WB Govt","IDX_RATIO")</f>
        <v>#N/A Field Not Applicable</v>
      </c>
    </row>
    <row r="772" spans="1:20" x14ac:dyDescent="0.25">
      <c r="A772" t="s">
        <v>14</v>
      </c>
      <c r="B772" t="str">
        <f>_xll.BDP("912834WG Govt","TICKER")</f>
        <v>S</v>
      </c>
      <c r="C772">
        <f>_xll.BDP("912834WG Govt","CPN")</f>
        <v>0</v>
      </c>
      <c r="D772">
        <f>_xll.BDP("912834WG Govt","YLD_YTM_BID")</f>
        <v>0.28999999999999027</v>
      </c>
      <c r="E772" t="str">
        <f>_xll.BDP("912834WG Govt","MATURITY")</f>
        <v>10/15/2023</v>
      </c>
      <c r="F772" t="str">
        <f>_xll.BDP("912834WG Govt","MTY_TYP")</f>
        <v>NORMAL</v>
      </c>
      <c r="G772" t="str">
        <f>_xll.BDP("912834WG Govt","CRNCY")</f>
        <v>USD</v>
      </c>
      <c r="H772" t="str">
        <f>_xll.BDP("912834WG Govt","COUNTRY_FULL_NAME")</f>
        <v>UNITED STATES</v>
      </c>
      <c r="I772" t="str">
        <f>_xll.BDP("912834WG Govt","FIRST_CPN_DT")</f>
        <v>#N/A Field Not Applicable</v>
      </c>
      <c r="J772" t="str">
        <f>_xll.BDP("912834WG Govt","COUPON_FREQUENCY_DESCRIPTION")</f>
        <v>#N/A Field Not Applicable</v>
      </c>
      <c r="K772" t="str">
        <f>_xll.BDP("912834WG Govt","CPN_TYP")</f>
        <v>ZERO</v>
      </c>
      <c r="L772" t="str">
        <f>_xll.BDP("912834WG Govt","ID_ISIN")</f>
        <v>US912834WG95</v>
      </c>
      <c r="N772">
        <v>0</v>
      </c>
      <c r="O772" t="str">
        <f>_xll.BDP("912834WG Govt","ISSUE_DT")</f>
        <v>10/15/2020</v>
      </c>
      <c r="P772" t="str">
        <f>_xll.BDP("912834WG Govt","SECURITY_NAME")</f>
        <v>S 0 10/15/23</v>
      </c>
      <c r="Q772" t="str">
        <f>_xll.BDP("912834WG Govt","DAY_CNT_DES")</f>
        <v>ACT/ACT</v>
      </c>
      <c r="R772">
        <v>100</v>
      </c>
      <c r="S772" t="str">
        <f>_xll.BDP("912834WG Govt","ID_CUSIP")</f>
        <v>912834WG9</v>
      </c>
      <c r="T772" t="str">
        <f>_xll.BDP("912834WG Govt","IDX_RATIO")</f>
        <v>#N/A Field Not Applicable</v>
      </c>
    </row>
    <row r="773" spans="1:20" x14ac:dyDescent="0.25">
      <c r="A773" t="s">
        <v>14</v>
      </c>
      <c r="B773" t="str">
        <f>_xll.BDP("912834VT Govt","TICKER")</f>
        <v>S</v>
      </c>
      <c r="C773">
        <f>_xll.BDP("912834VT Govt","CPN")</f>
        <v>0</v>
      </c>
      <c r="D773">
        <f>_xll.BDP("912834VT Govt","YLD_YTM_BID")</f>
        <v>0.19499999999998963</v>
      </c>
      <c r="E773" t="str">
        <f>_xll.BDP("912834VT Govt","MATURITY")</f>
        <v>4/15/2023</v>
      </c>
      <c r="F773" t="str">
        <f>_xll.BDP("912834VT Govt","MTY_TYP")</f>
        <v>NORMAL</v>
      </c>
      <c r="G773" t="str">
        <f>_xll.BDP("912834VT Govt","CRNCY")</f>
        <v>USD</v>
      </c>
      <c r="H773" t="str">
        <f>_xll.BDP("912834VT Govt","COUNTRY_FULL_NAME")</f>
        <v>UNITED STATES</v>
      </c>
      <c r="I773" t="str">
        <f>_xll.BDP("912834VT Govt","FIRST_CPN_DT")</f>
        <v>#N/A Field Not Applicable</v>
      </c>
      <c r="J773" t="str">
        <f>_xll.BDP("912834VT Govt","COUPON_FREQUENCY_DESCRIPTION")</f>
        <v>#N/A Field Not Applicable</v>
      </c>
      <c r="K773" t="str">
        <f>_xll.BDP("912834VT Govt","CPN_TYP")</f>
        <v>ZERO</v>
      </c>
      <c r="L773" t="str">
        <f>_xll.BDP("912834VT Govt","ID_ISIN")</f>
        <v>US912834VT26</v>
      </c>
      <c r="N773">
        <v>0</v>
      </c>
      <c r="O773" t="str">
        <f>_xll.BDP("912834VT Govt","ISSUE_DT")</f>
        <v>4/15/2020</v>
      </c>
      <c r="P773" t="str">
        <f>_xll.BDP("912834VT Govt","SECURITY_NAME")</f>
        <v>S 0 04/15/23</v>
      </c>
      <c r="Q773" t="str">
        <f>_xll.BDP("912834VT Govt","DAY_CNT_DES")</f>
        <v>ACT/ACT</v>
      </c>
      <c r="R773">
        <v>100</v>
      </c>
      <c r="S773" t="str">
        <f>_xll.BDP("912834VT Govt","ID_CUSIP")</f>
        <v>912834VT2</v>
      </c>
      <c r="T773" t="str">
        <f>_xll.BDP("912834VT Govt","IDX_RATIO")</f>
        <v>#N/A Field Not Applicable</v>
      </c>
    </row>
    <row r="774" spans="1:20" x14ac:dyDescent="0.25">
      <c r="A774" t="s">
        <v>14</v>
      </c>
      <c r="B774" t="str">
        <f>_xll.BDP("912834VJ Govt","TICKER")</f>
        <v>S</v>
      </c>
      <c r="C774">
        <f>_xll.BDP("912834VJ Govt","CPN")</f>
        <v>0</v>
      </c>
      <c r="D774">
        <f>_xll.BDP("912834VJ Govt","YLD_YTM_BID")</f>
        <v>0.15000000000000568</v>
      </c>
      <c r="E774" t="str">
        <f>_xll.BDP("912834VJ Govt","MATURITY")</f>
        <v>1/15/2023</v>
      </c>
      <c r="F774" t="str">
        <f>_xll.BDP("912834VJ Govt","MTY_TYP")</f>
        <v>NORMAL</v>
      </c>
      <c r="G774" t="str">
        <f>_xll.BDP("912834VJ Govt","CRNCY")</f>
        <v>USD</v>
      </c>
      <c r="H774" t="str">
        <f>_xll.BDP("912834VJ Govt","COUNTRY_FULL_NAME")</f>
        <v>UNITED STATES</v>
      </c>
      <c r="I774" t="str">
        <f>_xll.BDP("912834VJ Govt","FIRST_CPN_DT")</f>
        <v>#N/A Field Not Applicable</v>
      </c>
      <c r="J774" t="str">
        <f>_xll.BDP("912834VJ Govt","COUPON_FREQUENCY_DESCRIPTION")</f>
        <v>#N/A Field Not Applicable</v>
      </c>
      <c r="K774" t="str">
        <f>_xll.BDP("912834VJ Govt","CPN_TYP")</f>
        <v>ZERO</v>
      </c>
      <c r="L774" t="str">
        <f>_xll.BDP("912834VJ Govt","ID_ISIN")</f>
        <v>US912834VJ44</v>
      </c>
      <c r="N774">
        <v>0</v>
      </c>
      <c r="O774" t="str">
        <f>_xll.BDP("912834VJ Govt","ISSUE_DT")</f>
        <v>1/15/2020</v>
      </c>
      <c r="P774" t="str">
        <f>_xll.BDP("912834VJ Govt","SECURITY_NAME")</f>
        <v>S 0 01/15/23</v>
      </c>
      <c r="Q774" t="str">
        <f>_xll.BDP("912834VJ Govt","DAY_CNT_DES")</f>
        <v>ACT/ACT</v>
      </c>
      <c r="R774">
        <v>100</v>
      </c>
      <c r="S774" t="str">
        <f>_xll.BDP("912834VJ Govt","ID_CUSIP")</f>
        <v>912834VJ4</v>
      </c>
      <c r="T774" t="str">
        <f>_xll.BDP("912834VJ Govt","IDX_RATIO")</f>
        <v>#N/A Field Not Applicable</v>
      </c>
    </row>
    <row r="775" spans="1:20" x14ac:dyDescent="0.25">
      <c r="A775" t="s">
        <v>14</v>
      </c>
      <c r="B775" t="str">
        <f>_xll.BDP("912834WK Govt","TICKER")</f>
        <v>S</v>
      </c>
      <c r="C775">
        <f>_xll.BDP("912834WK Govt","CPN")</f>
        <v>0</v>
      </c>
      <c r="D775">
        <f>_xll.BDP("912834WK Govt","YLD_YTM_BID")</f>
        <v>1.2950000000000017</v>
      </c>
      <c r="E775" t="str">
        <f>_xll.BDP("912834WK Govt","MATURITY")</f>
        <v>11/30/2027</v>
      </c>
      <c r="F775" t="str">
        <f>_xll.BDP("912834WK Govt","MTY_TYP")</f>
        <v>NORMAL</v>
      </c>
      <c r="G775" t="str">
        <f>_xll.BDP("912834WK Govt","CRNCY")</f>
        <v>USD</v>
      </c>
      <c r="H775" t="str">
        <f>_xll.BDP("912834WK Govt","COUNTRY_FULL_NAME")</f>
        <v>UNITED STATES</v>
      </c>
      <c r="I775" t="str">
        <f>_xll.BDP("912834WK Govt","FIRST_CPN_DT")</f>
        <v>#N/A Field Not Applicable</v>
      </c>
      <c r="J775" t="str">
        <f>_xll.BDP("912834WK Govt","COUPON_FREQUENCY_DESCRIPTION")</f>
        <v>#N/A Field Not Applicable</v>
      </c>
      <c r="K775" t="str">
        <f>_xll.BDP("912834WK Govt","CPN_TYP")</f>
        <v>ZERO</v>
      </c>
      <c r="L775" t="str">
        <f>_xll.BDP("912834WK Govt","ID_ISIN")</f>
        <v>US912834WK08</v>
      </c>
      <c r="N775">
        <v>0</v>
      </c>
      <c r="O775" t="str">
        <f>_xll.BDP("912834WK Govt","ISSUE_DT")</f>
        <v>11/30/2020</v>
      </c>
      <c r="P775" t="str">
        <f>_xll.BDP("912834WK Govt","SECURITY_NAME")</f>
        <v>S 0 11/30/27</v>
      </c>
      <c r="Q775" t="str">
        <f>_xll.BDP("912834WK Govt","DAY_CNT_DES")</f>
        <v>ACT/ACT</v>
      </c>
      <c r="R775">
        <v>100</v>
      </c>
      <c r="S775" t="str">
        <f>_xll.BDP("912834WK Govt","ID_CUSIP")</f>
        <v>912834WK0</v>
      </c>
      <c r="T775" t="str">
        <f>_xll.BDP("912834WK Govt","IDX_RATIO")</f>
        <v>#N/A Field Not Applicable</v>
      </c>
    </row>
    <row r="776" spans="1:20" x14ac:dyDescent="0.25">
      <c r="A776" t="s">
        <v>14</v>
      </c>
      <c r="B776" t="str">
        <f>_xll.BDP("912834WX Govt","TICKER")</f>
        <v>S</v>
      </c>
      <c r="C776">
        <f>_xll.BDP("912834WX Govt","CPN")</f>
        <v>0</v>
      </c>
      <c r="D776">
        <f>_xll.BDP("912834WX Govt","YLD_YTM_BID")</f>
        <v>0.44400000000002215</v>
      </c>
      <c r="E776" t="str">
        <f>_xll.BDP("912834WX Govt","MATURITY")</f>
        <v>4/15/2024</v>
      </c>
      <c r="F776" t="str">
        <f>_xll.BDP("912834WX Govt","MTY_TYP")</f>
        <v>NORMAL</v>
      </c>
      <c r="G776" t="str">
        <f>_xll.BDP("912834WX Govt","CRNCY")</f>
        <v>USD</v>
      </c>
      <c r="H776" t="str">
        <f>_xll.BDP("912834WX Govt","COUNTRY_FULL_NAME")</f>
        <v>UNITED STATES</v>
      </c>
      <c r="I776" t="str">
        <f>_xll.BDP("912834WX Govt","FIRST_CPN_DT")</f>
        <v>#N/A Field Not Applicable</v>
      </c>
      <c r="J776" t="str">
        <f>_xll.BDP("912834WX Govt","COUPON_FREQUENCY_DESCRIPTION")</f>
        <v>#N/A Field Not Applicable</v>
      </c>
      <c r="K776" t="str">
        <f>_xll.BDP("912834WX Govt","CPN_TYP")</f>
        <v>ZERO</v>
      </c>
      <c r="L776" t="str">
        <f>_xll.BDP("912834WX Govt","ID_ISIN")</f>
        <v>US912834WX29</v>
      </c>
      <c r="N776">
        <v>0</v>
      </c>
      <c r="O776" t="str">
        <f>_xll.BDP("912834WX Govt","ISSUE_DT")</f>
        <v>4/15/2021</v>
      </c>
      <c r="P776" t="str">
        <f>_xll.BDP("912834WX Govt","SECURITY_NAME")</f>
        <v>S 0 04/15/24</v>
      </c>
      <c r="Q776" t="str">
        <f>_xll.BDP("912834WX Govt","DAY_CNT_DES")</f>
        <v>ACT/ACT</v>
      </c>
      <c r="R776">
        <v>100</v>
      </c>
      <c r="S776" t="str">
        <f>_xll.BDP("912834WX Govt","ID_CUSIP")</f>
        <v>912834WX2</v>
      </c>
      <c r="T776" t="str">
        <f>_xll.BDP("912834WX Govt","IDX_RATIO")</f>
        <v>#N/A Field Not Applicable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Reserve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Rao, Rajesh</dc:creator>
  <cp:lastModifiedBy>Rao, Rajesh</cp:lastModifiedBy>
  <dcterms:created xsi:type="dcterms:W3CDTF">2021-03-19T14:14:54Z</dcterms:created>
  <dcterms:modified xsi:type="dcterms:W3CDTF">2021-10-05T18:41:35Z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eyIwIjoiSGlzdG9yeSIsIjEiOjAsIjIiOjEsIjMiOjEsIjQiOjEsIjUiOjEsIjYiOjEsIjciOjEsIjgiOjAsIjkiOjEsIjEwIjowLCIxMSI6MCwiMTIiOjB9</vt:lpwstr>
  </property>
</Properties>
</file>