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TIPS (IN PROGRESS)\Input\"/>
    </mc:Choice>
  </mc:AlternateContent>
  <xr:revisionPtr revIDLastSave="0" documentId="13_ncr:1_{B2D3C082-251E-4ABD-93C6-262702366E92}" xr6:coauthVersionLast="46" xr6:coauthVersionMax="46" xr10:uidLastSave="{00000000-0000-0000-0000-000000000000}"/>
  <bookViews>
    <workbookView xWindow="-19310" yWindow="-1280" windowWidth="19420" windowHeight="10420" xr2:uid="{69FDFDEB-916A-4DBA-8005-81D6DD11E136}"/>
  </bookViews>
  <sheets>
    <sheet name="Sheet1" sheetId="1" r:id="rId1"/>
  </sheets>
  <definedNames>
    <definedName name="SpreadsheetBuilder_1" hidden="1">Sheet1!$G$1:$H$4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5" i="1" l="1"/>
  <c r="I85" i="1"/>
  <c r="T84" i="1"/>
  <c r="I84" i="1"/>
  <c r="T83" i="1"/>
  <c r="I83" i="1"/>
  <c r="T82" i="1"/>
  <c r="I82" i="1"/>
  <c r="T81" i="1"/>
  <c r="I81" i="1"/>
  <c r="T80" i="1"/>
  <c r="I80" i="1"/>
  <c r="T79" i="1"/>
  <c r="I79" i="1"/>
  <c r="T78" i="1"/>
  <c r="I78" i="1"/>
  <c r="T77" i="1"/>
  <c r="I77" i="1"/>
  <c r="T76" i="1"/>
  <c r="I76" i="1"/>
  <c r="T75" i="1"/>
  <c r="I75" i="1"/>
  <c r="T74" i="1"/>
  <c r="I74" i="1"/>
  <c r="T73" i="1"/>
  <c r="I73" i="1"/>
  <c r="T72" i="1"/>
  <c r="I72" i="1"/>
  <c r="T71" i="1"/>
  <c r="I71" i="1"/>
  <c r="T70" i="1"/>
  <c r="I70" i="1"/>
  <c r="T69" i="1"/>
  <c r="I69" i="1"/>
  <c r="T68" i="1"/>
  <c r="I68" i="1"/>
  <c r="T67" i="1"/>
  <c r="I67" i="1"/>
  <c r="T66" i="1"/>
  <c r="I66" i="1"/>
  <c r="T65" i="1"/>
  <c r="I65" i="1"/>
  <c r="T64" i="1"/>
  <c r="I64" i="1"/>
  <c r="T63" i="1"/>
  <c r="I63" i="1"/>
  <c r="T62" i="1"/>
  <c r="I62" i="1"/>
  <c r="T61" i="1"/>
  <c r="I61" i="1"/>
  <c r="T60" i="1"/>
  <c r="I60" i="1"/>
  <c r="T59" i="1"/>
  <c r="I59" i="1"/>
  <c r="T58" i="1"/>
  <c r="I58" i="1"/>
  <c r="T57" i="1"/>
  <c r="I57" i="1"/>
  <c r="T56" i="1"/>
  <c r="I56" i="1"/>
  <c r="T55" i="1"/>
  <c r="I55" i="1"/>
  <c r="T54" i="1"/>
  <c r="I54" i="1"/>
  <c r="T53" i="1"/>
  <c r="I53" i="1"/>
  <c r="T52" i="1"/>
  <c r="I52" i="1"/>
  <c r="T51" i="1"/>
  <c r="I51" i="1"/>
  <c r="T50" i="1"/>
  <c r="I50" i="1"/>
  <c r="T49" i="1"/>
  <c r="I49" i="1"/>
  <c r="T48" i="1"/>
  <c r="I48" i="1"/>
  <c r="T47" i="1"/>
  <c r="I47" i="1"/>
  <c r="T46" i="1"/>
  <c r="I46" i="1"/>
  <c r="T45" i="1"/>
  <c r="I45" i="1"/>
  <c r="T44" i="1"/>
  <c r="I44" i="1"/>
  <c r="T43" i="1"/>
  <c r="I43" i="1"/>
  <c r="T42" i="1"/>
  <c r="I42" i="1"/>
  <c r="T41" i="1"/>
  <c r="I41" i="1"/>
  <c r="T40" i="1"/>
  <c r="I40" i="1"/>
  <c r="T39" i="1"/>
  <c r="I39" i="1"/>
  <c r="T38" i="1"/>
  <c r="I38" i="1"/>
  <c r="T37" i="1"/>
  <c r="I37" i="1"/>
  <c r="T36" i="1"/>
  <c r="I36" i="1"/>
  <c r="T35" i="1"/>
  <c r="I35" i="1"/>
  <c r="T34" i="1"/>
  <c r="I34" i="1"/>
  <c r="T33" i="1"/>
  <c r="I33" i="1"/>
  <c r="T32" i="1"/>
  <c r="I32" i="1"/>
  <c r="T31" i="1"/>
  <c r="I31" i="1"/>
  <c r="T30" i="1"/>
  <c r="I30" i="1"/>
  <c r="T29" i="1"/>
  <c r="I29" i="1"/>
  <c r="T28" i="1"/>
  <c r="I28" i="1"/>
  <c r="T27" i="1"/>
  <c r="I27" i="1"/>
  <c r="T26" i="1"/>
  <c r="S85" i="1"/>
  <c r="H85" i="1"/>
  <c r="S84" i="1"/>
  <c r="H84" i="1"/>
  <c r="S83" i="1"/>
  <c r="H83" i="1"/>
  <c r="S82" i="1"/>
  <c r="H82" i="1"/>
  <c r="S81" i="1"/>
  <c r="H81" i="1"/>
  <c r="S80" i="1"/>
  <c r="H80" i="1"/>
  <c r="S79" i="1"/>
  <c r="H79" i="1"/>
  <c r="S78" i="1"/>
  <c r="H78" i="1"/>
  <c r="S77" i="1"/>
  <c r="H77" i="1"/>
  <c r="S76" i="1"/>
  <c r="H76" i="1"/>
  <c r="S75" i="1"/>
  <c r="H75" i="1"/>
  <c r="S74" i="1"/>
  <c r="H74" i="1"/>
  <c r="S73" i="1"/>
  <c r="H73" i="1"/>
  <c r="S72" i="1"/>
  <c r="H72" i="1"/>
  <c r="S71" i="1"/>
  <c r="H71" i="1"/>
  <c r="S70" i="1"/>
  <c r="H70" i="1"/>
  <c r="S69" i="1"/>
  <c r="H69" i="1"/>
  <c r="S68" i="1"/>
  <c r="H68" i="1"/>
  <c r="S67" i="1"/>
  <c r="H67" i="1"/>
  <c r="S66" i="1"/>
  <c r="H66" i="1"/>
  <c r="S65" i="1"/>
  <c r="H65" i="1"/>
  <c r="S64" i="1"/>
  <c r="H64" i="1"/>
  <c r="S63" i="1"/>
  <c r="H63" i="1"/>
  <c r="S62" i="1"/>
  <c r="H62" i="1"/>
  <c r="S61" i="1"/>
  <c r="H61" i="1"/>
  <c r="S60" i="1"/>
  <c r="H60" i="1"/>
  <c r="S59" i="1"/>
  <c r="H59" i="1"/>
  <c r="S58" i="1"/>
  <c r="H58" i="1"/>
  <c r="S57" i="1"/>
  <c r="H57" i="1"/>
  <c r="S56" i="1"/>
  <c r="H56" i="1"/>
  <c r="S55" i="1"/>
  <c r="H55" i="1"/>
  <c r="S54" i="1"/>
  <c r="H54" i="1"/>
  <c r="S53" i="1"/>
  <c r="H53" i="1"/>
  <c r="S52" i="1"/>
  <c r="H52" i="1"/>
  <c r="S51" i="1"/>
  <c r="H51" i="1"/>
  <c r="S50" i="1"/>
  <c r="H50" i="1"/>
  <c r="S49" i="1"/>
  <c r="H49" i="1"/>
  <c r="S48" i="1"/>
  <c r="H48" i="1"/>
  <c r="S47" i="1"/>
  <c r="H47" i="1"/>
  <c r="S46" i="1"/>
  <c r="H46" i="1"/>
  <c r="S45" i="1"/>
  <c r="H45" i="1"/>
  <c r="S44" i="1"/>
  <c r="H44" i="1"/>
  <c r="S43" i="1"/>
  <c r="H43" i="1"/>
  <c r="S42" i="1"/>
  <c r="H42" i="1"/>
  <c r="S41" i="1"/>
  <c r="H41" i="1"/>
  <c r="S40" i="1"/>
  <c r="H40" i="1"/>
  <c r="S39" i="1"/>
  <c r="H39" i="1"/>
  <c r="S38" i="1"/>
  <c r="H38" i="1"/>
  <c r="S37" i="1"/>
  <c r="H37" i="1"/>
  <c r="S36" i="1"/>
  <c r="H36" i="1"/>
  <c r="S35" i="1"/>
  <c r="H35" i="1"/>
  <c r="S34" i="1"/>
  <c r="H34" i="1"/>
  <c r="S33" i="1"/>
  <c r="H33" i="1"/>
  <c r="S32" i="1"/>
  <c r="H32" i="1"/>
  <c r="S31" i="1"/>
  <c r="H31" i="1"/>
  <c r="S30" i="1"/>
  <c r="H30" i="1"/>
  <c r="S29" i="1"/>
  <c r="H29" i="1"/>
  <c r="S28" i="1"/>
  <c r="H28" i="1"/>
  <c r="S27" i="1"/>
  <c r="H27" i="1"/>
  <c r="S26" i="1"/>
  <c r="H26" i="1"/>
  <c r="S25" i="1"/>
  <c r="H25" i="1"/>
  <c r="S24" i="1"/>
  <c r="H24" i="1"/>
  <c r="S23" i="1"/>
  <c r="H23" i="1"/>
  <c r="S22" i="1"/>
  <c r="Q85" i="1"/>
  <c r="G85" i="1"/>
  <c r="Q84" i="1"/>
  <c r="G84" i="1"/>
  <c r="Q83" i="1"/>
  <c r="G83" i="1"/>
  <c r="Q82" i="1"/>
  <c r="G82" i="1"/>
  <c r="Q81" i="1"/>
  <c r="G81" i="1"/>
  <c r="Q80" i="1"/>
  <c r="G80" i="1"/>
  <c r="Q79" i="1"/>
  <c r="G79" i="1"/>
  <c r="Q78" i="1"/>
  <c r="G78" i="1"/>
  <c r="Q77" i="1"/>
  <c r="G77" i="1"/>
  <c r="Q76" i="1"/>
  <c r="G76" i="1"/>
  <c r="Q75" i="1"/>
  <c r="G75" i="1"/>
  <c r="Q74" i="1"/>
  <c r="G74" i="1"/>
  <c r="Q73" i="1"/>
  <c r="G73" i="1"/>
  <c r="Q72" i="1"/>
  <c r="G72" i="1"/>
  <c r="Q71" i="1"/>
  <c r="G71" i="1"/>
  <c r="Q70" i="1"/>
  <c r="G70" i="1"/>
  <c r="Q69" i="1"/>
  <c r="G69" i="1"/>
  <c r="Q68" i="1"/>
  <c r="G68" i="1"/>
  <c r="Q67" i="1"/>
  <c r="G67" i="1"/>
  <c r="Q66" i="1"/>
  <c r="G66" i="1"/>
  <c r="Q65" i="1"/>
  <c r="G65" i="1"/>
  <c r="Q64" i="1"/>
  <c r="G64" i="1"/>
  <c r="Q63" i="1"/>
  <c r="G63" i="1"/>
  <c r="Q62" i="1"/>
  <c r="G62" i="1"/>
  <c r="Q61" i="1"/>
  <c r="G61" i="1"/>
  <c r="Q60" i="1"/>
  <c r="G60" i="1"/>
  <c r="Q59" i="1"/>
  <c r="G59" i="1"/>
  <c r="Q58" i="1"/>
  <c r="G58" i="1"/>
  <c r="Q57" i="1"/>
  <c r="G57" i="1"/>
  <c r="Q56" i="1"/>
  <c r="G56" i="1"/>
  <c r="Q55" i="1"/>
  <c r="G55" i="1"/>
  <c r="Q54" i="1"/>
  <c r="G54" i="1"/>
  <c r="Q53" i="1"/>
  <c r="G53" i="1"/>
  <c r="Q52" i="1"/>
  <c r="G52" i="1"/>
  <c r="Q51" i="1"/>
  <c r="P85" i="1"/>
  <c r="F85" i="1"/>
  <c r="P84" i="1"/>
  <c r="F84" i="1"/>
  <c r="P83" i="1"/>
  <c r="F83" i="1"/>
  <c r="P82" i="1"/>
  <c r="F82" i="1"/>
  <c r="P81" i="1"/>
  <c r="F81" i="1"/>
  <c r="P80" i="1"/>
  <c r="F80" i="1"/>
  <c r="P79" i="1"/>
  <c r="F79" i="1"/>
  <c r="P78" i="1"/>
  <c r="F78" i="1"/>
  <c r="P77" i="1"/>
  <c r="F77" i="1"/>
  <c r="P76" i="1"/>
  <c r="F76" i="1"/>
  <c r="P75" i="1"/>
  <c r="F75" i="1"/>
  <c r="P74" i="1"/>
  <c r="F74" i="1"/>
  <c r="P73" i="1"/>
  <c r="F73" i="1"/>
  <c r="P72" i="1"/>
  <c r="F72" i="1"/>
  <c r="P71" i="1"/>
  <c r="F71" i="1"/>
  <c r="P70" i="1"/>
  <c r="F70" i="1"/>
  <c r="P69" i="1"/>
  <c r="F69" i="1"/>
  <c r="P68" i="1"/>
  <c r="F68" i="1"/>
  <c r="P67" i="1"/>
  <c r="F67" i="1"/>
  <c r="P66" i="1"/>
  <c r="F66" i="1"/>
  <c r="P65" i="1"/>
  <c r="F65" i="1"/>
  <c r="P64" i="1"/>
  <c r="F64" i="1"/>
  <c r="P63" i="1"/>
  <c r="F63" i="1"/>
  <c r="P62" i="1"/>
  <c r="F62" i="1"/>
  <c r="P61" i="1"/>
  <c r="F61" i="1"/>
  <c r="P60" i="1"/>
  <c r="F60" i="1"/>
  <c r="P59" i="1"/>
  <c r="F59" i="1"/>
  <c r="P58" i="1"/>
  <c r="F58" i="1"/>
  <c r="P57" i="1"/>
  <c r="F57" i="1"/>
  <c r="P56" i="1"/>
  <c r="F56" i="1"/>
  <c r="P55" i="1"/>
  <c r="F55" i="1"/>
  <c r="P54" i="1"/>
  <c r="F54" i="1"/>
  <c r="P53" i="1"/>
  <c r="F53" i="1"/>
  <c r="P52" i="1"/>
  <c r="F52" i="1"/>
  <c r="P51" i="1"/>
  <c r="F51" i="1"/>
  <c r="P50" i="1"/>
  <c r="F50" i="1"/>
  <c r="P49" i="1"/>
  <c r="F49" i="1"/>
  <c r="P48" i="1"/>
  <c r="F48" i="1"/>
  <c r="P47" i="1"/>
  <c r="F47" i="1"/>
  <c r="P46" i="1"/>
  <c r="F46" i="1"/>
  <c r="P45" i="1"/>
  <c r="F45" i="1"/>
  <c r="P44" i="1"/>
  <c r="F44" i="1"/>
  <c r="P43" i="1"/>
  <c r="F43" i="1"/>
  <c r="P42" i="1"/>
  <c r="F42" i="1"/>
  <c r="P41" i="1"/>
  <c r="F41" i="1"/>
  <c r="P40" i="1"/>
  <c r="F40" i="1"/>
  <c r="P39" i="1"/>
  <c r="F39" i="1"/>
  <c r="P38" i="1"/>
  <c r="F38" i="1"/>
  <c r="P37" i="1"/>
  <c r="F37" i="1"/>
  <c r="P36" i="1"/>
  <c r="F36" i="1"/>
  <c r="P35" i="1"/>
  <c r="O85" i="1"/>
  <c r="E85" i="1"/>
  <c r="O84" i="1"/>
  <c r="E84" i="1"/>
  <c r="O83" i="1"/>
  <c r="E83" i="1"/>
  <c r="O82" i="1"/>
  <c r="E82" i="1"/>
  <c r="O81" i="1"/>
  <c r="E81" i="1"/>
  <c r="O80" i="1"/>
  <c r="E80" i="1"/>
  <c r="O79" i="1"/>
  <c r="E79" i="1"/>
  <c r="O78" i="1"/>
  <c r="E78" i="1"/>
  <c r="O77" i="1"/>
  <c r="E77" i="1"/>
  <c r="O76" i="1"/>
  <c r="E76" i="1"/>
  <c r="O75" i="1"/>
  <c r="E75" i="1"/>
  <c r="O74" i="1"/>
  <c r="E74" i="1"/>
  <c r="O73" i="1"/>
  <c r="E73" i="1"/>
  <c r="O72" i="1"/>
  <c r="E72" i="1"/>
  <c r="O71" i="1"/>
  <c r="E71" i="1"/>
  <c r="O70" i="1"/>
  <c r="E70" i="1"/>
  <c r="O69" i="1"/>
  <c r="E69" i="1"/>
  <c r="O68" i="1"/>
  <c r="E68" i="1"/>
  <c r="O67" i="1"/>
  <c r="E67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J85" i="1"/>
  <c r="B85" i="1"/>
  <c r="J84" i="1"/>
  <c r="B84" i="1"/>
  <c r="J83" i="1"/>
  <c r="B83" i="1"/>
  <c r="J82" i="1"/>
  <c r="B82" i="1"/>
  <c r="J81" i="1"/>
  <c r="B81" i="1"/>
  <c r="J80" i="1"/>
  <c r="B80" i="1"/>
  <c r="J79" i="1"/>
  <c r="B79" i="1"/>
  <c r="J78" i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B70" i="1"/>
  <c r="J69" i="1"/>
  <c r="B69" i="1"/>
  <c r="J68" i="1"/>
  <c r="B68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L85" i="1"/>
  <c r="L81" i="1"/>
  <c r="L77" i="1"/>
  <c r="L73" i="1"/>
  <c r="L69" i="1"/>
  <c r="E66" i="1"/>
  <c r="E64" i="1"/>
  <c r="E62" i="1"/>
  <c r="E60" i="1"/>
  <c r="E58" i="1"/>
  <c r="E56" i="1"/>
  <c r="E54" i="1"/>
  <c r="E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B35" i="1"/>
  <c r="E34" i="1"/>
  <c r="G33" i="1"/>
  <c r="L32" i="1"/>
  <c r="P31" i="1"/>
  <c r="B31" i="1"/>
  <c r="E30" i="1"/>
  <c r="G29" i="1"/>
  <c r="L28" i="1"/>
  <c r="B28" i="1"/>
  <c r="F27" i="1"/>
  <c r="L26" i="1"/>
  <c r="C26" i="1"/>
  <c r="J25" i="1"/>
  <c r="T24" i="1"/>
  <c r="G24" i="1"/>
  <c r="P23" i="1"/>
  <c r="E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  <c r="O56" i="1"/>
  <c r="L33" i="1"/>
  <c r="D28" i="1"/>
  <c r="G23" i="1"/>
  <c r="F20" i="1"/>
  <c r="F17" i="1"/>
  <c r="P14" i="1"/>
  <c r="F11" i="1"/>
  <c r="F8" i="1"/>
  <c r="F4" i="1"/>
  <c r="F2" i="1"/>
  <c r="D78" i="1"/>
  <c r="L62" i="1"/>
  <c r="B51" i="1"/>
  <c r="B44" i="1"/>
  <c r="B40" i="1"/>
  <c r="F34" i="1"/>
  <c r="J29" i="1"/>
  <c r="B25" i="1"/>
  <c r="O21" i="1"/>
  <c r="D85" i="1"/>
  <c r="D81" i="1"/>
  <c r="D77" i="1"/>
  <c r="D73" i="1"/>
  <c r="D69" i="1"/>
  <c r="D66" i="1"/>
  <c r="D64" i="1"/>
  <c r="D62" i="1"/>
  <c r="D60" i="1"/>
  <c r="D58" i="1"/>
  <c r="D56" i="1"/>
  <c r="D54" i="1"/>
  <c r="D52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Q34" i="1"/>
  <c r="D34" i="1"/>
  <c r="F33" i="1"/>
  <c r="J32" i="1"/>
  <c r="O31" i="1"/>
  <c r="Q30" i="1"/>
  <c r="D30" i="1"/>
  <c r="F29" i="1"/>
  <c r="K28" i="1"/>
  <c r="Q27" i="1"/>
  <c r="E27" i="1"/>
  <c r="K26" i="1"/>
  <c r="B26" i="1"/>
  <c r="I25" i="1"/>
  <c r="Q24" i="1"/>
  <c r="F24" i="1"/>
  <c r="O23" i="1"/>
  <c r="D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  <c r="K8" i="1"/>
  <c r="C8" i="1"/>
  <c r="K7" i="1"/>
  <c r="C7" i="1"/>
  <c r="K6" i="1"/>
  <c r="C6" i="1"/>
  <c r="K5" i="1"/>
  <c r="C5" i="1"/>
  <c r="K4" i="1"/>
  <c r="C4" i="1"/>
  <c r="K3" i="1"/>
  <c r="C3" i="1"/>
  <c r="K2" i="1"/>
  <c r="C2" i="1"/>
  <c r="O60" i="1"/>
  <c r="B32" i="1"/>
  <c r="C25" i="1"/>
  <c r="P20" i="1"/>
  <c r="P17" i="1"/>
  <c r="F15" i="1"/>
  <c r="F12" i="1"/>
  <c r="P9" i="1"/>
  <c r="P6" i="1"/>
  <c r="P2" i="1"/>
  <c r="L66" i="1"/>
  <c r="B49" i="1"/>
  <c r="B41" i="1"/>
  <c r="J33" i="1"/>
  <c r="G27" i="1"/>
  <c r="Q23" i="1"/>
  <c r="L84" i="1"/>
  <c r="L80" i="1"/>
  <c r="L76" i="1"/>
  <c r="L72" i="1"/>
  <c r="L68" i="1"/>
  <c r="O65" i="1"/>
  <c r="O63" i="1"/>
  <c r="O61" i="1"/>
  <c r="O59" i="1"/>
  <c r="O57" i="1"/>
  <c r="O55" i="1"/>
  <c r="O53" i="1"/>
  <c r="O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P34" i="1"/>
  <c r="B34" i="1"/>
  <c r="E33" i="1"/>
  <c r="G32" i="1"/>
  <c r="L31" i="1"/>
  <c r="P30" i="1"/>
  <c r="B30" i="1"/>
  <c r="E29" i="1"/>
  <c r="J28" i="1"/>
  <c r="P27" i="1"/>
  <c r="D27" i="1"/>
  <c r="J26" i="1"/>
  <c r="T25" i="1"/>
  <c r="G25" i="1"/>
  <c r="P24" i="1"/>
  <c r="E24" i="1"/>
  <c r="L23" i="1"/>
  <c r="C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  <c r="J2" i="1"/>
  <c r="B2" i="1"/>
  <c r="H3" i="1"/>
  <c r="L70" i="1"/>
  <c r="D40" i="1"/>
  <c r="D36" i="1"/>
  <c r="P32" i="1"/>
  <c r="L29" i="1"/>
  <c r="P26" i="1"/>
  <c r="J24" i="1"/>
  <c r="P21" i="1"/>
  <c r="P18" i="1"/>
  <c r="F16" i="1"/>
  <c r="F13" i="1"/>
  <c r="F10" i="1"/>
  <c r="F7" i="1"/>
  <c r="F5" i="1"/>
  <c r="F3" i="1"/>
  <c r="D74" i="1"/>
  <c r="L56" i="1"/>
  <c r="B50" i="1"/>
  <c r="B47" i="1"/>
  <c r="B43" i="1"/>
  <c r="B38" i="1"/>
  <c r="O32" i="1"/>
  <c r="O28" i="1"/>
  <c r="D26" i="1"/>
  <c r="E22" i="1"/>
  <c r="O20" i="1"/>
  <c r="D84" i="1"/>
  <c r="D80" i="1"/>
  <c r="D76" i="1"/>
  <c r="D72" i="1"/>
  <c r="D68" i="1"/>
  <c r="L65" i="1"/>
  <c r="L63" i="1"/>
  <c r="L61" i="1"/>
  <c r="L59" i="1"/>
  <c r="L57" i="1"/>
  <c r="L55" i="1"/>
  <c r="L53" i="1"/>
  <c r="L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O34" i="1"/>
  <c r="Q33" i="1"/>
  <c r="D33" i="1"/>
  <c r="F32" i="1"/>
  <c r="J31" i="1"/>
  <c r="O30" i="1"/>
  <c r="Q29" i="1"/>
  <c r="D29" i="1"/>
  <c r="G28" i="1"/>
  <c r="O27" i="1"/>
  <c r="C27" i="1"/>
  <c r="I26" i="1"/>
  <c r="Q25" i="1"/>
  <c r="F25" i="1"/>
  <c r="O24" i="1"/>
  <c r="D24" i="1"/>
  <c r="K23" i="1"/>
  <c r="B23" i="1"/>
  <c r="I22" i="1"/>
  <c r="T21" i="1"/>
  <c r="I21" i="1"/>
  <c r="T20" i="1"/>
  <c r="I20" i="1"/>
  <c r="T19" i="1"/>
  <c r="I19" i="1"/>
  <c r="T18" i="1"/>
  <c r="I18" i="1"/>
  <c r="T17" i="1"/>
  <c r="I17" i="1"/>
  <c r="T16" i="1"/>
  <c r="I16" i="1"/>
  <c r="T15" i="1"/>
  <c r="I15" i="1"/>
  <c r="T14" i="1"/>
  <c r="I14" i="1"/>
  <c r="T13" i="1"/>
  <c r="I13" i="1"/>
  <c r="T12" i="1"/>
  <c r="I12" i="1"/>
  <c r="T11" i="1"/>
  <c r="I11" i="1"/>
  <c r="T10" i="1"/>
  <c r="I10" i="1"/>
  <c r="T9" i="1"/>
  <c r="I9" i="1"/>
  <c r="T8" i="1"/>
  <c r="I8" i="1"/>
  <c r="T7" i="1"/>
  <c r="I7" i="1"/>
  <c r="T6" i="1"/>
  <c r="I6" i="1"/>
  <c r="T5" i="1"/>
  <c r="I5" i="1"/>
  <c r="T4" i="1"/>
  <c r="I4" i="1"/>
  <c r="T3" i="1"/>
  <c r="I3" i="1"/>
  <c r="T2" i="1"/>
  <c r="I2" i="1"/>
  <c r="S3" i="1"/>
  <c r="L74" i="1"/>
  <c r="D38" i="1"/>
  <c r="E31" i="1"/>
  <c r="P28" i="1"/>
  <c r="L25" i="1"/>
  <c r="T23" i="1"/>
  <c r="F21" i="1"/>
  <c r="F19" i="1"/>
  <c r="P15" i="1"/>
  <c r="P13" i="1"/>
  <c r="P10" i="1"/>
  <c r="P7" i="1"/>
  <c r="F6" i="1"/>
  <c r="P3" i="1"/>
  <c r="D70" i="1"/>
  <c r="L58" i="1"/>
  <c r="L54" i="1"/>
  <c r="B48" i="1"/>
  <c r="B42" i="1"/>
  <c r="B37" i="1"/>
  <c r="Q31" i="1"/>
  <c r="C28" i="1"/>
  <c r="K25" i="1"/>
  <c r="O22" i="1"/>
  <c r="E21" i="1"/>
  <c r="L83" i="1"/>
  <c r="L79" i="1"/>
  <c r="L75" i="1"/>
  <c r="L71" i="1"/>
  <c r="L67" i="1"/>
  <c r="E65" i="1"/>
  <c r="E63" i="1"/>
  <c r="E61" i="1"/>
  <c r="E59" i="1"/>
  <c r="E57" i="1"/>
  <c r="E55" i="1"/>
  <c r="E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L34" i="1"/>
  <c r="P33" i="1"/>
  <c r="B33" i="1"/>
  <c r="E32" i="1"/>
  <c r="G31" i="1"/>
  <c r="L30" i="1"/>
  <c r="P29" i="1"/>
  <c r="B29" i="1"/>
  <c r="F28" i="1"/>
  <c r="L27" i="1"/>
  <c r="B27" i="1"/>
  <c r="G26" i="1"/>
  <c r="P25" i="1"/>
  <c r="E25" i="1"/>
  <c r="L24" i="1"/>
  <c r="C24" i="1"/>
  <c r="J23" i="1"/>
  <c r="T22" i="1"/>
  <c r="H22" i="1"/>
  <c r="S21" i="1"/>
  <c r="H21" i="1"/>
  <c r="S20" i="1"/>
  <c r="H20" i="1"/>
  <c r="S19" i="1"/>
  <c r="H19" i="1"/>
  <c r="S18" i="1"/>
  <c r="H18" i="1"/>
  <c r="S17" i="1"/>
  <c r="H17" i="1"/>
  <c r="S16" i="1"/>
  <c r="H16" i="1"/>
  <c r="S15" i="1"/>
  <c r="H15" i="1"/>
  <c r="S14" i="1"/>
  <c r="H14" i="1"/>
  <c r="S13" i="1"/>
  <c r="H13" i="1"/>
  <c r="S12" i="1"/>
  <c r="H12" i="1"/>
  <c r="S11" i="1"/>
  <c r="H11" i="1"/>
  <c r="S10" i="1"/>
  <c r="H10" i="1"/>
  <c r="S9" i="1"/>
  <c r="H9" i="1"/>
  <c r="S8" i="1"/>
  <c r="H8" i="1"/>
  <c r="S7" i="1"/>
  <c r="H7" i="1"/>
  <c r="S6" i="1"/>
  <c r="H6" i="1"/>
  <c r="S5" i="1"/>
  <c r="H5" i="1"/>
  <c r="S4" i="1"/>
  <c r="H4" i="1"/>
  <c r="S2" i="1"/>
  <c r="H2" i="1"/>
  <c r="O64" i="1"/>
  <c r="E35" i="1"/>
  <c r="J27" i="1"/>
  <c r="F22" i="1"/>
  <c r="F18" i="1"/>
  <c r="P12" i="1"/>
  <c r="F9" i="1"/>
  <c r="P5" i="1"/>
  <c r="L64" i="1"/>
  <c r="B46" i="1"/>
  <c r="B36" i="1"/>
  <c r="F30" i="1"/>
  <c r="I24" i="1"/>
  <c r="D83" i="1"/>
  <c r="D79" i="1"/>
  <c r="D75" i="1"/>
  <c r="D71" i="1"/>
  <c r="D67" i="1"/>
  <c r="D65" i="1"/>
  <c r="D63" i="1"/>
  <c r="D61" i="1"/>
  <c r="D59" i="1"/>
  <c r="D57" i="1"/>
  <c r="D55" i="1"/>
  <c r="D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F35" i="1"/>
  <c r="J34" i="1"/>
  <c r="O33" i="1"/>
  <c r="Q32" i="1"/>
  <c r="D32" i="1"/>
  <c r="F31" i="1"/>
  <c r="J30" i="1"/>
  <c r="O29" i="1"/>
  <c r="Q28" i="1"/>
  <c r="E28" i="1"/>
  <c r="K27" i="1"/>
  <c r="Q26" i="1"/>
  <c r="F26" i="1"/>
  <c r="O25" i="1"/>
  <c r="D25" i="1"/>
  <c r="K24" i="1"/>
  <c r="B24" i="1"/>
  <c r="I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" i="1"/>
  <c r="G3" i="1"/>
  <c r="Q2" i="1"/>
  <c r="G2" i="1"/>
  <c r="L82" i="1"/>
  <c r="L78" i="1"/>
  <c r="O66" i="1"/>
  <c r="O62" i="1"/>
  <c r="O58" i="1"/>
  <c r="O54" i="1"/>
  <c r="O52" i="1"/>
  <c r="D51" i="1"/>
  <c r="D50" i="1"/>
  <c r="D49" i="1"/>
  <c r="D48" i="1"/>
  <c r="D47" i="1"/>
  <c r="D46" i="1"/>
  <c r="D45" i="1"/>
  <c r="D44" i="1"/>
  <c r="D43" i="1"/>
  <c r="D42" i="1"/>
  <c r="D41" i="1"/>
  <c r="D39" i="1"/>
  <c r="D37" i="1"/>
  <c r="G34" i="1"/>
  <c r="G30" i="1"/>
  <c r="E26" i="1"/>
  <c r="P22" i="1"/>
  <c r="P19" i="1"/>
  <c r="P16" i="1"/>
  <c r="F14" i="1"/>
  <c r="P11" i="1"/>
  <c r="P8" i="1"/>
  <c r="P4" i="1"/>
  <c r="D82" i="1"/>
  <c r="L60" i="1"/>
  <c r="L52" i="1"/>
  <c r="B45" i="1"/>
  <c r="B39" i="1"/>
  <c r="D35" i="1"/>
  <c r="D31" i="1"/>
  <c r="O26" i="1"/>
  <c r="F23" i="1"/>
  <c r="E16" i="1"/>
  <c r="E8" i="1"/>
  <c r="O19" i="1"/>
  <c r="O15" i="1"/>
  <c r="O11" i="1"/>
  <c r="O7" i="1"/>
  <c r="O3" i="1"/>
  <c r="E14" i="1"/>
  <c r="O17" i="1"/>
  <c r="E19" i="1"/>
  <c r="E15" i="1"/>
  <c r="E11" i="1"/>
  <c r="E7" i="1"/>
  <c r="E3" i="1"/>
  <c r="E18" i="1"/>
  <c r="E6" i="1"/>
  <c r="E2" i="1"/>
  <c r="O13" i="1"/>
  <c r="O5" i="1"/>
  <c r="O18" i="1"/>
  <c r="O14" i="1"/>
  <c r="O10" i="1"/>
  <c r="O6" i="1"/>
  <c r="O2" i="1"/>
  <c r="E10" i="1"/>
  <c r="O9" i="1"/>
  <c r="E17" i="1"/>
  <c r="E13" i="1"/>
  <c r="E9" i="1"/>
  <c r="E5" i="1"/>
  <c r="O16" i="1"/>
  <c r="O12" i="1"/>
  <c r="O8" i="1"/>
  <c r="O4" i="1"/>
  <c r="E20" i="1"/>
  <c r="E12" i="1"/>
  <c r="E4" i="1"/>
</calcChain>
</file>

<file path=xl/sharedStrings.xml><?xml version="1.0" encoding="utf-8"?>
<sst xmlns="http://schemas.openxmlformats.org/spreadsheetml/2006/main" count="104" uniqueCount="21">
  <si>
    <t>Ticker</t>
  </si>
  <si>
    <t>Maturity</t>
  </si>
  <si>
    <t>Currency</t>
  </si>
  <si>
    <t>Coupon Type</t>
  </si>
  <si>
    <t>ISIN</t>
  </si>
  <si>
    <t>Issue Date</t>
  </si>
  <si>
    <t>Day Count</t>
  </si>
  <si>
    <t>CUSIP</t>
  </si>
  <si>
    <t>Issuer Name</t>
  </si>
  <si>
    <t>Cpn</t>
  </si>
  <si>
    <t>Cpn Freq Des</t>
  </si>
  <si>
    <t>Amt Out</t>
  </si>
  <si>
    <t>Security Name</t>
  </si>
  <si>
    <t>Amt Issued</t>
  </si>
  <si>
    <t>United States Treasury Inflation Indexed Bonds</t>
  </si>
  <si>
    <t>Yld to Mty (Bid)</t>
  </si>
  <si>
    <t>Mty Type</t>
  </si>
  <si>
    <t>Country/Region (Full Name)</t>
  </si>
  <si>
    <t>First Cpn Dt</t>
  </si>
  <si>
    <t>Par Amt</t>
  </si>
  <si>
    <t>Inflation Idx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</si>
</sst>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lp_column_header" xfId="1" xr:uid="{65CB86B2-52E8-4738-BF25-08EA510D0B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NORMAL</v>
        <stp/>
        <stp>##V3_BDPV12</stp>
        <stp>912828SQ Govt</stp>
        <stp>MTY_TYP</stp>
        <stp>[TIPS.xlsx]Sheet1!R55C6</stp>
        <tr r="F55" s="1"/>
      </tp>
      <tp t="s">
        <v>NORMAL</v>
        <stp/>
        <stp>##V3_BDPV12</stp>
        <stp>912810PV Govt</stp>
        <stp>MTY_TYP</stp>
        <stp>[TIPS.xlsx]Sheet1!R46C6</stp>
        <tr r="F46" s="1"/>
      </tp>
      <tp t="s">
        <v>7/15/2002</v>
        <stp/>
        <stp>##V3_BDPV12</stp>
        <stp>9128273A Govt</stp>
        <stp>MATURITY</stp>
        <stp>[TIPS.xlsx]Sheet1!R78C5</stp>
        <tr r="E78" s="1"/>
      </tp>
      <tp t="s">
        <v>4/15/2014</v>
        <stp/>
        <stp>##V3_BDPV12</stp>
        <stp>912828KM Govt</stp>
        <stp>MATURITY</stp>
        <stp>[TIPS.xlsx]Sheet1!R84C5</stp>
        <tr r="E84" s="1"/>
      </tp>
      <tp t="s">
        <v>UNITED STATES</v>
        <stp/>
        <stp>##V3_BDPV12</stp>
        <stp>912828SA Govt</stp>
        <stp>COUNTRY_FULL_NAME</stp>
        <stp>[TIPS.xlsx]Sheet1!R12C8</stp>
        <tr r="H12" s="1"/>
      </tp>
      <tp t="s">
        <v>UNITED STATES</v>
        <stp/>
        <stp>##V3_BDPV12</stp>
        <stp>912828BW Govt</stp>
        <stp>COUNTRY_FULL_NAME</stp>
        <stp>[TIPS.xlsx]Sheet1!R82C8</stp>
        <tr r="H82" s="1"/>
      </tp>
      <tp t="s">
        <v>UNITED STATES</v>
        <stp/>
        <stp>##V3_BDPV12</stp>
        <stp>912828MY Govt</stp>
        <stp>COUNTRY_FULL_NAME</stp>
        <stp>[TIPS.xlsx]Sheet1!R62C8</stp>
        <tr r="H62" s="1"/>
      </tp>
      <tp t="s">
        <v>UNITED STATES</v>
        <stp/>
        <stp>##V3_BDPV12</stp>
        <stp>912828NM Govt</stp>
        <stp>COUNTRY_FULL_NAME</stp>
        <stp>[TIPS.xlsx]Sheet1!R52C8</stp>
        <tr r="H52" s="1"/>
      </tp>
      <tp t="s">
        <v>UNITED STATES</v>
        <stp/>
        <stp>##V3_BDPV12</stp>
        <stp>9128283R Govt</stp>
        <stp>COUNTRY_FULL_NAME</stp>
        <stp>[TIPS.xlsx]Sheet1!R22C8</stp>
        <tr r="H22" s="1"/>
      </tp>
      <tp t="s">
        <v>4/15/2029</v>
        <stp/>
        <stp>##V3_BDPV12</stp>
        <stp>912810FH Govt</stp>
        <stp>MATURITY</stp>
        <stp>[TIPS.xlsx]Sheet1!R41C5</stp>
        <tr r="E41" s="1"/>
      </tp>
      <tp t="s">
        <v>UNITED STATES</v>
        <stp/>
        <stp>##V3_BDPV12</stp>
        <stp>9128277J Govt</stp>
        <stp>COUNTRY_FULL_NAME</stp>
        <stp>[TIPS.xlsx]Sheet1!R72C8</stp>
        <tr r="H72" s="1"/>
      </tp>
      <tp t="s">
        <v>UNITED STATES</v>
        <stp/>
        <stp>##V3_BDPV12</stp>
        <stp>912810QP Govt</stp>
        <stp>COUNTRY_FULL_NAME</stp>
        <stp>[TIPS.xlsx]Sheet1!R31C8</stp>
        <tr r="H31" s="1"/>
      </tp>
      <tp t="s">
        <v>UNITED STATES</v>
        <stp/>
        <stp>##V3_BDPV12</stp>
        <stp>912810SM Govt</stp>
        <stp>COUNTRY_FULL_NAME</stp>
        <stp>[TIPS.xlsx]Sheet1!R11C8</stp>
        <tr r="H11" s="1"/>
      </tp>
      <tp t="s">
        <v>UNITED STATES</v>
        <stp/>
        <stp>##V3_BDPV12</stp>
        <stp>912810FH Govt</stp>
        <stp>COUNTRY_FULL_NAME</stp>
        <stp>[TIPS.xlsx]Sheet1!R41C8</stp>
        <tr r="H41" s="1"/>
      </tp>
      <tp>
        <v>1.4487999999999999</v>
        <stp/>
        <stp>##V3_BDPV12</stp>
        <stp>912810FR Govt</stp>
        <stp>IDX_RATIO</stp>
        <stp>[TIPS.xlsx]Sheet1!R34C20</stp>
        <tr r="T34" s="1"/>
      </tp>
      <tp>
        <v>1.3759399999999999</v>
        <stp/>
        <stp>##V3_BDPV12</stp>
        <stp>912810FS Govt</stp>
        <stp>IDX_RATIO</stp>
        <stp>[TIPS.xlsx]Sheet1!R33C20</stp>
        <tr r="T33" s="1"/>
      </tp>
      <tp>
        <v>1.5385599999999999</v>
        <stp/>
        <stp>##V3_BDPV12</stp>
        <stp>912810FQ Govt</stp>
        <stp>IDX_RATIO</stp>
        <stp>[TIPS.xlsx]Sheet1!R36C20</stp>
        <tr r="T36" s="1"/>
      </tp>
      <tp>
        <v>1.68848</v>
        <stp/>
        <stp>##V3_BDPV12</stp>
        <stp>912810FD Govt</stp>
        <stp>IDX_RATIO</stp>
        <stp>[TIPS.xlsx]Sheet1!R35C20</stp>
        <tr r="T35" s="1"/>
      </tp>
      <tp>
        <v>1.6612200000000001</v>
        <stp/>
        <stp>##V3_BDPV12</stp>
        <stp>912810FH Govt</stp>
        <stp>IDX_RATIO</stp>
        <stp>[TIPS.xlsx]Sheet1!R41C20</stp>
        <tr r="T41" s="1"/>
      </tp>
      <tp>
        <v>1.3542000000000001</v>
        <stp/>
        <stp>##V3_BDPV12</stp>
        <stp>912810PS Govt</stp>
        <stp>IDX_RATIO</stp>
        <stp>[TIPS.xlsx]Sheet1!R45C20</stp>
        <tr r="T45" s="1"/>
      </tp>
      <tp>
        <v>1.3035700000000001</v>
        <stp/>
        <stp>##V3_BDPV12</stp>
        <stp>912810PV Govt</stp>
        <stp>IDX_RATIO</stp>
        <stp>[TIPS.xlsx]Sheet1!R46C20</stp>
        <tr r="T46" s="1"/>
      </tp>
      <tp>
        <v>1.2719800000000001</v>
        <stp/>
        <stp>##V3_BDPV12</stp>
        <stp>912810PZ Govt</stp>
        <stp>IDX_RATIO</stp>
        <stp>[TIPS.xlsx]Sheet1!R48C20</stp>
        <tr r="T48" s="1"/>
      </tp>
      <tp>
        <v>1.2085900000000001</v>
        <stp/>
        <stp>##V3_BDPV12</stp>
        <stp>912810QV Govt</stp>
        <stp>IDX_RATIO</stp>
        <stp>[TIPS.xlsx]Sheet1!R39C20</stp>
        <tr r="T39" s="1"/>
      </tp>
      <tp>
        <v>1.2470600000000001</v>
        <stp/>
        <stp>##V3_BDPV12</stp>
        <stp>912810QP Govt</stp>
        <stp>IDX_RATIO</stp>
        <stp>[TIPS.xlsx]Sheet1!R31C20</stp>
        <tr r="T31" s="1"/>
      </tp>
      <tp>
        <v>1.2635100000000001</v>
        <stp/>
        <stp>##V3_BDPV12</stp>
        <stp>912810QF Govt</stp>
        <stp>IDX_RATIO</stp>
        <stp>[TIPS.xlsx]Sheet1!R38C20</stp>
        <tr r="T38" s="1"/>
      </tp>
      <tp>
        <v>1.1525700000000001</v>
        <stp/>
        <stp>##V3_BDPV12</stp>
        <stp>912810RR Govt</stp>
        <stp>IDX_RATIO</stp>
        <stp>[TIPS.xlsx]Sheet1!R47C20</stp>
        <tr r="T47" s="1"/>
      </tp>
      <tp>
        <v>1.1313299999999999</v>
        <stp/>
        <stp>##V3_BDPV12</stp>
        <stp>912810RW Govt</stp>
        <stp>IDX_RATIO</stp>
        <stp>[TIPS.xlsx]Sheet1!R40C20</stp>
        <tr r="T40" s="1"/>
      </tp>
      <tp>
        <v>1.17178</v>
        <stp/>
        <stp>##V3_BDPV12</stp>
        <stp>912810RF Govt</stp>
        <stp>IDX_RATIO</stp>
        <stp>[TIPS.xlsx]Sheet1!R32C20</stp>
        <tr r="T32" s="1"/>
      </tp>
      <tp>
        <v>1.1878199999999999</v>
        <stp/>
        <stp>##V3_BDPV12</stp>
        <stp>912810RA Govt</stp>
        <stp>IDX_RATIO</stp>
        <stp>[TIPS.xlsx]Sheet1!R43C20</stp>
        <tr r="T43" s="1"/>
      </tp>
      <tp>
        <v>1.1597299999999999</v>
        <stp/>
        <stp>##V3_BDPV12</stp>
        <stp>912810RL Govt</stp>
        <stp>IDX_RATIO</stp>
        <stp>[TIPS.xlsx]Sheet1!R37C20</stp>
        <tr r="T37" s="1"/>
      </tp>
      <tp>
        <v>1.10745</v>
        <stp/>
        <stp>##V3_BDPV12</stp>
        <stp>912810SB Govt</stp>
        <stp>IDX_RATIO</stp>
        <stp>[TIPS.xlsx]Sheet1!R42C20</stp>
        <tr r="T42" s="1"/>
      </tp>
      <tp>
        <v>1.08528</v>
        <stp/>
        <stp>##V3_BDPV12</stp>
        <stp>912810SG Govt</stp>
        <stp>IDX_RATIO</stp>
        <stp>[TIPS.xlsx]Sheet1!R44C20</stp>
        <tr r="T44" s="1"/>
      </tp>
      <tp>
        <v>1.06223</v>
        <stp/>
        <stp>##V3_BDPV12</stp>
        <stp>912810SM Govt</stp>
        <stp>IDX_RATIO</stp>
        <stp>[TIPS.xlsx]Sheet1!R11C20</stp>
        <tr r="T11" s="1"/>
      </tp>
      <tp t="s">
        <v>2/28/2018</v>
        <stp/>
        <stp>##V3_BDPV12</stp>
        <stp>912810SB Govt</stp>
        <stp>ISSUE_DT</stp>
        <stp>[TIPS.xlsx]Sheet1!R42C15</stp>
        <tr r="O42" s="1"/>
      </tp>
      <tp t="s">
        <v>2/28/2019</v>
        <stp/>
        <stp>##V3_BDPV12</stp>
        <stp>912810SG Govt</stp>
        <stp>ISSUE_DT</stp>
        <stp>[TIPS.xlsx]Sheet1!R44C15</stp>
        <tr r="O44" s="1"/>
      </tp>
      <tp t="s">
        <v>2/28/2013</v>
        <stp/>
        <stp>##V3_BDPV12</stp>
        <stp>912810RA Govt</stp>
        <stp>ISSUE_DT</stp>
        <stp>[TIPS.xlsx]Sheet1!R43C15</stp>
        <tr r="O43" s="1"/>
      </tp>
      <tp t="s">
        <v>2/29/2016</v>
        <stp/>
        <stp>##V3_BDPV12</stp>
        <stp>912810RR Govt</stp>
        <stp>ISSUE_DT</stp>
        <stp>[TIPS.xlsx]Sheet1!R47C15</stp>
        <tr r="O47" s="1"/>
      </tp>
      <tp t="s">
        <v>2/28/2017</v>
        <stp/>
        <stp>##V3_BDPV12</stp>
        <stp>912810RW Govt</stp>
        <stp>ISSUE_DT</stp>
        <stp>[TIPS.xlsx]Sheet1!R40C15</stp>
        <tr r="O40" s="1"/>
      </tp>
      <tp t="s">
        <v>1/31/2007</v>
        <stp/>
        <stp>##V3_BDPV12</stp>
        <stp>912810PS Govt</stp>
        <stp>ISSUE_DT</stp>
        <stp>[TIPS.xlsx]Sheet1!R45C15</stp>
        <tr r="O45" s="1"/>
      </tp>
      <tp t="s">
        <v>1/31/2008</v>
        <stp/>
        <stp>##V3_BDPV12</stp>
        <stp>912810PV Govt</stp>
        <stp>ISSUE_DT</stp>
        <stp>[TIPS.xlsx]Sheet1!R46C15</stp>
        <tr r="O46" s="1"/>
      </tp>
      <tp t="s">
        <v>1/30/2009</v>
        <stp/>
        <stp>##V3_BDPV12</stp>
        <stp>912810PZ Govt</stp>
        <stp>ISSUE_DT</stp>
        <stp>[TIPS.xlsx]Sheet1!R48C15</stp>
        <tr r="O48" s="1"/>
      </tp>
      <tp t="s">
        <v>2/28/2020</v>
        <stp/>
        <stp>##V3_BDPV12</stp>
        <stp>912810SM Govt</stp>
        <stp>ISSUE_DT</stp>
        <stp>[TIPS.xlsx]Sheet1!R11C15</stp>
        <tr r="O11" s="1"/>
      </tp>
      <tp t="s">
        <v>2/26/2010</v>
        <stp/>
        <stp>##V3_BDPV12</stp>
        <stp>912810QF Govt</stp>
        <stp>ISSUE_DT</stp>
        <stp>[TIPS.xlsx]Sheet1!R38C15</stp>
        <tr r="O38" s="1"/>
      </tp>
      <tp t="s">
        <v>2/29/2012</v>
        <stp/>
        <stp>##V3_BDPV12</stp>
        <stp>912810QV Govt</stp>
        <stp>ISSUE_DT</stp>
        <stp>[TIPS.xlsx]Sheet1!R39C15</stp>
        <tr r="O39" s="1"/>
      </tp>
      <tp t="s">
        <v>2/28/2011</v>
        <stp/>
        <stp>##V3_BDPV12</stp>
        <stp>912810QP Govt</stp>
        <stp>ISSUE_DT</stp>
        <stp>[TIPS.xlsx]Sheet1!R31C15</stp>
        <tr r="O31" s="1"/>
      </tp>
      <tp t="s">
        <v>2/27/2015</v>
        <stp/>
        <stp>##V3_BDPV12</stp>
        <stp>912810RL Govt</stp>
        <stp>ISSUE_DT</stp>
        <stp>[TIPS.xlsx]Sheet1!R37C15</stp>
        <tr r="O37" s="1"/>
      </tp>
      <tp t="s">
        <v>2/28/2014</v>
        <stp/>
        <stp>##V3_BDPV12</stp>
        <stp>912810RF Govt</stp>
        <stp>ISSUE_DT</stp>
        <stp>[TIPS.xlsx]Sheet1!R32C15</stp>
        <tr r="O32" s="1"/>
      </tp>
      <tp t="s">
        <v>4/15/1998</v>
        <stp/>
        <stp>##V3_BDPV12</stp>
        <stp>912810FD Govt</stp>
        <stp>ISSUE_DT</stp>
        <stp>[TIPS.xlsx]Sheet1!R35C15</stp>
        <tr r="O35" s="1"/>
      </tp>
      <tp t="s">
        <v>10/15/2001</v>
        <stp/>
        <stp>##V3_BDPV12</stp>
        <stp>912810FQ Govt</stp>
        <stp>ISSUE_DT</stp>
        <stp>[TIPS.xlsx]Sheet1!R36C15</stp>
        <tr r="O36" s="1"/>
      </tp>
      <tp t="s">
        <v>7/30/2004</v>
        <stp/>
        <stp>##V3_BDPV12</stp>
        <stp>912810FR Govt</stp>
        <stp>ISSUE_DT</stp>
        <stp>[TIPS.xlsx]Sheet1!R34C15</stp>
        <tr r="O34" s="1"/>
      </tp>
      <tp t="s">
        <v>1/31/2006</v>
        <stp/>
        <stp>##V3_BDPV12</stp>
        <stp>912810FS Govt</stp>
        <stp>ISSUE_DT</stp>
        <stp>[TIPS.xlsx]Sheet1!R33C15</stp>
        <tr r="O33" s="1"/>
      </tp>
      <tp t="s">
        <v>4/15/1999</v>
        <stp/>
        <stp>##V3_BDPV12</stp>
        <stp>912810FH Govt</stp>
        <stp>ISSUE_DT</stp>
        <stp>[TIPS.xlsx]Sheet1!R41C15</stp>
        <tr r="O41" s="1"/>
      </tp>
      <tp t="s">
        <v>1/15/2012</v>
        <stp/>
        <stp>##V3_BDPV12</stp>
        <stp>9128277J Govt</stp>
        <stp>MATURITY</stp>
        <stp>[TIPS.xlsx]Sheet1!R72C5</stp>
        <tr r="E72" s="1"/>
      </tp>
      <tp t="s">
        <v>10/15/2024</v>
        <stp/>
        <stp>##V3_BDPV12</stp>
        <stp>912828YL Govt</stp>
        <stp>MATURITY</stp>
        <stp>[TIPS.xlsx]Sheet1!R24C5</stp>
        <tr r="E24" s="1"/>
      </tp>
      <tp t="s">
        <v>1/15/2015</v>
        <stp/>
        <stp>##V3_BDPV12</stp>
        <stp>912828DH Govt</stp>
        <stp>MATURITY</stp>
        <stp>[TIPS.xlsx]Sheet1!R80C5</stp>
        <tr r="E80" s="1"/>
      </tp>
      <tp t="s">
        <v>7/15/2019</v>
        <stp/>
        <stp>##V3_BDPV12</stp>
        <stp>912828LA Govt</stp>
        <stp>MATURITY</stp>
        <stp>[TIPS.xlsx]Sheet1!R59C5</stp>
        <tr r="E59" s="1"/>
      </tp>
      <tp t="s">
        <v>7/15/2015</v>
        <stp/>
        <stp>##V3_BDPV12</stp>
        <stp>912828EA Govt</stp>
        <stp>MATURITY</stp>
        <stp>[TIPS.xlsx]Sheet1!R79C5</stp>
        <tr r="E79" s="1"/>
      </tp>
      <tp t="s">
        <v>UNITED STATES</v>
        <stp/>
        <stp>##V3_BDPV12</stp>
        <stp>912828S5 Govt</stp>
        <stp>COUNTRY_FULL_NAME</stp>
        <stp>[TIPS.xlsx]Sheet1!R13C8</stp>
        <tr r="H13" s="1"/>
      </tp>
      <tp t="s">
        <v>UNITED STATES</v>
        <stp/>
        <stp>##V3_BDPV12</stp>
        <stp>912828ET Govt</stp>
        <stp>COUNTRY_FULL_NAME</stp>
        <stp>[TIPS.xlsx]Sheet1!R73C8</stp>
        <tr r="H73" s="1"/>
      </tp>
      <tp t="s">
        <v>UNITED STATES</v>
        <stp/>
        <stp>##V3_BDPV12</stp>
        <stp>912828GD Govt</stp>
        <stp>COUNTRY_FULL_NAME</stp>
        <stp>[TIPS.xlsx]Sheet1!R63C8</stp>
        <tr r="H63" s="1"/>
      </tp>
      <tp t="s">
        <v>UNITED STATES</v>
        <stp/>
        <stp>##V3_BDPV12</stp>
        <stp>912828FL Govt</stp>
        <stp>COUNTRY_FULL_NAME</stp>
        <stp>[TIPS.xlsx]Sheet1!R83C8</stp>
        <tr r="H83" s="1"/>
      </tp>
      <tp t="s">
        <v>UNITED STATES</v>
        <stp/>
        <stp>##V3_BDPV12</stp>
        <stp>912828C9 Govt</stp>
        <stp>COUNTRY_FULL_NAME</stp>
        <stp>[TIPS.xlsx]Sheet1!R53C8</stp>
        <tr r="H53" s="1"/>
      </tp>
      <tp t="s">
        <v>UNITED STATES</v>
        <stp/>
        <stp>##V3_BDPV12</stp>
        <stp>9128282L Govt</stp>
        <stp>COUNTRY_FULL_NAME</stp>
        <stp>[TIPS.xlsx]Sheet1!R23C8</stp>
        <tr r="H23" s="1"/>
      </tp>
      <tp t="s">
        <v>NORMAL</v>
        <stp/>
        <stp>##V3_BDPV12</stp>
        <stp>912810SG Govt</stp>
        <stp>MTY_TYP</stp>
        <stp>[TIPS.xlsx]Sheet1!R44C6</stp>
        <tr r="F44" s="1"/>
      </tp>
      <tp t="s">
        <v>UNITED STATES</v>
        <stp/>
        <stp>##V3_BDPV12</stp>
        <stp>912810RW Govt</stp>
        <stp>COUNTRY_FULL_NAME</stp>
        <stp>[TIPS.xlsx]Sheet1!R40C8</stp>
        <tr r="H40" s="1"/>
      </tp>
      <tp t="s">
        <v>US912810PZ57</v>
        <stp/>
        <stp>##V3_BDPV12</stp>
        <stp>912810PZ Govt</stp>
        <stp>ID_ISIN</stp>
        <stp>[TIPS.xlsx]Sheet1!R48C12</stp>
        <tr r="L48" s="1"/>
      </tp>
      <tp t="s">
        <v>US912828CZ11</v>
        <stp/>
        <stp>##V3_BDPV12</stp>
        <stp>912828CZ Govt</stp>
        <stp>ID_ISIN</stp>
        <stp>[TIPS.xlsx]Sheet1!R65C12</stp>
        <tr r="L65" s="1"/>
      </tp>
      <tp t="s">
        <v>912810FH6</v>
        <stp/>
        <stp>##V3_BDPV12</stp>
        <stp>912810FH Govt</stp>
        <stp>ID_CUSIP</stp>
        <stp>[TIPS.xlsx]Sheet1!R41C19</stp>
        <tr r="S41" s="1"/>
      </tp>
      <tp t="s">
        <v>912810FR4</v>
        <stp/>
        <stp>##V3_BDPV12</stp>
        <stp>912810FR Govt</stp>
        <stp>ID_CUSIP</stp>
        <stp>[TIPS.xlsx]Sheet1!R34C19</stp>
        <tr r="S34" s="1"/>
      </tp>
      <tp t="s">
        <v>912810FQ6</v>
        <stp/>
        <stp>##V3_BDPV12</stp>
        <stp>912810FQ Govt</stp>
        <stp>ID_CUSIP</stp>
        <stp>[TIPS.xlsx]Sheet1!R36C19</stp>
        <tr r="S36" s="1"/>
      </tp>
      <tp t="s">
        <v>912810FS2</v>
        <stp/>
        <stp>##V3_BDPV12</stp>
        <stp>912810FS Govt</stp>
        <stp>ID_CUSIP</stp>
        <stp>[TIPS.xlsx]Sheet1!R33C19</stp>
        <tr r="S33" s="1"/>
      </tp>
      <tp t="s">
        <v>912810FD5</v>
        <stp/>
        <stp>##V3_BDPV12</stp>
        <stp>912810FD Govt</stp>
        <stp>ID_CUSIP</stp>
        <stp>[TIPS.xlsx]Sheet1!R35C19</stp>
        <tr r="S35" s="1"/>
      </tp>
      <tp t="s">
        <v>912810QP6</v>
        <stp/>
        <stp>##V3_BDPV12</stp>
        <stp>912810QP Govt</stp>
        <stp>ID_CUSIP</stp>
        <stp>[TIPS.xlsx]Sheet1!R31C19</stp>
        <tr r="S31" s="1"/>
      </tp>
      <tp t="s">
        <v>912810QV3</v>
        <stp/>
        <stp>##V3_BDPV12</stp>
        <stp>912810QV Govt</stp>
        <stp>ID_CUSIP</stp>
        <stp>[TIPS.xlsx]Sheet1!R39C19</stp>
        <tr r="S39" s="1"/>
      </tp>
      <tp t="s">
        <v>912810QF8</v>
        <stp/>
        <stp>##V3_BDPV12</stp>
        <stp>912810QF Govt</stp>
        <stp>ID_CUSIP</stp>
        <stp>[TIPS.xlsx]Sheet1!R38C19</stp>
        <tr r="S38" s="1"/>
      </tp>
      <tp t="s">
        <v>912810SM1</v>
        <stp/>
        <stp>##V3_BDPV12</stp>
        <stp>912810SM Govt</stp>
        <stp>ID_CUSIP</stp>
        <stp>[TIPS.xlsx]Sheet1!R11C19</stp>
        <tr r="S11" s="1"/>
      </tp>
      <tp t="s">
        <v>912810RF7</v>
        <stp/>
        <stp>##V3_BDPV12</stp>
        <stp>912810RF Govt</stp>
        <stp>ID_CUSIP</stp>
        <stp>[TIPS.xlsx]Sheet1!R32C19</stp>
        <tr r="S32" s="1"/>
      </tp>
      <tp t="s">
        <v>912810RL4</v>
        <stp/>
        <stp>##V3_BDPV12</stp>
        <stp>912810RL Govt</stp>
        <stp>ID_CUSIP</stp>
        <stp>[TIPS.xlsx]Sheet1!R37C19</stp>
        <tr r="S37" s="1"/>
      </tp>
      <tp t="s">
        <v>912810SG4</v>
        <stp/>
        <stp>##V3_BDPV12</stp>
        <stp>912810SG Govt</stp>
        <stp>ID_CUSIP</stp>
        <stp>[TIPS.xlsx]Sheet1!R44C19</stp>
        <tr r="S44" s="1"/>
      </tp>
      <tp t="s">
        <v>912810SB5</v>
        <stp/>
        <stp>##V3_BDPV12</stp>
        <stp>912810SB Govt</stp>
        <stp>ID_CUSIP</stp>
        <stp>[TIPS.xlsx]Sheet1!R42C19</stp>
        <tr r="S42" s="1"/>
      </tp>
      <tp t="s">
        <v>912810RW0</v>
        <stp/>
        <stp>##V3_BDPV12</stp>
        <stp>912810RW Govt</stp>
        <stp>ID_CUSIP</stp>
        <stp>[TIPS.xlsx]Sheet1!R40C19</stp>
        <tr r="S40" s="1"/>
      </tp>
      <tp t="s">
        <v>912810RR1</v>
        <stp/>
        <stp>##V3_BDPV12</stp>
        <stp>912810RR Govt</stp>
        <stp>ID_CUSIP</stp>
        <stp>[TIPS.xlsx]Sheet1!R47C19</stp>
        <tr r="S47" s="1"/>
      </tp>
      <tp t="s">
        <v>912810RA8</v>
        <stp/>
        <stp>##V3_BDPV12</stp>
        <stp>912810RA Govt</stp>
        <stp>ID_CUSIP</stp>
        <stp>[TIPS.xlsx]Sheet1!R43C19</stp>
        <tr r="S43" s="1"/>
      </tp>
      <tp t="s">
        <v>912810PS1</v>
        <stp/>
        <stp>##V3_BDPV12</stp>
        <stp>912810PS Govt</stp>
        <stp>ID_CUSIP</stp>
        <stp>[TIPS.xlsx]Sheet1!R45C19</stp>
        <tr r="S45" s="1"/>
      </tp>
      <tp t="s">
        <v>912810PZ5</v>
        <stp/>
        <stp>##V3_BDPV12</stp>
        <stp>912810PZ Govt</stp>
        <stp>ID_CUSIP</stp>
        <stp>[TIPS.xlsx]Sheet1!R48C19</stp>
        <tr r="S48" s="1"/>
      </tp>
      <tp t="s">
        <v>912810PV4</v>
        <stp/>
        <stp>##V3_BDPV12</stp>
        <stp>912810PV Govt</stp>
        <stp>ID_CUSIP</stp>
        <stp>[TIPS.xlsx]Sheet1!R46C19</stp>
        <tr r="S46" s="1"/>
      </tp>
      <tp t="s">
        <v>4/15/2024</v>
        <stp/>
        <stp>##V3_BDPV12</stp>
        <stp>9128286N Govt</stp>
        <stp>MATURITY</stp>
        <stp>[TIPS.xlsx]Sheet1!R15C5</stp>
        <tr r="E15" s="1"/>
      </tp>
      <tp t="s">
        <v>UNITED STATES</v>
        <stp/>
        <stp>##V3_BDPV12</stp>
        <stp>912828QD Govt</stp>
        <stp>COUNTRY_FULL_NAME</stp>
        <stp>[TIPS.xlsx]Sheet1!R70C8</stp>
        <tr r="H70" s="1"/>
      </tp>
      <tp t="s">
        <v>UNITED STATES</v>
        <stp/>
        <stp>##V3_BDPV12</stp>
        <stp>912828Q6 Govt</stp>
        <stp>COUNTRY_FULL_NAME</stp>
        <stp>[TIPS.xlsx]Sheet1!R50C8</stp>
        <tr r="H50" s="1"/>
      </tp>
      <tp t="s">
        <v>UNITED STATES</v>
        <stp/>
        <stp>##V3_BDPV12</stp>
        <stp>912828Y3 Govt</stp>
        <stp>COUNTRY_FULL_NAME</stp>
        <stp>[TIPS.xlsx]Sheet1!R30C8</stp>
        <tr r="H30" s="1"/>
      </tp>
      <tp t="s">
        <v>UNITED STATES</v>
        <stp/>
        <stp>##V3_BDPV12</stp>
        <stp>912828Z3 Govt</stp>
        <stp>COUNTRY_FULL_NAME</stp>
        <stp>[TIPS.xlsx]Sheet1!R10C8</stp>
        <tr r="H10" s="1"/>
      </tp>
      <tp t="s">
        <v>UNITED STATES</v>
        <stp/>
        <stp>##V3_BDPV12</stp>
        <stp>912828DH Govt</stp>
        <stp>COUNTRY_FULL_NAME</stp>
        <stp>[TIPS.xlsx]Sheet1!R80C8</stp>
        <tr r="H80" s="1"/>
      </tp>
      <tp t="s">
        <v>UNITED STATES</v>
        <stp/>
        <stp>##V3_BDPV12</stp>
        <stp>912828HN Govt</stp>
        <stp>COUNTRY_FULL_NAME</stp>
        <stp>[TIPS.xlsx]Sheet1!R60C8</stp>
        <tr r="H60" s="1"/>
      </tp>
      <tp t="s">
        <v>UNITED STATES</v>
        <stp/>
        <stp>##V3_BDPV12</stp>
        <stp>9128285W Govt</stp>
        <stp>COUNTRY_FULL_NAME</stp>
        <stp>[TIPS.xlsx]Sheet1!R20C8</stp>
        <tr r="H20" s="1"/>
      </tp>
      <tp t="s">
        <v>2/15/2045</v>
        <stp/>
        <stp>##V3_BDPV12</stp>
        <stp>912810RL Govt</stp>
        <stp>MATURITY</stp>
        <stp>[TIPS.xlsx]Sheet1!R37C5</stp>
        <tr r="E37" s="1"/>
      </tp>
      <tp t="s">
        <v>91282CAQ4</v>
        <stp/>
        <stp>##V3_BDPV12</stp>
        <stp>91282CAQ Govt</stp>
        <stp>ID_CUSIP</stp>
        <stp>[TIPS.xlsx]Sheet1!R14C19</stp>
        <tr r="S14" s="1"/>
      </tp>
      <tp t="s">
        <v>UNITED STATES</v>
        <stp/>
        <stp>##V3_BDPV12</stp>
        <stp>912810RA Govt</stp>
        <stp>COUNTRY_FULL_NAME</stp>
        <stp>[TIPS.xlsx]Sheet1!R43C8</stp>
        <tr r="H43" s="1"/>
      </tp>
      <tp t="s">
        <v>UNITED STATES</v>
        <stp/>
        <stp>##V3_BDPV12</stp>
        <stp>912810FS Govt</stp>
        <stp>COUNTRY_FULL_NAME</stp>
        <stp>[TIPS.xlsx]Sheet1!R33C8</stp>
        <tr r="H33" s="1"/>
      </tp>
      <tp t="s">
        <v>912828MY3</v>
        <stp/>
        <stp>##V3_BDPV12</stp>
        <stp>912828MY Govt</stp>
        <stp>ID_CUSIP</stp>
        <stp>[TIPS.xlsx]Sheet1!R62C19</stp>
        <tr r="S62" s="1"/>
      </tp>
      <tp t="s">
        <v>912828MF4</v>
        <stp/>
        <stp>##V3_BDPV12</stp>
        <stp>912828MF Govt</stp>
        <stp>ID_CUSIP</stp>
        <stp>[TIPS.xlsx]Sheet1!R61C19</stp>
        <tr r="S61" s="1"/>
      </tp>
      <tp t="s">
        <v>912828NM8</v>
        <stp/>
        <stp>##V3_BDPV12</stp>
        <stp>912828NM Govt</stp>
        <stp>ID_CUSIP</stp>
        <stp>[TIPS.xlsx]Sheet1!R52C19</stp>
        <tr r="S52" s="1"/>
      </tp>
      <tp t="s">
        <v>912828BW9</v>
        <stp/>
        <stp>##V3_BDPV12</stp>
        <stp>912828BW Govt</stp>
        <stp>ID_CUSIP</stp>
        <stp>[TIPS.xlsx]Sheet1!R82C19</stp>
        <tr r="S82" s="1"/>
      </tp>
      <tp t="s">
        <v>912828H45</v>
        <stp/>
        <stp>##V3_BDPV12</stp>
        <stp>912828H4 Govt</stp>
        <stp>ID_CUSIP</stp>
        <stp>[TIPS.xlsx]Sheet1!R27C19</stp>
        <tr r="S27" s="1"/>
      </tp>
      <tp t="s">
        <v>912828LA6</v>
        <stp/>
        <stp>##V3_BDPV12</stp>
        <stp>912828LA Govt</stp>
        <stp>ID_CUSIP</stp>
        <stp>[TIPS.xlsx]Sheet1!R59C19</stp>
        <tr r="S59" s="1"/>
      </tp>
      <tp t="s">
        <v>912828N71</v>
        <stp/>
        <stp>##V3_BDPV12</stp>
        <stp>912828N7 Govt</stp>
        <stp>ID_CUSIP</stp>
        <stp>[TIPS.xlsx]Sheet1!R17C19</stp>
        <tr r="S17" s="1"/>
      </tp>
      <tp t="s">
        <v>912828HW3</v>
        <stp/>
        <stp>##V3_BDPV12</stp>
        <stp>912828HW Govt</stp>
        <stp>ID_CUSIP</stp>
        <stp>[TIPS.xlsx]Sheet1!R64C19</stp>
        <tr r="S64" s="1"/>
      </tp>
      <tp t="s">
        <v>912828FB1</v>
        <stp/>
        <stp>##V3_BDPV12</stp>
        <stp>912828FB Govt</stp>
        <stp>ID_CUSIP</stp>
        <stp>[TIPS.xlsx]Sheet1!R81C19</stp>
        <tr r="S81" s="1"/>
      </tp>
      <tp t="s">
        <v>912828HN3</v>
        <stp/>
        <stp>##V3_BDPV12</stp>
        <stp>912828HN Govt</stp>
        <stp>ID_CUSIP</stp>
        <stp>[TIPS.xlsx]Sheet1!R60C19</stp>
        <tr r="S60" s="1"/>
      </tp>
      <tp t="s">
        <v>912828FL9</v>
        <stp/>
        <stp>##V3_BDPV12</stp>
        <stp>912828FL Govt</stp>
        <stp>ID_CUSIP</stp>
        <stp>[TIPS.xlsx]Sheet1!R83C19</stp>
        <tr r="S83" s="1"/>
      </tp>
      <tp t="s">
        <v>912828K33</v>
        <stp/>
        <stp>##V3_BDPV12</stp>
        <stp>912828K3 Govt</stp>
        <stp>ID_CUSIP</stp>
        <stp>[TIPS.xlsx]Sheet1!R66C19</stp>
        <tr r="S66" s="1"/>
      </tp>
      <tp t="s">
        <v>912828JX9</v>
        <stp/>
        <stp>##V3_BDPV12</stp>
        <stp>912828JX Govt</stp>
        <stp>ID_CUSIP</stp>
        <stp>[TIPS.xlsx]Sheet1!R69C19</stp>
        <tr r="S69" s="1"/>
      </tp>
      <tp t="s">
        <v>912828DH0</v>
        <stp/>
        <stp>##V3_BDPV12</stp>
        <stp>912828DH Govt</stp>
        <stp>ID_CUSIP</stp>
        <stp>[TIPS.xlsx]Sheet1!R80C19</stp>
        <tr r="S80" s="1"/>
      </tp>
      <tp t="s">
        <v>912828KM1</v>
        <stp/>
        <stp>##V3_BDPV12</stp>
        <stp>912828KM Govt</stp>
        <stp>ID_CUSIP</stp>
        <stp>[TIPS.xlsx]Sheet1!R84C19</stp>
        <tr r="S84" s="1"/>
      </tp>
      <tp t="s">
        <v>912828ET3</v>
        <stp/>
        <stp>##V3_BDPV12</stp>
        <stp>912828ET Govt</stp>
        <stp>ID_CUSIP</stp>
        <stp>[TIPS.xlsx]Sheet1!R73C19</stp>
        <tr r="S73" s="1"/>
      </tp>
      <tp t="s">
        <v>912828GX2</v>
        <stp/>
        <stp>##V3_BDPV12</stp>
        <stp>912828GX Govt</stp>
        <stp>ID_CUSIP</stp>
        <stp>[TIPS.xlsx]Sheet1!R54C19</stp>
        <tr r="S54" s="1"/>
      </tp>
      <tp t="s">
        <v>912828JE1</v>
        <stp/>
        <stp>##V3_BDPV12</stp>
        <stp>912828JE Govt</stp>
        <stp>ID_CUSIP</stp>
        <stp>[TIPS.xlsx]Sheet1!R85C19</stp>
        <tr r="S85" s="1"/>
      </tp>
      <tp t="s">
        <v>912828EA4</v>
        <stp/>
        <stp>##V3_BDPV12</stp>
        <stp>912828EA Govt</stp>
        <stp>ID_CUSIP</stp>
        <stp>[TIPS.xlsx]Sheet1!R79C19</stp>
        <tr r="S79" s="1"/>
      </tp>
      <tp t="s">
        <v>912828GD6</v>
        <stp/>
        <stp>##V3_BDPV12</stp>
        <stp>912828GD Govt</stp>
        <stp>ID_CUSIP</stp>
        <stp>[TIPS.xlsx]Sheet1!R63C19</stp>
        <tr r="S63" s="1"/>
      </tp>
      <tp t="s">
        <v>912828GN4</v>
        <stp/>
        <stp>##V3_BDPV12</stp>
        <stp>912828GN Govt</stp>
        <stp>ID_CUSIP</stp>
        <stp>[TIPS.xlsx]Sheet1!R74C19</stp>
        <tr r="S74" s="1"/>
      </tp>
      <tp t="s">
        <v>912828B25</v>
        <stp/>
        <stp>##V3_BDPV12</stp>
        <stp>912828B2 Govt</stp>
        <stp>ID_CUSIP</stp>
        <stp>[TIPS.xlsx]Sheet1!R25C19</stp>
        <tr r="S25" s="1"/>
      </tp>
      <tp t="s">
        <v>912828BD1</v>
        <stp/>
        <stp>##V3_BDPV12</stp>
        <stp>912828BD Govt</stp>
        <stp>ID_CUSIP</stp>
        <stp>[TIPS.xlsx]Sheet1!R58C19</stp>
        <tr r="S58" s="1"/>
      </tp>
      <tp t="s">
        <v>912828AF7</v>
        <stp/>
        <stp>##V3_BDPV12</stp>
        <stp>912828AF Govt</stp>
        <stp>ID_CUSIP</stp>
        <stp>[TIPS.xlsx]Sheet1!R71C19</stp>
        <tr r="S71" s="1"/>
      </tp>
      <tp t="s">
        <v>912828C99</v>
        <stp/>
        <stp>##V3_BDPV12</stp>
        <stp>912828C9 Govt</stp>
        <stp>ID_CUSIP</stp>
        <stp>[TIPS.xlsx]Sheet1!R53C19</stp>
        <tr r="S53" s="1"/>
      </tp>
      <tp t="s">
        <v>912828CZ1</v>
        <stp/>
        <stp>##V3_BDPV12</stp>
        <stp>912828CZ Govt</stp>
        <stp>ID_CUSIP</stp>
        <stp>[TIPS.xlsx]Sheet1!R65C19</stp>
        <tr r="S65" s="1"/>
      </tp>
      <tp t="s">
        <v>912828CP3</v>
        <stp/>
        <stp>##V3_BDPV12</stp>
        <stp>912828CP Govt</stp>
        <stp>ID_CUSIP</stp>
        <stp>[TIPS.xlsx]Sheet1!R76C19</stp>
        <tr r="S76" s="1"/>
      </tp>
      <tp t="s">
        <v>912828ZJ2</v>
        <stp/>
        <stp>##V3_BDPV12</stp>
        <stp>912828ZJ Govt</stp>
        <stp>ID_CUSIP</stp>
        <stp>[TIPS.xlsx]Sheet1!R19C19</stp>
        <tr r="S19" s="1"/>
      </tp>
      <tp t="s">
        <v>912828YL8</v>
        <stp/>
        <stp>##V3_BDPV12</stp>
        <stp>912828YL Govt</stp>
        <stp>ID_CUSIP</stp>
        <stp>[TIPS.xlsx]Sheet1!R24C19</stp>
        <tr r="S24" s="1"/>
      </tp>
      <tp t="s">
        <v>912828Z37</v>
        <stp/>
        <stp>##V3_BDPV12</stp>
        <stp>912828Z3 Govt</stp>
        <stp>ID_CUSIP</stp>
        <stp>[TIPS.xlsx]Sheet1!R10C19</stp>
        <tr r="S10" s="1"/>
      </tp>
      <tp t="s">
        <v>912828XL9</v>
        <stp/>
        <stp>##V3_BDPV12</stp>
        <stp>912828XL Govt</stp>
        <stp>ID_CUSIP</stp>
        <stp>[TIPS.xlsx]Sheet1!R21C19</stp>
        <tr r="S21" s="1"/>
      </tp>
      <tp t="s">
        <v>912828Y38</v>
        <stp/>
        <stp>##V3_BDPV12</stp>
        <stp>912828Y3 Govt</stp>
        <stp>ID_CUSIP</stp>
        <stp>[TIPS.xlsx]Sheet1!R30C19</stp>
        <tr r="S30" s="1"/>
      </tp>
      <tp t="s">
        <v>912828SA9</v>
        <stp/>
        <stp>##V3_BDPV12</stp>
        <stp>912828SA Govt</stp>
        <stp>ID_CUSIP</stp>
        <stp>[TIPS.xlsx]Sheet1!R12C19</stp>
        <tr r="S12" s="1"/>
      </tp>
      <tp t="s">
        <v>912828S50</v>
        <stp/>
        <stp>##V3_BDPV12</stp>
        <stp>912828S5 Govt</stp>
        <stp>ID_CUSIP</stp>
        <stp>[TIPS.xlsx]Sheet1!R13C19</stp>
        <tr r="S13" s="1"/>
      </tp>
      <tp t="s">
        <v>912828UX6</v>
        <stp/>
        <stp>##V3_BDPV12</stp>
        <stp>912828UX Govt</stp>
        <stp>ID_CUSIP</stp>
        <stp>[TIPS.xlsx]Sheet1!R56C19</stp>
        <tr r="S56" s="1"/>
      </tp>
      <tp t="s">
        <v>912828SQ4</v>
        <stp/>
        <stp>##V3_BDPV12</stp>
        <stp>912828SQ Govt</stp>
        <stp>ID_CUSIP</stp>
        <stp>[TIPS.xlsx]Sheet1!R55C19</stp>
        <tr r="S55" s="1"/>
      </tp>
      <tp t="s">
        <v>912828QD5</v>
        <stp/>
        <stp>##V3_BDPV12</stp>
        <stp>912828QD Govt</stp>
        <stp>ID_CUSIP</stp>
        <stp>[TIPS.xlsx]Sheet1!R70C19</stp>
        <tr r="S70" s="1"/>
      </tp>
      <tp t="s">
        <v>912828WU0</v>
        <stp/>
        <stp>##V3_BDPV12</stp>
        <stp>912828WU Govt</stp>
        <stp>ID_CUSIP</stp>
        <stp>[TIPS.xlsx]Sheet1!R26C19</stp>
        <tr r="S26" s="1"/>
      </tp>
      <tp t="s">
        <v>912828PP9</v>
        <stp/>
        <stp>##V3_BDPV12</stp>
        <stp>912828PP Govt</stp>
        <stp>ID_CUSIP</stp>
        <stp>[TIPS.xlsx]Sheet1!R51C19</stp>
        <tr r="S51" s="1"/>
      </tp>
      <tp t="s">
        <v>912828QV5</v>
        <stp/>
        <stp>##V3_BDPV12</stp>
        <stp>912828QV Govt</stp>
        <stp>ID_CUSIP</stp>
        <stp>[TIPS.xlsx]Sheet1!R49C19</stp>
        <tr r="S49" s="1"/>
      </tp>
      <tp t="s">
        <v>912828TE0</v>
        <stp/>
        <stp>##V3_BDPV12</stp>
        <stp>912828TE Govt</stp>
        <stp>ID_CUSIP</stp>
        <stp>[TIPS.xlsx]Sheet1!R18C19</stp>
        <tr r="S18" s="1"/>
      </tp>
      <tp t="s">
        <v>912828VM9</v>
        <stp/>
        <stp>##V3_BDPV12</stp>
        <stp>912828VM Govt</stp>
        <stp>ID_CUSIP</stp>
        <stp>[TIPS.xlsx]Sheet1!R28C19</stp>
        <tr r="S28" s="1"/>
      </tp>
      <tp t="s">
        <v>912828Q60</v>
        <stp/>
        <stp>##V3_BDPV12</stp>
        <stp>912828Q6 Govt</stp>
        <stp>ID_CUSIP</stp>
        <stp>[TIPS.xlsx]Sheet1!R50C19</stp>
        <tr r="S50" s="1"/>
      </tp>
      <tp t="s">
        <v>912828V49</v>
        <stp/>
        <stp>##V3_BDPV12</stp>
        <stp>912828V4 Govt</stp>
        <stp>ID_CUSIP</stp>
        <stp>[TIPS.xlsx]Sheet1!R29C19</stp>
        <tr r="S29" s="1"/>
      </tp>
      <tp t="s">
        <v>9128283R9</v>
        <stp/>
        <stp>##V3_BDPV12</stp>
        <stp>9128283R Govt</stp>
        <stp>ID_CUSIP</stp>
        <stp>[TIPS.xlsx]Sheet1!R22C19</stp>
        <tr r="S22" s="1"/>
      </tp>
      <tp t="s">
        <v>9128282L3</v>
        <stp/>
        <stp>##V3_BDPV12</stp>
        <stp>9128282L Govt</stp>
        <stp>ID_CUSIP</stp>
        <stp>[TIPS.xlsx]Sheet1!R23C19</stp>
        <tr r="S23" s="1"/>
      </tp>
      <tp t="s">
        <v>9128285W6</v>
        <stp/>
        <stp>##V3_BDPV12</stp>
        <stp>9128285W Govt</stp>
        <stp>ID_CUSIP</stp>
        <stp>[TIPS.xlsx]Sheet1!R20C19</stp>
        <tr r="S20" s="1"/>
      </tp>
      <tp t="s">
        <v>9128286N5</v>
        <stp/>
        <stp>##V3_BDPV12</stp>
        <stp>9128286N Govt</stp>
        <stp>ID_CUSIP</stp>
        <stp>[TIPS.xlsx]Sheet1!R15C19</stp>
        <tr r="S15" s="1"/>
      </tp>
      <tp t="s">
        <v>9128287D6</v>
        <stp/>
        <stp>##V3_BDPV12</stp>
        <stp>9128287D Govt</stp>
        <stp>ID_CUSIP</stp>
        <stp>[TIPS.xlsx]Sheet1!R16C19</stp>
        <tr r="S16" s="1"/>
      </tp>
      <tp t="s">
        <v>US9128274Y56</v>
        <stp/>
        <stp>##V3_BDPV12</stp>
        <stp>9128274Y Govt</stp>
        <stp>ID_ISIN</stp>
        <stp>[TIPS.xlsx]Sheet1!R67C12</stp>
        <tr r="L67" s="1"/>
      </tp>
      <tp t="s">
        <v>US912828MY36</v>
        <stp/>
        <stp>##V3_BDPV12</stp>
        <stp>912828MY Govt</stp>
        <stp>ID_ISIN</stp>
        <stp>[TIPS.xlsx]Sheet1!R62C12</stp>
        <tr r="L62" s="1"/>
      </tp>
      <tp t="s">
        <v>9128275W8</v>
        <stp/>
        <stp>##V3_BDPV12</stp>
        <stp>9128275W Govt</stp>
        <stp>ID_CUSIP</stp>
        <stp>[TIPS.xlsx]Sheet1!R68C19</stp>
        <tr r="S68" s="1"/>
      </tp>
      <tp t="s">
        <v>9128274Y5</v>
        <stp/>
        <stp>##V3_BDPV12</stp>
        <stp>9128274Y Govt</stp>
        <stp>ID_CUSIP</stp>
        <stp>[TIPS.xlsx]Sheet1!R67C19</stp>
        <tr r="S67" s="1"/>
      </tp>
      <tp t="s">
        <v>9128276R8</v>
        <stp/>
        <stp>##V3_BDPV12</stp>
        <stp>9128276R Govt</stp>
        <stp>ID_CUSIP</stp>
        <stp>[TIPS.xlsx]Sheet1!R77C19</stp>
        <tr r="S77" s="1"/>
      </tp>
      <tp t="s">
        <v>9128277J5</v>
        <stp/>
        <stp>##V3_BDPV12</stp>
        <stp>9128277J Govt</stp>
        <stp>ID_CUSIP</stp>
        <stp>[TIPS.xlsx]Sheet1!R72C19</stp>
        <tr r="S72" s="1"/>
      </tp>
      <tp t="s">
        <v>9128272M3</v>
        <stp/>
        <stp>##V3_BDPV12</stp>
        <stp>9128272M Govt</stp>
        <stp>ID_CUSIP</stp>
        <stp>[TIPS.xlsx]Sheet1!R57C19</stp>
        <tr r="S57" s="1"/>
      </tp>
      <tp t="s">
        <v>9128273T7</v>
        <stp/>
        <stp>##V3_BDPV12</stp>
        <stp>9128273T Govt</stp>
        <stp>ID_CUSIP</stp>
        <stp>[TIPS.xlsx]Sheet1!R75C19</stp>
        <tr r="S75" s="1"/>
      </tp>
      <tp t="s">
        <v>9128273A8</v>
        <stp/>
        <stp>##V3_BDPV12</stp>
        <stp>9128273A Govt</stp>
        <stp>ID_CUSIP</stp>
        <stp>[TIPS.xlsx]Sheet1!R78C19</stp>
        <tr r="S78" s="1"/>
      </tp>
      <tp t="s">
        <v>NORMAL</v>
        <stp/>
        <stp>##V3_BDPV12</stp>
        <stp>912810PS Govt</stp>
        <stp>MTY_TYP</stp>
        <stp>[TIPS.xlsx]Sheet1!R45C6</stp>
        <tr r="F45" s="1"/>
      </tp>
      <tp t="s">
        <v>NORMAL</v>
        <stp/>
        <stp>##V3_BDPV12</stp>
        <stp>912810RR Govt</stp>
        <stp>MTY_TYP</stp>
        <stp>[TIPS.xlsx]Sheet1!R47C6</stp>
        <tr r="F47" s="1"/>
      </tp>
      <tp t="s">
        <v>10/30/2020</v>
        <stp/>
        <stp>##V3_BDPV12</stp>
        <stp>91282CAQ Govt</stp>
        <stp>ISSUE_DT</stp>
        <stp>[TIPS.xlsx]Sheet1!R14C15</stp>
        <tr r="O14" s="1"/>
      </tp>
      <tp t="s">
        <v>1/15/2007</v>
        <stp/>
        <stp>##V3_BDPV12</stp>
        <stp>9128272M Govt</stp>
        <stp>MATURITY</stp>
        <stp>[TIPS.xlsx]Sheet1!R57C5</stp>
        <tr r="E57" s="1"/>
      </tp>
      <tp t="s">
        <v>4/15/2012</v>
        <stp/>
        <stp>##V3_BDPV12</stp>
        <stp>912828GN Govt</stp>
        <stp>MATURITY</stp>
        <stp>[TIPS.xlsx]Sheet1!R74C5</stp>
        <tr r="E74" s="1"/>
      </tp>
      <tp t="s">
        <v>UNITED STATES</v>
        <stp/>
        <stp>##V3_BDPV12</stp>
        <stp>912828PP Govt</stp>
        <stp>COUNTRY_FULL_NAME</stp>
        <stp>[TIPS.xlsx]Sheet1!R51C8</stp>
        <tr r="H51" s="1"/>
      </tp>
      <tp t="s">
        <v>UNITED STATES</v>
        <stp/>
        <stp>##V3_BDPV12</stp>
        <stp>912828XL Govt</stp>
        <stp>COUNTRY_FULL_NAME</stp>
        <stp>[TIPS.xlsx]Sheet1!R21C8</stp>
        <tr r="H21" s="1"/>
      </tp>
      <tp t="s">
        <v>UNITED STATES</v>
        <stp/>
        <stp>##V3_BDPV12</stp>
        <stp>912828FB Govt</stp>
        <stp>COUNTRY_FULL_NAME</stp>
        <stp>[TIPS.xlsx]Sheet1!R81C8</stp>
        <tr r="H81" s="1"/>
      </tp>
      <tp t="s">
        <v>UNITED STATES</v>
        <stp/>
        <stp>##V3_BDPV12</stp>
        <stp>912828AF Govt</stp>
        <stp>COUNTRY_FULL_NAME</stp>
        <stp>[TIPS.xlsx]Sheet1!R71C8</stp>
        <tr r="H71" s="1"/>
      </tp>
      <tp t="s">
        <v>UNITED STATES</v>
        <stp/>
        <stp>##V3_BDPV12</stp>
        <stp>912828MF Govt</stp>
        <stp>COUNTRY_FULL_NAME</stp>
        <stp>[TIPS.xlsx]Sheet1!R61C8</stp>
        <tr r="H61" s="1"/>
      </tp>
      <tp t="s">
        <v>NORMAL</v>
        <stp/>
        <stp>##V3_BDPV12</stp>
        <stp>912810RL Govt</stp>
        <stp>MTY_TYP</stp>
        <stp>[TIPS.xlsx]Sheet1!R37C6</stp>
        <tr r="F37" s="1"/>
      </tp>
      <tp t="s">
        <v>UNITED STATES</v>
        <stp/>
        <stp>##V3_BDPV12</stp>
        <stp>912810SB Govt</stp>
        <stp>COUNTRY_FULL_NAME</stp>
        <stp>[TIPS.xlsx]Sheet1!R42C8</stp>
        <tr r="H42" s="1"/>
      </tp>
      <tp t="s">
        <v>UNITED STATES</v>
        <stp/>
        <stp>##V3_BDPV12</stp>
        <stp>912810RF Govt</stp>
        <stp>COUNTRY_FULL_NAME</stp>
        <stp>[TIPS.xlsx]Sheet1!R32C8</stp>
        <tr r="H32" s="1"/>
      </tp>
      <tp t="s">
        <v>US912828UX60</v>
        <stp/>
        <stp>##V3_BDPV12</stp>
        <stp>912828UX Govt</stp>
        <stp>ID_ISIN</stp>
        <stp>[TIPS.xlsx]Sheet1!R56C12</stp>
        <tr r="L56" s="1"/>
      </tp>
      <tp t="s">
        <v>US912828GX27</v>
        <stp/>
        <stp>##V3_BDPV12</stp>
        <stp>912828GX Govt</stp>
        <stp>ID_ISIN</stp>
        <stp>[TIPS.xlsx]Sheet1!R54C12</stp>
        <tr r="L54" s="1"/>
      </tp>
      <tp t="s">
        <v>US912828JX99</v>
        <stp/>
        <stp>##V3_BDPV12</stp>
        <stp>912828JX Govt</stp>
        <stp>ID_ISIN</stp>
        <stp>[TIPS.xlsx]Sheet1!R69C12</stp>
        <tr r="L69" s="1"/>
      </tp>
      <tp t="s">
        <v>4/29/2011</v>
        <stp/>
        <stp>##V3_BDPV12</stp>
        <stp>912828QD Govt</stp>
        <stp>ISSUE_DT</stp>
        <stp>[TIPS.xlsx]Sheet1!R70C15</stp>
        <tr r="O70" s="1"/>
      </tp>
      <tp t="s">
        <v>4/30/2012</v>
        <stp/>
        <stp>##V3_BDPV12</stp>
        <stp>912828SQ Govt</stp>
        <stp>ISSUE_DT</stp>
        <stp>[TIPS.xlsx]Sheet1!R55C15</stp>
        <tr r="O55" s="1"/>
      </tp>
      <tp t="s">
        <v>7/31/2012</v>
        <stp/>
        <stp>##V3_BDPV12</stp>
        <stp>912828TE Govt</stp>
        <stp>ISSUE_DT</stp>
        <stp>[TIPS.xlsx]Sheet1!R18C15</stp>
        <tr r="O18" s="1"/>
      </tp>
      <tp t="s">
        <v>7/29/2011</v>
        <stp/>
        <stp>##V3_BDPV12</stp>
        <stp>912828QV Govt</stp>
        <stp>ISSUE_DT</stp>
        <stp>[TIPS.xlsx]Sheet1!R49C15</stp>
        <tr r="O49" s="1"/>
      </tp>
      <tp t="s">
        <v>1/31/2011</v>
        <stp/>
        <stp>##V3_BDPV12</stp>
        <stp>912828PP Govt</stp>
        <stp>ISSUE_DT</stp>
        <stp>[TIPS.xlsx]Sheet1!R51C15</stp>
        <tr r="O51" s="1"/>
      </tp>
      <tp t="s">
        <v>7/31/2014</v>
        <stp/>
        <stp>##V3_BDPV12</stp>
        <stp>912828WU Govt</stp>
        <stp>ISSUE_DT</stp>
        <stp>[TIPS.xlsx]Sheet1!R26C15</stp>
        <tr r="O26" s="1"/>
      </tp>
      <tp t="s">
        <v>7/31/2013</v>
        <stp/>
        <stp>##V3_BDPV12</stp>
        <stp>912828VM Govt</stp>
        <stp>ISSUE_DT</stp>
        <stp>[TIPS.xlsx]Sheet1!R28C15</stp>
        <tr r="O28" s="1"/>
      </tp>
      <tp t="s">
        <v>1/31/2017</v>
        <stp/>
        <stp>##V3_BDPV12</stp>
        <stp>912828V4 Govt</stp>
        <stp>ISSUE_DT</stp>
        <stp>[TIPS.xlsx]Sheet1!R29C15</stp>
        <tr r="O29" s="1"/>
      </tp>
      <tp t="s">
        <v>4/29/2016</v>
        <stp/>
        <stp>##V3_BDPV12</stp>
        <stp>912828Q6 Govt</stp>
        <stp>ISSUE_DT</stp>
        <stp>[TIPS.xlsx]Sheet1!R50C15</stp>
        <tr r="O50" s="1"/>
      </tp>
      <tp t="s">
        <v>1/31/2012</v>
        <stp/>
        <stp>##V3_BDPV12</stp>
        <stp>912828SA Govt</stp>
        <stp>ISSUE_DT</stp>
        <stp>[TIPS.xlsx]Sheet1!R12C15</stp>
        <tr r="O12" s="1"/>
      </tp>
      <tp t="s">
        <v>7/29/2016</v>
        <stp/>
        <stp>##V3_BDPV12</stp>
        <stp>912828S5 Govt</stp>
        <stp>ISSUE_DT</stp>
        <stp>[TIPS.xlsx]Sheet1!R13C15</stp>
        <tr r="O13" s="1"/>
      </tp>
      <tp t="s">
        <v>4/30/2013</v>
        <stp/>
        <stp>##V3_BDPV12</stp>
        <stp>912828UX Govt</stp>
        <stp>ISSUE_DT</stp>
        <stp>[TIPS.xlsx]Sheet1!R56C15</stp>
        <tr r="O56" s="1"/>
      </tp>
      <tp t="s">
        <v>10/31/2019</v>
        <stp/>
        <stp>##V3_BDPV12</stp>
        <stp>912828YL Govt</stp>
        <stp>ISSUE_DT</stp>
        <stp>[TIPS.xlsx]Sheet1!R24C15</stp>
        <tr r="O24" s="1"/>
      </tp>
      <tp t="s">
        <v>4/30/2020</v>
        <stp/>
        <stp>##V3_BDPV12</stp>
        <stp>912828ZJ Govt</stp>
        <stp>ISSUE_DT</stp>
        <stp>[TIPS.xlsx]Sheet1!R19C15</stp>
        <tr r="O19" s="1"/>
      </tp>
      <tp t="s">
        <v>1/31/2020</v>
        <stp/>
        <stp>##V3_BDPV12</stp>
        <stp>912828Z3 Govt</stp>
        <stp>ISSUE_DT</stp>
        <stp>[TIPS.xlsx]Sheet1!R10C15</stp>
        <tr r="O10" s="1"/>
      </tp>
      <tp t="s">
        <v>7/31/2015</v>
        <stp/>
        <stp>##V3_BDPV12</stp>
        <stp>912828XL Govt</stp>
        <stp>ISSUE_DT</stp>
        <stp>[TIPS.xlsx]Sheet1!R21C15</stp>
        <tr r="O21" s="1"/>
      </tp>
      <tp t="s">
        <v>7/31/2018</v>
        <stp/>
        <stp>##V3_BDPV12</stp>
        <stp>912828Y3 Govt</stp>
        <stp>ISSUE_DT</stp>
        <stp>[TIPS.xlsx]Sheet1!R30C15</stp>
        <tr r="O30" s="1"/>
      </tp>
      <tp t="s">
        <v>7/15/2003</v>
        <stp/>
        <stp>##V3_BDPV12</stp>
        <stp>912828BD Govt</stp>
        <stp>ISSUE_DT</stp>
        <stp>[TIPS.xlsx]Sheet1!R58C15</stp>
        <tr r="O58" s="1"/>
      </tp>
      <tp t="s">
        <v>7/15/2002</v>
        <stp/>
        <stp>##V3_BDPV12</stp>
        <stp>912828AF Govt</stp>
        <stp>ISSUE_DT</stp>
        <stp>[TIPS.xlsx]Sheet1!R71C15</stp>
        <tr r="O71" s="1"/>
      </tp>
      <tp t="s">
        <v>4/30/2014</v>
        <stp/>
        <stp>##V3_BDPV12</stp>
        <stp>912828C9 Govt</stp>
        <stp>ISSUE_DT</stp>
        <stp>[TIPS.xlsx]Sheet1!R53C15</stp>
        <tr r="O53" s="1"/>
      </tp>
      <tp t="s">
        <v>10/29/2004</v>
        <stp/>
        <stp>##V3_BDPV12</stp>
        <stp>912828CZ Govt</stp>
        <stp>ISSUE_DT</stp>
        <stp>[TIPS.xlsx]Sheet1!R65C15</stp>
        <tr r="O65" s="1"/>
      </tp>
      <tp t="s">
        <v>7/15/2004</v>
        <stp/>
        <stp>##V3_BDPV12</stp>
        <stp>912828CP Govt</stp>
        <stp>ISSUE_DT</stp>
        <stp>[TIPS.xlsx]Sheet1!R76C15</stp>
        <tr r="O76" s="1"/>
      </tp>
      <tp t="s">
        <v>4/30/2009</v>
        <stp/>
        <stp>##V3_BDPV12</stp>
        <stp>912828KM Govt</stp>
        <stp>ISSUE_DT</stp>
        <stp>[TIPS.xlsx]Sheet1!R84C15</stp>
        <tr r="O84" s="1"/>
      </tp>
      <tp t="s">
        <v>7/15/2005</v>
        <stp/>
        <stp>##V3_BDPV12</stp>
        <stp>912828EA Govt</stp>
        <stp>ISSUE_DT</stp>
        <stp>[TIPS.xlsx]Sheet1!R79C15</stp>
        <tr r="O79" s="1"/>
      </tp>
      <tp t="s">
        <v>7/15/2008</v>
        <stp/>
        <stp>##V3_BDPV12</stp>
        <stp>912828JE Govt</stp>
        <stp>ISSUE_DT</stp>
        <stp>[TIPS.xlsx]Sheet1!R85C15</stp>
        <tr r="O85" s="1"/>
      </tp>
      <tp t="s">
        <v>7/16/2007</v>
        <stp/>
        <stp>##V3_BDPV12</stp>
        <stp>912828GX Govt</stp>
        <stp>ISSUE_DT</stp>
        <stp>[TIPS.xlsx]Sheet1!R54C15</stp>
        <tr r="O54" s="1"/>
      </tp>
      <tp t="s">
        <v>1/17/2006</v>
        <stp/>
        <stp>##V3_BDPV12</stp>
        <stp>912828ET Govt</stp>
        <stp>ISSUE_DT</stp>
        <stp>[TIPS.xlsx]Sheet1!R73C15</stp>
        <tr r="O73" s="1"/>
      </tp>
      <tp t="s">
        <v>1/16/2007</v>
        <stp/>
        <stp>##V3_BDPV12</stp>
        <stp>912828GD Govt</stp>
        <stp>ISSUE_DT</stp>
        <stp>[TIPS.xlsx]Sheet1!R63C15</stp>
        <tr r="O63" s="1"/>
      </tp>
      <tp t="s">
        <v>4/30/2007</v>
        <stp/>
        <stp>##V3_BDPV12</stp>
        <stp>912828GN Govt</stp>
        <stp>ISSUE_DT</stp>
        <stp>[TIPS.xlsx]Sheet1!R74C15</stp>
        <tr r="O74" s="1"/>
      </tp>
      <tp t="s">
        <v>1/31/2014</v>
        <stp/>
        <stp>##V3_BDPV12</stp>
        <stp>912828B2 Govt</stp>
        <stp>ISSUE_DT</stp>
        <stp>[TIPS.xlsx]Sheet1!R25C15</stp>
        <tr r="O25" s="1"/>
      </tp>
      <tp t="s">
        <v>1/29/2016</v>
        <stp/>
        <stp>##V3_BDPV12</stp>
        <stp>912828N7 Govt</stp>
        <stp>ISSUE_DT</stp>
        <stp>[TIPS.xlsx]Sheet1!R17C15</stp>
        <tr r="O17" s="1"/>
      </tp>
      <tp t="s">
        <v>7/17/2006</v>
        <stp/>
        <stp>##V3_BDPV12</stp>
        <stp>912828FL Govt</stp>
        <stp>ISSUE_DT</stp>
        <stp>[TIPS.xlsx]Sheet1!R83C15</stp>
        <tr r="O83" s="1"/>
      </tp>
      <tp t="s">
        <v>1/15/2008</v>
        <stp/>
        <stp>##V3_BDPV12</stp>
        <stp>912828HN Govt</stp>
        <stp>ISSUE_DT</stp>
        <stp>[TIPS.xlsx]Sheet1!R60C15</stp>
        <tr r="O60" s="1"/>
      </tp>
      <tp t="s">
        <v>4/28/2006</v>
        <stp/>
        <stp>##V3_BDPV12</stp>
        <stp>912828FB Govt</stp>
        <stp>ISSUE_DT</stp>
        <stp>[TIPS.xlsx]Sheet1!R81C15</stp>
        <tr r="O81" s="1"/>
      </tp>
      <tp t="s">
        <v>4/30/2008</v>
        <stp/>
        <stp>##V3_BDPV12</stp>
        <stp>912828HW Govt</stp>
        <stp>ISSUE_DT</stp>
        <stp>[TIPS.xlsx]Sheet1!R64C15</stp>
        <tr r="O64" s="1"/>
      </tp>
      <tp t="s">
        <v>4/30/2015</v>
        <stp/>
        <stp>##V3_BDPV12</stp>
        <stp>912828K3 Govt</stp>
        <stp>ISSUE_DT</stp>
        <stp>[TIPS.xlsx]Sheet1!R66C15</stp>
        <tr r="O66" s="1"/>
      </tp>
      <tp t="s">
        <v>1/18/2005</v>
        <stp/>
        <stp>##V3_BDPV12</stp>
        <stp>912828DH Govt</stp>
        <stp>ISSUE_DT</stp>
        <stp>[TIPS.xlsx]Sheet1!R80C15</stp>
        <tr r="O80" s="1"/>
      </tp>
      <tp t="s">
        <v>1/15/2009</v>
        <stp/>
        <stp>##V3_BDPV12</stp>
        <stp>912828JX Govt</stp>
        <stp>ISSUE_DT</stp>
        <stp>[TIPS.xlsx]Sheet1!R69C15</stp>
        <tr r="O69" s="1"/>
      </tp>
      <tp t="s">
        <v>7/15/2010</v>
        <stp/>
        <stp>##V3_BDPV12</stp>
        <stp>912828NM Govt</stp>
        <stp>ISSUE_DT</stp>
        <stp>[TIPS.xlsx]Sheet1!R52C15</stp>
        <tr r="O52" s="1"/>
      </tp>
      <tp t="s">
        <v>1/15/2010</v>
        <stp/>
        <stp>##V3_BDPV12</stp>
        <stp>912828MF Govt</stp>
        <stp>ISSUE_DT</stp>
        <stp>[TIPS.xlsx]Sheet1!R61C15</stp>
        <tr r="O61" s="1"/>
      </tp>
      <tp t="s">
        <v>4/30/2010</v>
        <stp/>
        <stp>##V3_BDPV12</stp>
        <stp>912828MY Govt</stp>
        <stp>ISSUE_DT</stp>
        <stp>[TIPS.xlsx]Sheet1!R62C15</stp>
        <tr r="O62" s="1"/>
      </tp>
      <tp t="s">
        <v>1/15/2004</v>
        <stp/>
        <stp>##V3_BDPV12</stp>
        <stp>912828BW Govt</stp>
        <stp>ISSUE_DT</stp>
        <stp>[TIPS.xlsx]Sheet1!R82C15</stp>
        <tr r="O82" s="1"/>
      </tp>
      <tp t="s">
        <v>1/30/2015</v>
        <stp/>
        <stp>##V3_BDPV12</stp>
        <stp>912828H4 Govt</stp>
        <stp>ISSUE_DT</stp>
        <stp>[TIPS.xlsx]Sheet1!R27C15</stp>
        <tr r="O27" s="1"/>
      </tp>
      <tp t="s">
        <v>7/15/2009</v>
        <stp/>
        <stp>##V3_BDPV12</stp>
        <stp>912828LA Govt</stp>
        <stp>ISSUE_DT</stp>
        <stp>[TIPS.xlsx]Sheet1!R59C15</stp>
        <tr r="O59" s="1"/>
      </tp>
      <tp t="s">
        <v>4/30/2019</v>
        <stp/>
        <stp>##V3_BDPV12</stp>
        <stp>9128286N Govt</stp>
        <stp>ISSUE_DT</stp>
        <stp>[TIPS.xlsx]Sheet1!R15C15</stp>
        <tr r="O15" s="1"/>
      </tp>
      <tp t="s">
        <v>1/31/2019</v>
        <stp/>
        <stp>##V3_BDPV12</stp>
        <stp>9128285W Govt</stp>
        <stp>ISSUE_DT</stp>
        <stp>[TIPS.xlsx]Sheet1!R20C15</stp>
        <tr r="O20" s="1"/>
      </tp>
      <tp t="s">
        <v>7/31/2019</v>
        <stp/>
        <stp>##V3_BDPV12</stp>
        <stp>9128287D Govt</stp>
        <stp>ISSUE_DT</stp>
        <stp>[TIPS.xlsx]Sheet1!R16C15</stp>
        <tr r="O16" s="1"/>
      </tp>
      <tp t="s">
        <v>1/31/2018</v>
        <stp/>
        <stp>##V3_BDPV12</stp>
        <stp>9128283R Govt</stp>
        <stp>ISSUE_DT</stp>
        <stp>[TIPS.xlsx]Sheet1!R22C15</stp>
        <tr r="O22" s="1"/>
      </tp>
      <tp t="s">
        <v>7/31/2017</v>
        <stp/>
        <stp>##V3_BDPV12</stp>
        <stp>9128282L Govt</stp>
        <stp>ISSUE_DT</stp>
        <stp>[TIPS.xlsx]Sheet1!R23C15</stp>
        <tr r="O23" s="1"/>
      </tp>
      <tp t="s">
        <v>2/6/1997</v>
        <stp/>
        <stp>##V3_BDPV12</stp>
        <stp>9128272M Govt</stp>
        <stp>ISSUE_DT</stp>
        <stp>[TIPS.xlsx]Sheet1!R57C15</stp>
        <tr r="O57" s="1"/>
      </tp>
      <tp t="s">
        <v>7/15/1997</v>
        <stp/>
        <stp>##V3_BDPV12</stp>
        <stp>9128273A Govt</stp>
        <stp>ISSUE_DT</stp>
        <stp>[TIPS.xlsx]Sheet1!R78C15</stp>
        <tr r="O78" s="1"/>
      </tp>
      <tp t="s">
        <v>1/15/1998</v>
        <stp/>
        <stp>##V3_BDPV12</stp>
        <stp>9128273T Govt</stp>
        <stp>ISSUE_DT</stp>
        <stp>[TIPS.xlsx]Sheet1!R75C15</stp>
        <tr r="O75" s="1"/>
      </tp>
      <tp t="s">
        <v>1/18/2000</v>
        <stp/>
        <stp>##V3_BDPV12</stp>
        <stp>9128275W Govt</stp>
        <stp>ISSUE_DT</stp>
        <stp>[TIPS.xlsx]Sheet1!R68C15</stp>
        <tr r="O68" s="1"/>
      </tp>
      <tp t="s">
        <v>1/15/1999</v>
        <stp/>
        <stp>##V3_BDPV12</stp>
        <stp>9128274Y Govt</stp>
        <stp>ISSUE_DT</stp>
        <stp>[TIPS.xlsx]Sheet1!R67C15</stp>
        <tr r="O67" s="1"/>
      </tp>
      <tp t="s">
        <v>1/16/2001</v>
        <stp/>
        <stp>##V3_BDPV12</stp>
        <stp>9128276R Govt</stp>
        <stp>ISSUE_DT</stp>
        <stp>[TIPS.xlsx]Sheet1!R77C15</stp>
        <tr r="O77" s="1"/>
      </tp>
      <tp t="s">
        <v>1/15/2002</v>
        <stp/>
        <stp>##V3_BDPV12</stp>
        <stp>9128277J Govt</stp>
        <stp>ISSUE_DT</stp>
        <stp>[TIPS.xlsx]Sheet1!R72C15</stp>
        <tr r="O72" s="1"/>
      </tp>
      <tp t="s">
        <v>NORMAL</v>
        <stp/>
        <stp>##V3_BDPV12</stp>
        <stp>912810RW Govt</stp>
        <stp>MTY_TYP</stp>
        <stp>[TIPS.xlsx]Sheet1!R40C6</stp>
        <tr r="F40" s="1"/>
      </tp>
      <tp t="s">
        <v>7/15/2025</v>
        <stp/>
        <stp>##V3_BDPV12</stp>
        <stp>912828XL Govt</stp>
        <stp>MATURITY</stp>
        <stp>[TIPS.xlsx]Sheet1!R21C5</stp>
        <tr r="E21" s="1"/>
      </tp>
      <tp t="s">
        <v>7/15/2022</v>
        <stp/>
        <stp>##V3_BDPV12</stp>
        <stp>912828TE Govt</stp>
        <stp>MATURITY</stp>
        <stp>[TIPS.xlsx]Sheet1!R18C5</stp>
        <tr r="E18" s="1"/>
      </tp>
      <tp t="s">
        <v>UNITED STATES</v>
        <stp/>
        <stp>##V3_BDPV12</stp>
        <stp>912828UX Govt</stp>
        <stp>COUNTRY_FULL_NAME</stp>
        <stp>[TIPS.xlsx]Sheet1!R56C8</stp>
        <tr r="H56" s="1"/>
      </tp>
      <tp t="s">
        <v>UNITED STATES</v>
        <stp/>
        <stp>##V3_BDPV12</stp>
        <stp>912828WU Govt</stp>
        <stp>COUNTRY_FULL_NAME</stp>
        <stp>[TIPS.xlsx]Sheet1!R26C8</stp>
        <tr r="H26" s="1"/>
      </tp>
      <tp t="s">
        <v>UNITED STATES</v>
        <stp/>
        <stp>##V3_BDPV12</stp>
        <stp>912828CP Govt</stp>
        <stp>COUNTRY_FULL_NAME</stp>
        <stp>[TIPS.xlsx]Sheet1!R76C8</stp>
        <tr r="H76" s="1"/>
      </tp>
      <tp t="s">
        <v>UNITED STATES</v>
        <stp/>
        <stp>##V3_BDPV12</stp>
        <stp>912828K3 Govt</stp>
        <stp>COUNTRY_FULL_NAME</stp>
        <stp>[TIPS.xlsx]Sheet1!R66C8</stp>
        <tr r="H66" s="1"/>
      </tp>
      <tp t="s">
        <v>UNITED STATES</v>
        <stp/>
        <stp>##V3_BDPV12</stp>
        <stp>9128287D Govt</stp>
        <stp>COUNTRY_FULL_NAME</stp>
        <stp>[TIPS.xlsx]Sheet1!R16C8</stp>
        <tr r="H16" s="1"/>
      </tp>
      <tp t="s">
        <v>NORMAL</v>
        <stp/>
        <stp>##V3_BDPV12</stp>
        <stp>912810SM Govt</stp>
        <stp>MTY_TYP</stp>
        <stp>[TIPS.xlsx]Sheet1!R11C6</stp>
        <tr r="F11" s="1"/>
      </tp>
      <tp t="s">
        <v>UNITED STATES</v>
        <stp/>
        <stp>##V3_BDPV12</stp>
        <stp>912810PS Govt</stp>
        <stp>COUNTRY_FULL_NAME</stp>
        <stp>[TIPS.xlsx]Sheet1!R45C8</stp>
        <tr r="H45" s="1"/>
      </tp>
      <tp t="s">
        <v>UNITED STATES</v>
        <stp/>
        <stp>##V3_BDPV12</stp>
        <stp>912810FD Govt</stp>
        <stp>COUNTRY_FULL_NAME</stp>
        <stp>[TIPS.xlsx]Sheet1!R35C8</stp>
        <tr r="H35" s="1"/>
      </tp>
      <tp t="s">
        <v>NORMAL</v>
        <stp/>
        <stp>##V3_BDPV12</stp>
        <stp>912828UX Govt</stp>
        <stp>MTY_TYP</stp>
        <stp>[TIPS.xlsx]Sheet1!R56C6</stp>
        <tr r="F56" s="1"/>
      </tp>
      <tp t="s">
        <v>NORMAL</v>
        <stp/>
        <stp>##V3_BDPV12</stp>
        <stp>912828ZJ Govt</stp>
        <stp>MTY_TYP</stp>
        <stp>[TIPS.xlsx]Sheet1!R19C6</stp>
        <tr r="F19" s="1"/>
      </tp>
      <tp t="s">
        <v>7/15/2013</v>
        <stp/>
        <stp>##V3_BDPV12</stp>
        <stp>912828BD Govt</stp>
        <stp>MATURITY</stp>
        <stp>[TIPS.xlsx]Sheet1!R58C5</stp>
        <tr r="E58" s="1"/>
      </tp>
      <tp t="s">
        <v>UNITED STATES</v>
        <stp/>
        <stp>##V3_BDPV12</stp>
        <stp>912828N7 Govt</stp>
        <stp>COUNTRY_FULL_NAME</stp>
        <stp>[TIPS.xlsx]Sheet1!R17C8</stp>
        <tr r="H17" s="1"/>
      </tp>
      <tp t="s">
        <v>UNITED STATES</v>
        <stp/>
        <stp>##V3_BDPV12</stp>
        <stp>912828H4 Govt</stp>
        <stp>COUNTRY_FULL_NAME</stp>
        <stp>[TIPS.xlsx]Sheet1!R27C8</stp>
        <tr r="H27" s="1"/>
      </tp>
      <tp t="s">
        <v>2/15/2050</v>
        <stp/>
        <stp>##V3_BDPV12</stp>
        <stp>912810SM Govt</stp>
        <stp>MATURITY</stp>
        <stp>[TIPS.xlsx]Sheet1!R11C5</stp>
        <tr r="E11" s="1"/>
      </tp>
      <tp t="s">
        <v>UNITED STATES</v>
        <stp/>
        <stp>##V3_BDPV12</stp>
        <stp>9128274Y Govt</stp>
        <stp>COUNTRY_FULL_NAME</stp>
        <stp>[TIPS.xlsx]Sheet1!R67C8</stp>
        <tr r="H67" s="1"/>
      </tp>
      <tp t="s">
        <v>UNITED STATES</v>
        <stp/>
        <stp>##V3_BDPV12</stp>
        <stp>9128276R Govt</stp>
        <stp>COUNTRY_FULL_NAME</stp>
        <stp>[TIPS.xlsx]Sheet1!R77C8</stp>
        <tr r="H77" s="1"/>
      </tp>
      <tp t="s">
        <v>UNITED STATES</v>
        <stp/>
        <stp>##V3_BDPV12</stp>
        <stp>9128272M Govt</stp>
        <stp>COUNTRY_FULL_NAME</stp>
        <stp>[TIPS.xlsx]Sheet1!R57C8</stp>
        <tr r="H57" s="1"/>
      </tp>
      <tp t="s">
        <v>UNITED STATES</v>
        <stp/>
        <stp>##V3_BDPV12</stp>
        <stp>912810SG Govt</stp>
        <stp>COUNTRY_FULL_NAME</stp>
        <stp>[TIPS.xlsx]Sheet1!R44C8</stp>
        <tr r="H44" s="1"/>
      </tp>
      <tp t="s">
        <v>UNITED STATES</v>
        <stp/>
        <stp>##V3_BDPV12</stp>
        <stp>912810FR Govt</stp>
        <stp>COUNTRY_FULL_NAME</stp>
        <stp>[TIPS.xlsx]Sheet1!R34C8</stp>
        <tr r="H34" s="1"/>
      </tp>
      <tp t="s">
        <v>FIXED</v>
        <stp/>
        <stp>##V3_BDPV12</stp>
        <stp>912828CZ Govt</stp>
        <stp>CPN_TYP</stp>
        <stp>[TIPS.xlsx]Sheet1!R65C11</stp>
        <tr r="K65" s="1"/>
      </tp>
      <tp t="s">
        <v>FIXED</v>
        <stp/>
        <stp>##V3_BDPV12</stp>
        <stp>912810PZ Govt</stp>
        <stp>CPN_TYP</stp>
        <stp>[TIPS.xlsx]Sheet1!R48C11</stp>
        <tr r="K48" s="1"/>
      </tp>
      <tp t="s">
        <v>NORMAL</v>
        <stp/>
        <stp>##V3_BDPV12</stp>
        <stp>912810QP Govt</stp>
        <stp>MTY_TYP</stp>
        <stp>[TIPS.xlsx]Sheet1!R31C6</stp>
        <tr r="F31" s="1"/>
      </tp>
      <tp t="s">
        <v>7/15/2016</v>
        <stp/>
        <stp>##V3_BDPV12</stp>
        <stp>912828FL Govt</stp>
        <stp>MATURITY</stp>
        <stp>[TIPS.xlsx]Sheet1!R83C5</stp>
        <tr r="E83" s="1"/>
      </tp>
      <tp t="s">
        <v>7/15/2020</v>
        <stp/>
        <stp>##V3_BDPV12</stp>
        <stp>912828NM Govt</stp>
        <stp>MATURITY</stp>
        <stp>[TIPS.xlsx]Sheet1!R52C5</stp>
        <tr r="E52" s="1"/>
      </tp>
      <tp t="s">
        <v>7/15/2027</v>
        <stp/>
        <stp>##V3_BDPV12</stp>
        <stp>9128282L Govt</stp>
        <stp>MATURITY</stp>
        <stp>[TIPS.xlsx]Sheet1!R23C5</stp>
        <tr r="E23" s="1"/>
      </tp>
      <tp t="s">
        <v>UNITED STATES</v>
        <stp/>
        <stp>##V3_BDPV12</stp>
        <stp>912828YL Govt</stp>
        <stp>COUNTRY_FULL_NAME</stp>
        <stp>[TIPS.xlsx]Sheet1!R24C8</stp>
        <tr r="H24" s="1"/>
      </tp>
      <tp t="s">
        <v>UNITED STATES</v>
        <stp/>
        <stp>##V3_BDPV12</stp>
        <stp>912828GN Govt</stp>
        <stp>COUNTRY_FULL_NAME</stp>
        <stp>[TIPS.xlsx]Sheet1!R74C8</stp>
        <tr r="H74" s="1"/>
      </tp>
      <tp t="s">
        <v>UNITED STATES</v>
        <stp/>
        <stp>##V3_BDPV12</stp>
        <stp>912828GX Govt</stp>
        <stp>COUNTRY_FULL_NAME</stp>
        <stp>[TIPS.xlsx]Sheet1!R54C8</stp>
        <tr r="H54" s="1"/>
      </tp>
      <tp t="s">
        <v>UNITED STATES</v>
        <stp/>
        <stp>##V3_BDPV12</stp>
        <stp>912828HW Govt</stp>
        <stp>COUNTRY_FULL_NAME</stp>
        <stp>[TIPS.xlsx]Sheet1!R64C8</stp>
        <tr r="H64" s="1"/>
      </tp>
      <tp t="s">
        <v>UNITED STATES</v>
        <stp/>
        <stp>##V3_BDPV12</stp>
        <stp>912828KM Govt</stp>
        <stp>COUNTRY_FULL_NAME</stp>
        <stp>[TIPS.xlsx]Sheet1!R84C8</stp>
        <tr r="H84" s="1"/>
      </tp>
      <tp t="s">
        <v>NORMAL</v>
        <stp/>
        <stp>##V3_BDPV12</stp>
        <stp>912810RF Govt</stp>
        <stp>MTY_TYP</stp>
        <stp>[TIPS.xlsx]Sheet1!R32C6</stp>
        <tr r="F32" s="1"/>
      </tp>
      <tp t="s">
        <v>UNITED STATES</v>
        <stp/>
        <stp>##V3_BDPV12</stp>
        <stp>912810RL Govt</stp>
        <stp>COUNTRY_FULL_NAME</stp>
        <stp>[TIPS.xlsx]Sheet1!R37C8</stp>
        <tr r="H37" s="1"/>
      </tp>
      <tp t="s">
        <v>UNITED STATES</v>
        <stp/>
        <stp>##V3_BDPV12</stp>
        <stp>912810RR Govt</stp>
        <stp>COUNTRY_FULL_NAME</stp>
        <stp>[TIPS.xlsx]Sheet1!R47C8</stp>
        <tr r="H47" s="1"/>
      </tp>
      <tp t="s">
        <v>FIXED</v>
        <stp/>
        <stp>##V3_BDPV12</stp>
        <stp>9128274Y Govt</stp>
        <stp>CPN_TYP</stp>
        <stp>[TIPS.xlsx]Sheet1!R67C11</stp>
        <tr r="K67" s="1"/>
      </tp>
      <tp t="s">
        <v>FIXED</v>
        <stp/>
        <stp>##V3_BDPV12</stp>
        <stp>912828MY Govt</stp>
        <stp>CPN_TYP</stp>
        <stp>[TIPS.xlsx]Sheet1!R62C11</stp>
        <tr r="K62" s="1"/>
      </tp>
      <tp t="s">
        <v>UNITED STATES</v>
        <stp/>
        <stp>##V3_BDPV12</stp>
        <stp>91282CAQ Govt</stp>
        <stp>COUNTRY_FULL_NAME</stp>
        <stp>[TIPS.xlsx]Sheet1!R14C8</stp>
        <tr r="H14" s="1"/>
      </tp>
      <tp t="s">
        <v>NORMAL</v>
        <stp/>
        <stp>##V3_BDPV12</stp>
        <stp>912828S5 Govt</stp>
        <stp>MTY_TYP</stp>
        <stp>[TIPS.xlsx]Sheet1!R13C6</stp>
        <tr r="F13" s="1"/>
      </tp>
      <tp t="s">
        <v>NORMAL</v>
        <stp/>
        <stp>##V3_BDPV12</stp>
        <stp>912828PP Govt</stp>
        <stp>MTY_TYP</stp>
        <stp>[TIPS.xlsx]Sheet1!R51C6</stp>
        <tr r="F51" s="1"/>
      </tp>
      <tp t="s">
        <v>NORMAL</v>
        <stp/>
        <stp>##V3_BDPV12</stp>
        <stp>912828WU Govt</stp>
        <stp>MTY_TYP</stp>
        <stp>[TIPS.xlsx]Sheet1!R26C6</stp>
        <tr r="F26" s="1"/>
      </tp>
      <tp t="s">
        <v>1/15/2018</v>
        <stp/>
        <stp>##V3_BDPV12</stp>
        <stp>912828HN Govt</stp>
        <stp>MATURITY</stp>
        <stp>[TIPS.xlsx]Sheet1!R60C5</stp>
        <tr r="E60" s="1"/>
      </tp>
      <tp t="s">
        <v>UNITED STATES</v>
        <stp/>
        <stp>##V3_BDPV12</stp>
        <stp>912828SQ Govt</stp>
        <stp>COUNTRY_FULL_NAME</stp>
        <stp>[TIPS.xlsx]Sheet1!R55C8</stp>
        <tr r="H55" s="1"/>
      </tp>
      <tp t="s">
        <v>UNITED STATES</v>
        <stp/>
        <stp>##V3_BDPV12</stp>
        <stp>912828CZ Govt</stp>
        <stp>COUNTRY_FULL_NAME</stp>
        <stp>[TIPS.xlsx]Sheet1!R65C8</stp>
        <tr r="H65" s="1"/>
      </tp>
      <tp t="s">
        <v>UNITED STATES</v>
        <stp/>
        <stp>##V3_BDPV12</stp>
        <stp>912828B2 Govt</stp>
        <stp>COUNTRY_FULL_NAME</stp>
        <stp>[TIPS.xlsx]Sheet1!R25C8</stp>
        <tr r="H25" s="1"/>
      </tp>
      <tp t="s">
        <v>UNITED STATES</v>
        <stp/>
        <stp>##V3_BDPV12</stp>
        <stp>912828JE Govt</stp>
        <stp>COUNTRY_FULL_NAME</stp>
        <stp>[TIPS.xlsx]Sheet1!R85C8</stp>
        <tr r="H85" s="1"/>
      </tp>
      <tp t="s">
        <v>UNITED STATES</v>
        <stp/>
        <stp>##V3_BDPV12</stp>
        <stp>9128286N Govt</stp>
        <stp>COUNTRY_FULL_NAME</stp>
        <stp>[TIPS.xlsx]Sheet1!R15C8</stp>
        <tr r="H15" s="1"/>
      </tp>
      <tp t="s">
        <v>2/15/2040</v>
        <stp/>
        <stp>##V3_BDPV12</stp>
        <stp>912810QF Govt</stp>
        <stp>MATURITY</stp>
        <stp>[TIPS.xlsx]Sheet1!R38C5</stp>
        <tr r="E38" s="1"/>
      </tp>
      <tp t="s">
        <v>UNITED STATES</v>
        <stp/>
        <stp>##V3_BDPV12</stp>
        <stp>9128273T Govt</stp>
        <stp>COUNTRY_FULL_NAME</stp>
        <stp>[TIPS.xlsx]Sheet1!R75C8</stp>
        <tr r="H75" s="1"/>
      </tp>
      <tp t="s">
        <v>NORMAL</v>
        <stp/>
        <stp>##V3_BDPV12</stp>
        <stp>912810SB Govt</stp>
        <stp>MTY_TYP</stp>
        <stp>[TIPS.xlsx]Sheet1!R42C6</stp>
        <tr r="F42" s="1"/>
      </tp>
      <tp t="s">
        <v>NORMAL</v>
        <stp/>
        <stp>##V3_BDPV12</stp>
        <stp>912828SA Govt</stp>
        <stp>MTY_TYP</stp>
        <stp>[TIPS.xlsx]Sheet1!R12C6</stp>
        <tr r="F12" s="1"/>
      </tp>
      <tp t="s">
        <v>NORMAL</v>
        <stp/>
        <stp>##V3_BDPV12</stp>
        <stp>912810RA Govt</stp>
        <stp>MTY_TYP</stp>
        <stp>[TIPS.xlsx]Sheet1!R43C6</stp>
        <tr r="F43" s="1"/>
      </tp>
      <tp t="s">
        <v>UNITED STATES</v>
        <stp/>
        <stp>##V3_BDPV12</stp>
        <stp>912810PV Govt</stp>
        <stp>COUNTRY_FULL_NAME</stp>
        <stp>[TIPS.xlsx]Sheet1!R46C8</stp>
        <tr r="H46" s="1"/>
      </tp>
      <tp t="s">
        <v>UNITED STATES</v>
        <stp/>
        <stp>##V3_BDPV12</stp>
        <stp>912810FQ Govt</stp>
        <stp>COUNTRY_FULL_NAME</stp>
        <stp>[TIPS.xlsx]Sheet1!R36C8</stp>
        <tr r="H36" s="1"/>
      </tp>
      <tp t="s">
        <v>NORMAL</v>
        <stp/>
        <stp>##V3_BDPV12</stp>
        <stp>912828QD Govt</stp>
        <stp>MTY_TYP</stp>
        <stp>[TIPS.xlsx]Sheet1!R70C6</stp>
        <tr r="F70" s="1"/>
      </tp>
      <tp t="s">
        <v>USD</v>
        <stp/>
        <stp>##V3_BDPV12</stp>
        <stp>912828X3 Govt</stp>
        <stp>CRNCY</stp>
        <stp>[TIPS.xlsx]Sheet1!R8C7</stp>
        <tr r="G8" s="1"/>
      </tp>
      <tp>
        <v>1.27285</v>
        <stp/>
        <stp>##V3_BDPV12</stp>
        <stp>9128272M Govt</stp>
        <stp>IDX_RATIO</stp>
        <stp>[TIPS.xlsx]Sheet1!R57C20</stp>
        <tr r="T57" s="1"/>
      </tp>
      <tp>
        <v>1.2967500000000001</v>
        <stp/>
        <stp>##V3_BDPV12</stp>
        <stp>9128273T Govt</stp>
        <stp>IDX_RATIO</stp>
        <stp>[TIPS.xlsx]Sheet1!R75C20</stp>
        <tr r="T75" s="1"/>
      </tp>
      <tp>
        <v>1.12266</v>
        <stp/>
        <stp>##V3_BDPV12</stp>
        <stp>9128273A Govt</stp>
        <stp>IDX_RATIO</stp>
        <stp>[TIPS.xlsx]Sheet1!R78C20</stp>
        <tr r="T78" s="1"/>
      </tp>
      <tp>
        <v>1.30914</v>
        <stp/>
        <stp>##V3_BDPV12</stp>
        <stp>9128274Y Govt</stp>
        <stp>IDX_RATIO</stp>
        <stp>[TIPS.xlsx]Sheet1!R67C20</stp>
        <tr r="T67" s="1"/>
      </tp>
      <tp>
        <v>1.2852999999999999</v>
        <stp/>
        <stp>##V3_BDPV12</stp>
        <stp>9128275W Govt</stp>
        <stp>IDX_RATIO</stp>
        <stp>[TIPS.xlsx]Sheet1!R68C20</stp>
        <tr r="T68" s="1"/>
      </tp>
      <tp>
        <v>1.2568699999999999</v>
        <stp/>
        <stp>##V3_BDPV12</stp>
        <stp>9128276R Govt</stp>
        <stp>IDX_RATIO</stp>
        <stp>[TIPS.xlsx]Sheet1!R77C20</stp>
        <tr r="T77" s="1"/>
      </tp>
      <tp>
        <v>1.2746599999999999</v>
        <stp/>
        <stp>##V3_BDPV12</stp>
        <stp>9128277J Govt</stp>
        <stp>IDX_RATIO</stp>
        <stp>[TIPS.xlsx]Sheet1!R72C20</stp>
        <tr r="T72" s="1"/>
      </tp>
      <tp t="s">
        <v>FIXED</v>
        <stp/>
        <stp>##V3_BDPV12</stp>
        <stp>912828UX Govt</stp>
        <stp>CPN_TYP</stp>
        <stp>[TIPS.xlsx]Sheet1!R56C11</stp>
        <tr r="K56" s="1"/>
      </tp>
      <tp t="s">
        <v>FIXED</v>
        <stp/>
        <stp>##V3_BDPV12</stp>
        <stp>912828GX Govt</stp>
        <stp>CPN_TYP</stp>
        <stp>[TIPS.xlsx]Sheet1!R54C11</stp>
        <tr r="K54" s="1"/>
      </tp>
      <tp t="s">
        <v>FIXED</v>
        <stp/>
        <stp>##V3_BDPV12</stp>
        <stp>912828JX Govt</stp>
        <stp>CPN_TYP</stp>
        <stp>[TIPS.xlsx]Sheet1!R69C11</stp>
        <tr r="K69" s="1"/>
      </tp>
      <tp t="s">
        <v>NORMAL</v>
        <stp/>
        <stp>##V3_BDPV12</stp>
        <stp>912828Q6 Govt</stp>
        <stp>MTY_TYP</stp>
        <stp>[TIPS.xlsx]Sheet1!R50C6</stp>
        <tr r="F50" s="1"/>
      </tp>
      <tp t="s">
        <v>NORMAL</v>
        <stp/>
        <stp>##V3_BDPV12</stp>
        <stp>912828VM Govt</stp>
        <stp>MTY_TYP</stp>
        <stp>[TIPS.xlsx]Sheet1!R28C6</stp>
        <tr r="F28" s="1"/>
      </tp>
      <tp t="s">
        <v>4/15/2028</v>
        <stp/>
        <stp>##V3_BDPV12</stp>
        <stp>912810FD Govt</stp>
        <stp>MATURITY</stp>
        <stp>[TIPS.xlsx]Sheet1!R35C5</stp>
        <tr r="E35" s="1"/>
      </tp>
      <tp t="s">
        <v>UNITED STATES</v>
        <stp/>
        <stp>##V3_BDPV12</stp>
        <stp>912810QV Govt</stp>
        <stp>COUNTRY_FULL_NAME</stp>
        <stp>[TIPS.xlsx]Sheet1!R39C8</stp>
        <tr r="H39" s="1"/>
      </tp>
      <tp>
        <v>1.2789900000000001</v>
        <stp/>
        <stp>##V3_BDPV12</stp>
        <stp>912828AF Govt</stp>
        <stp>IDX_RATIO</stp>
        <stp>[TIPS.xlsx]Sheet1!R71C20</stp>
        <tr r="T71" s="1"/>
      </tp>
      <tp>
        <v>1.2627900000000001</v>
        <stp/>
        <stp>##V3_BDPV12</stp>
        <stp>912828BW Govt</stp>
        <stp>IDX_RATIO</stp>
        <stp>[TIPS.xlsx]Sheet1!R82C20</stp>
        <tr r="T82" s="1"/>
      </tp>
      <tp>
        <v>1.26708</v>
        <stp/>
        <stp>##V3_BDPV12</stp>
        <stp>912828BD Govt</stp>
        <stp>IDX_RATIO</stp>
        <stp>[TIPS.xlsx]Sheet1!R58C20</stp>
        <tr r="T58" s="1"/>
      </tp>
      <tp>
        <v>1.17042</v>
        <stp/>
        <stp>##V3_BDPV12</stp>
        <stp>912828B2 Govt</stp>
        <stp>IDX_RATIO</stp>
        <stp>[TIPS.xlsx]Sheet1!R25C20</stp>
        <tr r="T25" s="1"/>
      </tp>
      <tp>
        <v>1.2596799999999999</v>
        <stp/>
        <stp>##V3_BDPV12</stp>
        <stp>912828CP Govt</stp>
        <stp>IDX_RATIO</stp>
        <stp>[TIPS.xlsx]Sheet1!R76C20</stp>
        <tr r="T76" s="1"/>
      </tp>
      <tp>
        <v>1.1439300000000001</v>
        <stp/>
        <stp>##V3_BDPV12</stp>
        <stp>912828CZ Govt</stp>
        <stp>IDX_RATIO</stp>
        <stp>[TIPS.xlsx]Sheet1!R65C20</stp>
        <tr r="T65" s="1"/>
      </tp>
      <tp>
        <v>1.0763400000000001</v>
        <stp/>
        <stp>##V3_BDPV12</stp>
        <stp>912828C9 Govt</stp>
        <stp>IDX_RATIO</stp>
        <stp>[TIPS.xlsx]Sheet1!R53C20</stp>
        <tr r="T53" s="1"/>
      </tp>
      <tp>
        <v>1.2404299999999999</v>
        <stp/>
        <stp>##V3_BDPV12</stp>
        <stp>912828DH Govt</stp>
        <stp>IDX_RATIO</stp>
        <stp>[TIPS.xlsx]Sheet1!R80C20</stp>
        <tr r="T80" s="1"/>
      </tp>
      <tp>
        <v>1.1971700000000001</v>
        <stp/>
        <stp>##V3_BDPV12</stp>
        <stp>912828ET Govt</stp>
        <stp>IDX_RATIO</stp>
        <stp>[TIPS.xlsx]Sheet1!R73C20</stp>
        <tr r="T73" s="1"/>
      </tp>
      <tp>
        <v>1.21919</v>
        <stp/>
        <stp>##V3_BDPV12</stp>
        <stp>912828EA Govt</stp>
        <stp>IDX_RATIO</stp>
        <stp>[TIPS.xlsx]Sheet1!R79C20</stp>
        <tr r="T79" s="1"/>
      </tp>
      <tp>
        <v>1.18692</v>
        <stp/>
        <stp>##V3_BDPV12</stp>
        <stp>912828FL Govt</stp>
        <stp>IDX_RATIO</stp>
        <stp>[TIPS.xlsx]Sheet1!R83C20</stp>
        <tr r="T83" s="1"/>
      </tp>
      <tp>
        <v>1.11206</v>
        <stp/>
        <stp>##V3_BDPV12</stp>
        <stp>912828FB Govt</stp>
        <stp>IDX_RATIO</stp>
        <stp>[TIPS.xlsx]Sheet1!R81C20</stp>
        <tr r="T81" s="1"/>
      </tp>
      <tp>
        <v>1.1802699999999999</v>
        <stp/>
        <stp>##V3_BDPV12</stp>
        <stp>912828GX Govt</stp>
        <stp>IDX_RATIO</stp>
        <stp>[TIPS.xlsx]Sheet1!R54C20</stp>
        <tr r="T54" s="1"/>
      </tp>
      <tp>
        <v>1.19783</v>
        <stp/>
        <stp>##V3_BDPV12</stp>
        <stp>912828GD Govt</stp>
        <stp>IDX_RATIO</stp>
        <stp>[TIPS.xlsx]Sheet1!R63C20</stp>
        <tr r="T63" s="1"/>
      </tp>
      <tp>
        <v>1.1193</v>
        <stp/>
        <stp>##V3_BDPV12</stp>
        <stp>912828GN Govt</stp>
        <stp>IDX_RATIO</stp>
        <stp>[TIPS.xlsx]Sheet1!R74C20</stp>
        <tr r="T74" s="1"/>
      </tp>
      <tp>
        <v>1.09365</v>
        <stp/>
        <stp>##V3_BDPV12</stp>
        <stp>912828HW Govt</stp>
        <stp>IDX_RATIO</stp>
        <stp>[TIPS.xlsx]Sheet1!R64C20</stp>
        <tr r="T64" s="1"/>
      </tp>
      <tp>
        <v>1.1774199999999999</v>
        <stp/>
        <stp>##V3_BDPV12</stp>
        <stp>912828HN Govt</stp>
        <stp>IDX_RATIO</stp>
        <stp>[TIPS.xlsx]Sheet1!R60C20</stp>
        <tr r="T60" s="1"/>
      </tp>
      <tp>
        <v>1.1530100000000001</v>
        <stp/>
        <stp>##V3_BDPV12</stp>
        <stp>912828H4 Govt</stp>
        <stp>IDX_RATIO</stp>
        <stp>[TIPS.xlsx]Sheet1!R27C20</stp>
        <tr r="T27" s="1"/>
      </tp>
      <tp>
        <v>1.1760699999999999</v>
        <stp/>
        <stp>##V3_BDPV12</stp>
        <stp>912828JX Govt</stp>
        <stp>IDX_RATIO</stp>
        <stp>[TIPS.xlsx]Sheet1!R69C20</stp>
        <tr r="T69" s="1"/>
      </tp>
      <tp>
        <v>1.16405</v>
        <stp/>
        <stp>##V3_BDPV12</stp>
        <stp>912828JE Govt</stp>
        <stp>IDX_RATIO</stp>
        <stp>[TIPS.xlsx]Sheet1!R85C20</stp>
        <tr r="T85" s="1"/>
      </tp>
      <tp>
        <v>1.1072</v>
        <stp/>
        <stp>##V3_BDPV12</stp>
        <stp>912828KM Govt</stp>
        <stp>IDX_RATIO</stp>
        <stp>[TIPS.xlsx]Sheet1!R84C20</stp>
        <tr r="T84" s="1"/>
      </tp>
      <tp>
        <v>1.103</v>
        <stp/>
        <stp>##V3_BDPV12</stp>
        <stp>912828K3 Govt</stp>
        <stp>IDX_RATIO</stp>
        <stp>[TIPS.xlsx]Sheet1!R66C20</stp>
        <tr r="T66" s="1"/>
      </tp>
      <tp>
        <v>1.1979899999999999</v>
        <stp/>
        <stp>##V3_BDPV12</stp>
        <stp>912828LA Govt</stp>
        <stp>IDX_RATIO</stp>
        <stp>[TIPS.xlsx]Sheet1!R59C20</stp>
        <tr r="T59" s="1"/>
      </tp>
      <tp>
        <v>1.0806100000000001</v>
        <stp/>
        <stp>##V3_BDPV12</stp>
        <stp>912828MY Govt</stp>
        <stp>IDX_RATIO</stp>
        <stp>[TIPS.xlsx]Sheet1!R62C20</stp>
        <tr r="T62" s="1"/>
      </tp>
      <tp>
        <v>1.18977</v>
        <stp/>
        <stp>##V3_BDPV12</stp>
        <stp>912828MF Govt</stp>
        <stp>IDX_RATIO</stp>
        <stp>[TIPS.xlsx]Sheet1!R61C20</stp>
        <tr r="T61" s="1"/>
      </tp>
      <tp>
        <v>1.1756500000000001</v>
        <stp/>
        <stp>##V3_BDPV12</stp>
        <stp>912828NM Govt</stp>
        <stp>IDX_RATIO</stp>
        <stp>[TIPS.xlsx]Sheet1!R52C20</stp>
        <tr r="T52" s="1"/>
      </tp>
      <tp>
        <v>1.14933</v>
        <stp/>
        <stp>##V3_BDPV12</stp>
        <stp>912828N7 Govt</stp>
        <stp>IDX_RATIO</stp>
        <stp>[TIPS.xlsx]Sheet1!R17C20</stp>
        <tr r="T17" s="1"/>
      </tp>
      <tp>
        <v>1.19</v>
        <stp/>
        <stp>##V3_BDPV12</stp>
        <stp>912828PP Govt</stp>
        <stp>IDX_RATIO</stp>
        <stp>[TIPS.xlsx]Sheet1!R51C20</stp>
        <tr r="T51" s="1"/>
      </tp>
      <tp>
        <v>1.1891799999999999</v>
        <stp/>
        <stp>##V3_BDPV12</stp>
        <stp>912828QV Govt</stp>
        <stp>IDX_RATIO</stp>
        <stp>[TIPS.xlsx]Sheet1!R49C20</stp>
        <tr r="T49" s="1"/>
      </tp>
      <tp>
        <v>1.0737399999999999</v>
        <stp/>
        <stp>##V3_BDPV12</stp>
        <stp>912828QD Govt</stp>
        <stp>IDX_RATIO</stp>
        <stp>[TIPS.xlsx]Sheet1!R70C20</stp>
        <tr r="T70" s="1"/>
      </tp>
      <tp>
        <v>1.1065100000000001</v>
        <stp/>
        <stp>##V3_BDPV12</stp>
        <stp>912828Q6 Govt</stp>
        <stp>IDX_RATIO</stp>
        <stp>[TIPS.xlsx]Sheet1!R50C20</stp>
        <tr r="T50" s="1"/>
      </tp>
      <tp>
        <v>1.07073</v>
        <stp/>
        <stp>##V3_BDPV12</stp>
        <stp>912828SQ Govt</stp>
        <stp>IDX_RATIO</stp>
        <stp>[TIPS.xlsx]Sheet1!R55C20</stp>
        <tr r="T55" s="1"/>
      </tp>
      <tp>
        <v>1.2065900000000001</v>
        <stp/>
        <stp>##V3_BDPV12</stp>
        <stp>912828SA Govt</stp>
        <stp>IDX_RATIO</stp>
        <stp>[TIPS.xlsx]Sheet1!R12C20</stp>
        <tr r="T12" s="1"/>
      </tp>
      <tp>
        <v>1.13931</v>
        <stp/>
        <stp>##V3_BDPV12</stp>
        <stp>912828S5 Govt</stp>
        <stp>IDX_RATIO</stp>
        <stp>[TIPS.xlsx]Sheet1!R13C20</stp>
        <tr r="T13" s="1"/>
      </tp>
      <tp>
        <v>1.1875599999999999</v>
        <stp/>
        <stp>##V3_BDPV12</stp>
        <stp>912828TE Govt</stp>
        <stp>IDX_RATIO</stp>
        <stp>[TIPS.xlsx]Sheet1!R18C20</stp>
        <tr r="T18" s="1"/>
      </tp>
      <tp>
        <v>1.0745400000000001</v>
        <stp/>
        <stp>##V3_BDPV12</stp>
        <stp>912828UX Govt</stp>
        <stp>IDX_RATIO</stp>
        <stp>[TIPS.xlsx]Sheet1!R56C20</stp>
        <tr r="T56" s="1"/>
      </tp>
      <tp>
        <v>1.1735</v>
        <stp/>
        <stp>##V3_BDPV12</stp>
        <stp>912828VM Govt</stp>
        <stp>IDX_RATIO</stp>
        <stp>[TIPS.xlsx]Sheet1!R28C20</stp>
        <tr r="T28" s="1"/>
      </tp>
      <tp>
        <v>1.1305499999999999</v>
        <stp/>
        <stp>##V3_BDPV12</stp>
        <stp>912828V4 Govt</stp>
        <stp>IDX_RATIO</stp>
        <stp>[TIPS.xlsx]Sheet1!R29C20</stp>
        <tr r="T29" s="1"/>
      </tp>
      <tp>
        <v>1.1501300000000001</v>
        <stp/>
        <stp>##V3_BDPV12</stp>
        <stp>912828WU Govt</stp>
        <stp>IDX_RATIO</stp>
        <stp>[TIPS.xlsx]Sheet1!R26C20</stp>
        <tr r="T26" s="1"/>
      </tp>
      <tp>
        <v>1.1516</v>
        <stp/>
        <stp>##V3_BDPV12</stp>
        <stp>912828XL Govt</stp>
        <stp>IDX_RATIO</stp>
        <stp>[TIPS.xlsx]Sheet1!R21C20</stp>
        <tr r="T21" s="1"/>
      </tp>
      <tp>
        <v>1.0644199999999999</v>
        <stp/>
        <stp>##V3_BDPV12</stp>
        <stp>912828YL Govt</stp>
        <stp>IDX_RATIO</stp>
        <stp>[TIPS.xlsx]Sheet1!R24C20</stp>
        <tr r="T24" s="1"/>
      </tp>
      <tp>
        <v>1.08795</v>
        <stp/>
        <stp>##V3_BDPV12</stp>
        <stp>912828Y3 Govt</stp>
        <stp>IDX_RATIO</stp>
        <stp>[TIPS.xlsx]Sheet1!R30C20</stp>
        <tr r="T30" s="1"/>
      </tp>
      <tp>
        <v>1.0572699999999999</v>
        <stp/>
        <stp>##V3_BDPV12</stp>
        <stp>912828ZJ Govt</stp>
        <stp>IDX_RATIO</stp>
        <stp>[TIPS.xlsx]Sheet1!R19C20</stp>
        <tr r="T19" s="1"/>
      </tp>
      <tp>
        <v>1.06145</v>
        <stp/>
        <stp>##V3_BDPV12</stp>
        <stp>912828Z3 Govt</stp>
        <stp>IDX_RATIO</stp>
        <stp>[TIPS.xlsx]Sheet1!R10C20</stp>
        <tr r="T10" s="1"/>
      </tp>
      <tp>
        <v>1.1164099999999999</v>
        <stp/>
        <stp>##V3_BDPV12</stp>
        <stp>9128282L Govt</stp>
        <stp>IDX_RATIO</stp>
        <stp>[TIPS.xlsx]Sheet1!R23C20</stp>
        <tr r="T23" s="1"/>
      </tp>
      <tp>
        <v>1.10714</v>
        <stp/>
        <stp>##V3_BDPV12</stp>
        <stp>9128283R Govt</stp>
        <stp>IDX_RATIO</stp>
        <stp>[TIPS.xlsx]Sheet1!R22C20</stp>
        <tr r="T22" s="1"/>
      </tp>
      <tp>
        <v>1.08155</v>
        <stp/>
        <stp>##V3_BDPV12</stp>
        <stp>9128285W Govt</stp>
        <stp>IDX_RATIO</stp>
        <stp>[TIPS.xlsx]Sheet1!R20C20</stp>
        <tr r="T20" s="1"/>
      </tp>
      <tp>
        <v>1.0828100000000001</v>
        <stp/>
        <stp>##V3_BDPV12</stp>
        <stp>9128286N Govt</stp>
        <stp>IDX_RATIO</stp>
        <stp>[TIPS.xlsx]Sheet1!R15C20</stp>
        <tr r="T15" s="1"/>
      </tp>
      <tp>
        <v>1.0676300000000001</v>
        <stp/>
        <stp>##V3_BDPV12</stp>
        <stp>9128287D Govt</stp>
        <stp>IDX_RATIO</stp>
        <stp>[TIPS.xlsx]Sheet1!R16C20</stp>
        <tr r="T16" s="1"/>
      </tp>
      <tp t="s">
        <v>FIXED</v>
        <stp/>
        <stp>##V3_BDPV12</stp>
        <stp>912828BW Govt</stp>
        <stp>CPN_TYP</stp>
        <stp>[TIPS.xlsx]Sheet1!R82C11</stp>
        <tr r="K82" s="1"/>
      </tp>
      <tp t="s">
        <v>FIXED</v>
        <stp/>
        <stp>##V3_BDPV12</stp>
        <stp>9128275W Govt</stp>
        <stp>CPN_TYP</stp>
        <stp>[TIPS.xlsx]Sheet1!R68C11</stp>
        <tr r="K68" s="1"/>
      </tp>
      <tp t="s">
        <v>FIXED</v>
        <stp/>
        <stp>##V3_BDPV12</stp>
        <stp>9128285W Govt</stp>
        <stp>CPN_TYP</stp>
        <stp>[TIPS.xlsx]Sheet1!R20C11</stp>
        <tr r="K20" s="1"/>
      </tp>
      <tp t="s">
        <v>FIXED</v>
        <stp/>
        <stp>##V3_BDPV12</stp>
        <stp>912828HW Govt</stp>
        <stp>CPN_TYP</stp>
        <stp>[TIPS.xlsx]Sheet1!R64C11</stp>
        <tr r="K64" s="1"/>
      </tp>
      <tp t="s">
        <v>FIXED</v>
        <stp/>
        <stp>##V3_BDPV12</stp>
        <stp>912810RW Govt</stp>
        <stp>CPN_TYP</stp>
        <stp>[TIPS.xlsx]Sheet1!R40C11</stp>
        <tr r="K40" s="1"/>
      </tp>
      <tp t="s">
        <v>US912810PS15</v>
        <stp/>
        <stp>##V3_BDPV12</stp>
        <stp>912810PS Govt</stp>
        <stp>ID_ISIN</stp>
        <stp>[TIPS.xlsx]Sheet1!R45C12</stp>
        <tr r="L45" s="1"/>
      </tp>
      <tp t="s">
        <v>US912810FS25</v>
        <stp/>
        <stp>##V3_BDPV12</stp>
        <stp>912810FS Govt</stp>
        <stp>ID_ISIN</stp>
        <stp>[TIPS.xlsx]Sheet1!R33C12</stp>
        <tr r="L33" s="1"/>
      </tp>
      <tp t="s">
        <v>7/15/2018</v>
        <stp/>
        <stp>##V3_BDPV12</stp>
        <stp>912828JE Govt</stp>
        <stp>MATURITY</stp>
        <stp>[TIPS.xlsx]Sheet1!R85C5</stp>
        <tr r="E85" s="1"/>
      </tp>
      <tp t="s">
        <v>2/15/2048</v>
        <stp/>
        <stp>##V3_BDPV12</stp>
        <stp>912810SB Govt</stp>
        <stp>MATURITY</stp>
        <stp>[TIPS.xlsx]Sheet1!R42C5</stp>
        <tr r="E42" s="1"/>
      </tp>
      <tp t="s">
        <v>UNITED STATES</v>
        <stp/>
        <stp>##V3_BDPV12</stp>
        <stp>912810QF Govt</stp>
        <stp>COUNTRY_FULL_NAME</stp>
        <stp>[TIPS.xlsx]Sheet1!R38C8</stp>
        <tr r="H38" s="1"/>
      </tp>
      <tp t="s">
        <v>UNITED STATES</v>
        <stp/>
        <stp>##V3_BDPV12</stp>
        <stp>912810PZ Govt</stp>
        <stp>COUNTRY_FULL_NAME</stp>
        <stp>[TIPS.xlsx]Sheet1!R48C8</stp>
        <tr r="H48" s="1"/>
      </tp>
      <tp t="s">
        <v>FIXED</v>
        <stp/>
        <stp>##V3_BDPV12</stp>
        <stp>912828QV Govt</stp>
        <stp>CPN_TYP</stp>
        <stp>[TIPS.xlsx]Sheet1!R49C11</stp>
        <tr r="K49" s="1"/>
      </tp>
      <tp t="s">
        <v>FIXED</v>
        <stp/>
        <stp>##V3_BDPV12</stp>
        <stp>912810QV Govt</stp>
        <stp>CPN_TYP</stp>
        <stp>[TIPS.xlsx]Sheet1!R39C11</stp>
        <tr r="K39" s="1"/>
      </tp>
      <tp t="s">
        <v>FIXED</v>
        <stp/>
        <stp>##V3_BDPV12</stp>
        <stp>912810PV Govt</stp>
        <stp>CPN_TYP</stp>
        <stp>[TIPS.xlsx]Sheet1!R46C11</stp>
        <tr r="K46" s="1"/>
      </tp>
      <tp t="s">
        <v>NORMAL</v>
        <stp/>
        <stp>##V3_BDPV12</stp>
        <stp>91282CBF Govt</stp>
        <stp>MTY_TYP</stp>
        <stp>[TIPS.xlsx]Sheet1!R5C6</stp>
        <tr r="F5" s="1"/>
      </tp>
      <tp t="s">
        <v>US912810RR14</v>
        <stp/>
        <stp>##V3_BDPV12</stp>
        <stp>912810RR Govt</stp>
        <stp>ID_ISIN</stp>
        <stp>[TIPS.xlsx]Sheet1!R47C12</stp>
        <tr r="L47" s="1"/>
      </tp>
      <tp t="s">
        <v>US912810FR42</v>
        <stp/>
        <stp>##V3_BDPV12</stp>
        <stp>912810FR Govt</stp>
        <stp>ID_ISIN</stp>
        <stp>[TIPS.xlsx]Sheet1!R34C12</stp>
        <tr r="L34" s="1"/>
      </tp>
      <tp t="s">
        <v>US9128276R87</v>
        <stp/>
        <stp>##V3_BDPV12</stp>
        <stp>9128276R Govt</stp>
        <stp>ID_ISIN</stp>
        <stp>[TIPS.xlsx]Sheet1!R77C12</stp>
        <tr r="L77" s="1"/>
      </tp>
      <tp t="s">
        <v>US9128283R96</v>
        <stp/>
        <stp>##V3_BDPV12</stp>
        <stp>9128283R Govt</stp>
        <stp>ID_ISIN</stp>
        <stp>[TIPS.xlsx]Sheet1!R22C12</stp>
        <tr r="L22" s="1"/>
      </tp>
      <tp t="s">
        <v>NORMAL</v>
        <stp/>
        <stp>##V3_BDPV12</stp>
        <stp>912828V4 Govt</stp>
        <stp>MTY_TYP</stp>
        <stp>[TIPS.xlsx]Sheet1!R29C6</stp>
        <tr r="F29" s="1"/>
      </tp>
      <tp t="s">
        <v>4/15/2025</v>
        <stp/>
        <stp>##V3_BDPV12</stp>
        <stp>912828ZJ Govt</stp>
        <stp>MATURITY</stp>
        <stp>[TIPS.xlsx]Sheet1!R19C5</stp>
        <tr r="E19" s="1"/>
      </tp>
      <tp t="s">
        <v>1/15/2022</v>
        <stp/>
        <stp>##V3_BDPV12</stp>
        <stp>912828SA Govt</stp>
        <stp>MATURITY</stp>
        <stp>[TIPS.xlsx]Sheet1!R12C5</stp>
        <tr r="E12" s="1"/>
      </tp>
      <tp t="s">
        <v>4/15/2011</v>
        <stp/>
        <stp>##V3_BDPV12</stp>
        <stp>912828FB Govt</stp>
        <stp>MATURITY</stp>
        <stp>[TIPS.xlsx]Sheet1!R81C5</stp>
        <tr r="E81" s="1"/>
      </tp>
      <tp t="s">
        <v>UNITED STATES</v>
        <stp/>
        <stp>##V3_BDPV12</stp>
        <stp>912828TE Govt</stp>
        <stp>COUNTRY_FULL_NAME</stp>
        <stp>[TIPS.xlsx]Sheet1!R18C8</stp>
        <tr r="H18" s="1"/>
      </tp>
      <tp t="s">
        <v>UNITED STATES</v>
        <stp/>
        <stp>##V3_BDPV12</stp>
        <stp>912828VM Govt</stp>
        <stp>COUNTRY_FULL_NAME</stp>
        <stp>[TIPS.xlsx]Sheet1!R28C8</stp>
        <tr r="H28" s="1"/>
      </tp>
      <tp t="s">
        <v>UNITED STATES</v>
        <stp/>
        <stp>##V3_BDPV12</stp>
        <stp>912828BD Govt</stp>
        <stp>COUNTRY_FULL_NAME</stp>
        <stp>[TIPS.xlsx]Sheet1!R58C8</stp>
        <tr r="H58" s="1"/>
      </tp>
      <tp t="s">
        <v>2/15/2049</v>
        <stp/>
        <stp>##V3_BDPV12</stp>
        <stp>912810SG Govt</stp>
        <stp>MATURITY</stp>
        <stp>[TIPS.xlsx]Sheet1!R44C5</stp>
        <tr r="E44" s="1"/>
      </tp>
      <tp t="s">
        <v>UNITED STATES</v>
        <stp/>
        <stp>##V3_BDPV12</stp>
        <stp>9128275W Govt</stp>
        <stp>COUNTRY_FULL_NAME</stp>
        <stp>[TIPS.xlsx]Sheet1!R68C8</stp>
        <tr r="H68" s="1"/>
      </tp>
      <tp t="s">
        <v>UNITED STATES</v>
        <stp/>
        <stp>##V3_BDPV12</stp>
        <stp>9128273A Govt</stp>
        <stp>COUNTRY_FULL_NAME</stp>
        <stp>[TIPS.xlsx]Sheet1!R78C8</stp>
        <tr r="H78" s="1"/>
      </tp>
      <tp t="s">
        <v>NORMAL</v>
        <stp/>
        <stp>##V3_BDPV12</stp>
        <stp>912828TE Govt</stp>
        <stp>MTY_TYP</stp>
        <stp>[TIPS.xlsx]Sheet1!R18C6</stp>
        <tr r="F18" s="1"/>
      </tp>
      <tp t="s">
        <v>FIXED</v>
        <stp/>
        <stp>##V3_BDPV12</stp>
        <stp>912828WU Govt</stp>
        <stp>CPN_TYP</stp>
        <stp>[TIPS.xlsx]Sheet1!R26C11</stp>
        <tr r="K26" s="1"/>
      </tp>
      <tp t="s">
        <v>US912810FQ68</v>
        <stp/>
        <stp>##V3_BDPV12</stp>
        <stp>912810FQ Govt</stp>
        <stp>ID_ISIN</stp>
        <stp>[TIPS.xlsx]Sheet1!R36C12</stp>
        <tr r="L36" s="1"/>
      </tp>
      <tp t="s">
        <v>US91282CAQ42</v>
        <stp/>
        <stp>##V3_BDPV12</stp>
        <stp>91282CAQ Govt</stp>
        <stp>ID_ISIN</stp>
        <stp>[TIPS.xlsx]Sheet1!R14C12</stp>
        <tr r="L14" s="1"/>
      </tp>
      <tp t="s">
        <v>US912828SQ48</v>
        <stp/>
        <stp>##V3_BDPV12</stp>
        <stp>912828SQ Govt</stp>
        <stp>ID_ISIN</stp>
        <stp>[TIPS.xlsx]Sheet1!R55C12</stp>
        <tr r="L55" s="1"/>
      </tp>
      <tp t="s">
        <v>7/15/2029</v>
        <stp/>
        <stp>##V3_BDPV12</stp>
        <stp>9128287D Govt</stp>
        <stp>MATURITY</stp>
        <stp>[TIPS.xlsx]Sheet1!R16C5</stp>
        <tr r="E16" s="1"/>
      </tp>
      <tp t="s">
        <v>UNITED STATES</v>
        <stp/>
        <stp>##V3_BDPV12</stp>
        <stp>912828V4 Govt</stp>
        <stp>COUNTRY_FULL_NAME</stp>
        <stp>[TIPS.xlsx]Sheet1!R29C8</stp>
        <tr r="H29" s="1"/>
      </tp>
      <tp t="s">
        <v>UNITED STATES</v>
        <stp/>
        <stp>##V3_BDPV12</stp>
        <stp>912828QV Govt</stp>
        <stp>COUNTRY_FULL_NAME</stp>
        <stp>[TIPS.xlsx]Sheet1!R49C8</stp>
        <tr r="H49" s="1"/>
      </tp>
      <tp t="s">
        <v>UNITED STATES</v>
        <stp/>
        <stp>##V3_BDPV12</stp>
        <stp>912828ZJ Govt</stp>
        <stp>COUNTRY_FULL_NAME</stp>
        <stp>[TIPS.xlsx]Sheet1!R19C8</stp>
        <tr r="H19" s="1"/>
      </tp>
      <tp t="s">
        <v>UNITED STATES</v>
        <stp/>
        <stp>##V3_BDPV12</stp>
        <stp>912828EA Govt</stp>
        <stp>COUNTRY_FULL_NAME</stp>
        <stp>[TIPS.xlsx]Sheet1!R79C8</stp>
        <tr r="H79" s="1"/>
      </tp>
      <tp t="s">
        <v>UNITED STATES</v>
        <stp/>
        <stp>##V3_BDPV12</stp>
        <stp>912828LA Govt</stp>
        <stp>COUNTRY_FULL_NAME</stp>
        <stp>[TIPS.xlsx]Sheet1!R59C8</stp>
        <tr r="H59" s="1"/>
      </tp>
      <tp t="s">
        <v>UNITED STATES</v>
        <stp/>
        <stp>##V3_BDPV12</stp>
        <stp>912828JX Govt</stp>
        <stp>COUNTRY_FULL_NAME</stp>
        <stp>[TIPS.xlsx]Sheet1!R69C8</stp>
        <tr r="H69" s="1"/>
      </tp>
      <tp t="s">
        <v>2/15/2043</v>
        <stp/>
        <stp>##V3_BDPV12</stp>
        <stp>912810RA Govt</stp>
        <stp>MATURITY</stp>
        <stp>[TIPS.xlsx]Sheet1!R43C5</stp>
        <tr r="E43" s="1"/>
      </tp>
      <tp t="s">
        <v>NORMAL</v>
        <stp/>
        <stp>##V3_BDPV12</stp>
        <stp>912828YL Govt</stp>
        <stp>MTY_TYP</stp>
        <stp>[TIPS.xlsx]Sheet1!R24C6</stp>
        <tr r="F24" s="1"/>
      </tp>
      <tp t="s">
        <v>FIXED</v>
        <stp/>
        <stp>##V3_BDPV12</stp>
        <stp>9128273T Govt</stp>
        <stp>CPN_TYP</stp>
        <stp>[TIPS.xlsx]Sheet1!R75C11</stp>
        <tr r="K75" s="1"/>
      </tp>
      <tp t="s">
        <v>FIXED</v>
        <stp/>
        <stp>##V3_BDPV12</stp>
        <stp>912828ET Govt</stp>
        <stp>CPN_TYP</stp>
        <stp>[TIPS.xlsx]Sheet1!R73C11</stp>
        <tr r="K73" s="1"/>
      </tp>
      <tp t="s">
        <v>US912810QP66</v>
        <stp/>
        <stp>##V3_BDPV12</stp>
        <stp>912810QP Govt</stp>
        <stp>ID_ISIN</stp>
        <stp>[TIPS.xlsx]Sheet1!R31C12</stp>
        <tr r="L31" s="1"/>
      </tp>
      <tp t="s">
        <v>US912828PP91</v>
        <stp/>
        <stp>##V3_BDPV12</stp>
        <stp>912828PP Govt</stp>
        <stp>ID_ISIN</stp>
        <stp>[TIPS.xlsx]Sheet1!R51C12</stp>
        <tr r="L51" s="1"/>
      </tp>
      <tp t="s">
        <v>US912828CP39</v>
        <stp/>
        <stp>##V3_BDPV12</stp>
        <stp>912828CP Govt</stp>
        <stp>ID_ISIN</stp>
        <stp>[TIPS.xlsx]Sheet1!R76C12</stp>
        <tr r="L76" s="1"/>
      </tp>
      <tp t="s">
        <v>7/15/2023</v>
        <stp/>
        <stp>##V3_BDPV12</stp>
        <stp>912828VM Govt</stp>
        <stp>MATURITY</stp>
        <stp>[TIPS.xlsx]Sheet1!R28C5</stp>
        <tr r="E28" s="1"/>
      </tp>
      <tp t="s">
        <v>FIXED</v>
        <stp/>
        <stp>##V3_BDPV12</stp>
        <stp>912810FS Govt</stp>
        <stp>CPN_TYP</stp>
        <stp>[TIPS.xlsx]Sheet1!R33C11</stp>
        <tr r="K33" s="1"/>
      </tp>
      <tp t="s">
        <v>FIXED</v>
        <stp/>
        <stp>##V3_BDPV12</stp>
        <stp>912810PS Govt</stp>
        <stp>CPN_TYP</stp>
        <stp>[TIPS.xlsx]Sheet1!R45C11</stp>
        <tr r="K45" s="1"/>
      </tp>
      <tp t="s">
        <v>NORMAL</v>
        <stp/>
        <stp>##V3_BDPV12</stp>
        <stp>912828Z3 Govt</stp>
        <stp>MTY_TYP</stp>
        <stp>[TIPS.xlsx]Sheet1!R10C6</stp>
        <tr r="F10" s="1"/>
      </tp>
      <tp t="s">
        <v>US912810RW09</v>
        <stp/>
        <stp>##V3_BDPV12</stp>
        <stp>912810RW Govt</stp>
        <stp>ID_ISIN</stp>
        <stp>[TIPS.xlsx]Sheet1!R40C12</stp>
        <tr r="L40" s="1"/>
      </tp>
      <tp t="s">
        <v>US9128275W81</v>
        <stp/>
        <stp>##V3_BDPV12</stp>
        <stp>9128275W Govt</stp>
        <stp>ID_ISIN</stp>
        <stp>[TIPS.xlsx]Sheet1!R68C12</stp>
        <tr r="L68" s="1"/>
      </tp>
      <tp t="s">
        <v>US912828BW98</v>
        <stp/>
        <stp>##V3_BDPV12</stp>
        <stp>912828BW Govt</stp>
        <stp>ID_ISIN</stp>
        <stp>[TIPS.xlsx]Sheet1!R82C12</stp>
        <tr r="L82" s="1"/>
      </tp>
      <tp t="s">
        <v>US912828HW35</v>
        <stp/>
        <stp>##V3_BDPV12</stp>
        <stp>912828HW Govt</stp>
        <stp>ID_ISIN</stp>
        <stp>[TIPS.xlsx]Sheet1!R64C12</stp>
        <tr r="L64" s="1"/>
      </tp>
      <tp t="s">
        <v>US9128285W63</v>
        <stp/>
        <stp>##V3_BDPV12</stp>
        <stp>9128285W Govt</stp>
        <stp>ID_ISIN</stp>
        <stp>[TIPS.xlsx]Sheet1!R20C12</stp>
        <tr r="L20" s="1"/>
      </tp>
      <tp t="s">
        <v>4/15/2016</v>
        <stp/>
        <stp>##V3_BDPV12</stp>
        <stp>912828QD Govt</stp>
        <stp>MATURITY</stp>
        <stp>[TIPS.xlsx]Sheet1!R70C5</stp>
        <tr r="E70" s="1"/>
      </tp>
      <tp t="s">
        <v>2/15/2044</v>
        <stp/>
        <stp>##V3_BDPV12</stp>
        <stp>912810RF Govt</stp>
        <stp>MATURITY</stp>
        <stp>[TIPS.xlsx]Sheet1!R32C5</stp>
        <tr r="E32" s="1"/>
      </tp>
      <tp t="s">
        <v>FIXED</v>
        <stp/>
        <stp>##V3_BDPV12</stp>
        <stp>9128276R Govt</stp>
        <stp>CPN_TYP</stp>
        <stp>[TIPS.xlsx]Sheet1!R77C11</stp>
        <tr r="K77" s="1"/>
      </tp>
      <tp t="s">
        <v>FIXED</v>
        <stp/>
        <stp>##V3_BDPV12</stp>
        <stp>9128283R Govt</stp>
        <stp>CPN_TYP</stp>
        <stp>[TIPS.xlsx]Sheet1!R22C11</stp>
        <tr r="K22" s="1"/>
      </tp>
      <tp t="s">
        <v>FIXED</v>
        <stp/>
        <stp>##V3_BDPV12</stp>
        <stp>912810FR Govt</stp>
        <stp>CPN_TYP</stp>
        <stp>[TIPS.xlsx]Sheet1!R34C11</stp>
        <tr r="K34" s="1"/>
      </tp>
      <tp t="s">
        <v>FIXED</v>
        <stp/>
        <stp>##V3_BDPV12</stp>
        <stp>912810RR Govt</stp>
        <stp>CPN_TYP</stp>
        <stp>[TIPS.xlsx]Sheet1!R47C11</stp>
        <tr r="K47" s="1"/>
      </tp>
      <tp t="s">
        <v>US912810PV44</v>
        <stp/>
        <stp>##V3_BDPV12</stp>
        <stp>912810PV Govt</stp>
        <stp>ID_ISIN</stp>
        <stp>[TIPS.xlsx]Sheet1!R46C12</stp>
        <tr r="L46" s="1"/>
      </tp>
      <tp t="s">
        <v>US912810QV35</v>
        <stp/>
        <stp>##V3_BDPV12</stp>
        <stp>912810QV Govt</stp>
        <stp>ID_ISIN</stp>
        <stp>[TIPS.xlsx]Sheet1!R39C12</stp>
        <tr r="L39" s="1"/>
      </tp>
      <tp t="s">
        <v>US912828QV50</v>
        <stp/>
        <stp>##V3_BDPV12</stp>
        <stp>912828QV Govt</stp>
        <stp>ID_ISIN</stp>
        <stp>[TIPS.xlsx]Sheet1!R49C12</stp>
        <tr r="L49" s="1"/>
      </tp>
      <tp t="s">
        <v>4/28/2017</v>
        <stp/>
        <stp>##V3_BDPV12</stp>
        <stp>912828X3 Govt</stp>
        <stp>ISSUE_DT</stp>
        <stp>[TIPS.xlsx]Sheet1!R8C15</stp>
        <tr r="O8" s="1"/>
      </tp>
      <tp t="s">
        <v>NORMAL</v>
        <stp/>
        <stp>##V3_BDPV12</stp>
        <stp>912810PZ Govt</stp>
        <stp>MTY_TYP</stp>
        <stp>[TIPS.xlsx]Sheet1!R48C6</stp>
        <tr r="F48" s="1"/>
      </tp>
      <tp t="s">
        <v>NORMAL</v>
        <stp/>
        <stp>##V3_BDPV12</stp>
        <stp>912828QV Govt</stp>
        <stp>MTY_TYP</stp>
        <stp>[TIPS.xlsx]Sheet1!R49C6</stp>
        <tr r="F49" s="1"/>
      </tp>
      <tp t="s">
        <v>NORMAL</v>
        <stp/>
        <stp>##V3_BDPV12</stp>
        <stp>912810QV Govt</stp>
        <stp>MTY_TYP</stp>
        <stp>[TIPS.xlsx]Sheet1!R39C6</stp>
        <tr r="F39" s="1"/>
      </tp>
      <tp t="s">
        <v>1/15/2020</v>
        <stp/>
        <stp>##V3_BDPV12</stp>
        <stp>912828MF Govt</stp>
        <stp>MATURITY</stp>
        <stp>[TIPS.xlsx]Sheet1!R61C5</stp>
        <tr r="E61" s="1"/>
      </tp>
      <tp t="s">
        <v>7/15/2012</v>
        <stp/>
        <stp>##V3_BDPV12</stp>
        <stp>912828AF Govt</stp>
        <stp>MATURITY</stp>
        <stp>[TIPS.xlsx]Sheet1!R71C5</stp>
        <tr r="E71" s="1"/>
      </tp>
      <tp t="s">
        <v>1/15/2017</v>
        <stp/>
        <stp>##V3_BDPV12</stp>
        <stp>912828GD Govt</stp>
        <stp>MATURITY</stp>
        <stp>[TIPS.xlsx]Sheet1!R63C5</stp>
        <tr r="E63" s="1"/>
      </tp>
      <tp t="s">
        <v>FIXED</v>
        <stp/>
        <stp>##V3_BDPV12</stp>
        <stp>91282CAQ Govt</stp>
        <stp>CPN_TYP</stp>
        <stp>[TIPS.xlsx]Sheet1!R14C11</stp>
        <tr r="K14" s="1"/>
      </tp>
      <tp t="s">
        <v>FIXED</v>
        <stp/>
        <stp>##V3_BDPV12</stp>
        <stp>912828SQ Govt</stp>
        <stp>CPN_TYP</stp>
        <stp>[TIPS.xlsx]Sheet1!R55C11</stp>
        <tr r="K55" s="1"/>
      </tp>
      <tp t="s">
        <v>FIXED</v>
        <stp/>
        <stp>##V3_BDPV12</stp>
        <stp>912810FQ Govt</stp>
        <stp>CPN_TYP</stp>
        <stp>[TIPS.xlsx]Sheet1!R36C11</stp>
        <tr r="K36" s="1"/>
      </tp>
      <tp t="s">
        <v>NORMAL</v>
        <stp/>
        <stp>##V3_BDPV12</stp>
        <stp>91282CCM Govt</stp>
        <stp>MTY_TYP</stp>
        <stp>[TIPS.xlsx]Sheet1!R2C6</stp>
        <tr r="F2" s="1"/>
      </tp>
      <tp t="s">
        <v>US912828WU04</v>
        <stp/>
        <stp>##V3_BDPV12</stp>
        <stp>912828WU Govt</stp>
        <stp>ID_ISIN</stp>
        <stp>[TIPS.xlsx]Sheet1!R26C12</stp>
        <tr r="L26" s="1"/>
      </tp>
      <tp t="s">
        <v>NORMAL</v>
        <stp/>
        <stp>##V3_BDPV12</stp>
        <stp>912828XL Govt</stp>
        <stp>MTY_TYP</stp>
        <stp>[TIPS.xlsx]Sheet1!R21C6</stp>
        <tr r="F21" s="1"/>
      </tp>
      <tp t="s">
        <v>NORMAL</v>
        <stp/>
        <stp>##V3_BDPV12</stp>
        <stp>912810QF Govt</stp>
        <stp>MTY_TYP</stp>
        <stp>[TIPS.xlsx]Sheet1!R38C6</stp>
        <tr r="F38" s="1"/>
      </tp>
      <tp t="s">
        <v>10/15/2018</v>
        <stp/>
        <stp>##V3_BDPV12</stp>
        <stp>9128284H Govt</stp>
        <stp>FIRST_CPN_DT</stp>
        <stp>[TIPS.xlsx]Sheet1!R7C9</stp>
        <tr r="I7" s="1"/>
      </tp>
      <tp t="s">
        <v>FIXED</v>
        <stp/>
        <stp>##V3_BDPV12</stp>
        <stp>912828PP Govt</stp>
        <stp>CPN_TYP</stp>
        <stp>[TIPS.xlsx]Sheet1!R51C11</stp>
        <tr r="K51" s="1"/>
      </tp>
      <tp t="s">
        <v>FIXED</v>
        <stp/>
        <stp>##V3_BDPV12</stp>
        <stp>912828CP Govt</stp>
        <stp>CPN_TYP</stp>
        <stp>[TIPS.xlsx]Sheet1!R76C11</stp>
        <tr r="K76" s="1"/>
      </tp>
      <tp t="s">
        <v>FIXED</v>
        <stp/>
        <stp>##V3_BDPV12</stp>
        <stp>912810QP Govt</stp>
        <stp>CPN_TYP</stp>
        <stp>[TIPS.xlsx]Sheet1!R31C11</stp>
        <tr r="K31" s="1"/>
      </tp>
      <tp t="s">
        <v>NORMAL</v>
        <stp/>
        <stp>##V3_BDPV12</stp>
        <stp>91282CCA Govt</stp>
        <stp>MTY_TYP</stp>
        <stp>[TIPS.xlsx]Sheet1!R3C6</stp>
        <tr r="F3" s="1"/>
      </tp>
      <tp t="s">
        <v>NORMAL</v>
        <stp/>
        <stp>##V3_BDPV12</stp>
        <stp>912828Y3 Govt</stp>
        <stp>MTY_TYP</stp>
        <stp>[TIPS.xlsx]Sheet1!R30C6</stp>
        <tr r="F30" s="1"/>
      </tp>
      <tp t="s">
        <v>US9128273T70</v>
        <stp/>
        <stp>##V3_BDPV12</stp>
        <stp>9128273T Govt</stp>
        <stp>ID_ISIN</stp>
        <stp>[TIPS.xlsx]Sheet1!R75C12</stp>
        <tr r="L75" s="1"/>
      </tp>
      <tp t="s">
        <v>US912828ET33</v>
        <stp/>
        <stp>##V3_BDPV12</stp>
        <stp>912828ET Govt</stp>
        <stp>ID_ISIN</stp>
        <stp>[TIPS.xlsx]Sheet1!R73C12</stp>
        <tr r="L73" s="1"/>
      </tp>
      <tp t="s">
        <v>NORMAL</v>
        <stp/>
        <stp>##V3_BDPV12</stp>
        <stp>912828CZ Govt</stp>
        <stp>MTY_TYP</stp>
        <stp>[TIPS.xlsx]Sheet1!R65C6</stp>
        <tr r="F65" s="1"/>
      </tp>
      <tp t="s">
        <v>NORMAL</v>
        <stp/>
        <stp>##V3_BDPV12</stp>
        <stp>912828ET Govt</stp>
        <stp>MTY_TYP</stp>
        <stp>[TIPS.xlsx]Sheet1!R73C6</stp>
        <tr r="F73" s="1"/>
      </tp>
      <tp t="s">
        <v>NORMAL</v>
        <stp/>
        <stp>##V3_BDPV12</stp>
        <stp>912810FH Govt</stp>
        <stp>MTY_TYP</stp>
        <stp>[TIPS.xlsx]Sheet1!R41C6</stp>
        <tr r="F41" s="1"/>
      </tp>
      <tp t="s">
        <v>NORMAL</v>
        <stp/>
        <stp>##V3_BDPV12</stp>
        <stp>912828FB Govt</stp>
        <stp>MTY_TYP</stp>
        <stp>[TIPS.xlsx]Sheet1!R81C6</stp>
        <tr r="F81" s="1"/>
      </tp>
      <tp t="s">
        <v>FIXED</v>
        <stp/>
        <stp>##V3_BDPV12</stp>
        <stp>9128286N Govt</stp>
        <stp>CPN_TYP</stp>
        <stp>[TIPS.xlsx]Sheet1!R15C11</stp>
        <tr r="K15" s="1"/>
      </tp>
      <tp t="s">
        <v>FIXED</v>
        <stp/>
        <stp>##V3_BDPV12</stp>
        <stp>912828HN Govt</stp>
        <stp>CPN_TYP</stp>
        <stp>[TIPS.xlsx]Sheet1!R60C11</stp>
        <tr r="K60" s="1"/>
      </tp>
      <tp t="s">
        <v>FIXED</v>
        <stp/>
        <stp>##V3_BDPV12</stp>
        <stp>912828GN Govt</stp>
        <stp>CPN_TYP</stp>
        <stp>[TIPS.xlsx]Sheet1!R74C11</stp>
        <tr r="K74" s="1"/>
      </tp>
      <tp t="s">
        <v>NORMAL</v>
        <stp/>
        <stp>##V3_BDPV12</stp>
        <stp>912828B2 Govt</stp>
        <stp>MTY_TYP</stp>
        <stp>[TIPS.xlsx]Sheet1!R25C6</stp>
        <tr r="F25" s="1"/>
      </tp>
      <tp t="s">
        <v>US9128277J52</v>
        <stp/>
        <stp>##V3_BDPV12</stp>
        <stp>9128277J Govt</stp>
        <stp>ID_ISIN</stp>
        <stp>[TIPS.xlsx]Sheet1!R72C12</stp>
        <tr r="L72" s="1"/>
      </tp>
      <tp t="s">
        <v>US912828ZJ22</v>
        <stp/>
        <stp>##V3_BDPV12</stp>
        <stp>912828ZJ Govt</stp>
        <stp>ID_ISIN</stp>
        <stp>[TIPS.xlsx]Sheet1!R19C12</stp>
        <tr r="L19" s="1"/>
      </tp>
      <tp t="s">
        <v>NORMAL</v>
        <stp/>
        <stp>##V3_BDPV12</stp>
        <stp>912828DH Govt</stp>
        <stp>MTY_TYP</stp>
        <stp>[TIPS.xlsx]Sheet1!R80C6</stp>
        <tr r="F80" s="1"/>
      </tp>
      <tp t="s">
        <v>4/15/2015</v>
        <stp/>
        <stp>##V3_BDPV12</stp>
        <stp>912828MY Govt</stp>
        <stp>MATURITY</stp>
        <stp>[TIPS.xlsx]Sheet1!R62C5</stp>
        <tr r="E62" s="1"/>
      </tp>
      <tp t="s">
        <v>NORMAL</v>
        <stp/>
        <stp>##V3_BDPV12</stp>
        <stp>912828GD Govt</stp>
        <stp>MTY_TYP</stp>
        <stp>[TIPS.xlsx]Sheet1!R63C6</stp>
        <tr r="F63" s="1"/>
      </tp>
      <tp t="s">
        <v>US9128284H06</v>
        <stp/>
        <stp>##V3_BDPV12</stp>
        <stp>9128284H Govt</stp>
        <stp>ID_ISIN</stp>
        <stp>[TIPS.xlsx]Sheet1!R7C12</stp>
        <tr r="L7" s="1"/>
      </tp>
      <tp t="s">
        <v>FIXED</v>
        <stp/>
        <stp>##V3_BDPV12</stp>
        <stp>912828KM Govt</stp>
        <stp>CPN_TYP</stp>
        <stp>[TIPS.xlsx]Sheet1!R84C11</stp>
        <tr r="K84" s="1"/>
      </tp>
      <tp t="s">
        <v>FIXED</v>
        <stp/>
        <stp>##V3_BDPV12</stp>
        <stp>9128272M Govt</stp>
        <stp>CPN_TYP</stp>
        <stp>[TIPS.xlsx]Sheet1!R57C11</stp>
        <tr r="K57" s="1"/>
      </tp>
      <tp t="s">
        <v>FIXED</v>
        <stp/>
        <stp>##V3_BDPV12</stp>
        <stp>912828VM Govt</stp>
        <stp>CPN_TYP</stp>
        <stp>[TIPS.xlsx]Sheet1!R28C11</stp>
        <tr r="K28" s="1"/>
      </tp>
      <tp t="s">
        <v>FIXED</v>
        <stp/>
        <stp>##V3_BDPV12</stp>
        <stp>912828NM Govt</stp>
        <stp>CPN_TYP</stp>
        <stp>[TIPS.xlsx]Sheet1!R52C11</stp>
        <tr r="K52" s="1"/>
      </tp>
      <tp t="s">
        <v>FIXED</v>
        <stp/>
        <stp>##V3_BDPV12</stp>
        <stp>912810SM Govt</stp>
        <stp>CPN_TYP</stp>
        <stp>[TIPS.xlsx]Sheet1!R11C11</stp>
        <tr r="K11" s="1"/>
      </tp>
      <tp t="s">
        <v>NORMAL</v>
        <stp/>
        <stp>##V3_BDPV12</stp>
        <stp>912810FS Govt</stp>
        <stp>MTY_TYP</stp>
        <stp>[TIPS.xlsx]Sheet1!R33C6</stp>
        <tr r="F33" s="1"/>
      </tp>
      <tp t="s">
        <v>NORMAL</v>
        <stp/>
        <stp>##V3_BDPV12</stp>
        <stp>91282CAQ Govt</stp>
        <stp>MTY_TYP</stp>
        <stp>[TIPS.xlsx]Sheet1!R14C6</stp>
        <tr r="F14" s="1"/>
      </tp>
      <tp t="s">
        <v>NORMAL</v>
        <stp/>
        <stp>##V3_BDPV12</stp>
        <stp>912828CP Govt</stp>
        <stp>MTY_TYP</stp>
        <stp>[TIPS.xlsx]Sheet1!R76C6</stp>
        <tr r="F76" s="1"/>
      </tp>
      <tp t="s">
        <v>NORMAL</v>
        <stp/>
        <stp>##V3_BDPV12</stp>
        <stp>912828FL Govt</stp>
        <stp>MTY_TYP</stp>
        <stp>[TIPS.xlsx]Sheet1!R83C6</stp>
        <tr r="F83" s="1"/>
      </tp>
      <tp t="s">
        <v>NORMAL</v>
        <stp/>
        <stp>##V3_BDPV12</stp>
        <stp>912828LA Govt</stp>
        <stp>MTY_TYP</stp>
        <stp>[TIPS.xlsx]Sheet1!R59C6</stp>
        <tr r="F59" s="1"/>
      </tp>
      <tp t="s">
        <v>FIXED</v>
        <stp/>
        <stp>##V3_BDPV12</stp>
        <stp>912828FL Govt</stp>
        <stp>CPN_TYP</stp>
        <stp>[TIPS.xlsx]Sheet1!R83C11</stp>
        <tr r="K83" s="1"/>
      </tp>
      <tp t="s">
        <v>FIXED</v>
        <stp/>
        <stp>##V3_BDPV12</stp>
        <stp>912828XL Govt</stp>
        <stp>CPN_TYP</stp>
        <stp>[TIPS.xlsx]Sheet1!R21C11</stp>
        <tr r="K21" s="1"/>
      </tp>
      <tp t="s">
        <v>FIXED</v>
        <stp/>
        <stp>##V3_BDPV12</stp>
        <stp>912828YL Govt</stp>
        <stp>CPN_TYP</stp>
        <stp>[TIPS.xlsx]Sheet1!R24C11</stp>
        <tr r="K24" s="1"/>
      </tp>
      <tp t="s">
        <v>FIXED</v>
        <stp/>
        <stp>##V3_BDPV12</stp>
        <stp>9128282L Govt</stp>
        <stp>CPN_TYP</stp>
        <stp>[TIPS.xlsx]Sheet1!R23C11</stp>
        <tr r="K23" s="1"/>
      </tp>
      <tp t="s">
        <v>FIXED</v>
        <stp/>
        <stp>##V3_BDPV12</stp>
        <stp>912810RL Govt</stp>
        <stp>CPN_TYP</stp>
        <stp>[TIPS.xlsx]Sheet1!R37C11</stp>
        <tr r="K37" s="1"/>
      </tp>
      <tp t="s">
        <v>US912810FH69</v>
        <stp/>
        <stp>##V3_BDPV12</stp>
        <stp>912810FH Govt</stp>
        <stp>ID_ISIN</stp>
        <stp>[TIPS.xlsx]Sheet1!R41C12</stp>
        <tr r="L41" s="1"/>
      </tp>
      <tp t="s">
        <v>US912828DH04</v>
        <stp/>
        <stp>##V3_BDPV12</stp>
        <stp>912828DH Govt</stp>
        <stp>ID_ISIN</stp>
        <stp>[TIPS.xlsx]Sheet1!R80C12</stp>
        <tr r="L80" s="1"/>
      </tp>
      <tp t="s">
        <v>NORMAL</v>
        <stp/>
        <stp>##V3_BDPV12</stp>
        <stp>912810FR Govt</stp>
        <stp>MTY_TYP</stp>
        <stp>[TIPS.xlsx]Sheet1!R34C6</stp>
        <tr r="F34" s="1"/>
      </tp>
      <tp t="s">
        <v>NORMAL</v>
        <stp/>
        <stp>##V3_BDPV12</stp>
        <stp>912828JX Govt</stp>
        <stp>MTY_TYP</stp>
        <stp>[TIPS.xlsx]Sheet1!R69C6</stp>
        <tr r="F69" s="1"/>
      </tp>
      <tp t="s">
        <v>NORMAL</v>
        <stp/>
        <stp>##V3_BDPV12</stp>
        <stp>912828GX Govt</stp>
        <stp>MTY_TYP</stp>
        <stp>[TIPS.xlsx]Sheet1!R54C6</stp>
        <tr r="F54" s="1"/>
      </tp>
      <tp t="s">
        <v>7/15/2017</v>
        <stp/>
        <stp>##V3_BDPV12</stp>
        <stp>912828GX Govt</stp>
        <stp>MATURITY</stp>
        <stp>[TIPS.xlsx]Sheet1!R54C5</stp>
        <tr r="E54" s="1"/>
      </tp>
      <tp t="s">
        <v>NORMAL</v>
        <stp/>
        <stp>##V3_BDPV12</stp>
        <stp>912828GN Govt</stp>
        <stp>MTY_TYP</stp>
        <stp>[TIPS.xlsx]Sheet1!R74C6</stp>
        <tr r="F74" s="1"/>
      </tp>
      <tp t="s">
        <v>NORMAL</v>
        <stp/>
        <stp>##V3_BDPV12</stp>
        <stp>912810FD Govt</stp>
        <stp>MTY_TYP</stp>
        <stp>[TIPS.xlsx]Sheet1!R35C6</stp>
        <tr r="F35" s="1"/>
      </tp>
      <tp t="s">
        <v>FIXED</v>
        <stp/>
        <stp>##V3_BDPV12</stp>
        <stp>9128277J Govt</stp>
        <stp>CPN_TYP</stp>
        <stp>[TIPS.xlsx]Sheet1!R72C11</stp>
        <tr r="K72" s="1"/>
      </tp>
      <tp t="s">
        <v>FIXED</v>
        <stp/>
        <stp>##V3_BDPV12</stp>
        <stp>912828ZJ Govt</stp>
        <stp>CPN_TYP</stp>
        <stp>[TIPS.xlsx]Sheet1!R19C11</stp>
        <tr r="K19" s="1"/>
      </tp>
      <tp t="s">
        <v>US912828GN45</v>
        <stp/>
        <stp>##V3_BDPV12</stp>
        <stp>912828GN Govt</stp>
        <stp>ID_ISIN</stp>
        <stp>[TIPS.xlsx]Sheet1!R74C12</stp>
        <tr r="L74" s="1"/>
      </tp>
      <tp t="s">
        <v>US912828HN36</v>
        <stp/>
        <stp>##V3_BDPV12</stp>
        <stp>912828HN Govt</stp>
        <stp>ID_ISIN</stp>
        <stp>[TIPS.xlsx]Sheet1!R60C12</stp>
        <tr r="L60" s="1"/>
      </tp>
      <tp t="s">
        <v>US9128286N55</v>
        <stp/>
        <stp>##V3_BDPV12</stp>
        <stp>9128286N Govt</stp>
        <stp>ID_ISIN</stp>
        <stp>[TIPS.xlsx]Sheet1!R15C12</stp>
        <tr r="L15" s="1"/>
      </tp>
      <tp t="s">
        <v>NORMAL</v>
        <stp/>
        <stp>##V3_BDPV12</stp>
        <stp>912810FQ Govt</stp>
        <stp>MTY_TYP</stp>
        <stp>[TIPS.xlsx]Sheet1!R36C6</stp>
        <tr r="F36" s="1"/>
      </tp>
      <tp t="s">
        <v>NORMAL</v>
        <stp/>
        <stp>##V3_BDPV12</stp>
        <stp>912828BW Govt</stp>
        <stp>MTY_TYP</stp>
        <stp>[TIPS.xlsx]Sheet1!R82C6</stp>
        <tr r="F82" s="1"/>
      </tp>
      <tp t="s">
        <v>1/15/2010</v>
        <stp/>
        <stp>##V3_BDPV12</stp>
        <stp>9128275W Govt</stp>
        <stp>MATURITY</stp>
        <stp>[TIPS.xlsx]Sheet1!R68C5</stp>
        <tr r="E68" s="1"/>
      </tp>
      <tp t="s">
        <v>7/15/2021</v>
        <stp/>
        <stp>##V3_BDPV12</stp>
        <stp>912828QV Govt</stp>
        <stp>MATURITY</stp>
        <stp>[TIPS.xlsx]Sheet1!R49C5</stp>
        <tr r="E49" s="1"/>
      </tp>
      <tp t="s">
        <v>4/15/2010</v>
        <stp/>
        <stp>##V3_BDPV12</stp>
        <stp>912828CZ Govt</stp>
        <stp>MATURITY</stp>
        <stp>[TIPS.xlsx]Sheet1!R65C5</stp>
        <tr r="E65" s="1"/>
      </tp>
      <tp t="s">
        <v>2/15/2042</v>
        <stp/>
        <stp>##V3_BDPV12</stp>
        <stp>912810QV Govt</stp>
        <stp>MATURITY</stp>
        <stp>[TIPS.xlsx]Sheet1!R39C5</stp>
        <tr r="E39" s="1"/>
      </tp>
      <tp t="s">
        <v>NORMAL</v>
        <stp/>
        <stp>##V3_BDPV12</stp>
        <stp>912828AF Govt</stp>
        <stp>MTY_TYP</stp>
        <stp>[TIPS.xlsx]Sheet1!R71C6</stp>
        <tr r="F71" s="1"/>
      </tp>
      <tp t="s">
        <v>NORMAL</v>
        <stp/>
        <stp>##V3_BDPV12</stp>
        <stp>912828C9 Govt</stp>
        <stp>MTY_TYP</stp>
        <stp>[TIPS.xlsx]Sheet1!R53C6</stp>
        <tr r="F53" s="1"/>
      </tp>
      <tp t="s">
        <v>US912810SM18</v>
        <stp/>
        <stp>##V3_BDPV12</stp>
        <stp>912810SM Govt</stp>
        <stp>ID_ISIN</stp>
        <stp>[TIPS.xlsx]Sheet1!R11C12</stp>
        <tr r="L11" s="1"/>
      </tp>
      <tp t="s">
        <v>US912828KM16</v>
        <stp/>
        <stp>##V3_BDPV12</stp>
        <stp>912828KM Govt</stp>
        <stp>ID_ISIN</stp>
        <stp>[TIPS.xlsx]Sheet1!R84C12</stp>
        <tr r="L84" s="1"/>
      </tp>
      <tp t="s">
        <v>US9128272M37</v>
        <stp/>
        <stp>##V3_BDPV12</stp>
        <stp>9128272M Govt</stp>
        <stp>ID_ISIN</stp>
        <stp>[TIPS.xlsx]Sheet1!R57C12</stp>
        <tr r="L57" s="1"/>
      </tp>
      <tp t="s">
        <v>US912828NM88</v>
        <stp/>
        <stp>##V3_BDPV12</stp>
        <stp>912828NM Govt</stp>
        <stp>ID_ISIN</stp>
        <stp>[TIPS.xlsx]Sheet1!R52C12</stp>
        <tr r="L52" s="1"/>
      </tp>
      <tp t="s">
        <v>US912828VM96</v>
        <stp/>
        <stp>##V3_BDPV12</stp>
        <stp>912828VM Govt</stp>
        <stp>ID_ISIN</stp>
        <stp>[TIPS.xlsx]Sheet1!R28C12</stp>
        <tr r="L28" s="1"/>
      </tp>
      <tp t="s">
        <v>912828X39</v>
        <stp/>
        <stp>##V3_BDPV12</stp>
        <stp>912828X3 Govt</stp>
        <stp>ID_CUSIP</stp>
        <stp>[TIPS.xlsx]Sheet1!R8C19</stp>
        <tr r="S8" s="1"/>
      </tp>
      <tp t="s">
        <v>1/15/2009</v>
        <stp/>
        <stp>##V3_BDPV12</stp>
        <stp>9128274Y Govt</stp>
        <stp>MATURITY</stp>
        <stp>[TIPS.xlsx]Sheet1!R67C5</stp>
        <tr r="E67" s="1"/>
      </tp>
      <tp t="s">
        <v>4/15/2018</v>
        <stp/>
        <stp>##V3_BDPV12</stp>
        <stp>912828UX Govt</stp>
        <stp>MATURITY</stp>
        <stp>[TIPS.xlsx]Sheet1!R56C5</stp>
        <tr r="E56" s="1"/>
      </tp>
      <tp t="s">
        <v>FIXED</v>
        <stp/>
        <stp>##V3_BDPV12</stp>
        <stp>912828DH Govt</stp>
        <stp>CPN_TYP</stp>
        <stp>[TIPS.xlsx]Sheet1!R80C11</stp>
        <tr r="K80" s="1"/>
      </tp>
      <tp t="s">
        <v>FIXED</v>
        <stp/>
        <stp>##V3_BDPV12</stp>
        <stp>912810FH Govt</stp>
        <stp>CPN_TYP</stp>
        <stp>[TIPS.xlsx]Sheet1!R41C11</stp>
        <tr r="K41" s="1"/>
      </tp>
      <tp t="s">
        <v>US912810RL44</v>
        <stp/>
        <stp>##V3_BDPV12</stp>
        <stp>912810RL Govt</stp>
        <stp>ID_ISIN</stp>
        <stp>[TIPS.xlsx]Sheet1!R37C12</stp>
        <tr r="L37" s="1"/>
      </tp>
      <tp t="s">
        <v>US912828FL97</v>
        <stp/>
        <stp>##V3_BDPV12</stp>
        <stp>912828FL Govt</stp>
        <stp>ID_ISIN</stp>
        <stp>[TIPS.xlsx]Sheet1!R83C12</stp>
        <tr r="L83" s="1"/>
      </tp>
      <tp t="s">
        <v>US912828YL86</v>
        <stp/>
        <stp>##V3_BDPV12</stp>
        <stp>912828YL Govt</stp>
        <stp>ID_ISIN</stp>
        <stp>[TIPS.xlsx]Sheet1!R24C12</stp>
        <tr r="L24" s="1"/>
      </tp>
      <tp t="s">
        <v>US912828XL95</v>
        <stp/>
        <stp>##V3_BDPV12</stp>
        <stp>912828XL Govt</stp>
        <stp>ID_ISIN</stp>
        <stp>[TIPS.xlsx]Sheet1!R21C12</stp>
        <tr r="L21" s="1"/>
      </tp>
      <tp t="s">
        <v>US9128282L36</v>
        <stp/>
        <stp>##V3_BDPV12</stp>
        <stp>9128282L Govt</stp>
        <stp>ID_ISIN</stp>
        <stp>[TIPS.xlsx]Sheet1!R23C12</stp>
        <tr r="L23" s="1"/>
      </tp>
      <tp t="s">
        <v>1/15/2008</v>
        <stp/>
        <stp>##V3_BDPV12</stp>
        <stp>9128273T Govt</stp>
        <stp>MATURITY</stp>
        <stp>[TIPS.xlsx]Sheet1!R75C5</stp>
        <tr r="E75" s="1"/>
      </tp>
      <tp t="s">
        <v>1/15/2021</v>
        <stp/>
        <stp>##V3_BDPV12</stp>
        <stp>912828PP Govt</stp>
        <stp>MATURITY</stp>
        <stp>[TIPS.xlsx]Sheet1!R51C5</stp>
        <tr r="E51" s="1"/>
      </tp>
      <tp t="s">
        <v>1/15/2019</v>
        <stp/>
        <stp>##V3_BDPV12</stp>
        <stp>912828JX Govt</stp>
        <stp>MATURITY</stp>
        <stp>[TIPS.xlsx]Sheet1!R69C5</stp>
        <tr r="E69" s="1"/>
      </tp>
      <tp t="s">
        <v>2/15/2041</v>
        <stp/>
        <stp>##V3_BDPV12</stp>
        <stp>912810QP Govt</stp>
        <stp>MATURITY</stp>
        <stp>[TIPS.xlsx]Sheet1!R31C5</stp>
        <tr r="E31" s="1"/>
      </tp>
      <tp t="s">
        <v>FIXED</v>
        <stp/>
        <stp>##V3_BDPV12</stp>
        <stp>912810SG Govt</stp>
        <stp>CPN_TYP</stp>
        <stp>[TIPS.xlsx]Sheet1!R44C11</stp>
        <tr r="K44" s="1"/>
      </tp>
      <tp t="s">
        <v>NORMAL</v>
        <stp/>
        <stp>##V3_BDPV12</stp>
        <stp>912828MY Govt</stp>
        <stp>MTY_TYP</stp>
        <stp>[TIPS.xlsx]Sheet1!R62C6</stp>
        <tr r="F62" s="1"/>
      </tp>
      <tp t="s">
        <v>1/15/2028</v>
        <stp/>
        <stp>##V3_BDPV12</stp>
        <stp>9128283R Govt</stp>
        <stp>MATURITY</stp>
        <stp>[TIPS.xlsx]Sheet1!R22C5</stp>
        <tr r="E22" s="1"/>
      </tp>
      <tp t="s">
        <v>NORMAL</v>
        <stp/>
        <stp>##V3_BDPV12</stp>
        <stp>912828KM Govt</stp>
        <stp>MTY_TYP</stp>
        <stp>[TIPS.xlsx]Sheet1!R84C6</stp>
        <tr r="F84" s="1"/>
      </tp>
      <tp t="s">
        <v>1/15/2028</v>
        <stp/>
        <stp>##V3_BDPV12</stp>
        <stp>912810PV Govt</stp>
        <stp>MATURITY</stp>
        <stp>[TIPS.xlsx]Sheet1!R46C5</stp>
        <tr r="E46" s="1"/>
      </tp>
      <tp t="s">
        <v>1/15/2026</v>
        <stp/>
        <stp>##V3_BDPV12</stp>
        <stp>912810FS Govt</stp>
        <stp>MATURITY</stp>
        <stp>[TIPS.xlsx]Sheet1!R33C5</stp>
        <tr r="E33" s="1"/>
      </tp>
      <tp t="s">
        <v>NORMAL</v>
        <stp/>
        <stp>##V3_BDPV12</stp>
        <stp>912828JE Govt</stp>
        <stp>MTY_TYP</stp>
        <stp>[TIPS.xlsx]Sheet1!R85C6</stp>
        <tr r="F85" s="1"/>
      </tp>
      <tp t="s">
        <v>FIXED</v>
        <stp/>
        <stp>##V3_BDPV12</stp>
        <stp>912828MF Govt</stp>
        <stp>CPN_TYP</stp>
        <stp>[TIPS.xlsx]Sheet1!R61C11</stp>
        <tr r="K61" s="1"/>
      </tp>
      <tp t="s">
        <v>FIXED</v>
        <stp/>
        <stp>##V3_BDPV12</stp>
        <stp>912828AF Govt</stp>
        <stp>CPN_TYP</stp>
        <stp>[TIPS.xlsx]Sheet1!R71C11</stp>
        <tr r="K71" s="1"/>
      </tp>
      <tp t="s">
        <v>FIXED</v>
        <stp/>
        <stp>##V3_BDPV12</stp>
        <stp>912810QF Govt</stp>
        <stp>CPN_TYP</stp>
        <stp>[TIPS.xlsx]Sheet1!R38C11</stp>
        <tr r="K38" s="1"/>
      </tp>
      <tp t="s">
        <v>FIXED</v>
        <stp/>
        <stp>##V3_BDPV12</stp>
        <stp>912810RF Govt</stp>
        <stp>CPN_TYP</stp>
        <stp>[TIPS.xlsx]Sheet1!R32C11</stp>
        <tr r="K32" s="1"/>
      </tp>
      <tp t="s">
        <v>US912810SB52</v>
        <stp/>
        <stp>##V3_BDPV12</stp>
        <stp>912810SB Govt</stp>
        <stp>ID_ISIN</stp>
        <stp>[TIPS.xlsx]Sheet1!R42C12</stp>
        <tr r="L42" s="1"/>
      </tp>
      <tp t="s">
        <v>US912828FB16</v>
        <stp/>
        <stp>##V3_BDPV12</stp>
        <stp>912828FB Govt</stp>
        <stp>ID_ISIN</stp>
        <stp>[TIPS.xlsx]Sheet1!R81C12</stp>
        <tr r="L81" s="1"/>
      </tp>
      <tp t="s">
        <v>NORMAL</v>
        <stp/>
        <stp>##V3_BDPV12</stp>
        <stp>912828H4 Govt</stp>
        <stp>MTY_TYP</stp>
        <stp>[TIPS.xlsx]Sheet1!R27C6</stp>
        <tr r="F27" s="1"/>
      </tp>
      <tp t="s">
        <v>NORMAL</v>
        <stp/>
        <stp>##V3_BDPV12</stp>
        <stp>912828HW Govt</stp>
        <stp>MTY_TYP</stp>
        <stp>[TIPS.xlsx]Sheet1!R64C6</stp>
        <tr r="F64" s="1"/>
      </tp>
      <tp t="s">
        <v>7/15/2024</v>
        <stp/>
        <stp>##V3_BDPV12</stp>
        <stp>912828WU Govt</stp>
        <stp>MATURITY</stp>
        <stp>[TIPS.xlsx]Sheet1!R26C5</stp>
        <tr r="E26" s="1"/>
      </tp>
      <tp t="s">
        <v>4/15/2013</v>
        <stp/>
        <stp>##V3_BDPV12</stp>
        <stp>912828HW Govt</stp>
        <stp>MATURITY</stp>
        <stp>[TIPS.xlsx]Sheet1!R64C5</stp>
        <tr r="E64" s="1"/>
      </tp>
      <tp t="s">
        <v>NORMAL</v>
        <stp/>
        <stp>##V3_BDPV12</stp>
        <stp>912828NM Govt</stp>
        <stp>MTY_TYP</stp>
        <stp>[TIPS.xlsx]Sheet1!R52C6</stp>
        <tr r="F52" s="1"/>
      </tp>
      <tp t="s">
        <v>NORMAL</v>
        <stp/>
        <stp>##V3_BDPV12</stp>
        <stp>912828EA Govt</stp>
        <stp>MTY_TYP</stp>
        <stp>[TIPS.xlsx]Sheet1!R79C6</stp>
        <tr r="F79" s="1"/>
      </tp>
      <tp t="s">
        <v>NORMAL</v>
        <stp/>
        <stp>##V3_BDPV12</stp>
        <stp>912828MF Govt</stp>
        <stp>MTY_TYP</stp>
        <stp>[TIPS.xlsx]Sheet1!R61C6</stp>
        <tr r="F61" s="1"/>
      </tp>
      <tp t="s">
        <v>FIXED</v>
        <stp/>
        <stp>##V3_BDPV12</stp>
        <stp>912828JE Govt</stp>
        <stp>CPN_TYP</stp>
        <stp>[TIPS.xlsx]Sheet1!R85C11</stp>
        <tr r="K85" s="1"/>
      </tp>
      <tp t="s">
        <v>FIXED</v>
        <stp/>
        <stp>##V3_BDPV12</stp>
        <stp>912828TE Govt</stp>
        <stp>CPN_TYP</stp>
        <stp>[TIPS.xlsx]Sheet1!R18C11</stp>
        <tr r="K18" s="1"/>
      </tp>
      <tp t="s">
        <v>US912810RA88</v>
        <stp/>
        <stp>##V3_BDPV12</stp>
        <stp>912810RA Govt</stp>
        <stp>ID_ISIN</stp>
        <stp>[TIPS.xlsx]Sheet1!R43C12</stp>
        <tr r="L43" s="1"/>
      </tp>
      <tp t="s">
        <v>US9128273A89</v>
        <stp/>
        <stp>##V3_BDPV12</stp>
        <stp>9128273A Govt</stp>
        <stp>ID_ISIN</stp>
        <stp>[TIPS.xlsx]Sheet1!R78C12</stp>
        <tr r="L78" s="1"/>
      </tp>
      <tp t="s">
        <v>US912828LA68</v>
        <stp/>
        <stp>##V3_BDPV12</stp>
        <stp>912828LA Govt</stp>
        <stp>ID_ISIN</stp>
        <stp>[TIPS.xlsx]Sheet1!R59C12</stp>
        <tr r="L59" s="1"/>
      </tp>
      <tp t="s">
        <v>US912828EA42</v>
        <stp/>
        <stp>##V3_BDPV12</stp>
        <stp>912828EA Govt</stp>
        <stp>ID_ISIN</stp>
        <stp>[TIPS.xlsx]Sheet1!R79C12</stp>
        <tr r="L79" s="1"/>
      </tp>
      <tp t="s">
        <v>US912828SA95</v>
        <stp/>
        <stp>##V3_BDPV12</stp>
        <stp>912828SA Govt</stp>
        <stp>ID_ISIN</stp>
        <stp>[TIPS.xlsx]Sheet1!R12C12</stp>
        <tr r="L12" s="1"/>
      </tp>
      <tp t="s">
        <v>1/15/2029</v>
        <stp/>
        <stp>##V3_BDPV12</stp>
        <stp>912810PZ Govt</stp>
        <stp>MATURITY</stp>
        <stp>[TIPS.xlsx]Sheet1!R48C5</stp>
        <tr r="E48" s="1"/>
      </tp>
      <tp t="s">
        <v>FIXED</v>
        <stp/>
        <stp>##V3_BDPV12</stp>
        <stp>9128287D Govt</stp>
        <stp>CPN_TYP</stp>
        <stp>[TIPS.xlsx]Sheet1!R16C11</stp>
        <tr r="K16" s="1"/>
      </tp>
      <tp t="s">
        <v>FIXED</v>
        <stp/>
        <stp>##V3_BDPV12</stp>
        <stp>912828BD Govt</stp>
        <stp>CPN_TYP</stp>
        <stp>[TIPS.xlsx]Sheet1!R58C11</stp>
        <tr r="K58" s="1"/>
      </tp>
      <tp t="s">
        <v>FIXED</v>
        <stp/>
        <stp>##V3_BDPV12</stp>
        <stp>912828GD Govt</stp>
        <stp>CPN_TYP</stp>
        <stp>[TIPS.xlsx]Sheet1!R63C11</stp>
        <tr r="K63" s="1"/>
      </tp>
      <tp t="s">
        <v>FIXED</v>
        <stp/>
        <stp>##V3_BDPV12</stp>
        <stp>912828QD Govt</stp>
        <stp>CPN_TYP</stp>
        <stp>[TIPS.xlsx]Sheet1!R70C11</stp>
        <tr r="K70" s="1"/>
      </tp>
      <tp t="s">
        <v>FIXED</v>
        <stp/>
        <stp>##V3_BDPV12</stp>
        <stp>912810FD Govt</stp>
        <stp>CPN_TYP</stp>
        <stp>[TIPS.xlsx]Sheet1!R35C11</stp>
        <tr r="K35" s="1"/>
      </tp>
      <tp t="s">
        <v>NORMAL</v>
        <stp/>
        <stp>##V3_BDPV12</stp>
        <stp>912828K3 Govt</stp>
        <stp>MTY_TYP</stp>
        <stp>[TIPS.xlsx]Sheet1!R66C6</stp>
        <tr r="F66" s="1"/>
      </tp>
      <tp t="s">
        <v>10/15/2025</v>
        <stp/>
        <stp>##V3_BDPV12</stp>
        <stp>91282CAQ Govt</stp>
        <stp>MATURITY</stp>
        <stp>[TIPS.xlsx]Sheet1!R14C5</stp>
        <tr r="E14" s="1"/>
      </tp>
      <tp t="s">
        <v>1/15/2011</v>
        <stp/>
        <stp>##V3_BDPV12</stp>
        <stp>9128276R Govt</stp>
        <stp>MATURITY</stp>
        <stp>[TIPS.xlsx]Sheet1!R77C5</stp>
        <tr r="E77" s="1"/>
      </tp>
      <tp t="s">
        <v>1/15/2014</v>
        <stp/>
        <stp>##V3_BDPV12</stp>
        <stp>912828BW Govt</stp>
        <stp>MATURITY</stp>
        <stp>[TIPS.xlsx]Sheet1!R82C5</stp>
        <tr r="E82" s="1"/>
      </tp>
      <tp t="s">
        <v>2/15/2046</v>
        <stp/>
        <stp>##V3_BDPV12</stp>
        <stp>912810RR Govt</stp>
        <stp>MATURITY</stp>
        <stp>[TIPS.xlsx]Sheet1!R47C5</stp>
        <tr r="E47" s="1"/>
      </tp>
      <tp t="s">
        <v>NORMAL</v>
        <stp/>
        <stp>##V3_BDPV12</stp>
        <stp>912828BD Govt</stp>
        <stp>MTY_TYP</stp>
        <stp>[TIPS.xlsx]Sheet1!R58C6</stp>
        <tr r="F58" s="1"/>
      </tp>
      <tp t="s">
        <v>US912810SG40</v>
        <stp/>
        <stp>##V3_BDPV12</stp>
        <stp>912810SG Govt</stp>
        <stp>ID_ISIN</stp>
        <stp>[TIPS.xlsx]Sheet1!R44C12</stp>
        <tr r="L44" s="1"/>
      </tp>
      <tp t="s">
        <v>4/15/2017</v>
        <stp/>
        <stp>##V3_BDPV12</stp>
        <stp>912828SQ Govt</stp>
        <stp>MATURITY</stp>
        <stp>[TIPS.xlsx]Sheet1!R55C5</stp>
        <tr r="E55" s="1"/>
      </tp>
      <tp t="s">
        <v>FIXED</v>
        <stp/>
        <stp>##V3_BDPV12</stp>
        <stp>912828FB Govt</stp>
        <stp>CPN_TYP</stp>
        <stp>[TIPS.xlsx]Sheet1!R81C11</stp>
        <tr r="K81" s="1"/>
      </tp>
      <tp t="s">
        <v>FIXED</v>
        <stp/>
        <stp>##V3_BDPV12</stp>
        <stp>912810SB Govt</stp>
        <stp>CPN_TYP</stp>
        <stp>[TIPS.xlsx]Sheet1!R42C11</stp>
        <tr r="K42" s="1"/>
      </tp>
      <tp t="s">
        <v>US912810RF75</v>
        <stp/>
        <stp>##V3_BDPV12</stp>
        <stp>912810RF Govt</stp>
        <stp>ID_ISIN</stp>
        <stp>[TIPS.xlsx]Sheet1!R32C12</stp>
        <tr r="L32" s="1"/>
      </tp>
      <tp t="s">
        <v>US912810QF84</v>
        <stp/>
        <stp>##V3_BDPV12</stp>
        <stp>912810QF Govt</stp>
        <stp>ID_ISIN</stp>
        <stp>[TIPS.xlsx]Sheet1!R38C12</stp>
        <tr r="L38" s="1"/>
      </tp>
      <tp t="s">
        <v>US912828AF74</v>
        <stp/>
        <stp>##V3_BDPV12</stp>
        <stp>912828AF Govt</stp>
        <stp>ID_ISIN</stp>
        <stp>[TIPS.xlsx]Sheet1!R71C12</stp>
        <tr r="L71" s="1"/>
      </tp>
      <tp t="s">
        <v>US912828MF47</v>
        <stp/>
        <stp>##V3_BDPV12</stp>
        <stp>912828MF Govt</stp>
        <stp>ID_ISIN</stp>
        <stp>[TIPS.xlsx]Sheet1!R61C12</stp>
        <tr r="L61" s="1"/>
      </tp>
      <tp t="s">
        <v>1/15/2016</v>
        <stp/>
        <stp>##V3_BDPV12</stp>
        <stp>912828ET Govt</stp>
        <stp>MATURITY</stp>
        <stp>[TIPS.xlsx]Sheet1!R73C5</stp>
        <tr r="E73" s="1"/>
      </tp>
      <tp t="s">
        <v>1/15/2029</v>
        <stp/>
        <stp>##V3_BDPV12</stp>
        <stp>9128285W Govt</stp>
        <stp>MATURITY</stp>
        <stp>[TIPS.xlsx]Sheet1!R20C5</stp>
        <tr r="E20" s="1"/>
      </tp>
      <tp t="s">
        <v>NORMAL</v>
        <stp/>
        <stp>##V3_BDPV12</stp>
        <stp>912828HN Govt</stp>
        <stp>MTY_TYP</stp>
        <stp>[TIPS.xlsx]Sheet1!R60C6</stp>
        <tr r="F60" s="1"/>
      </tp>
      <tp t="s">
        <v>2/15/2047</v>
        <stp/>
        <stp>##V3_BDPV12</stp>
        <stp>912810RW Govt</stp>
        <stp>MATURITY</stp>
        <stp>[TIPS.xlsx]Sheet1!R40C5</stp>
        <tr r="E40" s="1"/>
      </tp>
      <tp t="s">
        <v>4/15/2032</v>
        <stp/>
        <stp>##V3_BDPV12</stp>
        <stp>912810FQ Govt</stp>
        <stp>MATURITY</stp>
        <stp>[TIPS.xlsx]Sheet1!R36C5</stp>
        <tr r="E36" s="1"/>
      </tp>
      <tp t="s">
        <v>FIXED</v>
        <stp/>
        <stp>##V3_BDPV12</stp>
        <stp>9128273A Govt</stp>
        <stp>CPN_TYP</stp>
        <stp>[TIPS.xlsx]Sheet1!R78C11</stp>
        <tr r="K78" s="1"/>
      </tp>
      <tp t="s">
        <v>FIXED</v>
        <stp/>
        <stp>##V3_BDPV12</stp>
        <stp>912828SA Govt</stp>
        <stp>CPN_TYP</stp>
        <stp>[TIPS.xlsx]Sheet1!R12C11</stp>
        <tr r="K12" s="1"/>
      </tp>
      <tp t="s">
        <v>FIXED</v>
        <stp/>
        <stp>##V3_BDPV12</stp>
        <stp>912828LA Govt</stp>
        <stp>CPN_TYP</stp>
        <stp>[TIPS.xlsx]Sheet1!R59C11</stp>
        <tr r="K59" s="1"/>
      </tp>
      <tp t="s">
        <v>FIXED</v>
        <stp/>
        <stp>##V3_BDPV12</stp>
        <stp>912828EA Govt</stp>
        <stp>CPN_TYP</stp>
        <stp>[TIPS.xlsx]Sheet1!R79C11</stp>
        <tr r="K79" s="1"/>
      </tp>
      <tp t="s">
        <v>FIXED</v>
        <stp/>
        <stp>##V3_BDPV12</stp>
        <stp>912810RA Govt</stp>
        <stp>CPN_TYP</stp>
        <stp>[TIPS.xlsx]Sheet1!R43C11</stp>
        <tr r="K43" s="1"/>
      </tp>
      <tp t="s">
        <v>US912828JE19</v>
        <stp/>
        <stp>##V3_BDPV12</stp>
        <stp>912828JE Govt</stp>
        <stp>ID_ISIN</stp>
        <stp>[TIPS.xlsx]Sheet1!R85C12</stp>
        <tr r="L85" s="1"/>
      </tp>
      <tp t="s">
        <v>US912828TE09</v>
        <stp/>
        <stp>##V3_BDPV12</stp>
        <stp>912828TE Govt</stp>
        <stp>ID_ISIN</stp>
        <stp>[TIPS.xlsx]Sheet1!R18C12</stp>
        <tr r="L18" s="1"/>
      </tp>
      <tp t="s">
        <v>7/15/2014</v>
        <stp/>
        <stp>##V3_BDPV12</stp>
        <stp>912828CP Govt</stp>
        <stp>MATURITY</stp>
        <stp>[TIPS.xlsx]Sheet1!R76C5</stp>
        <tr r="E76" s="1"/>
      </tp>
      <tp t="s">
        <v>1/15/2027</v>
        <stp/>
        <stp>##V3_BDPV12</stp>
        <stp>912810PS Govt</stp>
        <stp>MATURITY</stp>
        <stp>[TIPS.xlsx]Sheet1!R45C5</stp>
        <tr r="E45" s="1"/>
      </tp>
      <tp t="s">
        <v>1/15/2025</v>
        <stp/>
        <stp>##V3_BDPV12</stp>
        <stp>912810FR Govt</stp>
        <stp>MATURITY</stp>
        <stp>[TIPS.xlsx]Sheet1!R34C5</stp>
        <tr r="E34" s="1"/>
      </tp>
      <tp t="s">
        <v>FIXED</v>
        <stp/>
        <stp>##V3_BDPV12</stp>
        <stp>9128284H Govt</stp>
        <stp>CPN_TYP</stp>
        <stp>[TIPS.xlsx]Sheet1!R7C11</stp>
        <tr r="K7" s="1"/>
      </tp>
      <tp t="s">
        <v>US912810FD55</v>
        <stp/>
        <stp>##V3_BDPV12</stp>
        <stp>912810FD Govt</stp>
        <stp>ID_ISIN</stp>
        <stp>[TIPS.xlsx]Sheet1!R35C12</stp>
        <tr r="L35" s="1"/>
      </tp>
      <tp t="s">
        <v>US912828BD18</v>
        <stp/>
        <stp>##V3_BDPV12</stp>
        <stp>912828BD Govt</stp>
        <stp>ID_ISIN</stp>
        <stp>[TIPS.xlsx]Sheet1!R58C12</stp>
        <tr r="L58" s="1"/>
      </tp>
      <tp t="s">
        <v>US912828QD52</v>
        <stp/>
        <stp>##V3_BDPV12</stp>
        <stp>912828QD Govt</stp>
        <stp>ID_ISIN</stp>
        <stp>[TIPS.xlsx]Sheet1!R70C12</stp>
        <tr r="L70" s="1"/>
      </tp>
      <tp t="s">
        <v>US912828GD62</v>
        <stp/>
        <stp>##V3_BDPV12</stp>
        <stp>912828GD Govt</stp>
        <stp>ID_ISIN</stp>
        <stp>[TIPS.xlsx]Sheet1!R63C12</stp>
        <tr r="L63" s="1"/>
      </tp>
      <tp t="s">
        <v>US9128287D64</v>
        <stp/>
        <stp>##V3_BDPV12</stp>
        <stp>9128287D Govt</stp>
        <stp>ID_ISIN</stp>
        <stp>[TIPS.xlsx]Sheet1!R16C12</stp>
        <tr r="L16" s="1"/>
      </tp>
      <tp t="s">
        <v>NORMAL</v>
        <stp/>
        <stp>##V3_BDPV12</stp>
        <stp>912828N7 Govt</stp>
        <stp>MTY_TYP</stp>
        <stp>[TIPS.xlsx]Sheet1!R17C6</stp>
        <tr r="F17" s="1"/>
      </tp>
    </main>
    <main first="bloomberg.rtd">
      <tp>
        <v>0.125</v>
        <stp/>
        <stp>##V3_BDPV12</stp>
        <stp>912810SV Govt</stp>
        <stp>CPN</stp>
        <stp>[TIPS.xlsx]Sheet1!R4C3</stp>
        <tr r="C4" s="1"/>
      </tp>
      <tp t="s">
        <v>TII 0 1/8 10/15/25</v>
        <stp/>
        <stp>##V3_BDPV12</stp>
        <stp>91282CAQ Govt</stp>
        <stp>SECURITY_NAME</stp>
        <stp>[TIPS.xlsx]Sheet1!R14C16</stp>
        <tr r="P14" s="1"/>
      </tp>
      <tp t="s">
        <v>S/A</v>
        <stp/>
        <stp>##V3_BDPV12</stp>
        <stp>91282CBF Govt</stp>
        <stp>COUPON_FREQUENCY_DESCRIPTION</stp>
        <stp>[TIPS.xlsx]Sheet1!R5C10</stp>
        <tr r="J5" s="1"/>
      </tp>
      <tp>
        <v>-2.6467214315105636</v>
        <stp/>
        <stp>##V3_BDPV12</stp>
        <stp>912828UH Govt</stp>
        <stp>YLD_YTM_BID</stp>
        <stp>[TIPS.xlsx]Sheet1!R6C4</stp>
        <tr r="D6" s="1"/>
      </tp>
      <tp>
        <v>-2.5163926417400773</v>
        <stp/>
        <stp>##V3_BDPV12</stp>
        <stp>9128284H Govt</stp>
        <stp>YLD_YTM_BID</stp>
        <stp>[TIPS.xlsx]Sheet1!R7C4</stp>
        <tr r="D7" s="1"/>
      </tp>
      <tp>
        <v>0.125</v>
        <stp/>
        <stp>##V3_BDPV12</stp>
        <stp>912828X3 Govt</stp>
        <stp>CPN</stp>
        <stp>[TIPS.xlsx]Sheet1!R8C3</stp>
        <tr r="C8" s="1"/>
      </tp>
      <tp t="s">
        <v>TII 0 1/8 02/15/51</v>
        <stp/>
        <stp>##V3_BDPV12</stp>
        <stp>912810SV Govt</stp>
        <stp>SECURITY_NAME</stp>
        <stp>[TIPS.xlsx]Sheet1!R4C16</stp>
        <tr r="P4" s="1"/>
      </tp>
      <tp t="s">
        <v>ACT/ACT</v>
        <stp/>
        <stp>##V3_BDPV12</stp>
        <stp>912828C9 Govt</stp>
        <stp>DAY_CNT_DES</stp>
        <stp>[TIPS.xlsx]Sheet1!R53C17</stp>
        <tr r="Q53" s="1"/>
      </tp>
      <tp>
        <v>0.125</v>
        <stp/>
        <stp>##V3_BDPV12</stp>
        <stp>912828ZZ Govt</stp>
        <stp>CPN</stp>
        <stp>[TIPS.xlsx]Sheet1!R9C3</stp>
        <tr r="C9" s="1"/>
      </tp>
      <tp t="s">
        <v>ACT/ACT</v>
        <stp/>
        <stp>##V3_BDPV12</stp>
        <stp>912828ZZ Govt</stp>
        <stp>DAY_CNT_DES</stp>
        <stp>[TIPS.xlsx]Sheet1!R9C17</stp>
        <tr r="Q9" s="1"/>
      </tp>
      <tp t="s">
        <v>TII 0 5/8 04/15/23</v>
        <stp/>
        <stp>##V3_BDPV12</stp>
        <stp>9128284H Govt</stp>
        <stp>SECURITY_NAME</stp>
        <stp>[TIPS.xlsx]Sheet1!R7C16</stp>
        <tr r="P7" s="1"/>
      </tp>
      <tp t="s">
        <v>TII 0 1/8 07/15/30</v>
        <stp/>
        <stp>##V3_BDPV12</stp>
        <stp>912828ZZ Govt</stp>
        <stp>SECURITY_NAME</stp>
        <stp>[TIPS.xlsx]Sheet1!R9C16</stp>
        <tr r="P9" s="1"/>
      </tp>
      <tp t="s">
        <v>TII 0 1/8 04/15/22</v>
        <stp/>
        <stp>##V3_BDPV12</stp>
        <stp>912828X3 Govt</stp>
        <stp>SECURITY_NAME</stp>
        <stp>[TIPS.xlsx]Sheet1!R8C16</stp>
        <tr r="P8" s="1"/>
      </tp>
      <tp t="s">
        <v>TII 0 1/8 01/15/23</v>
        <stp/>
        <stp>##V3_BDPV12</stp>
        <stp>912828UH Govt</stp>
        <stp>SECURITY_NAME</stp>
        <stp>[TIPS.xlsx]Sheet1!R6C16</stp>
        <tr r="P6" s="1"/>
      </tp>
      <tp t="s">
        <v>S/A</v>
        <stp/>
        <stp>##V3_BDPV12</stp>
        <stp>91282CCA Govt</stp>
        <stp>COUPON_FREQUENCY_DESCRIPTION</stp>
        <stp>[TIPS.xlsx]Sheet1!R3C10</stp>
        <tr r="J3" s="1"/>
      </tp>
      <tp t="s">
        <v>TII 0 1/8 07/15/31</v>
        <stp/>
        <stp>##V3_BDPV12</stp>
        <stp>91282CCM Govt</stp>
        <stp>SECURITY_NAME</stp>
        <stp>[TIPS.xlsx]Sheet1!R2C16</stp>
        <tr r="P2" s="1"/>
      </tp>
      <tp t="s">
        <v>TII 0 1/8 04/15/26</v>
        <stp/>
        <stp>##V3_BDPV12</stp>
        <stp>91282CCA Govt</stp>
        <stp>SECURITY_NAME</stp>
        <stp>[TIPS.xlsx]Sheet1!R3C16</stp>
        <tr r="P3" s="1"/>
      </tp>
      <tp t="s">
        <v>TII 0 1/8 01/15/31</v>
        <stp/>
        <stp>##V3_BDPV12</stp>
        <stp>91282CBF Govt</stp>
        <stp>SECURITY_NAME</stp>
        <stp>[TIPS.xlsx]Sheet1!R5C16</stp>
        <tr r="P5" s="1"/>
      </tp>
      <tp t="s">
        <v>UNITED STATES</v>
        <stp/>
        <stp>##V3_BDPV12</stp>
        <stp>912828UH Govt</stp>
        <stp>COUNTRY_FULL_NAME</stp>
        <stp>[TIPS.xlsx]Sheet1!R6C8</stp>
        <tr r="H6" s="1"/>
      </tp>
      <tp t="s">
        <v>ACT/ACT</v>
        <stp/>
        <stp>##V3_BDPV12</stp>
        <stp>912828X3 Govt</stp>
        <stp>DAY_CNT_DES</stp>
        <stp>[TIPS.xlsx]Sheet1!R8C17</stp>
        <tr r="Q8" s="1"/>
      </tp>
      <tp t="s">
        <v>UNITED STATES</v>
        <stp/>
        <stp>##V3_BDPV12</stp>
        <stp>91282CCM Govt</stp>
        <stp>COUNTRY_FULL_NAME</stp>
        <stp>[TIPS.xlsx]Sheet1!R2C8</stp>
        <tr r="H2" s="1"/>
      </tp>
      <tp t="s">
        <v>UNITED STATES</v>
        <stp/>
        <stp>##V3_BDPV12</stp>
        <stp>9128284H Govt</stp>
        <stp>COUNTRY_FULL_NAME</stp>
        <stp>[TIPS.xlsx]Sheet1!R7C8</stp>
        <tr r="H7" s="1"/>
      </tp>
      <tp t="s">
        <v>ACT/ACT</v>
        <stp/>
        <stp>##V3_BDPV12</stp>
        <stp>912828H4 Govt</stp>
        <stp>DAY_CNT_DES</stp>
        <stp>[TIPS.xlsx]Sheet1!R27C17</stp>
        <tr r="Q27" s="1"/>
      </tp>
      <tp t="s">
        <v>ACT/ACT</v>
        <stp/>
        <stp>##V3_BDPV12</stp>
        <stp>912828V4 Govt</stp>
        <stp>DAY_CNT_DES</stp>
        <stp>[TIPS.xlsx]Sheet1!R29C17</stp>
        <tr r="Q29" s="1"/>
      </tp>
      <tp>
        <v>-0.23025526613330186</v>
        <stp/>
        <stp>##V3_BDPV12</stp>
        <stp>912810SV Govt</stp>
        <stp>YLD_YTM_BID</stp>
        <stp>[TIPS.xlsx]Sheet1!R4C4</stp>
        <tr r="D4" s="1"/>
      </tp>
      <tp t="s">
        <v>2/15/2051</v>
        <stp/>
        <stp>##V3_BDPV12</stp>
        <stp>912810SV Govt</stp>
        <stp>MATURITY</stp>
        <stp>[TIPS.xlsx]Sheet1!R4C5</stp>
        <tr r="E4" s="1"/>
      </tp>
      <tp t="s">
        <v>ACT/ACT</v>
        <stp/>
        <stp>##V3_BDPV12</stp>
        <stp>912828S5 Govt</stp>
        <stp>DAY_CNT_DES</stp>
        <stp>[TIPS.xlsx]Sheet1!R13C17</stp>
        <tr r="Q13" s="1"/>
      </tp>
      <tp t="s">
        <v>ACT/ACT</v>
        <stp/>
        <stp>##V3_BDPV12</stp>
        <stp>912828Q6 Govt</stp>
        <stp>DAY_CNT_DES</stp>
        <stp>[TIPS.xlsx]Sheet1!R50C17</stp>
        <tr r="Q50" s="1"/>
      </tp>
      <tp t="s">
        <v>ACT/ACT</v>
        <stp/>
        <stp>##V3_BDPV12</stp>
        <stp>912828UH Govt</stp>
        <stp>DAY_CNT_DES</stp>
        <stp>[TIPS.xlsx]Sheet1!R6C17</stp>
        <tr r="Q6" s="1"/>
      </tp>
      <tp>
        <v>0.125</v>
        <stp/>
        <stp>##V3_BDPV12</stp>
        <stp>912828UH Govt</stp>
        <stp>CPN</stp>
        <stp>[TIPS.xlsx]Sheet1!R6C3</stp>
        <tr r="C6" s="1"/>
      </tp>
      <tp t="s">
        <v>S/A</v>
        <stp/>
        <stp>##V3_BDPV12</stp>
        <stp>91282CCM Govt</stp>
        <stp>COUPON_FREQUENCY_DESCRIPTION</stp>
        <stp>[TIPS.xlsx]Sheet1!R2C10</stp>
        <tr r="J2" s="1"/>
      </tp>
      <tp t="s">
        <v>UNITED STATES</v>
        <stp/>
        <stp>##V3_BDPV12</stp>
        <stp>91282CCA Govt</stp>
        <stp>COUNTRY_FULL_NAME</stp>
        <stp>[TIPS.xlsx]Sheet1!R3C8</stp>
        <tr r="H3" s="1"/>
      </tp>
      <tp t="s">
        <v>ACT/ACT</v>
        <stp/>
        <stp>##V3_BDPV12</stp>
        <stp>912828N7 Govt</stp>
        <stp>DAY_CNT_DES</stp>
        <stp>[TIPS.xlsx]Sheet1!R17C17</stp>
        <tr r="Q17" s="1"/>
      </tp>
      <tp>
        <v>0.625</v>
        <stp/>
        <stp>##V3_BDPV12</stp>
        <stp>9128284H Govt</stp>
        <stp>CPN</stp>
        <stp>[TIPS.xlsx]Sheet1!R7C3</stp>
        <tr r="C7" s="1"/>
      </tp>
      <tp t="s">
        <v>UNITED STATES</v>
        <stp/>
        <stp>##V3_BDPV12</stp>
        <stp>91282CBF Govt</stp>
        <stp>COUNTRY_FULL_NAME</stp>
        <stp>[TIPS.xlsx]Sheet1!R5C8</stp>
        <tr r="H5" s="1"/>
      </tp>
      <tp>
        <v>-2.9117443132347418</v>
        <stp/>
        <stp>##V3_BDPV12</stp>
        <stp>912828X3 Govt</stp>
        <stp>YLD_YTM_BID</stp>
        <stp>[TIPS.xlsx]Sheet1!R8C4</stp>
        <tr r="D8" s="1"/>
      </tp>
      <tp t="s">
        <v>ACT/ACT</v>
        <stp/>
        <stp>##V3_BDPV12</stp>
        <stp>912810SV Govt</stp>
        <stp>DAY_CNT_DES</stp>
        <stp>[TIPS.xlsx]Sheet1!R4C17</stp>
        <tr r="Q4" s="1"/>
      </tp>
      <tp t="s">
        <v>7/15/2030</v>
        <stp/>
        <stp>##V3_BDPV12</stp>
        <stp>912828ZZ Govt</stp>
        <stp>MATURITY</stp>
        <stp>[TIPS.xlsx]Sheet1!R9C5</stp>
        <tr r="E9" s="1"/>
      </tp>
      <tp t="s">
        <v>1/15/2023</v>
        <stp/>
        <stp>##V3_BDPV12</stp>
        <stp>912828UH Govt</stp>
        <stp>MATURITY</stp>
        <stp>[TIPS.xlsx]Sheet1!R6C5</stp>
        <tr r="E6" s="1"/>
      </tp>
      <tp>
        <v>-1.049840415356196</v>
        <stp/>
        <stp>##V3_BDPV12</stp>
        <stp>912828ZZ Govt</stp>
        <stp>YLD_YTM_BID</stp>
        <stp>[TIPS.xlsx]Sheet1!R9C4</stp>
        <tr r="D9" s="1"/>
      </tp>
      <tp t="s">
        <v>ACT/ACT</v>
        <stp/>
        <stp>##V3_BDPV12</stp>
        <stp>912828B2 Govt</stp>
        <stp>DAY_CNT_DES</stp>
        <stp>[TIPS.xlsx]Sheet1!R25C17</stp>
        <tr r="Q25" s="1"/>
      </tp>
      <tp t="s">
        <v>4/15/2022</v>
        <stp/>
        <stp>##V3_BDPV12</stp>
        <stp>912828X3 Govt</stp>
        <stp>MATURITY</stp>
        <stp>[TIPS.xlsx]Sheet1!R8C5</stp>
        <tr r="E8" s="1"/>
      </tp>
      <tp t="s">
        <v>ACT/ACT</v>
        <stp/>
        <stp>##V3_BDPV12</stp>
        <stp>912828K3 Govt</stp>
        <stp>DAY_CNT_DES</stp>
        <stp>[TIPS.xlsx]Sheet1!R66C17</stp>
        <tr r="Q66" s="1"/>
      </tp>
      <tp t="s">
        <v>ACT/ACT</v>
        <stp/>
        <stp>##V3_BDPV12</stp>
        <stp>912828Z3 Govt</stp>
        <stp>DAY_CNT_DES</stp>
        <stp>[TIPS.xlsx]Sheet1!R10C17</stp>
        <tr r="Q10" s="1"/>
      </tp>
      <tp t="s">
        <v>ACT/ACT</v>
        <stp/>
        <stp>##V3_BDPV12</stp>
        <stp>912828Y3 Govt</stp>
        <stp>DAY_CNT_DES</stp>
        <stp>[TIPS.xlsx]Sheet1!R30C17</stp>
        <tr r="Q30" s="1"/>
      </tp>
      <tp t="s">
        <v>S/A</v>
        <stp/>
        <stp>##V3_BDPV12</stp>
        <stp>9128284H Govt</stp>
        <stp>COUPON_FREQUENCY_DESCRIPTION</stp>
        <stp>[TIPS.xlsx]Sheet1!R7C10</stp>
        <tr r="J7" s="1"/>
      </tp>
      <tp t="s">
        <v>S/A</v>
        <stp/>
        <stp>##V3_BDPV12</stp>
        <stp>912828UH Govt</stp>
        <stp>COUPON_FREQUENCY_DESCRIPTION</stp>
        <stp>[TIPS.xlsx]Sheet1!R6C10</stp>
        <tr r="J6" s="1"/>
      </tp>
      <tp t="s">
        <v>#N/A N/A</v>
        <stp/>
        <stp>##V3_BDPV12</stp>
        <stp>9128275W Govt</stp>
        <stp>YLD_YTM_BID</stp>
        <stp>[TIPS.xlsx]Sheet1!R68C4</stp>
        <tr r="D68" s="1"/>
      </tp>
      <tp t="s">
        <v>S/A</v>
        <stp/>
        <stp>##V3_BDPV12</stp>
        <stp>912810SV Govt</stp>
        <stp>COUPON_FREQUENCY_DESCRIPTION</stp>
        <stp>[TIPS.xlsx]Sheet1!R4C10</stp>
        <tr r="J4" s="1"/>
      </tp>
      <tp>
        <v>4.25</v>
        <stp/>
        <stp>##V3_BDPV12</stp>
        <stp>9128275W Govt</stp>
        <stp>CPN</stp>
        <stp>[TIPS.xlsx]Sheet1!R68C3</stp>
        <tr r="C68" s="1"/>
      </tp>
      <tp t="s">
        <v>TII</v>
        <stp/>
        <stp>##V3_BDPV12</stp>
        <stp>91282CAQ Govt</stp>
        <stp>TICKER</stp>
        <stp>[TIPS.xlsx]Sheet1!R14C2</stp>
        <tr r="B14" s="1"/>
      </tp>
      <tp t="s">
        <v>10/15/2014</v>
        <stp/>
        <stp>##V3_BDPV12</stp>
        <stp>912828C9 Govt</stp>
        <stp>FIRST_CPN_DT</stp>
        <stp>[TIPS.xlsx]Sheet1!R53C9</stp>
        <tr r="I53" s="1"/>
      </tp>
      <tp t="s">
        <v>7/15/2017</v>
        <stp/>
        <stp>##V3_BDPV12</stp>
        <stp>912828V4 Govt</stp>
        <stp>FIRST_CPN_DT</stp>
        <stp>[TIPS.xlsx]Sheet1!R29C9</stp>
        <tr r="I29" s="1"/>
      </tp>
      <tp t="s">
        <v>#N/A N/A</v>
        <stp/>
        <stp>##V3_BDPV12</stp>
        <stp>9128273A Govt</stp>
        <stp>YLD_YTM_BID</stp>
        <stp>[TIPS.xlsx]Sheet1!R78C4</stp>
        <tr r="D78" s="1"/>
      </tp>
      <tp>
        <v>3.625</v>
        <stp/>
        <stp>##V3_BDPV12</stp>
        <stp>9128273A Govt</stp>
        <stp>CPN</stp>
        <stp>[TIPS.xlsx]Sheet1!R78C3</stp>
        <tr r="C78" s="1"/>
      </tp>
      <tp t="s">
        <v>7/15/2016</v>
        <stp/>
        <stp>##V3_BDPV12</stp>
        <stp>912828N7 Govt</stp>
        <stp>FIRST_CPN_DT</stp>
        <stp>[TIPS.xlsx]Sheet1!R17C9</stp>
        <tr r="I17" s="1"/>
      </tp>
      <tp t="s">
        <v>#N/A N/A</v>
        <stp/>
        <stp>##V3_BDPV12</stp>
        <stp>9128272M Govt</stp>
        <stp>YLD_YTM_BID</stp>
        <stp>[TIPS.xlsx]Sheet1!R57C4</stp>
        <tr r="D57" s="1"/>
      </tp>
      <tp t="s">
        <v>#N/A N/A</v>
        <stp/>
        <stp>##V3_BDPV12</stp>
        <stp>9128277J Govt</stp>
        <stp>YLD_YTM_BID</stp>
        <stp>[TIPS.xlsx]Sheet1!R72C4</stp>
        <tr r="D72" s="1"/>
      </tp>
      <tp>
        <v>-1.222391004594179</v>
        <stp/>
        <stp>##V3_BDPV12</stp>
        <stp>9128285W Govt</stp>
        <stp>YLD_YTM_BID</stp>
        <stp>[TIPS.xlsx]Sheet1!R20C4</stp>
        <tr r="D20" s="1"/>
      </tp>
      <tp t="s">
        <v>1/15/2031</v>
        <stp/>
        <stp>##V3_BDPV12</stp>
        <stp>91282CBF Govt</stp>
        <stp>MATURITY</stp>
        <stp>[TIPS.xlsx]Sheet1!R5C5</stp>
        <tr r="E5" s="1"/>
      </tp>
      <tp>
        <v>3.375</v>
        <stp/>
        <stp>##V3_BDPV12</stp>
        <stp>9128272M Govt</stp>
        <stp>CPN</stp>
        <stp>[TIPS.xlsx]Sheet1!R57C3</stp>
        <tr r="C57" s="1"/>
      </tp>
      <tp>
        <v>3.375</v>
        <stp/>
        <stp>##V3_BDPV12</stp>
        <stp>9128277J Govt</stp>
        <stp>CPN</stp>
        <stp>[TIPS.xlsx]Sheet1!R72C3</stp>
        <tr r="C72" s="1"/>
      </tp>
      <tp>
        <v>0.875</v>
        <stp/>
        <stp>##V3_BDPV12</stp>
        <stp>9128285W Govt</stp>
        <stp>CPN</stp>
        <stp>[TIPS.xlsx]Sheet1!R20C3</stp>
        <tr r="C20" s="1"/>
      </tp>
      <tp>
        <v>3.625</v>
        <stp/>
        <stp>##V3_BDPV12</stp>
        <stp>9128273T Govt</stp>
        <stp>CPN</stp>
        <stp>[TIPS.xlsx]Sheet1!R75C3</stp>
        <tr r="C75" s="1"/>
      </tp>
      <tp t="s">
        <v>UNITED STATES</v>
        <stp/>
        <stp>##V3_BDPV12</stp>
        <stp>912810SV Govt</stp>
        <stp>COUNTRY_FULL_NAME</stp>
        <stp>[TIPS.xlsx]Sheet1!R4C8</stp>
        <tr r="H4" s="1"/>
      </tp>
      <tp t="s">
        <v>7/15/2020</v>
        <stp/>
        <stp>##V3_BDPV12</stp>
        <stp>912828Z3 Govt</stp>
        <stp>FIRST_CPN_DT</stp>
        <stp>[TIPS.xlsx]Sheet1!R10C9</stp>
        <tr r="I10" s="1"/>
      </tp>
      <tp t="s">
        <v>1/15/2019</v>
        <stp/>
        <stp>##V3_BDPV12</stp>
        <stp>912828Y3 Govt</stp>
        <stp>FIRST_CPN_DT</stp>
        <stp>[TIPS.xlsx]Sheet1!R30C9</stp>
        <tr r="I30" s="1"/>
      </tp>
      <tp t="s">
        <v>7/15/2015</v>
        <stp/>
        <stp>##V3_BDPV12</stp>
        <stp>912828H4 Govt</stp>
        <stp>FIRST_CPN_DT</stp>
        <stp>[TIPS.xlsx]Sheet1!R27C9</stp>
        <tr r="I27" s="1"/>
      </tp>
      <tp t="s">
        <v>#N/A N/A</v>
        <stp/>
        <stp>##V3_BDPV12</stp>
        <stp>9128273T Govt</stp>
        <stp>YLD_YTM_BID</stp>
        <stp>[TIPS.xlsx]Sheet1!R75C4</stp>
        <tr r="D75" s="1"/>
      </tp>
      <tp t="s">
        <v>UNITED STATES</v>
        <stp/>
        <stp>##V3_BDPV12</stp>
        <stp>912828ZZ Govt</stp>
        <stp>COUNTRY_FULL_NAME</stp>
        <stp>[TIPS.xlsx]Sheet1!R9C8</stp>
        <tr r="H9" s="1"/>
      </tp>
      <tp t="s">
        <v>ACT/ACT</v>
        <stp/>
        <stp>##V3_BDPV12</stp>
        <stp>91282CCM Govt</stp>
        <stp>DAY_CNT_DES</stp>
        <stp>[TIPS.xlsx]Sheet1!R2C17</stp>
        <tr r="Q2" s="1"/>
      </tp>
      <tp t="s">
        <v>ACT/ACT</v>
        <stp/>
        <stp>##V3_BDPV12</stp>
        <stp>91282CCA Govt</stp>
        <stp>DAY_CNT_DES</stp>
        <stp>[TIPS.xlsx]Sheet1!R3C17</stp>
        <tr r="Q3" s="1"/>
      </tp>
      <tp>
        <v>-1.189031160021875</v>
        <stp/>
        <stp>##V3_BDPV12</stp>
        <stp>9128287D Govt</stp>
        <stp>YLD_YTM_BID</stp>
        <stp>[TIPS.xlsx]Sheet1!R16C4</stp>
        <tr r="D16" s="1"/>
      </tp>
      <tp>
        <v>-1.5481453792319866</v>
        <stp/>
        <stp>##V3_BDPV12</stp>
        <stp>9128282L Govt</stp>
        <stp>YLD_YTM_BID</stp>
        <stp>[TIPS.xlsx]Sheet1!R23C4</stp>
        <tr r="D23" s="1"/>
      </tp>
      <tp>
        <v>-1.382322940841243</v>
        <stp/>
        <stp>##V3_BDPV12</stp>
        <stp>9128283R Govt</stp>
        <stp>YLD_YTM_BID</stp>
        <stp>[TIPS.xlsx]Sheet1!R22C4</stp>
        <tr r="D22" s="1"/>
      </tp>
      <tp t="s">
        <v>#N/A N/A</v>
        <stp/>
        <stp>##V3_BDPV12</stp>
        <stp>9128276R Govt</stp>
        <stp>YLD_YTM_BID</stp>
        <stp>[TIPS.xlsx]Sheet1!R77C4</stp>
        <tr r="D77" s="1"/>
      </tp>
      <tp t="s">
        <v>ACT/ACT</v>
        <stp/>
        <stp>##V3_BDPV12</stp>
        <stp>91282CBF Govt</stp>
        <stp>DAY_CNT_DES</stp>
        <stp>[TIPS.xlsx]Sheet1!R5C17</stp>
        <tr r="Q5" s="1"/>
      </tp>
      <tp t="s">
        <v>S/A</v>
        <stp/>
        <stp>##V3_BDPV12</stp>
        <stp>912828ZZ Govt</stp>
        <stp>COUPON_FREQUENCY_DESCRIPTION</stp>
        <stp>[TIPS.xlsx]Sheet1!R9C10</stp>
        <tr r="J9" s="1"/>
      </tp>
      <tp t="s">
        <v>10/15/2015</v>
        <stp/>
        <stp>##V3_BDPV12</stp>
        <stp>912828K3 Govt</stp>
        <stp>FIRST_CPN_DT</stp>
        <stp>[TIPS.xlsx]Sheet1!R66C9</stp>
        <tr r="I66" s="1"/>
      </tp>
      <tp>
        <v>0.25</v>
        <stp/>
        <stp>##V3_BDPV12</stp>
        <stp>9128287D Govt</stp>
        <stp>CPN</stp>
        <stp>[TIPS.xlsx]Sheet1!R16C3</stp>
        <tr r="C16" s="1"/>
      </tp>
      <tp>
        <v>0.375</v>
        <stp/>
        <stp>##V3_BDPV12</stp>
        <stp>9128282L Govt</stp>
        <stp>CPN</stp>
        <stp>[TIPS.xlsx]Sheet1!R23C3</stp>
        <tr r="C23" s="1"/>
      </tp>
      <tp>
        <v>3.5</v>
        <stp/>
        <stp>##V3_BDPV12</stp>
        <stp>9128276R Govt</stp>
        <stp>CPN</stp>
        <stp>[TIPS.xlsx]Sheet1!R77C3</stp>
        <tr r="C77" s="1"/>
      </tp>
      <tp>
        <v>0.5</v>
        <stp/>
        <stp>##V3_BDPV12</stp>
        <stp>9128283R Govt</stp>
        <stp>CPN</stp>
        <stp>[TIPS.xlsx]Sheet1!R22C3</stp>
        <tr r="C22" s="1"/>
      </tp>
      <tp t="s">
        <v>10/15/2016</v>
        <stp/>
        <stp>##V3_BDPV12</stp>
        <stp>912828Q6 Govt</stp>
        <stp>FIRST_CPN_DT</stp>
        <stp>[TIPS.xlsx]Sheet1!R50C9</stp>
        <tr r="I50" s="1"/>
      </tp>
      <tp t="s">
        <v>1/15/2017</v>
        <stp/>
        <stp>##V3_BDPV12</stp>
        <stp>912828S5 Govt</stp>
        <stp>FIRST_CPN_DT</stp>
        <stp>[TIPS.xlsx]Sheet1!R13C9</stp>
        <tr r="I13" s="1"/>
      </tp>
      <tp>
        <v>-2.2077491043228781</v>
        <stp/>
        <stp>##V3_BDPV12</stp>
        <stp>9128286N Govt</stp>
        <stp>YLD_YTM_BID</stp>
        <stp>[TIPS.xlsx]Sheet1!R15C4</stp>
        <tr r="D15" s="1"/>
      </tp>
      <tp t="s">
        <v>#N/A N/A</v>
        <stp/>
        <stp>##V3_BDPV12</stp>
        <stp>9128274Y Govt</stp>
        <stp>YLD_YTM_BID</stp>
        <stp>[TIPS.xlsx]Sheet1!R67C4</stp>
        <tr r="D67" s="1"/>
      </tp>
      <tp t="s">
        <v>7/15/2031</v>
        <stp/>
        <stp>##V3_BDPV12</stp>
        <stp>91282CCM Govt</stp>
        <stp>MATURITY</stp>
        <stp>[TIPS.xlsx]Sheet1!R2C5</stp>
        <tr r="E2" s="1"/>
      </tp>
      <tp t="s">
        <v>7/15/2014</v>
        <stp/>
        <stp>##V3_BDPV12</stp>
        <stp>912828B2 Govt</stp>
        <stp>FIRST_CPN_DT</stp>
        <stp>[TIPS.xlsx]Sheet1!R25C9</stp>
        <tr r="I25" s="1"/>
      </tp>
      <tp>
        <v>0.5</v>
        <stp/>
        <stp>##V3_BDPV12</stp>
        <stp>9128286N Govt</stp>
        <stp>CPN</stp>
        <stp>[TIPS.xlsx]Sheet1!R15C3</stp>
        <tr r="C15" s="1"/>
      </tp>
      <tp>
        <v>3.875</v>
        <stp/>
        <stp>##V3_BDPV12</stp>
        <stp>9128274Y Govt</stp>
        <stp>CPN</stp>
        <stp>[TIPS.xlsx]Sheet1!R67C3</stp>
        <tr r="C67" s="1"/>
      </tp>
      <tp t="s">
        <v>4/15/2026</v>
        <stp/>
        <stp>##V3_BDPV12</stp>
        <stp>91282CCA Govt</stp>
        <stp>MATURITY</stp>
        <stp>[TIPS.xlsx]Sheet1!R3C5</stp>
        <tr r="E3" s="1"/>
      </tp>
      <tp t="s">
        <v>TII</v>
        <stp/>
        <stp>##V3_BDPV12</stp>
        <stp>912810FD Govt</stp>
        <stp>TICKER</stp>
        <stp>[TIPS.xlsx]Sheet1!R35C2</stp>
        <tr r="B35" s="1"/>
      </tp>
      <tp t="s">
        <v>TII</v>
        <stp/>
        <stp>##V3_BDPV12</stp>
        <stp>912810PS Govt</stp>
        <stp>TICKER</stp>
        <stp>[TIPS.xlsx]Sheet1!R45C2</stp>
        <tr r="B45" s="1"/>
      </tp>
      <tp t="s">
        <v>#N/A N/A</v>
        <stp/>
        <stp>##V3_BDPV12</stp>
        <stp>912828K3 Govt</stp>
        <stp>YLD_YTM_BID</stp>
        <stp>[TIPS.xlsx]Sheet1!R66C4</stp>
        <tr r="D66" s="1"/>
      </tp>
      <tp>
        <v>1.375</v>
        <stp/>
        <stp>##V3_BDPV12</stp>
        <stp>912828MF Govt</stp>
        <stp>CPN</stp>
        <stp>[TIPS.xlsx]Sheet1!R61C3</stp>
        <tr r="C61" s="1"/>
      </tp>
      <tp t="s">
        <v>7/15/2002</v>
        <stp/>
        <stp>##V3_BDPV12</stp>
        <stp>9128277J Govt</stp>
        <stp>FIRST_CPN_DT</stp>
        <stp>[TIPS.xlsx]Sheet1!R72C9</stp>
        <tr r="I72" s="1"/>
      </tp>
      <tp t="s">
        <v>4/15/2020</v>
        <stp/>
        <stp>##V3_BDPV12</stp>
        <stp>912828YL Govt</stp>
        <stp>FIRST_CPN_DT</stp>
        <stp>[TIPS.xlsx]Sheet1!R24C9</stp>
        <tr r="I24" s="1"/>
      </tp>
      <tp t="s">
        <v>7/15/2005</v>
        <stp/>
        <stp>##V3_BDPV12</stp>
        <stp>912828DH Govt</stp>
        <stp>FIRST_CPN_DT</stp>
        <stp>[TIPS.xlsx]Sheet1!R80C9</stp>
        <tr r="I80" s="1"/>
      </tp>
      <tp t="s">
        <v>1/15/2010</v>
        <stp/>
        <stp>##V3_BDPV12</stp>
        <stp>912828LA Govt</stp>
        <stp>FIRST_CPN_DT</stp>
        <stp>[TIPS.xlsx]Sheet1!R59C9</stp>
        <tr r="I59" s="1"/>
      </tp>
      <tp t="s">
        <v>1/15/2006</v>
        <stp/>
        <stp>##V3_BDPV12</stp>
        <stp>912828EA Govt</stp>
        <stp>FIRST_CPN_DT</stp>
        <stp>[TIPS.xlsx]Sheet1!R79C9</stp>
        <tr r="I79" s="1"/>
      </tp>
      <tp>
        <v>1.875</v>
        <stp/>
        <stp>##V3_BDPV12</stp>
        <stp>912828EA Govt</stp>
        <stp>CPN</stp>
        <stp>[TIPS.xlsx]Sheet1!R79C3</stp>
        <tr r="C79" s="1"/>
      </tp>
      <tp>
        <v>1.25</v>
        <stp/>
        <stp>##V3_BDPV12</stp>
        <stp>912828NM Govt</stp>
        <stp>CPN</stp>
        <stp>[TIPS.xlsx]Sheet1!R52C3</stp>
        <tr r="C52" s="1"/>
      </tp>
      <tp>
        <v>0.625</v>
        <stp/>
        <stp>##V3_BDPV12</stp>
        <stp>912828HW Govt</stp>
        <stp>CPN</stp>
        <stp>[TIPS.xlsx]Sheet1!R64C3</stp>
        <tr r="C64" s="1"/>
      </tp>
      <tp t="s">
        <v>TII</v>
        <stp/>
        <stp>##V3_BDPV12</stp>
        <stp>9128277J Govt</stp>
        <stp>TICKER</stp>
        <stp>[TIPS.xlsx]Sheet1!R72C2</stp>
        <tr r="B72" s="1"/>
      </tp>
      <tp t="s">
        <v>TII</v>
        <stp/>
        <stp>##V3_BDPV12</stp>
        <stp>912810FR Govt</stp>
        <stp>TICKER</stp>
        <stp>[TIPS.xlsx]Sheet1!R34C2</stp>
        <tr r="B34" s="1"/>
      </tp>
      <tp t="s">
        <v>TII</v>
        <stp/>
        <stp>##V3_BDPV12</stp>
        <stp>912810SG Govt</stp>
        <stp>TICKER</stp>
        <stp>[TIPS.xlsx]Sheet1!R44C2</stp>
        <tr r="B44" s="1"/>
      </tp>
      <tp>
        <v>0.125</v>
        <stp/>
        <stp>##V3_BDPV12</stp>
        <stp>912828K3 Govt</stp>
        <stp>CPN</stp>
        <stp>[TIPS.xlsx]Sheet1!R66C3</stp>
        <tr r="C66" s="1"/>
      </tp>
      <tp t="s">
        <v>1/15/1998</v>
        <stp/>
        <stp>##V3_BDPV12</stp>
        <stp>9128273A Govt</stp>
        <stp>FIRST_CPN_DT</stp>
        <stp>[TIPS.xlsx]Sheet1!R78C9</stp>
        <tr r="I78" s="1"/>
      </tp>
      <tp t="s">
        <v>10/15/2009</v>
        <stp/>
        <stp>##V3_BDPV12</stp>
        <stp>912828KM Govt</stp>
        <stp>FIRST_CPN_DT</stp>
        <stp>[TIPS.xlsx]Sheet1!R84C9</stp>
        <tr r="I84" s="1"/>
      </tp>
      <tp t="s">
        <v>#N/A N/A</v>
        <stp/>
        <stp>##V3_BDPV12</stp>
        <stp>912828MF Govt</stp>
        <stp>YLD_YTM_BID</stp>
        <stp>[TIPS.xlsx]Sheet1!R61C4</stp>
        <tr r="D61" s="1"/>
      </tp>
      <tp t="s">
        <v>10/15/1999</v>
        <stp/>
        <stp>##V3_BDPV12</stp>
        <stp>912810FH Govt</stp>
        <stp>FIRST_CPN_DT</stp>
        <stp>[TIPS.xlsx]Sheet1!R41C9</stp>
        <tr r="I41" s="1"/>
      </tp>
      <tp t="s">
        <v>#N/A N/A</v>
        <stp/>
        <stp>##V3_BDPV12</stp>
        <stp>912828EA Govt</stp>
        <stp>YLD_YTM_BID</stp>
        <stp>[TIPS.xlsx]Sheet1!R79C4</stp>
        <tr r="D79" s="1"/>
      </tp>
      <tp t="s">
        <v>#N/A N/A</v>
        <stp/>
        <stp>##V3_BDPV12</stp>
        <stp>912828NM Govt</stp>
        <stp>YLD_YTM_BID</stp>
        <stp>[TIPS.xlsx]Sheet1!R52C4</stp>
        <tr r="D52" s="1"/>
      </tp>
      <tp t="s">
        <v>#N/A N/A</v>
        <stp/>
        <stp>##V3_BDPV12</stp>
        <stp>912828HW Govt</stp>
        <stp>YLD_YTM_BID</stp>
        <stp>[TIPS.xlsx]Sheet1!R64C4</stp>
        <tr r="D64" s="1"/>
      </tp>
      <tp t="s">
        <v>TII</v>
        <stp/>
        <stp>##V3_BDPV12</stp>
        <stp>912810RL Govt</stp>
        <stp>TICKER</stp>
        <stp>[TIPS.xlsx]Sheet1!R37C2</stp>
        <tr r="B37" s="1"/>
      </tp>
      <tp t="s">
        <v>TII</v>
        <stp/>
        <stp>##V3_BDPV12</stp>
        <stp>912810RR Govt</stp>
        <stp>TICKER</stp>
        <stp>[TIPS.xlsx]Sheet1!R47C2</stp>
        <tr r="B47" s="1"/>
      </tp>
      <tp>
        <v>-2.0248692869841065</v>
        <stp/>
        <stp>##V3_BDPV12</stp>
        <stp>912828H4 Govt</stp>
        <stp>YLD_YTM_BID</stp>
        <stp>[TIPS.xlsx]Sheet1!R27C4</stp>
        <tr r="D27" s="1"/>
      </tp>
      <tp t="s">
        <v>7/15/1997</v>
        <stp/>
        <stp>##V3_BDPV12</stp>
        <stp>9128272M Govt</stp>
        <stp>FIRST_CPN_DT</stp>
        <stp>[TIPS.xlsx]Sheet1!R57C9</stp>
        <tr r="I57" s="1"/>
      </tp>
      <tp t="s">
        <v>10/15/2007</v>
        <stp/>
        <stp>##V3_BDPV12</stp>
        <stp>912828GN Govt</stp>
        <stp>FIRST_CPN_DT</stp>
        <stp>[TIPS.xlsx]Sheet1!R74C9</stp>
        <tr r="I74" s="1"/>
      </tp>
      <tp t="s">
        <v>#N/A N/A</v>
        <stp/>
        <stp>##V3_BDPV12</stp>
        <stp>912828JE Govt</stp>
        <stp>YLD_YTM_BID</stp>
        <stp>[TIPS.xlsx]Sheet1!R85C4</stp>
        <tr r="D85" s="1"/>
      </tp>
      <tp t="s">
        <v>#N/A N/A</v>
        <stp/>
        <stp>##V3_BDPV12</stp>
        <stp>912828KM Govt</stp>
        <stp>YLD_YTM_BID</stp>
        <stp>[TIPS.xlsx]Sheet1!R84C4</stp>
        <tr r="D84" s="1"/>
      </tp>
      <tp t="s">
        <v>#N/A N/A</v>
        <stp/>
        <stp>##V3_BDPV12</stp>
        <stp>912828MY Govt</stp>
        <stp>YLD_YTM_BID</stp>
        <stp>[TIPS.xlsx]Sheet1!R62C4</stp>
        <tr r="D62" s="1"/>
      </tp>
      <tp t="s">
        <v>TII</v>
        <stp/>
        <stp>##V3_BDPV12</stp>
        <stp>912810FQ Govt</stp>
        <stp>TICKER</stp>
        <stp>[TIPS.xlsx]Sheet1!R36C2</stp>
        <tr r="B36" s="1"/>
      </tp>
      <tp t="s">
        <v>TII</v>
        <stp/>
        <stp>##V3_BDPV12</stp>
        <stp>912810PV Govt</stp>
        <stp>TICKER</stp>
        <stp>[TIPS.xlsx]Sheet1!R46C2</stp>
        <tr r="B46" s="1"/>
      </tp>
      <tp>
        <v>0.25</v>
        <stp/>
        <stp>##V3_BDPV12</stp>
        <stp>912828H4 Govt</stp>
        <stp>CPN</stp>
        <stp>[TIPS.xlsx]Sheet1!R27C3</stp>
        <tr r="C27" s="1"/>
      </tp>
      <tp t="s">
        <v>10/15/2019</v>
        <stp/>
        <stp>##V3_BDPV12</stp>
        <stp>9128286N Govt</stp>
        <stp>FIRST_CPN_DT</stp>
        <stp>[TIPS.xlsx]Sheet1!R15C9</stp>
        <tr r="I15" s="1"/>
      </tp>
      <tp t="s">
        <v>8/15/2015</v>
        <stp/>
        <stp>##V3_BDPV12</stp>
        <stp>912810RL Govt</stp>
        <stp>FIRST_CPN_DT</stp>
        <stp>[TIPS.xlsx]Sheet1!R37C9</stp>
        <tr r="I37" s="1"/>
      </tp>
      <tp>
        <v>1.375</v>
        <stp/>
        <stp>##V3_BDPV12</stp>
        <stp>912828JE Govt</stp>
        <stp>CPN</stp>
        <stp>[TIPS.xlsx]Sheet1!R85C3</stp>
        <tr r="C85" s="1"/>
      </tp>
      <tp>
        <v>1.25</v>
        <stp/>
        <stp>##V3_BDPV12</stp>
        <stp>912828KM Govt</stp>
        <stp>CPN</stp>
        <stp>[TIPS.xlsx]Sheet1!R84C3</stp>
        <tr r="C84" s="1"/>
      </tp>
      <tp>
        <v>0.5</v>
        <stp/>
        <stp>##V3_BDPV12</stp>
        <stp>912828MY Govt</stp>
        <stp>CPN</stp>
        <stp>[TIPS.xlsx]Sheet1!R62C3</stp>
        <tr r="C62" s="1"/>
      </tp>
      <tp t="s">
        <v>TII</v>
        <stp/>
        <stp>##V3_BDPV12</stp>
        <stp>912828JX Govt</stp>
        <stp>TICKER</stp>
        <stp>[TIPS.xlsx]Sheet1!R69C2</stp>
        <tr r="B69" s="1"/>
      </tp>
      <tp t="s">
        <v>TII</v>
        <stp/>
        <stp>##V3_BDPV12</stp>
        <stp>912828LA Govt</stp>
        <stp>TICKER</stp>
        <stp>[TIPS.xlsx]Sheet1!R59C2</stp>
        <tr r="B59" s="1"/>
      </tp>
      <tp t="s">
        <v>TII</v>
        <stp/>
        <stp>##V3_BDPV12</stp>
        <stp>912828EA Govt</stp>
        <stp>TICKER</stp>
        <stp>[TIPS.xlsx]Sheet1!R79C2</stp>
        <tr r="B79" s="1"/>
      </tp>
      <tp t="s">
        <v>TII</v>
        <stp/>
        <stp>##V3_BDPV12</stp>
        <stp>912810FH Govt</stp>
        <stp>TICKER</stp>
        <stp>[TIPS.xlsx]Sheet1!R41C2</stp>
        <tr r="B41" s="1"/>
      </tp>
      <tp t="s">
        <v>TII</v>
        <stp/>
        <stp>##V3_BDPV12</stp>
        <stp>912828ZJ Govt</stp>
        <stp>TICKER</stp>
        <stp>[TIPS.xlsx]Sheet1!R19C2</stp>
        <tr r="B19" s="1"/>
      </tp>
      <tp t="s">
        <v>TII</v>
        <stp/>
        <stp>##V3_BDPV12</stp>
        <stp>912810QP Govt</stp>
        <stp>TICKER</stp>
        <stp>[TIPS.xlsx]Sheet1!R31C2</stp>
        <tr r="B31" s="1"/>
      </tp>
      <tp t="s">
        <v>TII</v>
        <stp/>
        <stp>##V3_BDPV12</stp>
        <stp>912828QV Govt</stp>
        <stp>TICKER</stp>
        <stp>[TIPS.xlsx]Sheet1!R49C2</stp>
        <tr r="B49" s="1"/>
      </tp>
      <tp t="s">
        <v>TII</v>
        <stp/>
        <stp>##V3_BDPV12</stp>
        <stp>912810SM Govt</stp>
        <stp>TICKER</stp>
        <stp>[TIPS.xlsx]Sheet1!R11C2</stp>
        <tr r="B11" s="1"/>
      </tp>
      <tp t="s">
        <v>TII</v>
        <stp/>
        <stp>##V3_BDPV12</stp>
        <stp>912828V4 Govt</stp>
        <stp>TICKER</stp>
        <stp>[TIPS.xlsx]Sheet1!R29C2</stp>
        <tr r="B29" s="1"/>
      </tp>
      <tp t="s">
        <v>ACT/ACT</v>
        <stp/>
        <stp>##V3_BDPV12</stp>
        <stp>912828GX Govt</stp>
        <stp>DAY_CNT_DES</stp>
        <stp>[TIPS.xlsx]Sheet1!R54C17</stp>
        <tr r="Q54" s="1"/>
      </tp>
      <tp t="s">
        <v>ACT/ACT</v>
        <stp/>
        <stp>##V3_BDPV12</stp>
        <stp>912828UX Govt</stp>
        <stp>DAY_CNT_DES</stp>
        <stp>[TIPS.xlsx]Sheet1!R56C17</stp>
        <tr r="Q56" s="1"/>
      </tp>
      <tp t="s">
        <v>ACT/ACT</v>
        <stp/>
        <stp>##V3_BDPV12</stp>
        <stp>912828JX Govt</stp>
        <stp>DAY_CNT_DES</stp>
        <stp>[TIPS.xlsx]Sheet1!R69C17</stp>
        <tr r="Q69" s="1"/>
      </tp>
      <tp>
        <v>-1.7740403911882681</v>
        <stp/>
        <stp>##V3_BDPV12</stp>
        <stp>912828N7 Govt</stp>
        <stp>YLD_YTM_BID</stp>
        <stp>[TIPS.xlsx]Sheet1!R17C4</stp>
        <tr r="D17" s="1"/>
      </tp>
      <tp t="s">
        <v>1/15/2004</v>
        <stp/>
        <stp>##V3_BDPV12</stp>
        <stp>912828BD Govt</stp>
        <stp>FIRST_CPN_DT</stp>
        <stp>[TIPS.xlsx]Sheet1!R58C9</stp>
        <tr r="I58" s="1"/>
      </tp>
      <tp t="s">
        <v>8/15/2020</v>
        <stp/>
        <stp>##V3_BDPV12</stp>
        <stp>912810SM Govt</stp>
        <stp>FIRST_CPN_DT</stp>
        <stp>[TIPS.xlsx]Sheet1!R11C9</stp>
        <tr r="I11" s="1"/>
      </tp>
      <tp>
        <v>1.625</v>
        <stp/>
        <stp>##V3_BDPV12</stp>
        <stp>912828HN Govt</stp>
        <stp>CPN</stp>
        <stp>[TIPS.xlsx]Sheet1!R60C3</stp>
        <tr r="C60" s="1"/>
      </tp>
      <tp t="s">
        <v>USD</v>
        <stp/>
        <stp>##V3_BDPV12</stp>
        <stp>912828JX Govt</stp>
        <stp>CRNCY</stp>
        <stp>[TIPS.xlsx]Sheet1!R69C7</stp>
        <tr r="G69" s="1"/>
      </tp>
      <tp t="s">
        <v>USD</v>
        <stp/>
        <stp>##V3_BDPV12</stp>
        <stp>912828LA Govt</stp>
        <stp>CRNCY</stp>
        <stp>[TIPS.xlsx]Sheet1!R59C7</stp>
        <tr r="G59" s="1"/>
      </tp>
      <tp t="s">
        <v>USD</v>
        <stp/>
        <stp>##V3_BDPV12</stp>
        <stp>912828EA Govt</stp>
        <stp>CRNCY</stp>
        <stp>[TIPS.xlsx]Sheet1!R79C7</stp>
        <tr r="G79" s="1"/>
      </tp>
      <tp t="s">
        <v>USD</v>
        <stp/>
        <stp>##V3_BDPV12</stp>
        <stp>912828ZJ Govt</stp>
        <stp>CRNCY</stp>
        <stp>[TIPS.xlsx]Sheet1!R19C7</stp>
        <tr r="G19" s="1"/>
      </tp>
      <tp t="s">
        <v>USD</v>
        <stp/>
        <stp>##V3_BDPV12</stp>
        <stp>912828QV Govt</stp>
        <stp>CRNCY</stp>
        <stp>[TIPS.xlsx]Sheet1!R49C7</stp>
        <tr r="G49" s="1"/>
      </tp>
      <tp t="s">
        <v>USD</v>
        <stp/>
        <stp>##V3_BDPV12</stp>
        <stp>912828V4 Govt</stp>
        <stp>CRNCY</stp>
        <stp>[TIPS.xlsx]Sheet1!R29C7</stp>
        <tr r="G29" s="1"/>
      </tp>
      <tp t="s">
        <v>TII</v>
        <stp/>
        <stp>##V3_BDPV12</stp>
        <stp>912828BD Govt</stp>
        <stp>TICKER</stp>
        <stp>[TIPS.xlsx]Sheet1!R58C2</stp>
        <tr r="B58" s="1"/>
      </tp>
      <tp t="s">
        <v>TII</v>
        <stp/>
        <stp>##V3_BDPV12</stp>
        <stp>912810RW Govt</stp>
        <stp>TICKER</stp>
        <stp>[TIPS.xlsx]Sheet1!R40C2</stp>
        <tr r="B40" s="1"/>
      </tp>
      <tp t="s">
        <v>TII</v>
        <stp/>
        <stp>##V3_BDPV12</stp>
        <stp>912828TE Govt</stp>
        <stp>TICKER</stp>
        <stp>[TIPS.xlsx]Sheet1!R18C2</stp>
        <tr r="B18" s="1"/>
      </tp>
      <tp t="s">
        <v>TII</v>
        <stp/>
        <stp>##V3_BDPV12</stp>
        <stp>912828VM Govt</stp>
        <stp>TICKER</stp>
        <stp>[TIPS.xlsx]Sheet1!R28C2</stp>
        <tr r="B28" s="1"/>
      </tp>
      <tp t="s">
        <v>ACT/ACT</v>
        <stp/>
        <stp>##V3_BDPV12</stp>
        <stp>9128274Y Govt</stp>
        <stp>DAY_CNT_DES</stp>
        <stp>[TIPS.xlsx]Sheet1!R67C17</stp>
        <tr r="Q67" s="1"/>
      </tp>
      <tp t="s">
        <v>ACT/ACT</v>
        <stp/>
        <stp>##V3_BDPV12</stp>
        <stp>912828MY Govt</stp>
        <stp>DAY_CNT_DES</stp>
        <stp>[TIPS.xlsx]Sheet1!R62C17</stp>
        <tr r="Q62" s="1"/>
      </tp>
      <tp>
        <v>0.625</v>
        <stp/>
        <stp>##V3_BDPV12</stp>
        <stp>912828N7 Govt</stp>
        <stp>CPN</stp>
        <stp>[TIPS.xlsx]Sheet1!R17C3</stp>
        <tr r="C17" s="1"/>
      </tp>
      <tp t="s">
        <v>1/15/2016</v>
        <stp/>
        <stp>##V3_BDPV12</stp>
        <stp>912828XL Govt</stp>
        <stp>FIRST_CPN_DT</stp>
        <stp>[TIPS.xlsx]Sheet1!R21C9</stp>
        <tr r="I21" s="1"/>
      </tp>
      <tp t="s">
        <v>1/15/2013</v>
        <stp/>
        <stp>##V3_BDPV12</stp>
        <stp>912828TE Govt</stp>
        <stp>FIRST_CPN_DT</stp>
        <stp>[TIPS.xlsx]Sheet1!R18C9</stp>
        <tr r="I18" s="1"/>
      </tp>
      <tp t="s">
        <v>#N/A N/A</v>
        <stp/>
        <stp>##V3_BDPV12</stp>
        <stp>912828HN Govt</stp>
        <stp>YLD_YTM_BID</stp>
        <stp>[TIPS.xlsx]Sheet1!R60C4</stp>
        <tr r="D60" s="1"/>
      </tp>
      <tp t="s">
        <v>USD</v>
        <stp/>
        <stp>##V3_BDPV12</stp>
        <stp>912828BD Govt</stp>
        <stp>CRNCY</stp>
        <stp>[TIPS.xlsx]Sheet1!R58C7</stp>
        <tr r="G58" s="1"/>
      </tp>
      <tp t="s">
        <v>USD</v>
        <stp/>
        <stp>##V3_BDPV12</stp>
        <stp>912828VM Govt</stp>
        <stp>CRNCY</stp>
        <stp>[TIPS.xlsx]Sheet1!R28C7</stp>
        <tr r="G28" s="1"/>
      </tp>
      <tp t="s">
        <v>USD</v>
        <stp/>
        <stp>##V3_BDPV12</stp>
        <stp>912828TE Govt</stp>
        <stp>CRNCY</stp>
        <stp>[TIPS.xlsx]Sheet1!R18C7</stp>
        <tr r="G18" s="1"/>
      </tp>
      <tp t="s">
        <v>USD</v>
        <stp/>
        <stp>##V3_BDPV12</stp>
        <stp>9128273A Govt</stp>
        <stp>CRNCY</stp>
        <stp>[TIPS.xlsx]Sheet1!R78C7</stp>
        <tr r="G78" s="1"/>
      </tp>
      <tp t="s">
        <v>USD</v>
        <stp/>
        <stp>##V3_BDPV12</stp>
        <stp>9128275W Govt</stp>
        <stp>CRNCY</stp>
        <stp>[TIPS.xlsx]Sheet1!R68C7</stp>
        <tr r="G68" s="1"/>
      </tp>
      <tp t="s">
        <v>TII</v>
        <stp/>
        <stp>##V3_BDPV12</stp>
        <stp>9128272M Govt</stp>
        <stp>TICKER</stp>
        <stp>[TIPS.xlsx]Sheet1!R57C2</stp>
        <tr r="B57" s="1"/>
      </tp>
      <tp t="s">
        <v>TII</v>
        <stp/>
        <stp>##V3_BDPV12</stp>
        <stp>9128274Y Govt</stp>
        <stp>TICKER</stp>
        <stp>[TIPS.xlsx]Sheet1!R67C2</stp>
        <tr r="B67" s="1"/>
      </tp>
      <tp t="s">
        <v>TII</v>
        <stp/>
        <stp>##V3_BDPV12</stp>
        <stp>9128276R Govt</stp>
        <stp>TICKER</stp>
        <stp>[TIPS.xlsx]Sheet1!R77C2</stp>
        <tr r="B77" s="1"/>
      </tp>
      <tp t="s">
        <v>TII</v>
        <stp/>
        <stp>##V3_BDPV12</stp>
        <stp>912810FS Govt</stp>
        <stp>TICKER</stp>
        <stp>[TIPS.xlsx]Sheet1!R33C2</stp>
        <tr r="B33" s="1"/>
      </tp>
      <tp t="s">
        <v>TII</v>
        <stp/>
        <stp>##V3_BDPV12</stp>
        <stp>912810RA Govt</stp>
        <stp>TICKER</stp>
        <stp>[TIPS.xlsx]Sheet1!R43C2</stp>
        <tr r="B43" s="1"/>
      </tp>
      <tp t="s">
        <v>ACT/ACT</v>
        <stp/>
        <stp>##V3_BDPV12</stp>
        <stp>912828CZ Govt</stp>
        <stp>DAY_CNT_DES</stp>
        <stp>[TIPS.xlsx]Sheet1!R65C17</stp>
        <tr r="Q65" s="1"/>
      </tp>
      <tp t="s">
        <v>ACT/ACT</v>
        <stp/>
        <stp>##V3_BDPV12</stp>
        <stp>912810PZ Govt</stp>
        <stp>DAY_CNT_DES</stp>
        <stp>[TIPS.xlsx]Sheet1!R48C17</stp>
        <tr r="Q48" s="1"/>
      </tp>
      <tp t="s">
        <v>7/15/2008</v>
        <stp/>
        <stp>##V3_BDPV12</stp>
        <stp>912828HN Govt</stp>
        <stp>FIRST_CPN_DT</stp>
        <stp>[TIPS.xlsx]Sheet1!R60C9</stp>
        <tr r="I60" s="1"/>
      </tp>
      <tp t="s">
        <v>8/15/2010</v>
        <stp/>
        <stp>##V3_BDPV12</stp>
        <stp>912810QF Govt</stp>
        <stp>FIRST_CPN_DT</stp>
        <stp>[TIPS.xlsx]Sheet1!R38C9</stp>
        <tr r="I38" s="1"/>
      </tp>
      <tp>
        <v>1.875</v>
        <stp/>
        <stp>##V3_BDPV12</stp>
        <stp>912828BD Govt</stp>
        <stp>CPN</stp>
        <stp>[TIPS.xlsx]Sheet1!R58C3</stp>
        <tr r="C58" s="1"/>
      </tp>
      <tp t="s">
        <v>USD</v>
        <stp/>
        <stp>##V3_BDPV12</stp>
        <stp>912810QF Govt</stp>
        <stp>CRNCY</stp>
        <stp>[TIPS.xlsx]Sheet1!R38C7</stp>
        <tr r="G38" s="1"/>
      </tp>
      <tp t="s">
        <v>USD</v>
        <stp/>
        <stp>##V3_BDPV12</stp>
        <stp>912810PZ Govt</stp>
        <stp>CRNCY</stp>
        <stp>[TIPS.xlsx]Sheet1!R48C7</stp>
        <tr r="G48" s="1"/>
      </tp>
      <tp t="s">
        <v>TII</v>
        <stp/>
        <stp>##V3_BDPV12</stp>
        <stp>912810SB Govt</stp>
        <stp>TICKER</stp>
        <stp>[TIPS.xlsx]Sheet1!R42C2</stp>
        <tr r="B42" s="1"/>
      </tp>
      <tp t="s">
        <v>TII</v>
        <stp/>
        <stp>##V3_BDPV12</stp>
        <stp>912810RF Govt</stp>
        <stp>TICKER</stp>
        <stp>[TIPS.xlsx]Sheet1!R32C2</stp>
        <tr r="B32" s="1"/>
      </tp>
      <tp t="s">
        <v>1/15/2018</v>
        <stp/>
        <stp>##V3_BDPV12</stp>
        <stp>9128282L Govt</stp>
        <stp>FIRST_CPN_DT</stp>
        <stp>[TIPS.xlsx]Sheet1!R23C9</stp>
        <tr r="I23" s="1"/>
      </tp>
      <tp t="s">
        <v>1/15/2007</v>
        <stp/>
        <stp>##V3_BDPV12</stp>
        <stp>912828FL Govt</stp>
        <stp>FIRST_CPN_DT</stp>
        <stp>[TIPS.xlsx]Sheet1!R83C9</stp>
        <tr r="I83" s="1"/>
      </tp>
      <tp t="s">
        <v>1/15/2011</v>
        <stp/>
        <stp>##V3_BDPV12</stp>
        <stp>912828NM Govt</stp>
        <stp>FIRST_CPN_DT</stp>
        <stp>[TIPS.xlsx]Sheet1!R52C9</stp>
        <tr r="I52" s="1"/>
      </tp>
      <tp t="s">
        <v>#N/A N/A</v>
        <stp/>
        <stp>##V3_BDPV12</stp>
        <stp>912828BD Govt</stp>
        <stp>YLD_YTM_BID</stp>
        <stp>[TIPS.xlsx]Sheet1!R58C4</stp>
        <tr r="D58" s="1"/>
      </tp>
      <tp t="s">
        <v>USD</v>
        <stp/>
        <stp>##V3_BDPV12</stp>
        <stp>912810QV Govt</stp>
        <stp>CRNCY</stp>
        <stp>[TIPS.xlsx]Sheet1!R39C7</stp>
        <tr r="G39" s="1"/>
      </tp>
      <tp t="s">
        <v>TII</v>
        <stp/>
        <stp>##V3_BDPV12</stp>
        <stp>9128273T Govt</stp>
        <stp>TICKER</stp>
        <stp>[TIPS.xlsx]Sheet1!R75C2</stp>
        <tr r="B75" s="1"/>
      </tp>
      <tp t="s">
        <v>TII</v>
        <stp/>
        <stp>##V3_BDPV12</stp>
        <stp>912828JE Govt</stp>
        <stp>TICKER</stp>
        <stp>[TIPS.xlsx]Sheet1!R85C2</stp>
        <tr r="B85" s="1"/>
      </tp>
      <tp t="s">
        <v>TII</v>
        <stp/>
        <stp>##V3_BDPV12</stp>
        <stp>912828CZ Govt</stp>
        <stp>TICKER</stp>
        <stp>[TIPS.xlsx]Sheet1!R65C2</stp>
        <tr r="B65" s="1"/>
      </tp>
      <tp t="s">
        <v>TII</v>
        <stp/>
        <stp>##V3_BDPV12</stp>
        <stp>912828B2 Govt</stp>
        <stp>TICKER</stp>
        <stp>[TIPS.xlsx]Sheet1!R25C2</stp>
        <tr r="B25" s="1"/>
      </tp>
      <tp t="s">
        <v>TII</v>
        <stp/>
        <stp>##V3_BDPV12</stp>
        <stp>912828SQ Govt</stp>
        <stp>TICKER</stp>
        <stp>[TIPS.xlsx]Sheet1!R55C2</stp>
        <tr r="B55" s="1"/>
      </tp>
      <tp t="s">
        <v>ACT/ACT</v>
        <stp/>
        <stp>##V3_BDPV12</stp>
        <stp>9128273T Govt</stp>
        <stp>DAY_CNT_DES</stp>
        <stp>[TIPS.xlsx]Sheet1!R75C17</stp>
        <tr r="Q75" s="1"/>
      </tp>
      <tp t="s">
        <v>ACT/ACT</v>
        <stp/>
        <stp>##V3_BDPV12</stp>
        <stp>912828ET Govt</stp>
        <stp>DAY_CNT_DES</stp>
        <stp>[TIPS.xlsx]Sheet1!R73C17</stp>
        <tr r="Q73" s="1"/>
      </tp>
      <tp t="s">
        <v>1/15/2009</v>
        <stp/>
        <stp>##V3_BDPV12</stp>
        <stp>912828JE Govt</stp>
        <stp>FIRST_CPN_DT</stp>
        <stp>[TIPS.xlsx]Sheet1!R85C9</stp>
        <tr r="I85" s="1"/>
      </tp>
      <tp t="s">
        <v>8/15/2018</v>
        <stp/>
        <stp>##V3_BDPV12</stp>
        <stp>912810SB Govt</stp>
        <stp>FIRST_CPN_DT</stp>
        <stp>[TIPS.xlsx]Sheet1!R42C9</stp>
        <tr r="I42" s="1"/>
      </tp>
      <tp>
        <v>2.375</v>
        <stp/>
        <stp>##V3_BDPV12</stp>
        <stp>912828GD Govt</stp>
        <stp>CPN</stp>
        <stp>[TIPS.xlsx]Sheet1!R63C3</stp>
        <tr r="C63" s="1"/>
      </tp>
      <tp t="s">
        <v>#N/A N/A</v>
        <stp/>
        <stp>##V3_BDPV12</stp>
        <stp>912828LA Govt</stp>
        <stp>YLD_YTM_BID</stp>
        <stp>[TIPS.xlsx]Sheet1!R59C4</stp>
        <tr r="D59" s="1"/>
      </tp>
      <tp t="s">
        <v>#N/A N/A</v>
        <stp/>
        <stp>##V3_BDPV12</stp>
        <stp>912828FL Govt</stp>
        <stp>YLD_YTM_BID</stp>
        <stp>[TIPS.xlsx]Sheet1!R83C4</stp>
        <tr r="D83" s="1"/>
      </tp>
      <tp>
        <v>1.625</v>
        <stp/>
        <stp>##V3_BDPV12</stp>
        <stp>912828DH Govt</stp>
        <stp>CPN</stp>
        <stp>[TIPS.xlsx]Sheet1!R80C3</stp>
        <tr r="C80" s="1"/>
      </tp>
      <tp t="s">
        <v>USD</v>
        <stp/>
        <stp>##V3_BDPV12</stp>
        <stp>9128286N Govt</stp>
        <stp>CRNCY</stp>
        <stp>[TIPS.xlsx]Sheet1!R15C7</stp>
        <tr r="G15" s="1"/>
      </tp>
      <tp t="s">
        <v>USD</v>
        <stp/>
        <stp>##V3_BDPV12</stp>
        <stp>912828JE Govt</stp>
        <stp>CRNCY</stp>
        <stp>[TIPS.xlsx]Sheet1!R85C7</stp>
        <tr r="G85" s="1"/>
      </tp>
      <tp t="s">
        <v>USD</v>
        <stp/>
        <stp>##V3_BDPV12</stp>
        <stp>912828CZ Govt</stp>
        <stp>CRNCY</stp>
        <stp>[TIPS.xlsx]Sheet1!R65C7</stp>
        <tr r="G65" s="1"/>
      </tp>
      <tp t="s">
        <v>USD</v>
        <stp/>
        <stp>##V3_BDPV12</stp>
        <stp>912828B2 Govt</stp>
        <stp>CRNCY</stp>
        <stp>[TIPS.xlsx]Sheet1!R25C7</stp>
        <tr r="G25" s="1"/>
      </tp>
      <tp t="s">
        <v>USD</v>
        <stp/>
        <stp>##V3_BDPV12</stp>
        <stp>912828SQ Govt</stp>
        <stp>CRNCY</stp>
        <stp>[TIPS.xlsx]Sheet1!R55C7</stp>
        <tr r="G55" s="1"/>
      </tp>
      <tp>
        <v>-1.7896186523108948</v>
        <stp/>
        <stp>##V3_BDPV12</stp>
        <stp>912810FS Govt</stp>
        <stp>YLD_YTM_BID</stp>
        <stp>[TIPS.xlsx]Sheet1!R33C4</stp>
        <tr r="D33" s="1"/>
      </tp>
      <tp>
        <v>-1.9133484869272077</v>
        <stp/>
        <stp>##V3_BDPV12</stp>
        <stp>91282CAQ Govt</stp>
        <stp>YLD_YTM_BID</stp>
        <stp>[TIPS.xlsx]Sheet1!R14C4</stp>
        <tr r="D14" s="1"/>
      </tp>
      <tp t="s">
        <v>#N/A N/A</v>
        <stp/>
        <stp>##V3_BDPV12</stp>
        <stp>912828CP Govt</stp>
        <stp>YLD_YTM_BID</stp>
        <stp>[TIPS.xlsx]Sheet1!R76C4</stp>
        <tr r="D76" s="1"/>
      </tp>
      <tp t="s">
        <v>USD</v>
        <stp/>
        <stp>##V3_BDPV12</stp>
        <stp>912810FQ Govt</stp>
        <stp>CRNCY</stp>
        <stp>[TIPS.xlsx]Sheet1!R36C7</stp>
        <tr r="G36" s="1"/>
      </tp>
      <tp t="s">
        <v>USD</v>
        <stp/>
        <stp>##V3_BDPV12</stp>
        <stp>912810PV Govt</stp>
        <stp>CRNCY</stp>
        <stp>[TIPS.xlsx]Sheet1!R46C7</stp>
        <tr r="G46" s="1"/>
      </tp>
      <tp t="s">
        <v>USD</v>
        <stp/>
        <stp>##V3_BDPV12</stp>
        <stp>9128273T Govt</stp>
        <stp>CRNCY</stp>
        <stp>[TIPS.xlsx]Sheet1!R75C7</stp>
        <tr r="G75" s="1"/>
      </tp>
      <tp t="s">
        <v>TII</v>
        <stp/>
        <stp>##V3_BDPV12</stp>
        <stp>9128286N Govt</stp>
        <stp>TICKER</stp>
        <stp>[TIPS.xlsx]Sheet1!R15C2</stp>
        <tr r="B15" s="1"/>
      </tp>
      <tp t="s">
        <v>TII</v>
        <stp/>
        <stp>##V3_BDPV12</stp>
        <stp>912828HW Govt</stp>
        <stp>TICKER</stp>
        <stp>[TIPS.xlsx]Sheet1!R64C2</stp>
        <tr r="B64" s="1"/>
      </tp>
      <tp t="s">
        <v>TII</v>
        <stp/>
        <stp>##V3_BDPV12</stp>
        <stp>912828KM Govt</stp>
        <stp>TICKER</stp>
        <stp>[TIPS.xlsx]Sheet1!R84C2</stp>
        <tr r="B84" s="1"/>
      </tp>
      <tp t="s">
        <v>TII</v>
        <stp/>
        <stp>##V3_BDPV12</stp>
        <stp>912828GN Govt</stp>
        <stp>TICKER</stp>
        <stp>[TIPS.xlsx]Sheet1!R74C2</stp>
        <tr r="B74" s="1"/>
      </tp>
      <tp t="s">
        <v>TII</v>
        <stp/>
        <stp>##V3_BDPV12</stp>
        <stp>912828GX Govt</stp>
        <stp>TICKER</stp>
        <stp>[TIPS.xlsx]Sheet1!R54C2</stp>
        <tr r="B54" s="1"/>
      </tp>
      <tp t="s">
        <v>TII</v>
        <stp/>
        <stp>##V3_BDPV12</stp>
        <stp>912828YL Govt</stp>
        <stp>TICKER</stp>
        <stp>[TIPS.xlsx]Sheet1!R24C2</stp>
        <tr r="B24" s="1"/>
      </tp>
      <tp t="s">
        <v>ACT/ACT</v>
        <stp/>
        <stp>##V3_BDPV12</stp>
        <stp>912828WU Govt</stp>
        <stp>DAY_CNT_DES</stp>
        <stp>[TIPS.xlsx]Sheet1!R26C17</stp>
        <tr r="Q26" s="1"/>
      </tp>
      <tp t="s">
        <v>USD</v>
        <stp/>
        <stp>##V3_BDPV12</stp>
        <stp>91282CAQ Govt</stp>
        <stp>CRNCY</stp>
        <stp>[TIPS.xlsx]Sheet1!R14C7</stp>
        <tr r="G14" s="1"/>
      </tp>
      <tp t="s">
        <v>10/15/1998</v>
        <stp/>
        <stp>##V3_BDPV12</stp>
        <stp>912810FD Govt</stp>
        <stp>FIRST_CPN_DT</stp>
        <stp>[TIPS.xlsx]Sheet1!R35C9</stp>
        <tr r="I35" s="1"/>
      </tp>
      <tp t="s">
        <v>#N/A N/A</v>
        <stp/>
        <stp>##V3_BDPV12</stp>
        <stp>912828GD Govt</stp>
        <stp>YLD_YTM_BID</stp>
        <stp>[TIPS.xlsx]Sheet1!R63C4</stp>
        <tr r="D63" s="1"/>
      </tp>
      <tp>
        <v>1.875</v>
        <stp/>
        <stp>##V3_BDPV12</stp>
        <stp>912828LA Govt</stp>
        <stp>CPN</stp>
        <stp>[TIPS.xlsx]Sheet1!R59C3</stp>
        <tr r="C59" s="1"/>
      </tp>
      <tp>
        <v>2.5</v>
        <stp/>
        <stp>##V3_BDPV12</stp>
        <stp>912828FL Govt</stp>
        <stp>CPN</stp>
        <stp>[TIPS.xlsx]Sheet1!R83C3</stp>
        <tr r="C83" s="1"/>
      </tp>
      <tp t="s">
        <v>#N/A N/A</v>
        <stp/>
        <stp>##V3_BDPV12</stp>
        <stp>912828DH Govt</stp>
        <stp>YLD_YTM_BID</stp>
        <stp>[TIPS.xlsx]Sheet1!R80C4</stp>
        <tr r="D80" s="1"/>
      </tp>
      <tp t="s">
        <v>USD</v>
        <stp/>
        <stp>##V3_BDPV12</stp>
        <stp>912828KM Govt</stp>
        <stp>CRNCY</stp>
        <stp>[TIPS.xlsx]Sheet1!R84C7</stp>
        <tr r="G84" s="1"/>
      </tp>
      <tp t="s">
        <v>USD</v>
        <stp/>
        <stp>##V3_BDPV12</stp>
        <stp>912828HW Govt</stp>
        <stp>CRNCY</stp>
        <stp>[TIPS.xlsx]Sheet1!R64C7</stp>
        <tr r="G64" s="1"/>
      </tp>
      <tp t="s">
        <v>USD</v>
        <stp/>
        <stp>##V3_BDPV12</stp>
        <stp>912828GX Govt</stp>
        <stp>CRNCY</stp>
        <stp>[TIPS.xlsx]Sheet1!R54C7</stp>
        <tr r="G54" s="1"/>
      </tp>
      <tp t="s">
        <v>USD</v>
        <stp/>
        <stp>##V3_BDPV12</stp>
        <stp>912828GN Govt</stp>
        <stp>CRNCY</stp>
        <stp>[TIPS.xlsx]Sheet1!R74C7</stp>
        <tr r="G74" s="1"/>
      </tp>
      <tp t="s">
        <v>USD</v>
        <stp/>
        <stp>##V3_BDPV12</stp>
        <stp>912828YL Govt</stp>
        <stp>CRNCY</stp>
        <stp>[TIPS.xlsx]Sheet1!R24C7</stp>
        <tr r="G24" s="1"/>
      </tp>
      <tp>
        <v>2</v>
        <stp/>
        <stp>##V3_BDPV12</stp>
        <stp>912810FS Govt</stp>
        <stp>CPN</stp>
        <stp>[TIPS.xlsx]Sheet1!R33C3</stp>
        <tr r="C33" s="1"/>
      </tp>
      <tp>
        <v>2</v>
        <stp/>
        <stp>##V3_BDPV12</stp>
        <stp>912828CP Govt</stp>
        <stp>CPN</stp>
        <stp>[TIPS.xlsx]Sheet1!R76C3</stp>
        <tr r="C76" s="1"/>
      </tp>
      <tp>
        <v>0.125</v>
        <stp/>
        <stp>##V3_BDPV12</stp>
        <stp>91282CAQ Govt</stp>
        <stp>CPN</stp>
        <stp>[TIPS.xlsx]Sheet1!R14C3</stp>
        <tr r="C14" s="1"/>
      </tp>
      <tp t="s">
        <v>USD</v>
        <stp/>
        <stp>##V3_BDPV12</stp>
        <stp>912810RR Govt</stp>
        <stp>CRNCY</stp>
        <stp>[TIPS.xlsx]Sheet1!R47C7</stp>
        <tr r="G47" s="1"/>
      </tp>
      <tp t="s">
        <v>USD</v>
        <stp/>
        <stp>##V3_BDPV12</stp>
        <stp>912810RL Govt</stp>
        <stp>CRNCY</stp>
        <stp>[TIPS.xlsx]Sheet1!R37C7</stp>
        <tr r="G37" s="1"/>
      </tp>
      <tp t="s">
        <v>TII</v>
        <stp/>
        <stp>##V3_BDPV12</stp>
        <stp>912828H4 Govt</stp>
        <stp>TICKER</stp>
        <stp>[TIPS.xlsx]Sheet1!R27C2</stp>
        <tr r="B27" s="1"/>
      </tp>
      <tp t="s">
        <v>TII</v>
        <stp/>
        <stp>##V3_BDPV12</stp>
        <stp>912828N7 Govt</stp>
        <stp>TICKER</stp>
        <stp>[TIPS.xlsx]Sheet1!R17C2</stp>
        <tr r="B17" s="1"/>
      </tp>
      <tp t="s">
        <v>ACT/ACT</v>
        <stp/>
        <stp>##V3_BDPV12</stp>
        <stp>912828QV Govt</stp>
        <stp>DAY_CNT_DES</stp>
        <stp>[TIPS.xlsx]Sheet1!R49C17</stp>
        <tr r="Q49" s="1"/>
      </tp>
      <tp t="s">
        <v>ACT/ACT</v>
        <stp/>
        <stp>##V3_BDPV12</stp>
        <stp>912810PV Govt</stp>
        <stp>DAY_CNT_DES</stp>
        <stp>[TIPS.xlsx]Sheet1!R46C17</stp>
        <tr r="Q46" s="1"/>
      </tp>
      <tp t="s">
        <v>ACT/ACT</v>
        <stp/>
        <stp>##V3_BDPV12</stp>
        <stp>912810QV Govt</stp>
        <stp>DAY_CNT_DES</stp>
        <stp>[TIPS.xlsx]Sheet1!R39C17</stp>
        <tr r="Q39" s="1"/>
      </tp>
      <tp>
        <v>-2.3271975395825519</v>
        <stp/>
        <stp>##V3_BDPV12</stp>
        <stp>912828B2 Govt</stp>
        <stp>YLD_YTM_BID</stp>
        <stp>[TIPS.xlsx]Sheet1!R25C4</stp>
        <tr r="D25" s="1"/>
      </tp>
      <tp t="s">
        <v>1/15/2020</v>
        <stp/>
        <stp>##V3_BDPV12</stp>
        <stp>9128287D Govt</stp>
        <stp>FIRST_CPN_DT</stp>
        <stp>[TIPS.xlsx]Sheet1!R16C9</stp>
        <tr r="I16" s="1"/>
      </tp>
      <tp t="s">
        <v>8/15/2013</v>
        <stp/>
        <stp>##V3_BDPV12</stp>
        <stp>912810RA Govt</stp>
        <stp>FIRST_CPN_DT</stp>
        <stp>[TIPS.xlsx]Sheet1!R43C9</stp>
        <tr r="I43" s="1"/>
      </tp>
      <tp t="s">
        <v>#N/A N/A</v>
        <stp/>
        <stp>##V3_BDPV12</stp>
        <stp>912828FB Govt</stp>
        <stp>YLD_YTM_BID</stp>
        <stp>[TIPS.xlsx]Sheet1!R81C4</stp>
        <tr r="D81" s="1"/>
      </tp>
      <tp>
        <v>-1.1864001831498987</v>
        <stp/>
        <stp>##V3_BDPV12</stp>
        <stp>912810FH Govt</stp>
        <stp>YLD_YTM_BID</stp>
        <stp>[TIPS.xlsx]Sheet1!R41C4</stp>
        <tr r="D41" s="1"/>
      </tp>
      <tp t="s">
        <v>USD</v>
        <stp/>
        <stp>##V3_BDPV12</stp>
        <stp>912828H4 Govt</stp>
        <stp>CRNCY</stp>
        <stp>[TIPS.xlsx]Sheet1!R27C7</stp>
        <tr r="G27" s="1"/>
      </tp>
      <tp t="s">
        <v>USD</v>
        <stp/>
        <stp>##V3_BDPV12</stp>
        <stp>912828N7 Govt</stp>
        <stp>CRNCY</stp>
        <stp>[TIPS.xlsx]Sheet1!R17C7</stp>
        <tr r="G17" s="1"/>
      </tp>
      <tp>
        <v>2</v>
        <stp/>
        <stp>##V3_BDPV12</stp>
        <stp>912828ET Govt</stp>
        <stp>CPN</stp>
        <stp>[TIPS.xlsx]Sheet1!R73C3</stp>
        <tr r="C73" s="1"/>
      </tp>
      <tp t="s">
        <v>USD</v>
        <stp/>
        <stp>##V3_BDPV12</stp>
        <stp>912810FR Govt</stp>
        <stp>CRNCY</stp>
        <stp>[TIPS.xlsx]Sheet1!R34C7</stp>
        <tr r="G34" s="1"/>
      </tp>
      <tp t="s">
        <v>USD</v>
        <stp/>
        <stp>##V3_BDPV12</stp>
        <stp>912810SG Govt</stp>
        <stp>CRNCY</stp>
        <stp>[TIPS.xlsx]Sheet1!R44C7</stp>
        <tr r="G44" s="1"/>
      </tp>
      <tp>
        <v>0.875</v>
        <stp/>
        <stp>##V3_BDPV12</stp>
        <stp>912828CZ Govt</stp>
        <stp>CPN</stp>
        <stp>[TIPS.xlsx]Sheet1!R65C3</stp>
        <tr r="C65" s="1"/>
      </tp>
      <tp t="s">
        <v>USD</v>
        <stp/>
        <stp>##V3_BDPV12</stp>
        <stp>9128272M Govt</stp>
        <stp>CRNCY</stp>
        <stp>[TIPS.xlsx]Sheet1!R57C7</stp>
        <tr r="G57" s="1"/>
      </tp>
      <tp t="s">
        <v>USD</v>
        <stp/>
        <stp>##V3_BDPV12</stp>
        <stp>9128276R Govt</stp>
        <stp>CRNCY</stp>
        <stp>[TIPS.xlsx]Sheet1!R77C7</stp>
        <tr r="G77" s="1"/>
      </tp>
      <tp t="s">
        <v>USD</v>
        <stp/>
        <stp>##V3_BDPV12</stp>
        <stp>9128274Y Govt</stp>
        <stp>CRNCY</stp>
        <stp>[TIPS.xlsx]Sheet1!R67C7</stp>
        <tr r="G67" s="1"/>
      </tp>
      <tp t="s">
        <v>TII</v>
        <stp/>
        <stp>##V3_BDPV12</stp>
        <stp>9128273A Govt</stp>
        <stp>TICKER</stp>
        <stp>[TIPS.xlsx]Sheet1!R78C2</stp>
        <tr r="B78" s="1"/>
      </tp>
      <tp t="s">
        <v>TII</v>
        <stp/>
        <stp>##V3_BDPV12</stp>
        <stp>9128275W Govt</stp>
        <stp>TICKER</stp>
        <stp>[TIPS.xlsx]Sheet1!R68C2</stp>
        <tr r="B68" s="1"/>
      </tp>
      <tp t="s">
        <v>TII</v>
        <stp/>
        <stp>##V3_BDPV12</stp>
        <stp>912828K3 Govt</stp>
        <stp>TICKER</stp>
        <stp>[TIPS.xlsx]Sheet1!R66C2</stp>
        <tr r="B66" s="1"/>
      </tp>
      <tp t="s">
        <v>TII</v>
        <stp/>
        <stp>##V3_BDPV12</stp>
        <stp>912828CP Govt</stp>
        <stp>TICKER</stp>
        <stp>[TIPS.xlsx]Sheet1!R76C2</stp>
        <tr r="B76" s="1"/>
      </tp>
      <tp t="s">
        <v>TII</v>
        <stp/>
        <stp>##V3_BDPV12</stp>
        <stp>912828UX Govt</stp>
        <stp>TICKER</stp>
        <stp>[TIPS.xlsx]Sheet1!R56C2</stp>
        <tr r="B56" s="1"/>
      </tp>
      <tp t="s">
        <v>TII</v>
        <stp/>
        <stp>##V3_BDPV12</stp>
        <stp>912828WU Govt</stp>
        <stp>TICKER</stp>
        <stp>[TIPS.xlsx]Sheet1!R26C2</stp>
        <tr r="B26" s="1"/>
      </tp>
      <tp t="s">
        <v>ACT/ACT</v>
        <stp/>
        <stp>##V3_BDPV12</stp>
        <stp>9128275W Govt</stp>
        <stp>DAY_CNT_DES</stp>
        <stp>[TIPS.xlsx]Sheet1!R68C17</stp>
        <tr r="Q68" s="1"/>
      </tp>
      <tp t="s">
        <v>ACT/ACT</v>
        <stp/>
        <stp>##V3_BDPV12</stp>
        <stp>912828BW Govt</stp>
        <stp>DAY_CNT_DES</stp>
        <stp>[TIPS.xlsx]Sheet1!R82C17</stp>
        <tr r="Q82" s="1"/>
      </tp>
      <tp t="s">
        <v>ACT/ACT</v>
        <stp/>
        <stp>##V3_BDPV12</stp>
        <stp>912828HW Govt</stp>
        <stp>DAY_CNT_DES</stp>
        <stp>[TIPS.xlsx]Sheet1!R64C17</stp>
        <tr r="Q64" s="1"/>
      </tp>
      <tp t="s">
        <v>ACT/ACT</v>
        <stp/>
        <stp>##V3_BDPV12</stp>
        <stp>9128285W Govt</stp>
        <stp>DAY_CNT_DES</stp>
        <stp>[TIPS.xlsx]Sheet1!R20C17</stp>
        <tr r="Q20" s="1"/>
      </tp>
      <tp t="s">
        <v>ACT/ACT</v>
        <stp/>
        <stp>##V3_BDPV12</stp>
        <stp>912810RW Govt</stp>
        <stp>DAY_CNT_DES</stp>
        <stp>[TIPS.xlsx]Sheet1!R40C17</stp>
        <tr r="Q40" s="1"/>
      </tp>
      <tp t="s">
        <v>ACT/ACT</v>
        <stp/>
        <stp>##V3_BDPV12</stp>
        <stp>9128284H Govt</stp>
        <stp>DAY_CNT_DES</stp>
        <stp>[TIPS.xlsx]Sheet1!R7C17</stp>
        <tr r="Q7" s="1"/>
      </tp>
      <tp>
        <v>0.625</v>
        <stp/>
        <stp>##V3_BDPV12</stp>
        <stp>912828B2 Govt</stp>
        <stp>CPN</stp>
        <stp>[TIPS.xlsx]Sheet1!R25C3</stp>
        <tr r="C25" s="1"/>
      </tp>
      <tp t="s">
        <v>10/15/2020</v>
        <stp/>
        <stp>##V3_BDPV12</stp>
        <stp>912828ZJ Govt</stp>
        <stp>FIRST_CPN_DT</stp>
        <stp>[TIPS.xlsx]Sheet1!R19C9</stp>
        <tr r="I19" s="1"/>
      </tp>
      <tp t="s">
        <v>7/15/2012</v>
        <stp/>
        <stp>##V3_BDPV12</stp>
        <stp>912828SA Govt</stp>
        <stp>FIRST_CPN_DT</stp>
        <stp>[TIPS.xlsx]Sheet1!R12C9</stp>
        <tr r="I12" s="1"/>
      </tp>
      <tp t="s">
        <v>10/15/2006</v>
        <stp/>
        <stp>##V3_BDPV12</stp>
        <stp>912828FB Govt</stp>
        <stp>FIRST_CPN_DT</stp>
        <stp>[TIPS.xlsx]Sheet1!R81C9</stp>
        <tr r="I81" s="1"/>
      </tp>
      <tp t="s">
        <v>8/15/2019</v>
        <stp/>
        <stp>##V3_BDPV12</stp>
        <stp>912810SG Govt</stp>
        <stp>FIRST_CPN_DT</stp>
        <stp>[TIPS.xlsx]Sheet1!R44C9</stp>
        <tr r="I44" s="1"/>
      </tp>
      <tp>
        <v>2.375</v>
        <stp/>
        <stp>##V3_BDPV12</stp>
        <stp>912828FB Govt</stp>
        <stp>CPN</stp>
        <stp>[TIPS.xlsx]Sheet1!R81C3</stp>
        <tr r="C81" s="1"/>
      </tp>
      <tp>
        <v>3.875</v>
        <stp/>
        <stp>##V3_BDPV12</stp>
        <stp>912810FH Govt</stp>
        <stp>CPN</stp>
        <stp>[TIPS.xlsx]Sheet1!R41C3</stp>
        <tr r="C41" s="1"/>
      </tp>
      <tp t="s">
        <v>USD</v>
        <stp/>
        <stp>##V3_BDPV12</stp>
        <stp>9128287D Govt</stp>
        <stp>CRNCY</stp>
        <stp>[TIPS.xlsx]Sheet1!R16C7</stp>
        <tr r="G16" s="1"/>
      </tp>
      <tp t="s">
        <v>USD</v>
        <stp/>
        <stp>##V3_BDPV12</stp>
        <stp>912828K3 Govt</stp>
        <stp>CRNCY</stp>
        <stp>[TIPS.xlsx]Sheet1!R66C7</stp>
        <tr r="G66" s="1"/>
      </tp>
      <tp t="s">
        <v>USD</v>
        <stp/>
        <stp>##V3_BDPV12</stp>
        <stp>912828CP Govt</stp>
        <stp>CRNCY</stp>
        <stp>[TIPS.xlsx]Sheet1!R76C7</stp>
        <tr r="G76" s="1"/>
      </tp>
      <tp t="s">
        <v>USD</v>
        <stp/>
        <stp>##V3_BDPV12</stp>
        <stp>912828WU Govt</stp>
        <stp>CRNCY</stp>
        <stp>[TIPS.xlsx]Sheet1!R26C7</stp>
        <tr r="G26" s="1"/>
      </tp>
      <tp t="s">
        <v>USD</v>
        <stp/>
        <stp>##V3_BDPV12</stp>
        <stp>912828UX Govt</stp>
        <stp>CRNCY</stp>
        <stp>[TIPS.xlsx]Sheet1!R56C7</stp>
        <tr r="G56" s="1"/>
      </tp>
      <tp t="s">
        <v>#N/A N/A</v>
        <stp/>
        <stp>##V3_BDPV12</stp>
        <stp>912828ET Govt</stp>
        <stp>YLD_YTM_BID</stp>
        <stp>[TIPS.xlsx]Sheet1!R73C4</stp>
        <tr r="D73" s="1"/>
      </tp>
      <tp t="s">
        <v>USD</v>
        <stp/>
        <stp>##V3_BDPV12</stp>
        <stp>912810FD Govt</stp>
        <stp>CRNCY</stp>
        <stp>[TIPS.xlsx]Sheet1!R35C7</stp>
        <tr r="G35" s="1"/>
      </tp>
      <tp t="s">
        <v>USD</v>
        <stp/>
        <stp>##V3_BDPV12</stp>
        <stp>912810PS Govt</stp>
        <stp>CRNCY</stp>
        <stp>[TIPS.xlsx]Sheet1!R45C7</stp>
        <tr r="G45" s="1"/>
      </tp>
      <tp t="s">
        <v>#N/A N/A</v>
        <stp/>
        <stp>##V3_BDPV12</stp>
        <stp>912828CZ Govt</stp>
        <stp>YLD_YTM_BID</stp>
        <stp>[TIPS.xlsx]Sheet1!R65C4</stp>
        <tr r="D65" s="1"/>
      </tp>
      <tp t="s">
        <v>TII</v>
        <stp/>
        <stp>##V3_BDPV12</stp>
        <stp>9128287D Govt</stp>
        <stp>TICKER</stp>
        <stp>[TIPS.xlsx]Sheet1!R16C2</stp>
        <tr r="B16" s="1"/>
      </tp>
      <tp t="s">
        <v>TII</v>
        <stp/>
        <stp>##V3_BDPV12</stp>
        <stp>912828MF Govt</stp>
        <stp>TICKER</stp>
        <stp>[TIPS.xlsx]Sheet1!R61C2</stp>
        <tr r="B61" s="1"/>
      </tp>
      <tp t="s">
        <v>TII</v>
        <stp/>
        <stp>##V3_BDPV12</stp>
        <stp>912828AF Govt</stp>
        <stp>TICKER</stp>
        <stp>[TIPS.xlsx]Sheet1!R71C2</stp>
        <tr r="B71" s="1"/>
      </tp>
      <tp t="s">
        <v>TII</v>
        <stp/>
        <stp>##V3_BDPV12</stp>
        <stp>912828FB Govt</stp>
        <stp>TICKER</stp>
        <stp>[TIPS.xlsx]Sheet1!R81C2</stp>
        <tr r="B81" s="1"/>
      </tp>
      <tp t="s">
        <v>TII</v>
        <stp/>
        <stp>##V3_BDPV12</stp>
        <stp>912828XL Govt</stp>
        <stp>TICKER</stp>
        <stp>[TIPS.xlsx]Sheet1!R21C2</stp>
        <tr r="B21" s="1"/>
      </tp>
      <tp t="s">
        <v>TII</v>
        <stp/>
        <stp>##V3_BDPV12</stp>
        <stp>912810QV Govt</stp>
        <stp>TICKER</stp>
        <stp>[TIPS.xlsx]Sheet1!R39C2</stp>
        <tr r="B39" s="1"/>
      </tp>
      <tp t="s">
        <v>TII</v>
        <stp/>
        <stp>##V3_BDPV12</stp>
        <stp>912828PP Govt</stp>
        <stp>TICKER</stp>
        <stp>[TIPS.xlsx]Sheet1!R51C2</stp>
        <tr r="B51" s="1"/>
      </tp>
      <tp t="s">
        <v>ACT/ACT</v>
        <stp/>
        <stp>##V3_BDPV12</stp>
        <stp>912828PP Govt</stp>
        <stp>DAY_CNT_DES</stp>
        <stp>[TIPS.xlsx]Sheet1!R51C17</stp>
        <tr r="Q51" s="1"/>
      </tp>
      <tp t="s">
        <v>ACT/ACT</v>
        <stp/>
        <stp>##V3_BDPV12</stp>
        <stp>912828CP Govt</stp>
        <stp>DAY_CNT_DES</stp>
        <stp>[TIPS.xlsx]Sheet1!R76C17</stp>
        <tr r="Q76" s="1"/>
      </tp>
      <tp t="s">
        <v>ACT/ACT</v>
        <stp/>
        <stp>##V3_BDPV12</stp>
        <stp>912810QP Govt</stp>
        <stp>DAY_CNT_DES</stp>
        <stp>[TIPS.xlsx]Sheet1!R31C17</stp>
        <tr r="Q31" s="1"/>
      </tp>
      <tp t="s">
        <v>S/A</v>
        <stp/>
        <stp>##V3_BDPV12</stp>
        <stp>912810FR Govt</stp>
        <stp>COUPON_FREQUENCY_DESCRIPTION</stp>
        <stp>[TIPS.xlsx]Sheet1!R34C10</stp>
        <tr r="J34" s="1"/>
      </tp>
      <tp t="s">
        <v>S/A</v>
        <stp/>
        <stp>##V3_BDPV12</stp>
        <stp>912810FQ Govt</stp>
        <stp>COUPON_FREQUENCY_DESCRIPTION</stp>
        <stp>[TIPS.xlsx]Sheet1!R36C10</stp>
        <tr r="J36" s="1"/>
      </tp>
      <tp t="s">
        <v>S/A</v>
        <stp/>
        <stp>##V3_BDPV12</stp>
        <stp>912810FS Govt</stp>
        <stp>COUPON_FREQUENCY_DESCRIPTION</stp>
        <stp>[TIPS.xlsx]Sheet1!R33C10</stp>
        <tr r="J33" s="1"/>
      </tp>
      <tp t="s">
        <v>S/A</v>
        <stp/>
        <stp>##V3_BDPV12</stp>
        <stp>912810FD Govt</stp>
        <stp>COUPON_FREQUENCY_DESCRIPTION</stp>
        <stp>[TIPS.xlsx]Sheet1!R35C10</stp>
        <tr r="J35" s="1"/>
      </tp>
      <tp t="s">
        <v>S/A</v>
        <stp/>
        <stp>##V3_BDPV12</stp>
        <stp>912810FH Govt</stp>
        <stp>COUPON_FREQUENCY_DESCRIPTION</stp>
        <stp>[TIPS.xlsx]Sheet1!R41C10</stp>
        <tr r="J41" s="1"/>
      </tp>
      <tp t="s">
        <v>S/A</v>
        <stp/>
        <stp>##V3_BDPV12</stp>
        <stp>912810PS Govt</stp>
        <stp>COUPON_FREQUENCY_DESCRIPTION</stp>
        <stp>[TIPS.xlsx]Sheet1!R45C10</stp>
        <tr r="J45" s="1"/>
      </tp>
      <tp t="s">
        <v>S/A</v>
        <stp/>
        <stp>##V3_BDPV12</stp>
        <stp>912810PV Govt</stp>
        <stp>COUPON_FREQUENCY_DESCRIPTION</stp>
        <stp>[TIPS.xlsx]Sheet1!R46C10</stp>
        <tr r="J46" s="1"/>
      </tp>
      <tp t="s">
        <v>S/A</v>
        <stp/>
        <stp>##V3_BDPV12</stp>
        <stp>912810PZ Govt</stp>
        <stp>COUPON_FREQUENCY_DESCRIPTION</stp>
        <stp>[TIPS.xlsx]Sheet1!R48C10</stp>
        <tr r="J48" s="1"/>
      </tp>
      <tp t="s">
        <v>S/A</v>
        <stp/>
        <stp>##V3_BDPV12</stp>
        <stp>912810SB Govt</stp>
        <stp>COUPON_FREQUENCY_DESCRIPTION</stp>
        <stp>[TIPS.xlsx]Sheet1!R42C10</stp>
        <tr r="J42" s="1"/>
      </tp>
      <tp t="s">
        <v>S/A</v>
        <stp/>
        <stp>##V3_BDPV12</stp>
        <stp>912810SG Govt</stp>
        <stp>COUPON_FREQUENCY_DESCRIPTION</stp>
        <stp>[TIPS.xlsx]Sheet1!R44C10</stp>
        <tr r="J44" s="1"/>
      </tp>
      <tp t="s">
        <v>S/A</v>
        <stp/>
        <stp>##V3_BDPV12</stp>
        <stp>912810RR Govt</stp>
        <stp>COUPON_FREQUENCY_DESCRIPTION</stp>
        <stp>[TIPS.xlsx]Sheet1!R47C10</stp>
        <tr r="J47" s="1"/>
      </tp>
      <tp t="s">
        <v>S/A</v>
        <stp/>
        <stp>##V3_BDPV12</stp>
        <stp>912810RW Govt</stp>
        <stp>COUPON_FREQUENCY_DESCRIPTION</stp>
        <stp>[TIPS.xlsx]Sheet1!R40C10</stp>
        <tr r="J40" s="1"/>
      </tp>
      <tp t="s">
        <v>S/A</v>
        <stp/>
        <stp>##V3_BDPV12</stp>
        <stp>912810RA Govt</stp>
        <stp>COUPON_FREQUENCY_DESCRIPTION</stp>
        <stp>[TIPS.xlsx]Sheet1!R43C10</stp>
        <tr r="J43" s="1"/>
      </tp>
      <tp t="s">
        <v>S/A</v>
        <stp/>
        <stp>##V3_BDPV12</stp>
        <stp>912810RF Govt</stp>
        <stp>COUPON_FREQUENCY_DESCRIPTION</stp>
        <stp>[TIPS.xlsx]Sheet1!R32C10</stp>
        <tr r="J32" s="1"/>
      </tp>
      <tp t="s">
        <v>S/A</v>
        <stp/>
        <stp>##V3_BDPV12</stp>
        <stp>912810RL Govt</stp>
        <stp>COUPON_FREQUENCY_DESCRIPTION</stp>
        <stp>[TIPS.xlsx]Sheet1!R37C10</stp>
        <tr r="J37" s="1"/>
      </tp>
      <tp t="s">
        <v>S/A</v>
        <stp/>
        <stp>##V3_BDPV12</stp>
        <stp>912810QP Govt</stp>
        <stp>COUPON_FREQUENCY_DESCRIPTION</stp>
        <stp>[TIPS.xlsx]Sheet1!R31C10</stp>
        <tr r="J31" s="1"/>
      </tp>
      <tp t="s">
        <v>S/A</v>
        <stp/>
        <stp>##V3_BDPV12</stp>
        <stp>912810QV Govt</stp>
        <stp>COUPON_FREQUENCY_DESCRIPTION</stp>
        <stp>[TIPS.xlsx]Sheet1!R39C10</stp>
        <tr r="J39" s="1"/>
      </tp>
      <tp t="s">
        <v>S/A</v>
        <stp/>
        <stp>##V3_BDPV12</stp>
        <stp>912810SM Govt</stp>
        <stp>COUPON_FREQUENCY_DESCRIPTION</stp>
        <stp>[TIPS.xlsx]Sheet1!R11C10</stp>
        <tr r="J11" s="1"/>
      </tp>
      <tp t="s">
        <v>S/A</v>
        <stp/>
        <stp>##V3_BDPV12</stp>
        <stp>912810QF Govt</stp>
        <stp>COUPON_FREQUENCY_DESCRIPTION</stp>
        <stp>[TIPS.xlsx]Sheet1!R38C10</stp>
        <tr r="J38" s="1"/>
      </tp>
      <tp>
        <v>0.125</v>
        <stp/>
        <stp>##V3_BDPV12</stp>
        <stp>912828C9 Govt</stp>
        <stp>CPN</stp>
        <stp>[TIPS.xlsx]Sheet1!R53C3</stp>
        <tr r="C53" s="1"/>
      </tp>
      <tp>
        <v>3</v>
        <stp/>
        <stp>##V3_BDPV12</stp>
        <stp>912828AF Govt</stp>
        <stp>CPN</stp>
        <stp>[TIPS.xlsx]Sheet1!R71C3</stp>
        <tr r="C71" s="1"/>
      </tp>
      <tp t="s">
        <v>10/15/2011</v>
        <stp/>
        <stp>##V3_BDPV12</stp>
        <stp>912828QD Govt</stp>
        <stp>FIRST_CPN_DT</stp>
        <stp>[TIPS.xlsx]Sheet1!R70C9</stp>
        <tr r="I70" s="1"/>
      </tp>
      <tp t="s">
        <v>8/15/2014</v>
        <stp/>
        <stp>##V3_BDPV12</stp>
        <stp>912810RF Govt</stp>
        <stp>FIRST_CPN_DT</stp>
        <stp>[TIPS.xlsx]Sheet1!R32C9</stp>
        <tr r="I32" s="1"/>
      </tp>
      <tp>
        <v>2</v>
        <stp/>
        <stp>##V3_BDPV12</stp>
        <stp>912828BW Govt</stp>
        <stp>CPN</stp>
        <stp>[TIPS.xlsx]Sheet1!R82C3</stp>
        <tr r="C82" s="1"/>
      </tp>
      <tp t="s">
        <v>USD</v>
        <stp/>
        <stp>##V3_BDPV12</stp>
        <stp>912828MF Govt</stp>
        <stp>CRNCY</stp>
        <stp>[TIPS.xlsx]Sheet1!R61C7</stp>
        <tr r="G61" s="1"/>
      </tp>
      <tp t="s">
        <v>USD</v>
        <stp/>
        <stp>##V3_BDPV12</stp>
        <stp>912828AF Govt</stp>
        <stp>CRNCY</stp>
        <stp>[TIPS.xlsx]Sheet1!R71C7</stp>
        <tr r="G71" s="1"/>
      </tp>
      <tp t="s">
        <v>USD</v>
        <stp/>
        <stp>##V3_BDPV12</stp>
        <stp>912828FB Govt</stp>
        <stp>CRNCY</stp>
        <stp>[TIPS.xlsx]Sheet1!R81C7</stp>
        <tr r="G81" s="1"/>
      </tp>
      <tp t="s">
        <v>USD</v>
        <stp/>
        <stp>##V3_BDPV12</stp>
        <stp>912828XL Govt</stp>
        <stp>CRNCY</stp>
        <stp>[TIPS.xlsx]Sheet1!R21C7</stp>
        <tr r="G21" s="1"/>
      </tp>
      <tp t="s">
        <v>USD</v>
        <stp/>
        <stp>##V3_BDPV12</stp>
        <stp>912828PP Govt</stp>
        <stp>CRNCY</stp>
        <stp>[TIPS.xlsx]Sheet1!R51C7</stp>
        <tr r="G51" s="1"/>
      </tp>
      <tp>
        <v>3.375</v>
        <stp/>
        <stp>##V3_BDPV12</stp>
        <stp>912810FQ Govt</stp>
        <stp>CPN</stp>
        <stp>[TIPS.xlsx]Sheet1!R36C3</stp>
        <tr r="C36" s="1"/>
      </tp>
      <tp t="s">
        <v>USD</v>
        <stp/>
        <stp>##V3_BDPV12</stp>
        <stp>912810SB Govt</stp>
        <stp>CRNCY</stp>
        <stp>[TIPS.xlsx]Sheet1!R42C7</stp>
        <tr r="G42" s="1"/>
      </tp>
      <tp t="s">
        <v>USD</v>
        <stp/>
        <stp>##V3_BDPV12</stp>
        <stp>912810RF Govt</stp>
        <stp>CRNCY</stp>
        <stp>[TIPS.xlsx]Sheet1!R32C7</stp>
        <tr r="G32" s="1"/>
      </tp>
      <tp t="s">
        <v>4/15/2023</v>
        <stp/>
        <stp>##V3_BDPV12</stp>
        <stp>9128284H Govt</stp>
        <stp>MATURITY</stp>
        <stp>[TIPS.xlsx]Sheet1!R7C5</stp>
        <tr r="E7" s="1"/>
      </tp>
      <tp t="s">
        <v>TII</v>
        <stp/>
        <stp>##V3_BDPV12</stp>
        <stp>912828HN Govt</stp>
        <stp>TICKER</stp>
        <stp>[TIPS.xlsx]Sheet1!R60C2</stp>
        <tr r="B60" s="1"/>
      </tp>
      <tp t="s">
        <v>TII</v>
        <stp/>
        <stp>##V3_BDPV12</stp>
        <stp>912828DH Govt</stp>
        <stp>TICKER</stp>
        <stp>[TIPS.xlsx]Sheet1!R80C2</stp>
        <tr r="B80" s="1"/>
      </tp>
      <tp t="s">
        <v>TII</v>
        <stp/>
        <stp>##V3_BDPV12</stp>
        <stp>912828Y3 Govt</stp>
        <stp>TICKER</stp>
        <stp>[TIPS.xlsx]Sheet1!R30C2</stp>
        <tr r="B30" s="1"/>
      </tp>
      <tp t="s">
        <v>TII</v>
        <stp/>
        <stp>##V3_BDPV12</stp>
        <stp>912828Z3 Govt</stp>
        <stp>TICKER</stp>
        <stp>[TIPS.xlsx]Sheet1!R10C2</stp>
        <tr r="B10" s="1"/>
      </tp>
      <tp t="s">
        <v>TII</v>
        <stp/>
        <stp>##V3_BDPV12</stp>
        <stp>912828Q6 Govt</stp>
        <stp>TICKER</stp>
        <stp>[TIPS.xlsx]Sheet1!R50C2</stp>
        <tr r="B50" s="1"/>
      </tp>
      <tp t="s">
        <v>TII</v>
        <stp/>
        <stp>##V3_BDPV12</stp>
        <stp>912828QD Govt</stp>
        <stp>TICKER</stp>
        <stp>[TIPS.xlsx]Sheet1!R70C2</stp>
        <tr r="B70" s="1"/>
      </tp>
      <tp t="s">
        <v>TII</v>
        <stp/>
        <stp>##V3_BDPV12</stp>
        <stp>912810QF Govt</stp>
        <stp>TICKER</stp>
        <stp>[TIPS.xlsx]Sheet1!R38C2</stp>
        <tr r="B38" s="1"/>
      </tp>
      <tp t="s">
        <v>TII</v>
        <stp/>
        <stp>##V3_BDPV12</stp>
        <stp>912810PZ Govt</stp>
        <stp>TICKER</stp>
        <stp>[TIPS.xlsx]Sheet1!R48C2</stp>
        <tr r="B48" s="1"/>
      </tp>
      <tp t="s">
        <v>ACT/ACT</v>
        <stp/>
        <stp>##V3_BDPV12</stp>
        <stp>912828SQ Govt</stp>
        <stp>DAY_CNT_DES</stp>
        <stp>[TIPS.xlsx]Sheet1!R55C17</stp>
        <tr r="Q55" s="1"/>
      </tp>
      <tp t="s">
        <v>ACT/ACT</v>
        <stp/>
        <stp>##V3_BDPV12</stp>
        <stp>91282CAQ Govt</stp>
        <stp>DAY_CNT_DES</stp>
        <stp>[TIPS.xlsx]Sheet1!R14C17</stp>
        <tr r="Q14" s="1"/>
      </tp>
      <tp t="s">
        <v>ACT/ACT</v>
        <stp/>
        <stp>##V3_BDPV12</stp>
        <stp>912810FQ Govt</stp>
        <stp>DAY_CNT_DES</stp>
        <stp>[TIPS.xlsx]Sheet1!R36C17</stp>
        <tr r="Q36" s="1"/>
      </tp>
      <tp t="s">
        <v>#N/A N/A</v>
        <stp/>
        <stp>##V3_BDPV12</stp>
        <stp>912828C9 Govt</stp>
        <stp>YLD_YTM_BID</stp>
        <stp>[TIPS.xlsx]Sheet1!R53C4</stp>
        <tr r="D53" s="1"/>
      </tp>
      <tp t="s">
        <v>1/15/2014</v>
        <stp/>
        <stp>##V3_BDPV12</stp>
        <stp>912828VM Govt</stp>
        <stp>FIRST_CPN_DT</stp>
        <stp>[TIPS.xlsx]Sheet1!R28C9</stp>
        <tr r="I28" s="1"/>
      </tp>
      <tp t="s">
        <v>#N/A N/A</v>
        <stp/>
        <stp>##V3_BDPV12</stp>
        <stp>912828AF Govt</stp>
        <stp>YLD_YTM_BID</stp>
        <stp>[TIPS.xlsx]Sheet1!R71C4</stp>
        <tr r="D71" s="1"/>
      </tp>
      <tp t="s">
        <v>#N/A N/A</v>
        <stp/>
        <stp>##V3_BDPV12</stp>
        <stp>912828BW Govt</stp>
        <stp>YLD_YTM_BID</stp>
        <stp>[TIPS.xlsx]Sheet1!R82C4</stp>
        <tr r="D82" s="1"/>
      </tp>
      <tp t="s">
        <v>USD</v>
        <stp/>
        <stp>##V3_BDPV12</stp>
        <stp>9128285W Govt</stp>
        <stp>CRNCY</stp>
        <stp>[TIPS.xlsx]Sheet1!R20C7</stp>
        <tr r="G20" s="1"/>
      </tp>
      <tp t="s">
        <v>USD</v>
        <stp/>
        <stp>##V3_BDPV12</stp>
        <stp>912828HN Govt</stp>
        <stp>CRNCY</stp>
        <stp>[TIPS.xlsx]Sheet1!R60C7</stp>
        <tr r="G60" s="1"/>
      </tp>
      <tp t="s">
        <v>USD</v>
        <stp/>
        <stp>##V3_BDPV12</stp>
        <stp>912828DH Govt</stp>
        <stp>CRNCY</stp>
        <stp>[TIPS.xlsx]Sheet1!R80C7</stp>
        <tr r="G80" s="1"/>
      </tp>
      <tp t="s">
        <v>USD</v>
        <stp/>
        <stp>##V3_BDPV12</stp>
        <stp>912828Z3 Govt</stp>
        <stp>CRNCY</stp>
        <stp>[TIPS.xlsx]Sheet1!R10C7</stp>
        <tr r="G10" s="1"/>
      </tp>
      <tp t="s">
        <v>USD</v>
        <stp/>
        <stp>##V3_BDPV12</stp>
        <stp>912828Y3 Govt</stp>
        <stp>CRNCY</stp>
        <stp>[TIPS.xlsx]Sheet1!R30C7</stp>
        <tr r="G30" s="1"/>
      </tp>
      <tp t="s">
        <v>USD</v>
        <stp/>
        <stp>##V3_BDPV12</stp>
        <stp>912828Q6 Govt</stp>
        <stp>CRNCY</stp>
        <stp>[TIPS.xlsx]Sheet1!R50C7</stp>
        <tr r="G50" s="1"/>
      </tp>
      <tp t="s">
        <v>USD</v>
        <stp/>
        <stp>##V3_BDPV12</stp>
        <stp>912828QD Govt</stp>
        <stp>CRNCY</stp>
        <stp>[TIPS.xlsx]Sheet1!R70C7</stp>
        <tr r="G70" s="1"/>
      </tp>
      <tp>
        <v>-0.87951880775564151</v>
        <stp/>
        <stp>##V3_BDPV12</stp>
        <stp>912810FQ Govt</stp>
        <stp>YLD_YTM_BID</stp>
        <stp>[TIPS.xlsx]Sheet1!R36C4</stp>
        <tr r="D36" s="1"/>
      </tp>
      <tp t="s">
        <v>USD</v>
        <stp/>
        <stp>##V3_BDPV12</stp>
        <stp>912810FS Govt</stp>
        <stp>CRNCY</stp>
        <stp>[TIPS.xlsx]Sheet1!R33C7</stp>
        <tr r="G33" s="1"/>
      </tp>
      <tp t="s">
        <v>USD</v>
        <stp/>
        <stp>##V3_BDPV12</stp>
        <stp>912810RA Govt</stp>
        <stp>CRNCY</stp>
        <stp>[TIPS.xlsx]Sheet1!R43C7</stp>
        <tr r="G43" s="1"/>
      </tp>
      <tp t="s">
        <v>TII</v>
        <stp/>
        <stp>##V3_BDPV12</stp>
        <stp>9128285W Govt</stp>
        <stp>TICKER</stp>
        <stp>[TIPS.xlsx]Sheet1!R20C2</stp>
        <tr r="B20" s="1"/>
      </tp>
      <tp t="s">
        <v>TII</v>
        <stp/>
        <stp>##V3_BDPV12</stp>
        <stp>912828C9 Govt</stp>
        <stp>TICKER</stp>
        <stp>[TIPS.xlsx]Sheet1!R53C2</stp>
        <tr r="B53" s="1"/>
      </tp>
      <tp t="s">
        <v>TII</v>
        <stp/>
        <stp>##V3_BDPV12</stp>
        <stp>912828ET Govt</stp>
        <stp>TICKER</stp>
        <stp>[TIPS.xlsx]Sheet1!R73C2</stp>
        <tr r="B73" s="1"/>
      </tp>
      <tp t="s">
        <v>TII</v>
        <stp/>
        <stp>##V3_BDPV12</stp>
        <stp>912828GD Govt</stp>
        <stp>TICKER</stp>
        <stp>[TIPS.xlsx]Sheet1!R63C2</stp>
        <tr r="B63" s="1"/>
      </tp>
      <tp t="s">
        <v>TII</v>
        <stp/>
        <stp>##V3_BDPV12</stp>
        <stp>912828FL Govt</stp>
        <stp>TICKER</stp>
        <stp>[TIPS.xlsx]Sheet1!R83C2</stp>
        <tr r="B83" s="1"/>
      </tp>
      <tp t="s">
        <v>TII</v>
        <stp/>
        <stp>##V3_BDPV12</stp>
        <stp>912828S5 Govt</stp>
        <stp>TICKER</stp>
        <stp>[TIPS.xlsx]Sheet1!R13C2</stp>
        <tr r="B13" s="1"/>
      </tp>
      <tp t="s">
        <v>ACT/ACT</v>
        <stp/>
        <stp>##V3_BDPV12</stp>
        <stp>9128276R Govt</stp>
        <stp>DAY_CNT_DES</stp>
        <stp>[TIPS.xlsx]Sheet1!R77C17</stp>
        <tr r="Q77" s="1"/>
      </tp>
      <tp t="s">
        <v>ACT/ACT</v>
        <stp/>
        <stp>##V3_BDPV12</stp>
        <stp>9128283R Govt</stp>
        <stp>DAY_CNT_DES</stp>
        <stp>[TIPS.xlsx]Sheet1!R22C17</stp>
        <tr r="Q22" s="1"/>
      </tp>
      <tp t="s">
        <v>ACT/ACT</v>
        <stp/>
        <stp>##V3_BDPV12</stp>
        <stp>912810RR Govt</stp>
        <stp>DAY_CNT_DES</stp>
        <stp>[TIPS.xlsx]Sheet1!R47C17</stp>
        <tr r="Q47" s="1"/>
      </tp>
      <tp t="s">
        <v>ACT/ACT</v>
        <stp/>
        <stp>##V3_BDPV12</stp>
        <stp>912810FR Govt</stp>
        <stp>DAY_CNT_DES</stp>
        <stp>[TIPS.xlsx]Sheet1!R34C17</stp>
        <tr r="Q34" s="1"/>
      </tp>
      <tp>
        <v>-1.3502342808859187</v>
        <stp/>
        <stp>##V3_BDPV12</stp>
        <stp>912810FD Govt</stp>
        <stp>YLD_YTM_BID</stp>
        <stp>[TIPS.xlsx]Sheet1!R35C4</stp>
        <tr r="D35" s="1"/>
      </tp>
      <tp t="s">
        <v>#N/A N/A</v>
        <stp/>
        <stp>##V3_BDPV12</stp>
        <stp>912828GN Govt</stp>
        <stp>YLD_YTM_BID</stp>
        <stp>[TIPS.xlsx]Sheet1!R74C4</stp>
        <tr r="D74" s="1"/>
      </tp>
      <tp t="s">
        <v>USD</v>
        <stp/>
        <stp>##V3_BDPV12</stp>
        <stp>9128282L Govt</stp>
        <stp>CRNCY</stp>
        <stp>[TIPS.xlsx]Sheet1!R23C7</stp>
        <tr r="G23" s="1"/>
      </tp>
      <tp t="s">
        <v>USD</v>
        <stp/>
        <stp>##V3_BDPV12</stp>
        <stp>912828C9 Govt</stp>
        <stp>CRNCY</stp>
        <stp>[TIPS.xlsx]Sheet1!R53C7</stp>
        <tr r="G53" s="1"/>
      </tp>
      <tp t="s">
        <v>USD</v>
        <stp/>
        <stp>##V3_BDPV12</stp>
        <stp>912828GD Govt</stp>
        <stp>CRNCY</stp>
        <stp>[TIPS.xlsx]Sheet1!R63C7</stp>
        <tr r="G63" s="1"/>
      </tp>
      <tp t="s">
        <v>USD</v>
        <stp/>
        <stp>##V3_BDPV12</stp>
        <stp>912828FL Govt</stp>
        <stp>CRNCY</stp>
        <stp>[TIPS.xlsx]Sheet1!R83C7</stp>
        <tr r="G83" s="1"/>
      </tp>
      <tp t="s">
        <v>USD</v>
        <stp/>
        <stp>##V3_BDPV12</stp>
        <stp>912828ET Govt</stp>
        <stp>CRNCY</stp>
        <stp>[TIPS.xlsx]Sheet1!R73C7</stp>
        <tr r="G73" s="1"/>
      </tp>
      <tp t="s">
        <v>USD</v>
        <stp/>
        <stp>##V3_BDPV12</stp>
        <stp>912828S5 Govt</stp>
        <stp>CRNCY</stp>
        <stp>[TIPS.xlsx]Sheet1!R13C7</stp>
        <tr r="G13" s="1"/>
      </tp>
      <tp>
        <v>2.375</v>
        <stp/>
        <stp>##V3_BDPV12</stp>
        <stp>912810FR Govt</stp>
        <stp>CPN</stp>
        <stp>[TIPS.xlsx]Sheet1!R34C3</stp>
        <tr r="C34" s="1"/>
      </tp>
      <tp t="s">
        <v>USD</v>
        <stp/>
        <stp>##V3_BDPV12</stp>
        <stp>912810RW Govt</stp>
        <stp>CRNCY</stp>
        <stp>[TIPS.xlsx]Sheet1!R40C7</stp>
        <tr r="G40" s="1"/>
      </tp>
      <tp t="s">
        <v>#N/A N/A</v>
        <stp/>
        <stp>##V3_BDPV12</stp>
        <stp>912828GX Govt</stp>
        <stp>YLD_YTM_BID</stp>
        <stp>[TIPS.xlsx]Sheet1!R54C4</stp>
        <tr r="D54" s="1"/>
      </tp>
      <tp t="s">
        <v>#N/A N/A</v>
        <stp/>
        <stp>##V3_BDPV12</stp>
        <stp>912828JX Govt</stp>
        <stp>YLD_YTM_BID</stp>
        <stp>[TIPS.xlsx]Sheet1!R69C4</stp>
        <tr r="D69" s="1"/>
      </tp>
      <tp t="s">
        <v>TII</v>
        <stp/>
        <stp>##V3_BDPV12</stp>
        <stp>9128282L Govt</stp>
        <stp>TICKER</stp>
        <stp>[TIPS.xlsx]Sheet1!R23C2</stp>
        <tr r="B23" s="1"/>
      </tp>
      <tp t="s">
        <v>TII</v>
        <stp/>
        <stp>##V3_BDPV12</stp>
        <stp>912828MY Govt</stp>
        <stp>TICKER</stp>
        <stp>[TIPS.xlsx]Sheet1!R62C2</stp>
        <tr r="B62" s="1"/>
      </tp>
      <tp t="s">
        <v>TII</v>
        <stp/>
        <stp>##V3_BDPV12</stp>
        <stp>912828NM Govt</stp>
        <stp>TICKER</stp>
        <stp>[TIPS.xlsx]Sheet1!R52C2</stp>
        <tr r="B52" s="1"/>
      </tp>
      <tp t="s">
        <v>TII</v>
        <stp/>
        <stp>##V3_BDPV12</stp>
        <stp>912828BW Govt</stp>
        <stp>TICKER</stp>
        <stp>[TIPS.xlsx]Sheet1!R82C2</stp>
        <tr r="B82" s="1"/>
      </tp>
      <tp t="s">
        <v>TII</v>
        <stp/>
        <stp>##V3_BDPV12</stp>
        <stp>912828SA Govt</stp>
        <stp>TICKER</stp>
        <stp>[TIPS.xlsx]Sheet1!R12C2</stp>
        <tr r="B12" s="1"/>
      </tp>
      <tp t="s">
        <v>ACT/ACT</v>
        <stp/>
        <stp>##V3_BDPV12</stp>
        <stp>912810PS Govt</stp>
        <stp>DAY_CNT_DES</stp>
        <stp>[TIPS.xlsx]Sheet1!R45C17</stp>
        <tr r="Q45" s="1"/>
      </tp>
      <tp t="s">
        <v>ACT/ACT</v>
        <stp/>
        <stp>##V3_BDPV12</stp>
        <stp>912810FS Govt</stp>
        <stp>DAY_CNT_DES</stp>
        <stp>[TIPS.xlsx]Sheet1!R33C17</stp>
        <tr r="Q33" s="1"/>
      </tp>
      <tp t="s">
        <v>S/A</v>
        <stp/>
        <stp>##V3_BDPV12</stp>
        <stp>9128285W Govt</stp>
        <stp>COUPON_FREQUENCY_DESCRIPTION</stp>
        <stp>[TIPS.xlsx]Sheet1!R20C10</stp>
        <tr r="J20" s="1"/>
      </tp>
      <tp t="s">
        <v>S/A</v>
        <stp/>
        <stp>##V3_BDPV12</stp>
        <stp>9128286N Govt</stp>
        <stp>COUPON_FREQUENCY_DESCRIPTION</stp>
        <stp>[TIPS.xlsx]Sheet1!R15C10</stp>
        <tr r="J15" s="1"/>
      </tp>
      <tp t="s">
        <v>S/A</v>
        <stp/>
        <stp>##V3_BDPV12</stp>
        <stp>9128287D Govt</stp>
        <stp>COUPON_FREQUENCY_DESCRIPTION</stp>
        <stp>[TIPS.xlsx]Sheet1!R16C10</stp>
        <tr r="J16" s="1"/>
      </tp>
      <tp t="s">
        <v>S/A</v>
        <stp/>
        <stp>##V3_BDPV12</stp>
        <stp>9128283R Govt</stp>
        <stp>COUPON_FREQUENCY_DESCRIPTION</stp>
        <stp>[TIPS.xlsx]Sheet1!R22C10</stp>
        <tr r="J22" s="1"/>
      </tp>
      <tp t="s">
        <v>S/A</v>
        <stp/>
        <stp>##V3_BDPV12</stp>
        <stp>9128282L Govt</stp>
        <stp>COUPON_FREQUENCY_DESCRIPTION</stp>
        <stp>[TIPS.xlsx]Sheet1!R23C10</stp>
        <tr r="J23" s="1"/>
      </tp>
      <tp t="s">
        <v>S/A</v>
        <stp/>
        <stp>##V3_BDPV12</stp>
        <stp>912828K3 Govt</stp>
        <stp>COUPON_FREQUENCY_DESCRIPTION</stp>
        <stp>[TIPS.xlsx]Sheet1!R66C10</stp>
        <tr r="J66" s="1"/>
      </tp>
      <tp t="s">
        <v>S/A</v>
        <stp/>
        <stp>##V3_BDPV12</stp>
        <stp>912828JX Govt</stp>
        <stp>COUPON_FREQUENCY_DESCRIPTION</stp>
        <stp>[TIPS.xlsx]Sheet1!R69C10</stp>
        <tr r="J69" s="1"/>
      </tp>
      <tp t="s">
        <v>S/A</v>
        <stp/>
        <stp>##V3_BDPV12</stp>
        <stp>912828DH Govt</stp>
        <stp>COUPON_FREQUENCY_DESCRIPTION</stp>
        <stp>[TIPS.xlsx]Sheet1!R80C10</stp>
        <tr r="J80" s="1"/>
      </tp>
      <tp t="s">
        <v>S/A</v>
        <stp/>
        <stp>##V3_BDPV12</stp>
        <stp>912828N7 Govt</stp>
        <stp>COUPON_FREQUENCY_DESCRIPTION</stp>
        <stp>[TIPS.xlsx]Sheet1!R17C10</stp>
        <tr r="J17" s="1"/>
      </tp>
      <tp t="s">
        <v>S/A</v>
        <stp/>
        <stp>##V3_BDPV12</stp>
        <stp>912828HW Govt</stp>
        <stp>COUPON_FREQUENCY_DESCRIPTION</stp>
        <stp>[TIPS.xlsx]Sheet1!R64C10</stp>
        <tr r="J64" s="1"/>
      </tp>
      <tp t="s">
        <v>S/A</v>
        <stp/>
        <stp>##V3_BDPV12</stp>
        <stp>912828FB Govt</stp>
        <stp>COUPON_FREQUENCY_DESCRIPTION</stp>
        <stp>[TIPS.xlsx]Sheet1!R81C10</stp>
        <tr r="J81" s="1"/>
      </tp>
      <tp t="s">
        <v>S/A</v>
        <stp/>
        <stp>##V3_BDPV12</stp>
        <stp>912828HN Govt</stp>
        <stp>COUPON_FREQUENCY_DESCRIPTION</stp>
        <stp>[TIPS.xlsx]Sheet1!R60C10</stp>
        <tr r="J60" s="1"/>
      </tp>
      <tp t="s">
        <v>S/A</v>
        <stp/>
        <stp>##V3_BDPV12</stp>
        <stp>912828FL Govt</stp>
        <stp>COUPON_FREQUENCY_DESCRIPTION</stp>
        <stp>[TIPS.xlsx]Sheet1!R83C10</stp>
        <tr r="J83" s="1"/>
      </tp>
      <tp t="s">
        <v>S/A</v>
        <stp/>
        <stp>##V3_BDPV12</stp>
        <stp>912828LA Govt</stp>
        <stp>COUPON_FREQUENCY_DESCRIPTION</stp>
        <stp>[TIPS.xlsx]Sheet1!R59C10</stp>
        <tr r="J59" s="1"/>
      </tp>
      <tp t="s">
        <v>S/A</v>
        <stp/>
        <stp>##V3_BDPV12</stp>
        <stp>912828MY Govt</stp>
        <stp>COUPON_FREQUENCY_DESCRIPTION</stp>
        <stp>[TIPS.xlsx]Sheet1!R62C10</stp>
        <tr r="J62" s="1"/>
      </tp>
      <tp t="s">
        <v>S/A</v>
        <stp/>
        <stp>##V3_BDPV12</stp>
        <stp>912828MF Govt</stp>
        <stp>COUPON_FREQUENCY_DESCRIPTION</stp>
        <stp>[TIPS.xlsx]Sheet1!R61C10</stp>
        <tr r="J61" s="1"/>
      </tp>
      <tp t="s">
        <v>S/A</v>
        <stp/>
        <stp>##V3_BDPV12</stp>
        <stp>912828NM Govt</stp>
        <stp>COUPON_FREQUENCY_DESCRIPTION</stp>
        <stp>[TIPS.xlsx]Sheet1!R52C10</stp>
        <tr r="J52" s="1"/>
      </tp>
      <tp t="s">
        <v>S/A</v>
        <stp/>
        <stp>##V3_BDPV12</stp>
        <stp>912828H4 Govt</stp>
        <stp>COUPON_FREQUENCY_DESCRIPTION</stp>
        <stp>[TIPS.xlsx]Sheet1!R27C10</stp>
        <tr r="J27" s="1"/>
      </tp>
      <tp t="s">
        <v>S/A</v>
        <stp/>
        <stp>##V3_BDPV12</stp>
        <stp>912828BW Govt</stp>
        <stp>COUPON_FREQUENCY_DESCRIPTION</stp>
        <stp>[TIPS.xlsx]Sheet1!R82C10</stp>
        <tr r="J82" s="1"/>
      </tp>
      <tp t="s">
        <v>S/A</v>
        <stp/>
        <stp>##V3_BDPV12</stp>
        <stp>912828CZ Govt</stp>
        <stp>COUPON_FREQUENCY_DESCRIPTION</stp>
        <stp>[TIPS.xlsx]Sheet1!R65C10</stp>
        <tr r="J65" s="1"/>
      </tp>
      <tp t="s">
        <v>S/A</v>
        <stp/>
        <stp>##V3_BDPV12</stp>
        <stp>912828CP Govt</stp>
        <stp>COUPON_FREQUENCY_DESCRIPTION</stp>
        <stp>[TIPS.xlsx]Sheet1!R76C10</stp>
        <tr r="J76" s="1"/>
      </tp>
      <tp t="s">
        <v>S/A</v>
        <stp/>
        <stp>##V3_BDPV12</stp>
        <stp>912828BD Govt</stp>
        <stp>COUPON_FREQUENCY_DESCRIPTION</stp>
        <stp>[TIPS.xlsx]Sheet1!R58C10</stp>
        <tr r="J58" s="1"/>
      </tp>
      <tp t="s">
        <v>S/A</v>
        <stp/>
        <stp>##V3_BDPV12</stp>
        <stp>912828C9 Govt</stp>
        <stp>COUPON_FREQUENCY_DESCRIPTION</stp>
        <stp>[TIPS.xlsx]Sheet1!R53C10</stp>
        <tr r="J53" s="1"/>
      </tp>
      <tp t="s">
        <v>S/A</v>
        <stp/>
        <stp>##V3_BDPV12</stp>
        <stp>912828AF Govt</stp>
        <stp>COUPON_FREQUENCY_DESCRIPTION</stp>
        <stp>[TIPS.xlsx]Sheet1!R71C10</stp>
        <tr r="J71" s="1"/>
      </tp>
      <tp t="s">
        <v>S/A</v>
        <stp/>
        <stp>##V3_BDPV12</stp>
        <stp>912828GD Govt</stp>
        <stp>COUPON_FREQUENCY_DESCRIPTION</stp>
        <stp>[TIPS.xlsx]Sheet1!R63C10</stp>
        <tr r="J63" s="1"/>
      </tp>
      <tp t="s">
        <v>S/A</v>
        <stp/>
        <stp>##V3_BDPV12</stp>
        <stp>912828B2 Govt</stp>
        <stp>COUPON_FREQUENCY_DESCRIPTION</stp>
        <stp>[TIPS.xlsx]Sheet1!R25C10</stp>
        <tr r="J25" s="1"/>
      </tp>
      <tp t="s">
        <v>S/A</v>
        <stp/>
        <stp>##V3_BDPV12</stp>
        <stp>912828GN Govt</stp>
        <stp>COUPON_FREQUENCY_DESCRIPTION</stp>
        <stp>[TIPS.xlsx]Sheet1!R74C10</stp>
        <tr r="J74" s="1"/>
      </tp>
      <tp t="s">
        <v>S/A</v>
        <stp/>
        <stp>##V3_BDPV12</stp>
        <stp>912828KM Govt</stp>
        <stp>COUPON_FREQUENCY_DESCRIPTION</stp>
        <stp>[TIPS.xlsx]Sheet1!R84C10</stp>
        <tr r="J84" s="1"/>
      </tp>
      <tp t="s">
        <v>S/A</v>
        <stp/>
        <stp>##V3_BDPV12</stp>
        <stp>912828ET Govt</stp>
        <stp>COUPON_FREQUENCY_DESCRIPTION</stp>
        <stp>[TIPS.xlsx]Sheet1!R73C10</stp>
        <tr r="J73" s="1"/>
      </tp>
      <tp t="s">
        <v>S/A</v>
        <stp/>
        <stp>##V3_BDPV12</stp>
        <stp>912828GX Govt</stp>
        <stp>COUPON_FREQUENCY_DESCRIPTION</stp>
        <stp>[TIPS.xlsx]Sheet1!R54C10</stp>
        <tr r="J54" s="1"/>
      </tp>
      <tp t="s">
        <v>S/A</v>
        <stp/>
        <stp>##V3_BDPV12</stp>
        <stp>912828JE Govt</stp>
        <stp>COUPON_FREQUENCY_DESCRIPTION</stp>
        <stp>[TIPS.xlsx]Sheet1!R85C10</stp>
        <tr r="J85" s="1"/>
      </tp>
      <tp t="s">
        <v>S/A</v>
        <stp/>
        <stp>##V3_BDPV12</stp>
        <stp>912828EA Govt</stp>
        <stp>COUPON_FREQUENCY_DESCRIPTION</stp>
        <stp>[TIPS.xlsx]Sheet1!R79C10</stp>
        <tr r="J79" s="1"/>
      </tp>
      <tp t="s">
        <v>S/A</v>
        <stp/>
        <stp>##V3_BDPV12</stp>
        <stp>912828Z3 Govt</stp>
        <stp>COUPON_FREQUENCY_DESCRIPTION</stp>
        <stp>[TIPS.xlsx]Sheet1!R10C10</stp>
        <tr r="J10" s="1"/>
      </tp>
      <tp t="s">
        <v>S/A</v>
        <stp/>
        <stp>##V3_BDPV12</stp>
        <stp>912828ZJ Govt</stp>
        <stp>COUPON_FREQUENCY_DESCRIPTION</stp>
        <stp>[TIPS.xlsx]Sheet1!R19C10</stp>
        <tr r="J19" s="1"/>
      </tp>
      <tp t="s">
        <v>S/A</v>
        <stp/>
        <stp>##V3_BDPV12</stp>
        <stp>912828YL Govt</stp>
        <stp>COUPON_FREQUENCY_DESCRIPTION</stp>
        <stp>[TIPS.xlsx]Sheet1!R24C10</stp>
        <tr r="J24" s="1"/>
      </tp>
      <tp t="s">
        <v>S/A</v>
        <stp/>
        <stp>##V3_BDPV12</stp>
        <stp>912828Y3 Govt</stp>
        <stp>COUPON_FREQUENCY_DESCRIPTION</stp>
        <stp>[TIPS.xlsx]Sheet1!R30C10</stp>
        <tr r="J30" s="1"/>
      </tp>
      <tp t="s">
        <v>S/A</v>
        <stp/>
        <stp>##V3_BDPV12</stp>
        <stp>912828XL Govt</stp>
        <stp>COUPON_FREQUENCY_DESCRIPTION</stp>
        <stp>[TIPS.xlsx]Sheet1!R21C10</stp>
        <tr r="J21" s="1"/>
      </tp>
      <tp t="s">
        <v>S/A</v>
        <stp/>
        <stp>##V3_BDPV12</stp>
        <stp>912828PP Govt</stp>
        <stp>COUPON_FREQUENCY_DESCRIPTION</stp>
        <stp>[TIPS.xlsx]Sheet1!R51C10</stp>
        <tr r="J51" s="1"/>
      </tp>
      <tp t="s">
        <v>S/A</v>
        <stp/>
        <stp>##V3_BDPV12</stp>
        <stp>912828WU Govt</stp>
        <stp>COUPON_FREQUENCY_DESCRIPTION</stp>
        <stp>[TIPS.xlsx]Sheet1!R26C10</stp>
        <tr r="J26" s="1"/>
      </tp>
      <tp t="s">
        <v>S/A</v>
        <stp/>
        <stp>##V3_BDPV12</stp>
        <stp>912828QV Govt</stp>
        <stp>COUPON_FREQUENCY_DESCRIPTION</stp>
        <stp>[TIPS.xlsx]Sheet1!R49C10</stp>
        <tr r="J49" s="1"/>
      </tp>
      <tp t="s">
        <v>S/A</v>
        <stp/>
        <stp>##V3_BDPV12</stp>
        <stp>912828TE Govt</stp>
        <stp>COUPON_FREQUENCY_DESCRIPTION</stp>
        <stp>[TIPS.xlsx]Sheet1!R18C10</stp>
        <tr r="J18" s="1"/>
      </tp>
      <tp t="s">
        <v>S/A</v>
        <stp/>
        <stp>##V3_BDPV12</stp>
        <stp>912828Q6 Govt</stp>
        <stp>COUPON_FREQUENCY_DESCRIPTION</stp>
        <stp>[TIPS.xlsx]Sheet1!R50C10</stp>
        <tr r="J50" s="1"/>
      </tp>
      <tp t="s">
        <v>S/A</v>
        <stp/>
        <stp>##V3_BDPV12</stp>
        <stp>912828V4 Govt</stp>
        <stp>COUPON_FREQUENCY_DESCRIPTION</stp>
        <stp>[TIPS.xlsx]Sheet1!R29C10</stp>
        <tr r="J29" s="1"/>
      </tp>
      <tp t="s">
        <v>S/A</v>
        <stp/>
        <stp>##V3_BDPV12</stp>
        <stp>912828VM Govt</stp>
        <stp>COUPON_FREQUENCY_DESCRIPTION</stp>
        <stp>[TIPS.xlsx]Sheet1!R28C10</stp>
        <tr r="J28" s="1"/>
      </tp>
      <tp t="s">
        <v>S/A</v>
        <stp/>
        <stp>##V3_BDPV12</stp>
        <stp>912828SQ Govt</stp>
        <stp>COUPON_FREQUENCY_DESCRIPTION</stp>
        <stp>[TIPS.xlsx]Sheet1!R55C10</stp>
        <tr r="J55" s="1"/>
      </tp>
      <tp t="s">
        <v>S/A</v>
        <stp/>
        <stp>##V3_BDPV12</stp>
        <stp>912828QD Govt</stp>
        <stp>COUPON_FREQUENCY_DESCRIPTION</stp>
        <stp>[TIPS.xlsx]Sheet1!R70C10</stp>
        <tr r="J70" s="1"/>
      </tp>
      <tp t="s">
        <v>S/A</v>
        <stp/>
        <stp>##V3_BDPV12</stp>
        <stp>912828UX Govt</stp>
        <stp>COUPON_FREQUENCY_DESCRIPTION</stp>
        <stp>[TIPS.xlsx]Sheet1!R56C10</stp>
        <tr r="J56" s="1"/>
      </tp>
      <tp t="s">
        <v>S/A</v>
        <stp/>
        <stp>##V3_BDPV12</stp>
        <stp>912828S5 Govt</stp>
        <stp>COUPON_FREQUENCY_DESCRIPTION</stp>
        <stp>[TIPS.xlsx]Sheet1!R13C10</stp>
        <tr r="J13" s="1"/>
      </tp>
      <tp t="s">
        <v>S/A</v>
        <stp/>
        <stp>##V3_BDPV12</stp>
        <stp>912828SA Govt</stp>
        <stp>COUPON_FREQUENCY_DESCRIPTION</stp>
        <stp>[TIPS.xlsx]Sheet1!R12C10</stp>
        <tr r="J12" s="1"/>
      </tp>
      <tp t="s">
        <v>S/A</v>
        <stp/>
        <stp>##V3_BDPV12</stp>
        <stp>9128273T Govt</stp>
        <stp>COUPON_FREQUENCY_DESCRIPTION</stp>
        <stp>[TIPS.xlsx]Sheet1!R75C10</stp>
        <tr r="J75" s="1"/>
      </tp>
      <tp t="s">
        <v>S/A</v>
        <stp/>
        <stp>##V3_BDPV12</stp>
        <stp>9128273A Govt</stp>
        <stp>COUPON_FREQUENCY_DESCRIPTION</stp>
        <stp>[TIPS.xlsx]Sheet1!R78C10</stp>
        <tr r="J78" s="1"/>
      </tp>
      <tp t="s">
        <v>S/A</v>
        <stp/>
        <stp>##V3_BDPV12</stp>
        <stp>9128272M Govt</stp>
        <stp>COUPON_FREQUENCY_DESCRIPTION</stp>
        <stp>[TIPS.xlsx]Sheet1!R57C10</stp>
        <tr r="J57" s="1"/>
      </tp>
      <tp t="s">
        <v>S/A</v>
        <stp/>
        <stp>##V3_BDPV12</stp>
        <stp>9128276R Govt</stp>
        <stp>COUPON_FREQUENCY_DESCRIPTION</stp>
        <stp>[TIPS.xlsx]Sheet1!R77C10</stp>
        <tr r="J77" s="1"/>
      </tp>
      <tp t="s">
        <v>S/A</v>
        <stp/>
        <stp>##V3_BDPV12</stp>
        <stp>9128277J Govt</stp>
        <stp>COUPON_FREQUENCY_DESCRIPTION</stp>
        <stp>[TIPS.xlsx]Sheet1!R72C10</stp>
        <tr r="J72" s="1"/>
      </tp>
      <tp t="s">
        <v>S/A</v>
        <stp/>
        <stp>##V3_BDPV12</stp>
        <stp>9128275W Govt</stp>
        <stp>COUPON_FREQUENCY_DESCRIPTION</stp>
        <stp>[TIPS.xlsx]Sheet1!R68C10</stp>
        <tr r="J68" s="1"/>
      </tp>
      <tp t="s">
        <v>S/A</v>
        <stp/>
        <stp>##V3_BDPV12</stp>
        <stp>9128274Y Govt</stp>
        <stp>COUPON_FREQUENCY_DESCRIPTION</stp>
        <stp>[TIPS.xlsx]Sheet1!R67C10</stp>
        <tr r="J67" s="1"/>
      </tp>
      <tp t="s">
        <v>7/15/2010</v>
        <stp/>
        <stp>##V3_BDPV12</stp>
        <stp>912828MF Govt</stp>
        <stp>FIRST_CPN_DT</stp>
        <stp>[TIPS.xlsx]Sheet1!R61C9</stp>
        <tr r="I61" s="1"/>
      </tp>
      <tp t="s">
        <v>1/15/2003</v>
        <stp/>
        <stp>##V3_BDPV12</stp>
        <stp>912828AF Govt</stp>
        <stp>FIRST_CPN_DT</stp>
        <stp>[TIPS.xlsx]Sheet1!R71C9</stp>
        <tr r="I71" s="1"/>
      </tp>
      <tp t="s">
        <v>7/15/2007</v>
        <stp/>
        <stp>##V3_BDPV12</stp>
        <stp>912828GD Govt</stp>
        <stp>FIRST_CPN_DT</stp>
        <stp>[TIPS.xlsx]Sheet1!R63C9</stp>
        <tr r="I63" s="1"/>
      </tp>
      <tp>
        <v>3.625</v>
        <stp/>
        <stp>##V3_BDPV12</stp>
        <stp>912810FD Govt</stp>
        <stp>CPN</stp>
        <stp>[TIPS.xlsx]Sheet1!R35C3</stp>
        <tr r="C35" s="1"/>
      </tp>
      <tp>
        <v>2</v>
        <stp/>
        <stp>##V3_BDPV12</stp>
        <stp>912828GN Govt</stp>
        <stp>CPN</stp>
        <stp>[TIPS.xlsx]Sheet1!R74C3</stp>
        <tr r="C74" s="1"/>
      </tp>
      <tp t="s">
        <v>S/A</v>
        <stp/>
        <stp>##V3_BDPV12</stp>
        <stp>91282CAQ Govt</stp>
        <stp>COUPON_FREQUENCY_DESCRIPTION</stp>
        <stp>[TIPS.xlsx]Sheet1!R14C10</stp>
        <tr r="J14" s="1"/>
      </tp>
      <tp t="s">
        <v>USD</v>
        <stp/>
        <stp>##V3_BDPV12</stp>
        <stp>9128283R Govt</stp>
        <stp>CRNCY</stp>
        <stp>[TIPS.xlsx]Sheet1!R22C7</stp>
        <tr r="G22" s="1"/>
      </tp>
      <tp t="s">
        <v>USD</v>
        <stp/>
        <stp>##V3_BDPV12</stp>
        <stp>912828NM Govt</stp>
        <stp>CRNCY</stp>
        <stp>[TIPS.xlsx]Sheet1!R52C7</stp>
        <tr r="G52" s="1"/>
      </tp>
      <tp t="s">
        <v>USD</v>
        <stp/>
        <stp>##V3_BDPV12</stp>
        <stp>912828MY Govt</stp>
        <stp>CRNCY</stp>
        <stp>[TIPS.xlsx]Sheet1!R62C7</stp>
        <tr r="G62" s="1"/>
      </tp>
      <tp t="s">
        <v>USD</v>
        <stp/>
        <stp>##V3_BDPV12</stp>
        <stp>912828BW Govt</stp>
        <stp>CRNCY</stp>
        <stp>[TIPS.xlsx]Sheet1!R82C7</stp>
        <tr r="G82" s="1"/>
      </tp>
      <tp t="s">
        <v>USD</v>
        <stp/>
        <stp>##V3_BDPV12</stp>
        <stp>912828SA Govt</stp>
        <stp>CRNCY</stp>
        <stp>[TIPS.xlsx]Sheet1!R12C7</stp>
        <tr r="G12" s="1"/>
      </tp>
      <tp>
        <v>-2.0420768776148823</v>
        <stp/>
        <stp>##V3_BDPV12</stp>
        <stp>912810FR Govt</stp>
        <stp>YLD_YTM_BID</stp>
        <stp>[TIPS.xlsx]Sheet1!R34C4</stp>
        <tr r="D34" s="1"/>
      </tp>
      <tp t="s">
        <v>USD</v>
        <stp/>
        <stp>##V3_BDPV12</stp>
        <stp>912810FH Govt</stp>
        <stp>CRNCY</stp>
        <stp>[TIPS.xlsx]Sheet1!R41C7</stp>
        <tr r="G41" s="1"/>
      </tp>
      <tp t="s">
        <v>USD</v>
        <stp/>
        <stp>##V3_BDPV12</stp>
        <stp>912810SM Govt</stp>
        <stp>CRNCY</stp>
        <stp>[TIPS.xlsx]Sheet1!R11C7</stp>
        <tr r="G11" s="1"/>
      </tp>
      <tp t="s">
        <v>USD</v>
        <stp/>
        <stp>##V3_BDPV12</stp>
        <stp>912810QP Govt</stp>
        <stp>CRNCY</stp>
        <stp>[TIPS.xlsx]Sheet1!R31C7</stp>
        <tr r="G31" s="1"/>
      </tp>
      <tp t="s">
        <v>USD</v>
        <stp/>
        <stp>##V3_BDPV12</stp>
        <stp>9128277J Govt</stp>
        <stp>CRNCY</stp>
        <stp>[TIPS.xlsx]Sheet1!R72C7</stp>
        <tr r="G72" s="1"/>
      </tp>
      <tp>
        <v>2.625</v>
        <stp/>
        <stp>##V3_BDPV12</stp>
        <stp>912828GX Govt</stp>
        <stp>CPN</stp>
        <stp>[TIPS.xlsx]Sheet1!R54C3</stp>
        <tr r="C54" s="1"/>
      </tp>
      <tp>
        <v>2.125</v>
        <stp/>
        <stp>##V3_BDPV12</stp>
        <stp>912828JX Govt</stp>
        <stp>CPN</stp>
        <stp>[TIPS.xlsx]Sheet1!R69C3</stp>
        <tr r="C69" s="1"/>
      </tp>
      <tp t="s">
        <v>TII</v>
        <stp/>
        <stp>##V3_BDPV12</stp>
        <stp>9128283R Govt</stp>
        <stp>TICKER</stp>
        <stp>[TIPS.xlsx]Sheet1!R22C2</stp>
        <tr r="B22" s="1"/>
      </tp>
      <tp t="s">
        <v>ACT/ACT</v>
        <stp/>
        <stp>##V3_BDPV12</stp>
        <stp>912828FL Govt</stp>
        <stp>DAY_CNT_DES</stp>
        <stp>[TIPS.xlsx]Sheet1!R83C17</stp>
        <tr r="Q83" s="1"/>
      </tp>
      <tp t="s">
        <v>ACT/ACT</v>
        <stp/>
        <stp>##V3_BDPV12</stp>
        <stp>9128282L Govt</stp>
        <stp>DAY_CNT_DES</stp>
        <stp>[TIPS.xlsx]Sheet1!R23C17</stp>
        <tr r="Q23" s="1"/>
      </tp>
      <tp t="s">
        <v>ACT/ACT</v>
        <stp/>
        <stp>##V3_BDPV12</stp>
        <stp>912828YL Govt</stp>
        <stp>DAY_CNT_DES</stp>
        <stp>[TIPS.xlsx]Sheet1!R24C17</stp>
        <tr r="Q24" s="1"/>
      </tp>
      <tp t="s">
        <v>ACT/ACT</v>
        <stp/>
        <stp>##V3_BDPV12</stp>
        <stp>912828XL Govt</stp>
        <stp>DAY_CNT_DES</stp>
        <stp>[TIPS.xlsx]Sheet1!R21C17</stp>
        <tr r="Q21" s="1"/>
      </tp>
      <tp t="s">
        <v>ACT/ACT</v>
        <stp/>
        <stp>##V3_BDPV12</stp>
        <stp>912810RL Govt</stp>
        <stp>DAY_CNT_DES</stp>
        <stp>[TIPS.xlsx]Sheet1!R37C17</stp>
        <tr r="Q37" s="1"/>
      </tp>
      <tp>
        <v>0.125</v>
        <stp/>
        <stp>##V3_BDPV12</stp>
        <stp>912828TE Govt</stp>
        <stp>CPN</stp>
        <stp>[TIPS.xlsx]Sheet1!R18C3</stp>
        <tr r="C18" s="1"/>
      </tp>
      <tp>
        <v>-2.1998228742856254</v>
        <stp/>
        <stp>##V3_BDPV12</stp>
        <stp>912828YL Govt</stp>
        <stp>YLD_YTM_BID</stp>
        <stp>[TIPS.xlsx]Sheet1!R24C4</stp>
        <tr r="D24" s="1"/>
      </tp>
      <tp t="s">
        <v>ACT/ACT</v>
        <stp/>
        <stp>##V3_BDPV12</stp>
        <stp>912828KM Govt</stp>
        <stp>DAY_CNT_DES</stp>
        <stp>[TIPS.xlsx]Sheet1!R84C17</stp>
        <tr r="Q84" s="1"/>
      </tp>
      <tp t="s">
        <v>ACT/ACT</v>
        <stp/>
        <stp>##V3_BDPV12</stp>
        <stp>9128272M Govt</stp>
        <stp>DAY_CNT_DES</stp>
        <stp>[TIPS.xlsx]Sheet1!R57C17</stp>
        <tr r="Q57" s="1"/>
      </tp>
      <tp t="s">
        <v>ACT/ACT</v>
        <stp/>
        <stp>##V3_BDPV12</stp>
        <stp>912828NM Govt</stp>
        <stp>DAY_CNT_DES</stp>
        <stp>[TIPS.xlsx]Sheet1!R52C17</stp>
        <tr r="Q52" s="1"/>
      </tp>
      <tp t="s">
        <v>ACT/ACT</v>
        <stp/>
        <stp>##V3_BDPV12</stp>
        <stp>912828VM Govt</stp>
        <stp>DAY_CNT_DES</stp>
        <stp>[TIPS.xlsx]Sheet1!R28C17</stp>
        <tr r="Q28" s="1"/>
      </tp>
      <tp t="s">
        <v>ACT/ACT</v>
        <stp/>
        <stp>##V3_BDPV12</stp>
        <stp>912810SM Govt</stp>
        <stp>DAY_CNT_DES</stp>
        <stp>[TIPS.xlsx]Sheet1!R11C17</stp>
        <tr r="Q11" s="1"/>
      </tp>
      <tp>
        <v>-3.1857268003024855</v>
        <stp/>
        <stp>##V3_BDPV12</stp>
        <stp>912828TE Govt</stp>
        <stp>YLD_YTM_BID</stp>
        <stp>[TIPS.xlsx]Sheet1!R18C4</stp>
        <tr r="D18" s="1"/>
      </tp>
      <tp>
        <v>0.125</v>
        <stp/>
        <stp>##V3_BDPV12</stp>
        <stp>912828YL Govt</stp>
        <stp>CPN</stp>
        <stp>[TIPS.xlsx]Sheet1!R24C3</stp>
        <tr r="C24" s="1"/>
      </tp>
      <tp t="s">
        <v>ACT/ACT</v>
        <stp/>
        <stp>##V3_BDPV12</stp>
        <stp>912828GN Govt</stp>
        <stp>DAY_CNT_DES</stp>
        <stp>[TIPS.xlsx]Sheet1!R74C17</stp>
        <tr r="Q74" s="1"/>
      </tp>
      <tp t="s">
        <v>ACT/ACT</v>
        <stp/>
        <stp>##V3_BDPV12</stp>
        <stp>912828HN Govt</stp>
        <stp>DAY_CNT_DES</stp>
        <stp>[TIPS.xlsx]Sheet1!R60C17</stp>
        <tr r="Q60" s="1"/>
      </tp>
      <tp t="s">
        <v>ACT/ACT</v>
        <stp/>
        <stp>##V3_BDPV12</stp>
        <stp>9128286N Govt</stp>
        <stp>DAY_CNT_DES</stp>
        <stp>[TIPS.xlsx]Sheet1!R15C17</stp>
        <tr r="Q15" s="1"/>
      </tp>
      <tp>
        <v>-1.581125644090686</v>
        <stp/>
        <stp>##V3_BDPV12</stp>
        <stp>912828V4 Govt</stp>
        <stp>YLD_YTM_BID</stp>
        <stp>[TIPS.xlsx]Sheet1!R29C4</stp>
        <tr r="D29" s="1"/>
      </tp>
      <tp>
        <v>0.125</v>
        <stp/>
        <stp>##V3_BDPV12</stp>
        <stp>91282CBF Govt</stp>
        <stp>CPN</stp>
        <stp>[TIPS.xlsx]Sheet1!R5C3</stp>
        <tr r="C5" s="1"/>
      </tp>
      <tp>
        <v>0.375</v>
        <stp/>
        <stp>##V3_BDPV12</stp>
        <stp>912828VM Govt</stp>
        <stp>CPN</stp>
        <stp>[TIPS.xlsx]Sheet1!R28C3</stp>
        <tr r="C28" s="1"/>
      </tp>
      <tp>
        <v>0.375</v>
        <stp/>
        <stp>##V3_BDPV12</stp>
        <stp>912828V4 Govt</stp>
        <stp>CPN</stp>
        <stp>[TIPS.xlsx]Sheet1!R29C3</stp>
        <tr r="C29" s="1"/>
      </tp>
      <tp t="s">
        <v>10/15/2010</v>
        <stp/>
        <stp>##V3_BDPV12</stp>
        <stp>912828MY Govt</stp>
        <stp>FIRST_CPN_DT</stp>
        <stp>[TIPS.xlsx]Sheet1!R62C9</stp>
        <tr r="I62" s="1"/>
      </tp>
      <tp>
        <v>-2.7104691812028356</v>
        <stp/>
        <stp>##V3_BDPV12</stp>
        <stp>912828VM Govt</stp>
        <stp>YLD_YTM_BID</stp>
        <stp>[TIPS.xlsx]Sheet1!R28C4</stp>
        <tr r="D28" s="1"/>
      </tp>
      <tp t="s">
        <v>TII 2 01/15/26</v>
        <stp/>
        <stp>##V3_BDPV12</stp>
        <stp>912810FS Govt</stp>
        <stp>SECURITY_NAME</stp>
        <stp>[TIPS.xlsx]Sheet1!R33C16</stp>
        <tr r="P33" s="1"/>
      </tp>
      <tp t="s">
        <v>TII 2 3/8 01/15/25</v>
        <stp/>
        <stp>##V3_BDPV12</stp>
        <stp>912810FR Govt</stp>
        <stp>SECURITY_NAME</stp>
        <stp>[TIPS.xlsx]Sheet1!R34C16</stp>
        <tr r="P34" s="1"/>
      </tp>
      <tp t="s">
        <v>TII 3 3/8 04/15/32</v>
        <stp/>
        <stp>##V3_BDPV12</stp>
        <stp>912810FQ Govt</stp>
        <stp>SECURITY_NAME</stp>
        <stp>[TIPS.xlsx]Sheet1!R36C16</stp>
        <tr r="P36" s="1"/>
      </tp>
      <tp t="s">
        <v>TII 3 5/8 04/15/28</v>
        <stp/>
        <stp>##V3_BDPV12</stp>
        <stp>912810FD Govt</stp>
        <stp>SECURITY_NAME</stp>
        <stp>[TIPS.xlsx]Sheet1!R35C16</stp>
        <tr r="P35" s="1"/>
      </tp>
      <tp t="s">
        <v>TII 3 7/8 04/15/29</v>
        <stp/>
        <stp>##V3_BDPV12</stp>
        <stp>912810FH Govt</stp>
        <stp>SECURITY_NAME</stp>
        <stp>[TIPS.xlsx]Sheet1!R41C16</stp>
        <tr r="P41" s="1"/>
      </tp>
      <tp t="s">
        <v>UNITED STATES</v>
        <stp/>
        <stp>##V3_BDPV12</stp>
        <stp>912828X3 Govt</stp>
        <stp>COUNTRY_FULL_NAME</stp>
        <stp>[TIPS.xlsx]Sheet1!R8C8</stp>
        <tr r="H8" s="1"/>
      </tp>
      <tp t="s">
        <v>TII 2 3/8 01/15/27</v>
        <stp/>
        <stp>##V3_BDPV12</stp>
        <stp>912810PS Govt</stp>
        <stp>SECURITY_NAME</stp>
        <stp>[TIPS.xlsx]Sheet1!R45C16</stp>
        <tr r="P45" s="1"/>
      </tp>
      <tp t="s">
        <v>TII 1 3/4 01/15/28</v>
        <stp/>
        <stp>##V3_BDPV12</stp>
        <stp>912810PV Govt</stp>
        <stp>SECURITY_NAME</stp>
        <stp>[TIPS.xlsx]Sheet1!R46C16</stp>
        <tr r="P46" s="1"/>
      </tp>
      <tp t="s">
        <v>TII 2 1/2 01/15/29</v>
        <stp/>
        <stp>##V3_BDPV12</stp>
        <stp>912810PZ Govt</stp>
        <stp>SECURITY_NAME</stp>
        <stp>[TIPS.xlsx]Sheet1!R48C16</stp>
        <tr r="P48" s="1"/>
      </tp>
      <tp t="s">
        <v>TII 0 3/4 02/15/42</v>
        <stp/>
        <stp>##V3_BDPV12</stp>
        <stp>912810QV Govt</stp>
        <stp>SECURITY_NAME</stp>
        <stp>[TIPS.xlsx]Sheet1!R39C16</stp>
        <tr r="P39" s="1"/>
      </tp>
      <tp t="s">
        <v>TII 2 1/8 02/15/41</v>
        <stp/>
        <stp>##V3_BDPV12</stp>
        <stp>912810QP Govt</stp>
        <stp>SECURITY_NAME</stp>
        <stp>[TIPS.xlsx]Sheet1!R31C16</stp>
        <tr r="P31" s="1"/>
      </tp>
      <tp t="s">
        <v>TII 2 1/8 02/15/40</v>
        <stp/>
        <stp>##V3_BDPV12</stp>
        <stp>912810QF Govt</stp>
        <stp>SECURITY_NAME</stp>
        <stp>[TIPS.xlsx]Sheet1!R38C16</stp>
        <tr r="P38" s="1"/>
      </tp>
      <tp t="s">
        <v>TII 1 02/15/46</v>
        <stp/>
        <stp>##V3_BDPV12</stp>
        <stp>912810RR Govt</stp>
        <stp>SECURITY_NAME</stp>
        <stp>[TIPS.xlsx]Sheet1!R47C16</stp>
        <tr r="P47" s="1"/>
      </tp>
      <tp t="s">
        <v>TII 0 7/8 02/15/47</v>
        <stp/>
        <stp>##V3_BDPV12</stp>
        <stp>912810RW Govt</stp>
        <stp>SECURITY_NAME</stp>
        <stp>[TIPS.xlsx]Sheet1!R40C16</stp>
        <tr r="P40" s="1"/>
      </tp>
      <tp t="s">
        <v>TII 1 3/8 02/15/44</v>
        <stp/>
        <stp>##V3_BDPV12</stp>
        <stp>912810RF Govt</stp>
        <stp>SECURITY_NAME</stp>
        <stp>[TIPS.xlsx]Sheet1!R32C16</stp>
        <tr r="P32" s="1"/>
      </tp>
      <tp t="s">
        <v>TII 0 5/8 02/15/43</v>
        <stp/>
        <stp>##V3_BDPV12</stp>
        <stp>912810RA Govt</stp>
        <stp>SECURITY_NAME</stp>
        <stp>[TIPS.xlsx]Sheet1!R43C16</stp>
        <tr r="P43" s="1"/>
      </tp>
      <tp t="s">
        <v>TII 0 3/4 02/15/45</v>
        <stp/>
        <stp>##V3_BDPV12</stp>
        <stp>912810RL Govt</stp>
        <stp>SECURITY_NAME</stp>
        <stp>[TIPS.xlsx]Sheet1!R37C16</stp>
        <tr r="P37" s="1"/>
      </tp>
      <tp t="s">
        <v>TII 1 02/15/48</v>
        <stp/>
        <stp>##V3_BDPV12</stp>
        <stp>912810SB Govt</stp>
        <stp>SECURITY_NAME</stp>
        <stp>[TIPS.xlsx]Sheet1!R42C16</stp>
        <tr r="P42" s="1"/>
      </tp>
      <tp t="s">
        <v>TII 1 02/15/49</v>
        <stp/>
        <stp>##V3_BDPV12</stp>
        <stp>912810SG Govt</stp>
        <stp>SECURITY_NAME</stp>
        <stp>[TIPS.xlsx]Sheet1!R44C16</stp>
        <tr r="P44" s="1"/>
      </tp>
      <tp t="s">
        <v>TII 0 1/4 02/15/50</v>
        <stp/>
        <stp>##V3_BDPV12</stp>
        <stp>912810SM Govt</stp>
        <stp>SECURITY_NAME</stp>
        <stp>[TIPS.xlsx]Sheet1!R11C16</stp>
        <tr r="P11" s="1"/>
      </tp>
      <tp t="s">
        <v>TII 3 7/8 01/15/09</v>
        <stp/>
        <stp>##V3_BDPV12</stp>
        <stp>9128274Y Govt</stp>
        <stp>SECURITY_NAME</stp>
        <stp>[TIPS.xlsx]Sheet1!R67C16</stp>
        <tr r="P67" s="1"/>
      </tp>
      <tp t="s">
        <v>TII 4 1/4 01/15/10</v>
        <stp/>
        <stp>##V3_BDPV12</stp>
        <stp>9128275W Govt</stp>
        <stp>SECURITY_NAME</stp>
        <stp>[TIPS.xlsx]Sheet1!R68C16</stp>
        <tr r="P68" s="1"/>
      </tp>
      <tp t="s">
        <v>TII 3 1/2 01/15/11</v>
        <stp/>
        <stp>##V3_BDPV12</stp>
        <stp>9128276R Govt</stp>
        <stp>SECURITY_NAME</stp>
        <stp>[TIPS.xlsx]Sheet1!R77C16</stp>
        <tr r="P77" s="1"/>
      </tp>
      <tp t="s">
        <v>TII 3 3/8 01/15/12</v>
        <stp/>
        <stp>##V3_BDPV12</stp>
        <stp>9128277J Govt</stp>
        <stp>SECURITY_NAME</stp>
        <stp>[TIPS.xlsx]Sheet1!R72C16</stp>
        <tr r="P72" s="1"/>
      </tp>
      <tp t="s">
        <v>TII 3 3/8 01/15/07</v>
        <stp/>
        <stp>##V3_BDPV12</stp>
        <stp>9128272M Govt</stp>
        <stp>SECURITY_NAME</stp>
        <stp>[TIPS.xlsx]Sheet1!R57C16</stp>
        <tr r="P57" s="1"/>
      </tp>
      <tp t="s">
        <v>TII 3 5/8 01/15/08</v>
        <stp/>
        <stp>##V3_BDPV12</stp>
        <stp>9128273T Govt</stp>
        <stp>SECURITY_NAME</stp>
        <stp>[TIPS.xlsx]Sheet1!R75C16</stp>
        <tr r="P75" s="1"/>
      </tp>
      <tp t="s">
        <v>TII 3 5/8 07/15/02</v>
        <stp/>
        <stp>##V3_BDPV12</stp>
        <stp>9128273A Govt</stp>
        <stp>SECURITY_NAME</stp>
        <stp>[TIPS.xlsx]Sheet1!R78C16</stp>
        <tr r="P78" s="1"/>
      </tp>
      <tp t="s">
        <v>ACT/ACT</v>
        <stp/>
        <stp>##V3_BDPV12</stp>
        <stp>912828DH Govt</stp>
        <stp>DAY_CNT_DES</stp>
        <stp>[TIPS.xlsx]Sheet1!R80C17</stp>
        <tr r="Q80" s="1"/>
      </tp>
      <tp t="s">
        <v>ACT/ACT</v>
        <stp/>
        <stp>##V3_BDPV12</stp>
        <stp>912810FH Govt</stp>
        <stp>DAY_CNT_DES</stp>
        <stp>[TIPS.xlsx]Sheet1!R41C17</stp>
        <tr r="Q41" s="1"/>
      </tp>
      <tp>
        <v>-1.3523957763874819</v>
        <stp/>
        <stp>##V3_BDPV12</stp>
        <stp>912828Y3 Govt</stp>
        <stp>YLD_YTM_BID</stp>
        <stp>[TIPS.xlsx]Sheet1!R30C4</stp>
        <tr r="D30" s="1"/>
      </tp>
      <tp>
        <v>0.125</v>
        <stp/>
        <stp>##V3_BDPV12</stp>
        <stp>91282CCA Govt</stp>
        <stp>CPN</stp>
        <stp>[TIPS.xlsx]Sheet1!R3C3</stp>
        <tr r="C3" s="1"/>
      </tp>
      <tp t="s">
        <v>S/A</v>
        <stp/>
        <stp>##V3_BDPV12</stp>
        <stp>912828X3 Govt</stp>
        <stp>COUPON_FREQUENCY_DESCRIPTION</stp>
        <stp>[TIPS.xlsx]Sheet1!R8C10</stp>
        <tr r="J8" s="1"/>
      </tp>
      <tp t="s">
        <v>1/15/2008</v>
        <stp/>
        <stp>##V3_BDPV12</stp>
        <stp>912828GX Govt</stp>
        <stp>FIRST_CPN_DT</stp>
        <stp>[TIPS.xlsx]Sheet1!R54C9</stp>
        <tr r="I54" s="1"/>
      </tp>
      <tp>
        <v>-0.4661857572510536</v>
        <stp/>
        <stp>##V3_BDPV12</stp>
        <stp>912810QF Govt</stp>
        <stp>YLD_YTM_BID</stp>
        <stp>[TIPS.xlsx]Sheet1!R38C4</stp>
        <tr r="D38" s="1"/>
      </tp>
      <tp>
        <v>-2.0186225636258119</v>
        <stp/>
        <stp>##V3_BDPV12</stp>
        <stp>912828XL Govt</stp>
        <stp>YLD_YTM_BID</stp>
        <stp>[TIPS.xlsx]Sheet1!R21C4</stp>
        <tr r="D21" s="1"/>
      </tp>
      <tp>
        <v>0.75</v>
        <stp/>
        <stp>##V3_BDPV12</stp>
        <stp>912810QV Govt</stp>
        <stp>CPN</stp>
        <stp>[TIPS.xlsx]Sheet1!R39C3</stp>
        <tr r="C39" s="1"/>
      </tp>
      <tp>
        <v>0.625</v>
        <stp/>
        <stp>##V3_BDPV12</stp>
        <stp>912828QV Govt</stp>
        <stp>CPN</stp>
        <stp>[TIPS.xlsx]Sheet1!R49C3</stp>
        <tr r="C49" s="1"/>
      </tp>
      <tp>
        <v>2.5</v>
        <stp/>
        <stp>##V3_BDPV12</stp>
        <stp>912810PZ Govt</stp>
        <stp>CPN</stp>
        <stp>[TIPS.xlsx]Sheet1!R48C3</stp>
        <tr r="C48" s="1"/>
      </tp>
      <tp>
        <v>0.75</v>
        <stp/>
        <stp>##V3_BDPV12</stp>
        <stp>912828Y3 Govt</stp>
        <stp>CPN</stp>
        <stp>[TIPS.xlsx]Sheet1!R30C3</stp>
        <tr r="C30" s="1"/>
      </tp>
      <tp>
        <v>0.125</v>
        <stp/>
        <stp>##V3_BDPV12</stp>
        <stp>91282CCM Govt</stp>
        <stp>CPN</stp>
        <stp>[TIPS.xlsx]Sheet1!R2C3</stp>
        <tr r="C2" s="1"/>
      </tp>
      <tp>
        <v>2.125</v>
        <stp/>
        <stp>##V3_BDPV12</stp>
        <stp>912810QF Govt</stp>
        <stp>CPN</stp>
        <stp>[TIPS.xlsx]Sheet1!R38C3</stp>
        <tr r="C38" s="1"/>
      </tp>
      <tp>
        <v>0.375</v>
        <stp/>
        <stp>##V3_BDPV12</stp>
        <stp>912828XL Govt</stp>
        <stp>CPN</stp>
        <stp>[TIPS.xlsx]Sheet1!R21C3</stp>
        <tr r="C21" s="1"/>
      </tp>
      <tp>
        <v>-0.32814509008838494</v>
        <stp/>
        <stp>##V3_BDPV12</stp>
        <stp>912810QV Govt</stp>
        <stp>YLD_YTM_BID</stp>
        <stp>[TIPS.xlsx]Sheet1!R39C4</stp>
        <tr r="D39" s="1"/>
      </tp>
      <tp t="s">
        <v>#N/A N/A</v>
        <stp/>
        <stp>##V3_BDPV12</stp>
        <stp>912828QV Govt</stp>
        <stp>YLD_YTM_BID</stp>
        <stp>[TIPS.xlsx]Sheet1!R49C4</stp>
        <tr r="D49" s="1"/>
      </tp>
      <tp>
        <v>-1.234378004939465</v>
        <stp/>
        <stp>##V3_BDPV12</stp>
        <stp>912810PZ Govt</stp>
        <stp>YLD_YTM_BID</stp>
        <stp>[TIPS.xlsx]Sheet1!R48C4</stp>
        <tr r="D48" s="1"/>
      </tp>
      <tp t="s">
        <v>ACT/ACT</v>
        <stp/>
        <stp>##V3_BDPV12</stp>
        <stp>9128277J Govt</stp>
        <stp>DAY_CNT_DES</stp>
        <stp>[TIPS.xlsx]Sheet1!R72C17</stp>
        <tr r="Q72" s="1"/>
      </tp>
      <tp t="s">
        <v>ACT/ACT</v>
        <stp/>
        <stp>##V3_BDPV12</stp>
        <stp>912828ZJ Govt</stp>
        <stp>DAY_CNT_DES</stp>
        <stp>[TIPS.xlsx]Sheet1!R19C17</stp>
        <tr r="Q19" s="1"/>
      </tp>
      <tp>
        <v>0.125</v>
        <stp/>
        <stp>##V3_BDPV12</stp>
        <stp>912828Z3 Govt</stp>
        <stp>CPN</stp>
        <stp>[TIPS.xlsx]Sheet1!R10C3</stp>
        <tr r="C10" s="1"/>
      </tp>
      <tp t="s">
        <v>7/15/1999</v>
        <stp/>
        <stp>##V3_BDPV12</stp>
        <stp>9128274Y Govt</stp>
        <stp>FIRST_CPN_DT</stp>
        <stp>[TIPS.xlsx]Sheet1!R67C9</stp>
        <tr r="I67" s="1"/>
      </tp>
      <tp t="s">
        <v>10/15/2013</v>
        <stp/>
        <stp>##V3_BDPV12</stp>
        <stp>912828UX Govt</stp>
        <stp>FIRST_CPN_DT</stp>
        <stp>[TIPS.xlsx]Sheet1!R56C9</stp>
        <tr r="I56" s="1"/>
      </tp>
      <tp>
        <v>-1.0716252866525933</v>
        <stp/>
        <stp>##V3_BDPV12</stp>
        <stp>912828Z3 Govt</stp>
        <stp>YLD_YTM_BID</stp>
        <stp>[TIPS.xlsx]Sheet1!R10C4</stp>
        <tr r="D10" s="1"/>
      </tp>
      <tp t="s">
        <v>7/15/2000</v>
        <stp/>
        <stp>##V3_BDPV12</stp>
        <stp>9128275W Govt</stp>
        <stp>FIRST_CPN_DT</stp>
        <stp>[TIPS.xlsx]Sheet1!R68C9</stp>
        <tr r="I68" s="1"/>
      </tp>
      <tp t="s">
        <v>1/15/2012</v>
        <stp/>
        <stp>##V3_BDPV12</stp>
        <stp>912828QV Govt</stp>
        <stp>FIRST_CPN_DT</stp>
        <stp>[TIPS.xlsx]Sheet1!R49C9</stp>
        <tr r="I49" s="1"/>
      </tp>
      <tp t="s">
        <v>4/15/2005</v>
        <stp/>
        <stp>##V3_BDPV12</stp>
        <stp>912828CZ Govt</stp>
        <stp>FIRST_CPN_DT</stp>
        <stp>[TIPS.xlsx]Sheet1!R65C9</stp>
        <tr r="I65" s="1"/>
      </tp>
      <tp t="s">
        <v>8/15/2012</v>
        <stp/>
        <stp>##V3_BDPV12</stp>
        <stp>912810QV Govt</stp>
        <stp>FIRST_CPN_DT</stp>
        <stp>[TIPS.xlsx]Sheet1!R39C9</stp>
        <tr r="I39" s="1"/>
      </tp>
      <tp t="s">
        <v>ACT/ACT</v>
        <stp/>
        <stp>##V3_BDPV12</stp>
        <stp>912828BD Govt</stp>
        <stp>DAY_CNT_DES</stp>
        <stp>[TIPS.xlsx]Sheet1!R58C17</stp>
        <tr r="Q58" s="1"/>
      </tp>
      <tp t="s">
        <v>ACT/ACT</v>
        <stp/>
        <stp>##V3_BDPV12</stp>
        <stp>912828QD Govt</stp>
        <stp>DAY_CNT_DES</stp>
        <stp>[TIPS.xlsx]Sheet1!R70C17</stp>
        <tr r="Q70" s="1"/>
      </tp>
      <tp t="s">
        <v>ACT/ACT</v>
        <stp/>
        <stp>##V3_BDPV12</stp>
        <stp>912828GD Govt</stp>
        <stp>DAY_CNT_DES</stp>
        <stp>[TIPS.xlsx]Sheet1!R63C17</stp>
        <tr r="Q63" s="1"/>
      </tp>
      <tp t="s">
        <v>ACT/ACT</v>
        <stp/>
        <stp>##V3_BDPV12</stp>
        <stp>9128287D Govt</stp>
        <stp>DAY_CNT_DES</stp>
        <stp>[TIPS.xlsx]Sheet1!R16C17</stp>
        <tr r="Q16" s="1"/>
      </tp>
      <tp t="s">
        <v>ACT/ACT</v>
        <stp/>
        <stp>##V3_BDPV12</stp>
        <stp>912810FD Govt</stp>
        <stp>DAY_CNT_DES</stp>
        <stp>[TIPS.xlsx]Sheet1!R35C17</stp>
        <tr r="Q35" s="1"/>
      </tp>
      <tp t="s">
        <v>7/15/2018</v>
        <stp/>
        <stp>##V3_BDPV12</stp>
        <stp>9128283R Govt</stp>
        <stp>FIRST_CPN_DT</stp>
        <stp>[TIPS.xlsx]Sheet1!R22C9</stp>
        <tr r="I22" s="1"/>
      </tp>
      <tp t="s">
        <v>7/15/2008</v>
        <stp/>
        <stp>##V3_BDPV12</stp>
        <stp>912810PV Govt</stp>
        <stp>FIRST_CPN_DT</stp>
        <stp>[TIPS.xlsx]Sheet1!R46C9</stp>
        <tr r="I46" s="1"/>
      </tp>
      <tp t="s">
        <v>7/15/2006</v>
        <stp/>
        <stp>##V3_BDPV12</stp>
        <stp>912810FS Govt</stp>
        <stp>FIRST_CPN_DT</stp>
        <stp>[TIPS.xlsx]Sheet1!R33C9</stp>
        <tr r="I33" s="1"/>
      </tp>
      <tp>
        <v>-0.24625407018354104</v>
        <stp/>
        <stp>##V3_BDPV12</stp>
        <stp>912810RL Govt</stp>
        <stp>YLD_YTM_BID</stp>
        <stp>[TIPS.xlsx]Sheet1!R37C4</stp>
        <tr r="D37" s="1"/>
      </tp>
      <tp>
        <v>-1.5999607883473155</v>
        <stp/>
        <stp>##V3_BDPV12</stp>
        <stp>912810PS Govt</stp>
        <stp>YLD_YTM_BID</stp>
        <stp>[TIPS.xlsx]Sheet1!R45C4</stp>
        <tr r="D45" s="1"/>
      </tp>
      <tp>
        <v>-0.24351892820738033</v>
        <stp/>
        <stp>##V3_BDPV12</stp>
        <stp>912810RR Govt</stp>
        <stp>YLD_YTM_BID</stp>
        <stp>[TIPS.xlsx]Sheet1!R47C4</stp>
        <tr r="D47" s="1"/>
      </tp>
      <tp t="s">
        <v>ACT/ACT</v>
        <stp/>
        <stp>##V3_BDPV12</stp>
        <stp>912828JE Govt</stp>
        <stp>DAY_CNT_DES</stp>
        <stp>[TIPS.xlsx]Sheet1!R85C17</stp>
        <tr r="Q85" s="1"/>
      </tp>
      <tp t="s">
        <v>ACT/ACT</v>
        <stp/>
        <stp>##V3_BDPV12</stp>
        <stp>912828TE Govt</stp>
        <stp>DAY_CNT_DES</stp>
        <stp>[TIPS.xlsx]Sheet1!R18C17</stp>
        <tr r="Q18" s="1"/>
      </tp>
      <tp t="s">
        <v>7/15/1998</v>
        <stp/>
        <stp>##V3_BDPV12</stp>
        <stp>9128273T Govt</stp>
        <stp>FIRST_CPN_DT</stp>
        <stp>[TIPS.xlsx]Sheet1!R75C9</stp>
        <tr r="I75" s="1"/>
      </tp>
      <tp t="s">
        <v>7/15/2011</v>
        <stp/>
        <stp>##V3_BDPV12</stp>
        <stp>912828PP Govt</stp>
        <stp>FIRST_CPN_DT</stp>
        <stp>[TIPS.xlsx]Sheet1!R51C9</stp>
        <tr r="I51" s="1"/>
      </tp>
      <tp t="s">
        <v>7/15/2009</v>
        <stp/>
        <stp>##V3_BDPV12</stp>
        <stp>912828JX Govt</stp>
        <stp>FIRST_CPN_DT</stp>
        <stp>[TIPS.xlsx]Sheet1!R69C9</stp>
        <tr r="I69" s="1"/>
      </tp>
      <tp t="s">
        <v>8/15/2011</v>
        <stp/>
        <stp>##V3_BDPV12</stp>
        <stp>912810QP Govt</stp>
        <stp>FIRST_CPN_DT</stp>
        <stp>[TIPS.xlsx]Sheet1!R31C9</stp>
        <tr r="I31" s="1"/>
      </tp>
      <tp>
        <v>0.75</v>
        <stp/>
        <stp>##V3_BDPV12</stp>
        <stp>912810RL Govt</stp>
        <stp>CPN</stp>
        <stp>[TIPS.xlsx]Sheet1!R37C3</stp>
        <tr r="C37" s="1"/>
      </tp>
      <tp>
        <v>1</v>
        <stp/>
        <stp>##V3_BDPV12</stp>
        <stp>912810RR Govt</stp>
        <stp>CPN</stp>
        <stp>[TIPS.xlsx]Sheet1!R47C3</stp>
        <tr r="C47" s="1"/>
      </tp>
      <tp>
        <v>2.375</v>
        <stp/>
        <stp>##V3_BDPV12</stp>
        <stp>912810PS Govt</stp>
        <stp>CPN</stp>
        <stp>[TIPS.xlsx]Sheet1!R45C3</stp>
        <tr r="C45" s="1"/>
      </tp>
      <tp t="s">
        <v>ACT/ACT</v>
        <stp/>
        <stp>##V3_BDPV12</stp>
        <stp>912828AF Govt</stp>
        <stp>DAY_CNT_DES</stp>
        <stp>[TIPS.xlsx]Sheet1!R71C17</stp>
        <tr r="Q71" s="1"/>
      </tp>
      <tp t="s">
        <v>ACT/ACT</v>
        <stp/>
        <stp>##V3_BDPV12</stp>
        <stp>912828MF Govt</stp>
        <stp>DAY_CNT_DES</stp>
        <stp>[TIPS.xlsx]Sheet1!R61C17</stp>
        <tr r="Q61" s="1"/>
      </tp>
      <tp t="s">
        <v>ACT/ACT</v>
        <stp/>
        <stp>##V3_BDPV12</stp>
        <stp>912810QF Govt</stp>
        <stp>DAY_CNT_DES</stp>
        <stp>[TIPS.xlsx]Sheet1!R38C17</stp>
        <tr r="Q38" s="1"/>
      </tp>
      <tp t="s">
        <v>ACT/ACT</v>
        <stp/>
        <stp>##V3_BDPV12</stp>
        <stp>912810RF Govt</stp>
        <stp>DAY_CNT_DES</stp>
        <stp>[TIPS.xlsx]Sheet1!R32C17</stp>
        <tr r="Q32" s="1"/>
      </tp>
      <tp>
        <v>-0.94129942480847839</v>
        <stp/>
        <stp>##V3_BDPV12</stp>
        <stp>91282CBF Govt</stp>
        <stp>YLD_YTM_BID</stp>
        <stp>[TIPS.xlsx]Sheet1!R5C4</stp>
        <tr r="D5" s="1"/>
      </tp>
      <tp>
        <v>-0.24425196760269707</v>
        <stp/>
        <stp>##V3_BDPV12</stp>
        <stp>912810SG Govt</stp>
        <stp>YLD_YTM_BID</stp>
        <stp>[TIPS.xlsx]Sheet1!R44C4</stp>
        <tr r="D44" s="1"/>
      </tp>
      <tp t="s">
        <v>7/15/2009</v>
        <stp/>
        <stp>##V3_BDPV12</stp>
        <stp>912810PZ Govt</stp>
        <stp>FIRST_CPN_DT</stp>
        <stp>[TIPS.xlsx]Sheet1!R48C9</stp>
        <tr r="I48" s="1"/>
      </tp>
      <tp>
        <v>1.75</v>
        <stp/>
        <stp>##V3_BDPV12</stp>
        <stp>912810PV Govt</stp>
        <stp>CPN</stp>
        <stp>[TIPS.xlsx]Sheet1!R46C3</stp>
        <tr r="C46" s="1"/>
      </tp>
      <tp>
        <v>0.125</v>
        <stp/>
        <stp>##V3_BDPV12</stp>
        <stp>912828SQ Govt</stp>
        <stp>CPN</stp>
        <stp>[TIPS.xlsx]Sheet1!R55C3</stp>
        <tr r="C55" s="1"/>
      </tp>
      <tp t="s">
        <v>TII 0 7/8 01/15/29</v>
        <stp/>
        <stp>##V3_BDPV12</stp>
        <stp>9128285W Govt</stp>
        <stp>SECURITY_NAME</stp>
        <stp>[TIPS.xlsx]Sheet1!R20C16</stp>
        <tr r="P20" s="1"/>
      </tp>
      <tp t="s">
        <v>TII 0 1/2 04/15/24</v>
        <stp/>
        <stp>##V3_BDPV12</stp>
        <stp>9128286N Govt</stp>
        <stp>SECURITY_NAME</stp>
        <stp>[TIPS.xlsx]Sheet1!R15C16</stp>
        <tr r="P15" s="1"/>
      </tp>
      <tp t="s">
        <v>TII 0 1/4 07/15/29</v>
        <stp/>
        <stp>##V3_BDPV12</stp>
        <stp>9128287D Govt</stp>
        <stp>SECURITY_NAME</stp>
        <stp>[TIPS.xlsx]Sheet1!R16C16</stp>
        <tr r="P16" s="1"/>
      </tp>
      <tp t="s">
        <v>TII 0 3/8 07/15/27</v>
        <stp/>
        <stp>##V3_BDPV12</stp>
        <stp>9128282L Govt</stp>
        <stp>SECURITY_NAME</stp>
        <stp>[TIPS.xlsx]Sheet1!R23C16</stp>
        <tr r="P23" s="1"/>
      </tp>
      <tp t="s">
        <v>TII 0 1/2 01/15/28</v>
        <stp/>
        <stp>##V3_BDPV12</stp>
        <stp>9128283R Govt</stp>
        <stp>SECURITY_NAME</stp>
        <stp>[TIPS.xlsx]Sheet1!R22C16</stp>
        <tr r="P22" s="1"/>
      </tp>
      <tp t="s">
        <v>ACT/ACT</v>
        <stp/>
        <stp>##V3_BDPV12</stp>
        <stp>912810SG Govt</stp>
        <stp>DAY_CNT_DES</stp>
        <stp>[TIPS.xlsx]Sheet1!R44C17</stp>
        <tr r="Q44" s="1"/>
      </tp>
      <tp t="s">
        <v>1/15/2015</v>
        <stp/>
        <stp>##V3_BDPV12</stp>
        <stp>912828WU Govt</stp>
        <stp>FIRST_CPN_DT</stp>
        <stp>[TIPS.xlsx]Sheet1!R26C9</stp>
        <tr r="I26" s="1"/>
      </tp>
      <tp t="s">
        <v>10/15/2008</v>
        <stp/>
        <stp>##V3_BDPV12</stp>
        <stp>912828HW Govt</stp>
        <stp>FIRST_CPN_DT</stp>
        <stp>[TIPS.xlsx]Sheet1!R64C9</stp>
        <tr r="I64" s="1"/>
      </tp>
      <tp>
        <v>1</v>
        <stp/>
        <stp>##V3_BDPV12</stp>
        <stp>912810SG Govt</stp>
        <stp>CPN</stp>
        <stp>[TIPS.xlsx]Sheet1!R44C3</stp>
        <tr r="C44" s="1"/>
      </tp>
      <tp>
        <v>-1.4009488485493495</v>
        <stp/>
        <stp>##V3_BDPV12</stp>
        <stp>912810PV Govt</stp>
        <stp>YLD_YTM_BID</stp>
        <stp>[TIPS.xlsx]Sheet1!R46C4</stp>
        <tr r="D46" s="1"/>
      </tp>
      <tp t="s">
        <v>#N/A N/A</v>
        <stp/>
        <stp>##V3_BDPV12</stp>
        <stp>912828SQ Govt</stp>
        <stp>YLD_YTM_BID</stp>
        <stp>[TIPS.xlsx]Sheet1!R55C4</stp>
        <tr r="D55" s="1"/>
      </tp>
      <tp t="s">
        <v>TII 1 7/8 07/15/19</v>
        <stp/>
        <stp>##V3_BDPV12</stp>
        <stp>912828LA Govt</stp>
        <stp>SECURITY_NAME</stp>
        <stp>[TIPS.xlsx]Sheet1!R59C16</stp>
        <tr r="P59" s="1"/>
      </tp>
      <tp t="s">
        <v>TII 0 1/2 04/15/15</v>
        <stp/>
        <stp>##V3_BDPV12</stp>
        <stp>912828MY Govt</stp>
        <stp>SECURITY_NAME</stp>
        <stp>[TIPS.xlsx]Sheet1!R62C16</stp>
        <tr r="P62" s="1"/>
      </tp>
      <tp t="s">
        <v>TII 1 3/8 01/15/20</v>
        <stp/>
        <stp>##V3_BDPV12</stp>
        <stp>912828MF Govt</stp>
        <stp>SECURITY_NAME</stp>
        <stp>[TIPS.xlsx]Sheet1!R61C16</stp>
        <tr r="P61" s="1"/>
      </tp>
      <tp t="s">
        <v>TII 0 5/8 01/15/26</v>
        <stp/>
        <stp>##V3_BDPV12</stp>
        <stp>912828N7 Govt</stp>
        <stp>SECURITY_NAME</stp>
        <stp>[TIPS.xlsx]Sheet1!R17C16</stp>
        <tr r="P17" s="1"/>
      </tp>
      <tp t="s">
        <v>TII 1 1/4 07/15/20</v>
        <stp/>
        <stp>##V3_BDPV12</stp>
        <stp>912828NM Govt</stp>
        <stp>SECURITY_NAME</stp>
        <stp>[TIPS.xlsx]Sheet1!R52C16</stp>
        <tr r="P52" s="1"/>
      </tp>
      <tp t="s">
        <v>TII 0 1/4 01/15/25</v>
        <stp/>
        <stp>##V3_BDPV12</stp>
        <stp>912828H4 Govt</stp>
        <stp>SECURITY_NAME</stp>
        <stp>[TIPS.xlsx]Sheet1!R27C16</stp>
        <tr r="P27" s="1"/>
      </tp>
      <tp t="s">
        <v>TII 0 5/8 04/15/13</v>
        <stp/>
        <stp>##V3_BDPV12</stp>
        <stp>912828HW Govt</stp>
        <stp>SECURITY_NAME</stp>
        <stp>[TIPS.xlsx]Sheet1!R64C16</stp>
        <tr r="P64" s="1"/>
      </tp>
      <tp t="s">
        <v>TII 1 5/8 01/15/18</v>
        <stp/>
        <stp>##V3_BDPV12</stp>
        <stp>912828HN Govt</stp>
        <stp>SECURITY_NAME</stp>
        <stp>[TIPS.xlsx]Sheet1!R60C16</stp>
        <tr r="P60" s="1"/>
      </tp>
      <tp t="s">
        <v>TII 2 1/8 01/15/19</v>
        <stp/>
        <stp>##V3_BDPV12</stp>
        <stp>912828JX Govt</stp>
        <stp>SECURITY_NAME</stp>
        <stp>[TIPS.xlsx]Sheet1!R69C16</stp>
        <tr r="P69" s="1"/>
      </tp>
      <tp t="s">
        <v>TII 1 3/8 07/15/18</v>
        <stp/>
        <stp>##V3_BDPV12</stp>
        <stp>912828JE Govt</stp>
        <stp>SECURITY_NAME</stp>
        <stp>[TIPS.xlsx]Sheet1!R85C16</stp>
        <tr r="P85" s="1"/>
      </tp>
      <tp t="s">
        <v>TII 0 1/8 04/15/20</v>
        <stp/>
        <stp>##V3_BDPV12</stp>
        <stp>912828K3 Govt</stp>
        <stp>SECURITY_NAME</stp>
        <stp>[TIPS.xlsx]Sheet1!R66C16</stp>
        <tr r="P66" s="1"/>
      </tp>
      <tp t="s">
        <v>TII 1 1/4 04/15/14</v>
        <stp/>
        <stp>##V3_BDPV12</stp>
        <stp>912828KM Govt</stp>
        <stp>SECURITY_NAME</stp>
        <stp>[TIPS.xlsx]Sheet1!R84C16</stp>
        <tr r="P84" s="1"/>
      </tp>
      <tp t="s">
        <v>TII 1 5/8 01/15/15</v>
        <stp/>
        <stp>##V3_BDPV12</stp>
        <stp>912828DH Govt</stp>
        <stp>SECURITY_NAME</stp>
        <stp>[TIPS.xlsx]Sheet1!R80C16</stp>
        <tr r="P80" s="1"/>
      </tp>
      <tp t="s">
        <v>TII 2 01/15/16</v>
        <stp/>
        <stp>##V3_BDPV12</stp>
        <stp>912828ET Govt</stp>
        <stp>SECURITY_NAME</stp>
        <stp>[TIPS.xlsx]Sheet1!R73C16</stp>
        <tr r="P73" s="1"/>
      </tp>
      <tp t="s">
        <v>TII 1 7/8 07/15/15</v>
        <stp/>
        <stp>##V3_BDPV12</stp>
        <stp>912828EA Govt</stp>
        <stp>SECURITY_NAME</stp>
        <stp>[TIPS.xlsx]Sheet1!R79C16</stp>
        <tr r="P79" s="1"/>
      </tp>
      <tp t="s">
        <v>TII 2 1/2 07/15/16</v>
        <stp/>
        <stp>##V3_BDPV12</stp>
        <stp>912828FL Govt</stp>
        <stp>SECURITY_NAME</stp>
        <stp>[TIPS.xlsx]Sheet1!R83C16</stp>
        <tr r="P83" s="1"/>
      </tp>
      <tp t="s">
        <v>TII 2 3/8 04/15/11</v>
        <stp/>
        <stp>##V3_BDPV12</stp>
        <stp>912828FB Govt</stp>
        <stp>SECURITY_NAME</stp>
        <stp>[TIPS.xlsx]Sheet1!R81C16</stp>
        <tr r="P81" s="1"/>
      </tp>
      <tp t="s">
        <v>TII 2 5/8 07/15/17</v>
        <stp/>
        <stp>##V3_BDPV12</stp>
        <stp>912828GX Govt</stp>
        <stp>SECURITY_NAME</stp>
        <stp>[TIPS.xlsx]Sheet1!R54C16</stp>
        <tr r="P54" s="1"/>
      </tp>
      <tp t="s">
        <v>TII 2 3/8 01/15/17</v>
        <stp/>
        <stp>##V3_BDPV12</stp>
        <stp>912828GD Govt</stp>
        <stp>SECURITY_NAME</stp>
        <stp>[TIPS.xlsx]Sheet1!R63C16</stp>
        <tr r="P63" s="1"/>
      </tp>
      <tp t="s">
        <v>TII 2 04/15/12</v>
        <stp/>
        <stp>##V3_BDPV12</stp>
        <stp>912828GN Govt</stp>
        <stp>SECURITY_NAME</stp>
        <stp>[TIPS.xlsx]Sheet1!R74C16</stp>
        <tr r="P74" s="1"/>
      </tp>
      <tp t="s">
        <v>TII 3 07/15/12</v>
        <stp/>
        <stp>##V3_BDPV12</stp>
        <stp>912828AF Govt</stp>
        <stp>SECURITY_NAME</stp>
        <stp>[TIPS.xlsx]Sheet1!R71C16</stp>
        <tr r="P71" s="1"/>
      </tp>
      <tp t="s">
        <v>TII 0 5/8 01/15/24</v>
        <stp/>
        <stp>##V3_BDPV12</stp>
        <stp>912828B2 Govt</stp>
        <stp>SECURITY_NAME</stp>
        <stp>[TIPS.xlsx]Sheet1!R25C16</stp>
        <tr r="P25" s="1"/>
      </tp>
      <tp t="s">
        <v>TII 2 01/15/14</v>
        <stp/>
        <stp>##V3_BDPV12</stp>
        <stp>912828BW Govt</stp>
        <stp>SECURITY_NAME</stp>
        <stp>[TIPS.xlsx]Sheet1!R82C16</stp>
        <tr r="P82" s="1"/>
      </tp>
      <tp t="s">
        <v>TII 1 7/8 07/15/13</v>
        <stp/>
        <stp>##V3_BDPV12</stp>
        <stp>912828BD Govt</stp>
        <stp>SECURITY_NAME</stp>
        <stp>[TIPS.xlsx]Sheet1!R58C16</stp>
        <tr r="P58" s="1"/>
      </tp>
      <tp t="s">
        <v>TII 0 1/8 04/15/19</v>
        <stp/>
        <stp>##V3_BDPV12</stp>
        <stp>912828C9 Govt</stp>
        <stp>SECURITY_NAME</stp>
        <stp>[TIPS.xlsx]Sheet1!R53C16</stp>
        <tr r="P53" s="1"/>
      </tp>
      <tp t="s">
        <v>TII 2 07/15/14</v>
        <stp/>
        <stp>##V3_BDPV12</stp>
        <stp>912828CP Govt</stp>
        <stp>SECURITY_NAME</stp>
        <stp>[TIPS.xlsx]Sheet1!R76C16</stp>
        <tr r="P76" s="1"/>
      </tp>
      <tp t="s">
        <v>TII 0 7/8 04/15/10</v>
        <stp/>
        <stp>##V3_BDPV12</stp>
        <stp>912828CZ Govt</stp>
        <stp>SECURITY_NAME</stp>
        <stp>[TIPS.xlsx]Sheet1!R65C16</stp>
        <tr r="P65" s="1"/>
      </tp>
      <tp t="s">
        <v>TII 0 3/8 07/15/25</v>
        <stp/>
        <stp>##V3_BDPV12</stp>
        <stp>912828XL Govt</stp>
        <stp>SECURITY_NAME</stp>
        <stp>[TIPS.xlsx]Sheet1!R21C16</stp>
        <tr r="P21" s="1"/>
      </tp>
      <tp t="s">
        <v>TII 0 3/4 07/15/28</v>
        <stp/>
        <stp>##V3_BDPV12</stp>
        <stp>912828Y3 Govt</stp>
        <stp>SECURITY_NAME</stp>
        <stp>[TIPS.xlsx]Sheet1!R30C16</stp>
        <tr r="P30" s="1"/>
      </tp>
      <tp t="s">
        <v>TII 0 1/8 10/15/24</v>
        <stp/>
        <stp>##V3_BDPV12</stp>
        <stp>912828YL Govt</stp>
        <stp>SECURITY_NAME</stp>
        <stp>[TIPS.xlsx]Sheet1!R24C16</stp>
        <tr r="P24" s="1"/>
      </tp>
      <tp t="s">
        <v>TII 0 1/8 01/15/30</v>
        <stp/>
        <stp>##V3_BDPV12</stp>
        <stp>912828Z3 Govt</stp>
        <stp>SECURITY_NAME</stp>
        <stp>[TIPS.xlsx]Sheet1!R10C16</stp>
        <tr r="P10" s="1"/>
      </tp>
      <tp t="s">
        <v>TII 0 1/8 04/15/25</v>
        <stp/>
        <stp>##V3_BDPV12</stp>
        <stp>912828ZJ Govt</stp>
        <stp>SECURITY_NAME</stp>
        <stp>[TIPS.xlsx]Sheet1!R19C16</stp>
        <tr r="P19" s="1"/>
      </tp>
      <tp t="s">
        <v>TII 0 1/8 07/15/22</v>
        <stp/>
        <stp>##V3_BDPV12</stp>
        <stp>912828TE Govt</stp>
        <stp>SECURITY_NAME</stp>
        <stp>[TIPS.xlsx]Sheet1!R18C16</stp>
        <tr r="P18" s="1"/>
      </tp>
      <tp t="s">
        <v>TII 0 1/8 04/15/18</v>
        <stp/>
        <stp>##V3_BDPV12</stp>
        <stp>912828UX Govt</stp>
        <stp>SECURITY_NAME</stp>
        <stp>[TIPS.xlsx]Sheet1!R56C16</stp>
        <tr r="P56" s="1"/>
      </tp>
      <tp t="s">
        <v>TII 0 3/8 01/15/27</v>
        <stp/>
        <stp>##V3_BDPV12</stp>
        <stp>912828V4 Govt</stp>
        <stp>SECURITY_NAME</stp>
        <stp>[TIPS.xlsx]Sheet1!R29C16</stp>
        <tr r="P29" s="1"/>
      </tp>
      <tp t="s">
        <v>TII 0 3/8 07/15/23</v>
        <stp/>
        <stp>##V3_BDPV12</stp>
        <stp>912828VM Govt</stp>
        <stp>SECURITY_NAME</stp>
        <stp>[TIPS.xlsx]Sheet1!R28C16</stp>
        <tr r="P28" s="1"/>
      </tp>
      <tp t="s">
        <v>TII 0 1/8 07/15/24</v>
        <stp/>
        <stp>##V3_BDPV12</stp>
        <stp>912828WU Govt</stp>
        <stp>SECURITY_NAME</stp>
        <stp>[TIPS.xlsx]Sheet1!R26C16</stp>
        <tr r="P26" s="1"/>
      </tp>
      <tp t="s">
        <v>TII 1 1/8 01/15/21</v>
        <stp/>
        <stp>##V3_BDPV12</stp>
        <stp>912828PP Govt</stp>
        <stp>SECURITY_NAME</stp>
        <stp>[TIPS.xlsx]Sheet1!R51C16</stp>
        <tr r="P51" s="1"/>
      </tp>
      <tp t="s">
        <v>TII 0 1/8 04/15/21</v>
        <stp/>
        <stp>##V3_BDPV12</stp>
        <stp>912828Q6 Govt</stp>
        <stp>SECURITY_NAME</stp>
        <stp>[TIPS.xlsx]Sheet1!R50C16</stp>
        <tr r="P50" s="1"/>
      </tp>
      <tp t="s">
        <v>TII 0 5/8 07/15/21</v>
        <stp/>
        <stp>##V3_BDPV12</stp>
        <stp>912828QV Govt</stp>
        <stp>SECURITY_NAME</stp>
        <stp>[TIPS.xlsx]Sheet1!R49C16</stp>
        <tr r="P49" s="1"/>
      </tp>
      <tp t="s">
        <v>TII 0 1/8 04/15/16</v>
        <stp/>
        <stp>##V3_BDPV12</stp>
        <stp>912828QD Govt</stp>
        <stp>SECURITY_NAME</stp>
        <stp>[TIPS.xlsx]Sheet1!R70C16</stp>
        <tr r="P70" s="1"/>
      </tp>
      <tp t="s">
        <v>TII 0 1/8 07/15/26</v>
        <stp/>
        <stp>##V3_BDPV12</stp>
        <stp>912828S5 Govt</stp>
        <stp>SECURITY_NAME</stp>
        <stp>[TIPS.xlsx]Sheet1!R13C16</stp>
        <tr r="P13" s="1"/>
      </tp>
      <tp t="s">
        <v>TII 0 1/8 04/15/17</v>
        <stp/>
        <stp>##V3_BDPV12</stp>
        <stp>912828SQ Govt</stp>
        <stp>SECURITY_NAME</stp>
        <stp>[TIPS.xlsx]Sheet1!R55C16</stp>
        <tr r="P55" s="1"/>
      </tp>
      <tp t="s">
        <v>TII 0 1/8 01/15/22</v>
        <stp/>
        <stp>##V3_BDPV12</stp>
        <stp>912828SA Govt</stp>
        <stp>SECURITY_NAME</stp>
        <stp>[TIPS.xlsx]Sheet1!R12C16</stp>
        <tr r="P12" s="1"/>
      </tp>
      <tp t="s">
        <v>#N/A N/A</v>
        <stp/>
        <stp>##V3_BDPV12</stp>
        <stp>912828Q6 Govt</stp>
        <stp>YLD_YTM_BID</stp>
        <stp>[TIPS.xlsx]Sheet1!R50C4</stp>
        <tr r="D50" s="1"/>
      </tp>
      <tp>
        <v>0.125</v>
        <stp/>
        <stp>##V3_BDPV12</stp>
        <stp>912828S5 Govt</stp>
        <stp>CPN</stp>
        <stp>[TIPS.xlsx]Sheet1!R13C3</stp>
        <tr r="C13" s="1"/>
      </tp>
      <tp>
        <v>-1.7054702119406877</v>
        <stp/>
        <stp>##V3_BDPV12</stp>
        <stp>91282CCA Govt</stp>
        <stp>YLD_YTM_BID</stp>
        <stp>[TIPS.xlsx]Sheet1!R3C4</stp>
        <tr r="D3" s="1"/>
      </tp>
      <tp>
        <v>1.375</v>
        <stp/>
        <stp>##V3_BDPV12</stp>
        <stp>912810RF Govt</stp>
        <stp>CPN</stp>
        <stp>[TIPS.xlsx]Sheet1!R32C3</stp>
        <tr r="C32" s="1"/>
      </tp>
      <tp t="s">
        <v>10/15/2012</v>
        <stp/>
        <stp>##V3_BDPV12</stp>
        <stp>912828SQ Govt</stp>
        <stp>FIRST_CPN_DT</stp>
        <stp>[TIPS.xlsx]Sheet1!R55C9</stp>
        <tr r="I55" s="1"/>
      </tp>
      <tp t="s">
        <v>#N/A N/A</v>
        <stp/>
        <stp>##V3_BDPV12</stp>
        <stp>912828QD Govt</stp>
        <stp>YLD_YTM_BID</stp>
        <stp>[TIPS.xlsx]Sheet1!R70C4</stp>
        <tr r="D70" s="1"/>
      </tp>
      <tp>
        <v>-0.24257708848315002</v>
        <stp/>
        <stp>##V3_BDPV12</stp>
        <stp>912810SB Govt</stp>
        <stp>YLD_YTM_BID</stp>
        <stp>[TIPS.xlsx]Sheet1!R42C4</stp>
        <tr r="D42" s="1"/>
      </tp>
      <tp>
        <v>-0.28498926402052754</v>
        <stp/>
        <stp>##V3_BDPV12</stp>
        <stp>912810RA Govt</stp>
        <stp>YLD_YTM_BID</stp>
        <stp>[TIPS.xlsx]Sheet1!R43C4</stp>
        <tr r="D43" s="1"/>
      </tp>
      <tp>
        <v>-3.0357005787329054</v>
        <stp/>
        <stp>##V3_BDPV12</stp>
        <stp>912828SA Govt</stp>
        <stp>YLD_YTM_BID</stp>
        <stp>[TIPS.xlsx]Sheet1!R12C4</stp>
        <tr r="D12" s="1"/>
      </tp>
      <tp>
        <v>-2.332302491618329</v>
        <stp/>
        <stp>##V3_BDPV12</stp>
        <stp>912828WU Govt</stp>
        <stp>YLD_YTM_BID</stp>
        <stp>[TIPS.xlsx]Sheet1!R26C4</stp>
        <tr r="D26" s="1"/>
      </tp>
      <tp>
        <v>2.125</v>
        <stp/>
        <stp>##V3_BDPV12</stp>
        <stp>912810QP Govt</stp>
        <stp>CPN</stp>
        <stp>[TIPS.xlsx]Sheet1!R31C3</stp>
        <tr r="C31" s="1"/>
      </tp>
      <tp t="s">
        <v>#N/A N/A</v>
        <stp/>
        <stp>##V3_BDPV12</stp>
        <stp>912828PP Govt</stp>
        <stp>YLD_YTM_BID</stp>
        <stp>[TIPS.xlsx]Sheet1!R51C4</stp>
        <tr r="D51" s="1"/>
      </tp>
      <tp t="s">
        <v>ACT/ACT</v>
        <stp/>
        <stp>##V3_BDPV12</stp>
        <stp>9128273A Govt</stp>
        <stp>DAY_CNT_DES</stp>
        <stp>[TIPS.xlsx]Sheet1!R78C17</stp>
        <tr r="Q78" s="1"/>
      </tp>
      <tp t="s">
        <v>ACT/ACT</v>
        <stp/>
        <stp>##V3_BDPV12</stp>
        <stp>912828LA Govt</stp>
        <stp>DAY_CNT_DES</stp>
        <stp>[TIPS.xlsx]Sheet1!R59C17</stp>
        <tr r="Q59" s="1"/>
      </tp>
      <tp t="s">
        <v>ACT/ACT</v>
        <stp/>
        <stp>##V3_BDPV12</stp>
        <stp>912828EA Govt</stp>
        <stp>DAY_CNT_DES</stp>
        <stp>[TIPS.xlsx]Sheet1!R79C17</stp>
        <tr r="Q79" s="1"/>
      </tp>
      <tp t="s">
        <v>ACT/ACT</v>
        <stp/>
        <stp>##V3_BDPV12</stp>
        <stp>912828SA Govt</stp>
        <stp>DAY_CNT_DES</stp>
        <stp>[TIPS.xlsx]Sheet1!R12C17</stp>
        <tr r="Q12" s="1"/>
      </tp>
      <tp t="s">
        <v>ACT/ACT</v>
        <stp/>
        <stp>##V3_BDPV12</stp>
        <stp>912810RA Govt</stp>
        <stp>DAY_CNT_DES</stp>
        <stp>[TIPS.xlsx]Sheet1!R43C17</stp>
        <tr r="Q43" s="1"/>
      </tp>
      <tp>
        <v>0.125</v>
        <stp/>
        <stp>##V3_BDPV12</stp>
        <stp>912828Q6 Govt</stp>
        <stp>CPN</stp>
        <stp>[TIPS.xlsx]Sheet1!R50C3</stp>
        <tr r="C50" s="1"/>
      </tp>
      <tp>
        <v>-1.7610078714858901</v>
        <stp/>
        <stp>##V3_BDPV12</stp>
        <stp>912828S5 Govt</stp>
        <stp>YLD_YTM_BID</stp>
        <stp>[TIPS.xlsx]Sheet1!R13C4</stp>
        <tr r="D13" s="1"/>
      </tp>
      <tp>
        <v>-0.91976570390512302</v>
        <stp/>
        <stp>##V3_BDPV12</stp>
        <stp>91282CCM Govt</stp>
        <stp>YLD_YTM_BID</stp>
        <stp>[TIPS.xlsx]Sheet1!R2C4</stp>
        <tr r="D2" s="1"/>
      </tp>
      <tp t="s">
        <v>7/15/2001</v>
        <stp/>
        <stp>##V3_BDPV12</stp>
        <stp>9128276R Govt</stp>
        <stp>FIRST_CPN_DT</stp>
        <stp>[TIPS.xlsx]Sheet1!R77C9</stp>
        <tr r="I77" s="1"/>
      </tp>
      <tp t="s">
        <v>7/15/2004</v>
        <stp/>
        <stp>##V3_BDPV12</stp>
        <stp>912828BW Govt</stp>
        <stp>FIRST_CPN_DT</stp>
        <stp>[TIPS.xlsx]Sheet1!R82C9</stp>
        <tr r="I82" s="1"/>
      </tp>
      <tp>
        <v>-0.28385612013327333</v>
        <stp/>
        <stp>##V3_BDPV12</stp>
        <stp>912810RF Govt</stp>
        <stp>YLD_YTM_BID</stp>
        <stp>[TIPS.xlsx]Sheet1!R32C4</stp>
        <tr r="D32" s="1"/>
      </tp>
      <tp t="s">
        <v>4/15/2021</v>
        <stp/>
        <stp>##V3_BDPV12</stp>
        <stp>91282CAQ Govt</stp>
        <stp>FIRST_CPN_DT</stp>
        <stp>[TIPS.xlsx]Sheet1!R14C9</stp>
        <tr r="I14" s="1"/>
      </tp>
      <tp t="s">
        <v>8/15/2016</v>
        <stp/>
        <stp>##V3_BDPV12</stp>
        <stp>912810RR Govt</stp>
        <stp>FIRST_CPN_DT</stp>
        <stp>[TIPS.xlsx]Sheet1!R47C9</stp>
        <tr r="I47" s="1"/>
      </tp>
      <tp>
        <v>0.125</v>
        <stp/>
        <stp>##V3_BDPV12</stp>
        <stp>912828QD Govt</stp>
        <stp>CPN</stp>
        <stp>[TIPS.xlsx]Sheet1!R70C3</stp>
        <tr r="C70" s="1"/>
      </tp>
      <tp>
        <v>1</v>
        <stp/>
        <stp>##V3_BDPV12</stp>
        <stp>912810SB Govt</stp>
        <stp>CPN</stp>
        <stp>[TIPS.xlsx]Sheet1!R42C3</stp>
        <tr r="C42" s="1"/>
      </tp>
      <tp>
        <v>0.625</v>
        <stp/>
        <stp>##V3_BDPV12</stp>
        <stp>912810RA Govt</stp>
        <stp>CPN</stp>
        <stp>[TIPS.xlsx]Sheet1!R43C3</stp>
        <tr r="C43" s="1"/>
      </tp>
      <tp>
        <v>0.125</v>
        <stp/>
        <stp>##V3_BDPV12</stp>
        <stp>912828SA Govt</stp>
        <stp>CPN</stp>
        <stp>[TIPS.xlsx]Sheet1!R12C3</stp>
        <tr r="C12" s="1"/>
      </tp>
      <tp>
        <v>0.125</v>
        <stp/>
        <stp>##V3_BDPV12</stp>
        <stp>912828WU Govt</stp>
        <stp>CPN</stp>
        <stp>[TIPS.xlsx]Sheet1!R26C3</stp>
        <tr r="C26" s="1"/>
      </tp>
      <tp>
        <v>1.125</v>
        <stp/>
        <stp>##V3_BDPV12</stp>
        <stp>912828PP Govt</stp>
        <stp>CPN</stp>
        <stp>[TIPS.xlsx]Sheet1!R51C3</stp>
        <tr r="C51" s="1"/>
      </tp>
      <tp>
        <v>-0.42370212915706967</v>
        <stp/>
        <stp>##V3_BDPV12</stp>
        <stp>912810QP Govt</stp>
        <stp>YLD_YTM_BID</stp>
        <stp>[TIPS.xlsx]Sheet1!R31C4</stp>
        <tr r="D31" s="1"/>
      </tp>
      <tp t="s">
        <v>ACT/ACT</v>
        <stp/>
        <stp>##V3_BDPV12</stp>
        <stp>912828FB Govt</stp>
        <stp>DAY_CNT_DES</stp>
        <stp>[TIPS.xlsx]Sheet1!R81C17</stp>
        <tr r="Q81" s="1"/>
      </tp>
      <tp t="s">
        <v>ACT/ACT</v>
        <stp/>
        <stp>##V3_BDPV12</stp>
        <stp>912810SB Govt</stp>
        <stp>DAY_CNT_DES</stp>
        <stp>[TIPS.xlsx]Sheet1!R42C17</stp>
        <tr r="Q42" s="1"/>
      </tp>
      <tp t="s">
        <v>1/15/2005</v>
        <stp/>
        <stp>##V3_BDPV12</stp>
        <stp>912828CP Govt</stp>
        <stp>FIRST_CPN_DT</stp>
        <stp>[TIPS.xlsx]Sheet1!R76C9</stp>
        <tr r="I76" s="1"/>
      </tp>
      <tp t="s">
        <v>7/15/2007</v>
        <stp/>
        <stp>##V3_BDPV12</stp>
        <stp>912810PS Govt</stp>
        <stp>FIRST_CPN_DT</stp>
        <stp>[TIPS.xlsx]Sheet1!R45C9</stp>
        <tr r="I45" s="1"/>
      </tp>
      <tp t="s">
        <v>1/15/2005</v>
        <stp/>
        <stp>##V3_BDPV12</stp>
        <stp>912810FR Govt</stp>
        <stp>FIRST_CPN_DT</stp>
        <stp>[TIPS.xlsx]Sheet1!R34C9</stp>
        <tr r="I34" s="1"/>
      </tp>
      <tp>
        <v>0.25</v>
        <stp/>
        <stp>##V3_BDPV12</stp>
        <stp>912810SM Govt</stp>
        <stp>CPN</stp>
        <stp>[TIPS.xlsx]Sheet1!R11C3</stp>
        <tr r="C11" s="1"/>
      </tp>
      <tp>
        <v>-1.9418782542836661</v>
        <stp/>
        <stp>##V3_BDPV12</stp>
        <stp>912828ZJ Govt</stp>
        <stp>YLD_YTM_BID</stp>
        <stp>[TIPS.xlsx]Sheet1!R19C4</stp>
        <tr r="D19" s="1"/>
      </tp>
      <tp>
        <v>0.875</v>
        <stp/>
        <stp>##V3_BDPV12</stp>
        <stp>912810RW Govt</stp>
        <stp>CPN</stp>
        <stp>[TIPS.xlsx]Sheet1!R40C3</stp>
        <tr r="C40" s="1"/>
      </tp>
      <tp t="s">
        <v>#N/A N/A</v>
        <stp/>
        <stp>##V3_BDPV12</stp>
        <stp>912828UX Govt</stp>
        <stp>YLD_YTM_BID</stp>
        <stp>[TIPS.xlsx]Sheet1!R56C4</stp>
        <tr r="D56" s="1"/>
      </tp>
      <tp t="s">
        <v>7/15/2019</v>
        <stp/>
        <stp>##V3_BDPV12</stp>
        <stp>9128285W Govt</stp>
        <stp>FIRST_CPN_DT</stp>
        <stp>[TIPS.xlsx]Sheet1!R20C9</stp>
        <tr r="I20" s="1"/>
      </tp>
      <tp t="s">
        <v>7/15/2006</v>
        <stp/>
        <stp>##V3_BDPV12</stp>
        <stp>912828ET Govt</stp>
        <stp>FIRST_CPN_DT</stp>
        <stp>[TIPS.xlsx]Sheet1!R73C9</stp>
        <tr r="I73" s="1"/>
      </tp>
      <tp t="s">
        <v>8/15/2017</v>
        <stp/>
        <stp>##V3_BDPV12</stp>
        <stp>912810RW Govt</stp>
        <stp>FIRST_CPN_DT</stp>
        <stp>[TIPS.xlsx]Sheet1!R40C9</stp>
        <tr r="I40" s="1"/>
      </tp>
      <tp t="s">
        <v>4/15/2002</v>
        <stp/>
        <stp>##V3_BDPV12</stp>
        <stp>912810FQ Govt</stp>
        <stp>FIRST_CPN_DT</stp>
        <stp>[TIPS.xlsx]Sheet1!R36C9</stp>
        <tr r="I36" s="1"/>
      </tp>
      <tp>
        <v>-0.22214570258908506</v>
        <stp/>
        <stp>##V3_BDPV12</stp>
        <stp>912810SM Govt</stp>
        <stp>YLD_YTM_BID</stp>
        <stp>[TIPS.xlsx]Sheet1!R11C4</stp>
        <tr r="D11" s="1"/>
      </tp>
      <tp>
        <v>0.125</v>
        <stp/>
        <stp>##V3_BDPV12</stp>
        <stp>912828ZJ Govt</stp>
        <stp>CPN</stp>
        <stp>[TIPS.xlsx]Sheet1!R19C3</stp>
        <tr r="C19" s="1"/>
      </tp>
      <tp>
        <v>-0.24314919266227489</v>
        <stp/>
        <stp>##V3_BDPV12</stp>
        <stp>912810RW Govt</stp>
        <stp>YLD_YTM_BID</stp>
        <stp>[TIPS.xlsx]Sheet1!R40C4</stp>
        <tr r="D40" s="1"/>
      </tp>
      <tp>
        <v>0.125</v>
        <stp/>
        <stp>##V3_BDPV12</stp>
        <stp>912828UX Govt</stp>
        <stp>CPN</stp>
        <stp>[TIPS.xlsx]Sheet1!R56C3</stp>
        <tr r="C56" s="1"/>
      </tp>
      <tp t="s">
        <v>NORMAL</v>
        <stp/>
        <stp>##V3_BDPV12</stp>
        <stp>9128273T Govt</stp>
        <stp>MTY_TYP</stp>
        <stp>[TIPS.xlsx]Sheet1!R75C6</stp>
        <tr r="F75" s="1"/>
      </tp>
      <tp t="s">
        <v>US912828C996</v>
        <stp/>
        <stp>##V3_BDPV12</stp>
        <stp>912828C9 Govt</stp>
        <stp>ID_ISIN</stp>
        <stp>[TIPS.xlsx]Sheet1!R53C12</stp>
        <tr r="L53" s="1"/>
      </tp>
      <tp t="s">
        <v>NORMAL</v>
        <stp/>
        <stp>##V3_BDPV12</stp>
        <stp>9128285W Govt</stp>
        <stp>MTY_TYP</stp>
        <stp>[TIPS.xlsx]Sheet1!R20C6</stp>
        <tr r="F20" s="1"/>
      </tp>
      <tp t="s">
        <v>NORMAL</v>
        <stp/>
        <stp>##V3_BDPV12</stp>
        <stp>9128277J Govt</stp>
        <stp>MTY_TYP</stp>
        <stp>[TIPS.xlsx]Sheet1!R72C6</stp>
        <tr r="F72" s="1"/>
      </tp>
      <tp t="s">
        <v>NORMAL</v>
        <stp/>
        <stp>##V3_BDPV12</stp>
        <stp>9128272M Govt</stp>
        <stp>MTY_TYP</stp>
        <stp>[TIPS.xlsx]Sheet1!R57C6</stp>
        <tr r="F57" s="1"/>
      </tp>
      <tp t="s">
        <v>91282CBF7</v>
        <stp/>
        <stp>##V3_BDPV12</stp>
        <stp>91282CBF Govt</stp>
        <stp>ID_CUSIP</stp>
        <stp>[TIPS.xlsx]Sheet1!R5C19</stp>
        <tr r="S5" s="1"/>
      </tp>
      <tp t="s">
        <v>US91282CBF77</v>
        <stp/>
        <stp>##V3_BDPV12</stp>
        <stp>91282CBF Govt</stp>
        <stp>ID_ISIN</stp>
        <stp>[TIPS.xlsx]Sheet1!R5C12</stp>
        <tr r="L5" s="1"/>
      </tp>
      <tp t="s">
        <v>91282CCA7</v>
        <stp/>
        <stp>##V3_BDPV12</stp>
        <stp>91282CCA Govt</stp>
        <stp>ID_CUSIP</stp>
        <stp>[TIPS.xlsx]Sheet1!R3C19</stp>
        <tr r="S3" s="1"/>
      </tp>
      <tp t="s">
        <v>7/31/2020</v>
        <stp/>
        <stp>##V3_BDPV12</stp>
        <stp>912828ZZ Govt</stp>
        <stp>ISSUE_DT</stp>
        <stp>[TIPS.xlsx]Sheet1!R9C15</stp>
        <tr r="O9" s="1"/>
      </tp>
      <tp t="s">
        <v>NORMAL</v>
        <stp/>
        <stp>##V3_BDPV12</stp>
        <stp>9128274Y Govt</stp>
        <stp>MTY_TYP</stp>
        <stp>[TIPS.xlsx]Sheet1!R67C6</stp>
        <tr r="F67" s="1"/>
      </tp>
      <tp t="s">
        <v>NORMAL</v>
        <stp/>
        <stp>##V3_BDPV12</stp>
        <stp>9128286N Govt</stp>
        <stp>MTY_TYP</stp>
        <stp>[TIPS.xlsx]Sheet1!R15C6</stp>
        <tr r="F15" s="1"/>
      </tp>
      <tp t="s">
        <v>US91282CCM10</v>
        <stp/>
        <stp>##V3_BDPV12</stp>
        <stp>91282CCM Govt</stp>
        <stp>ID_ISIN</stp>
        <stp>[TIPS.xlsx]Sheet1!R2C12</stp>
        <tr r="L2" s="1"/>
      </tp>
      <tp t="s">
        <v>US91282CCA71</v>
        <stp/>
        <stp>##V3_BDPV12</stp>
        <stp>91282CCA Govt</stp>
        <stp>ID_ISIN</stp>
        <stp>[TIPS.xlsx]Sheet1!R3C12</stp>
        <tr r="L3" s="1"/>
      </tp>
      <tp t="s">
        <v>TII</v>
        <stp/>
        <stp>##V3_BDPV12</stp>
        <stp>912828ZZ Govt</stp>
        <stp>TICKER</stp>
        <stp>[TIPS.xlsx]Sheet1!R9C2</stp>
        <tr r="B9" s="1"/>
      </tp>
      <tp t="s">
        <v>FIXED</v>
        <stp/>
        <stp>##V3_BDPV12</stp>
        <stp>912828C9 Govt</stp>
        <stp>CPN_TYP</stp>
        <stp>[TIPS.xlsx]Sheet1!R53C11</stp>
        <tr r="K53" s="1"/>
      </tp>
      <tp t="s">
        <v>NORMAL</v>
        <stp/>
        <stp>##V3_BDPV12</stp>
        <stp>9128283R Govt</stp>
        <stp>MTY_TYP</stp>
        <stp>[TIPS.xlsx]Sheet1!R22C6</stp>
        <tr r="F22" s="1"/>
      </tp>
      <tp t="s">
        <v>NORMAL</v>
        <stp/>
        <stp>##V3_BDPV12</stp>
        <stp>9128276R Govt</stp>
        <stp>MTY_TYP</stp>
        <stp>[TIPS.xlsx]Sheet1!R77C6</stp>
        <tr r="F77" s="1"/>
      </tp>
      <tp t="s">
        <v>NORMAL</v>
        <stp/>
        <stp>##V3_BDPV12</stp>
        <stp>9128282L Govt</stp>
        <stp>MTY_TYP</stp>
        <stp>[TIPS.xlsx]Sheet1!R23C6</stp>
        <tr r="F23" s="1"/>
      </tp>
      <tp t="s">
        <v>NORMAL</v>
        <stp/>
        <stp>##V3_BDPV12</stp>
        <stp>9128287D Govt</stp>
        <stp>MTY_TYP</stp>
        <stp>[TIPS.xlsx]Sheet1!R16C6</stp>
        <tr r="F16" s="1"/>
      </tp>
      <tp t="s">
        <v>TII</v>
        <stp/>
        <stp>##V3_BDPV12</stp>
        <stp>912828X3 Govt</stp>
        <stp>TICKER</stp>
        <stp>[TIPS.xlsx]Sheet1!R8C2</stp>
        <tr r="B8" s="1"/>
      </tp>
      <tp t="s">
        <v>TII</v>
        <stp/>
        <stp>##V3_BDPV12</stp>
        <stp>912810SV Govt</stp>
        <stp>TICKER</stp>
        <stp>[TIPS.xlsx]Sheet1!R4C2</stp>
        <tr r="B4" s="1"/>
      </tp>
      <tp t="s">
        <v>TII</v>
        <stp/>
        <stp>##V3_BDPV12</stp>
        <stp>9128284H Govt</stp>
        <stp>TICKER</stp>
        <stp>[TIPS.xlsx]Sheet1!R7C2</stp>
        <tr r="B7" s="1"/>
      </tp>
      <tp t="s">
        <v>FIXED</v>
        <stp/>
        <stp>##V3_BDPV12</stp>
        <stp>91282CCM Govt</stp>
        <stp>CPN_TYP</stp>
        <stp>[TIPS.xlsx]Sheet1!R2C11</stp>
        <tr r="K2" s="1"/>
      </tp>
      <tp t="s">
        <v>FIXED</v>
        <stp/>
        <stp>##V3_BDPV12</stp>
        <stp>912828N7 Govt</stp>
        <stp>CPN_TYP</stp>
        <stp>[TIPS.xlsx]Sheet1!R17C11</stp>
        <tr r="K17" s="1"/>
      </tp>
      <tp t="s">
        <v>US912828K338</v>
        <stp/>
        <stp>##V3_BDPV12</stp>
        <stp>912828K3 Govt</stp>
        <stp>ID_ISIN</stp>
        <stp>[TIPS.xlsx]Sheet1!R66C12</stp>
        <tr r="L66" s="1"/>
      </tp>
      <tp t="s">
        <v>US912828Z377</v>
        <stp/>
        <stp>##V3_BDPV12</stp>
        <stp>912828Z3 Govt</stp>
        <stp>ID_ISIN</stp>
        <stp>[TIPS.xlsx]Sheet1!R10C12</stp>
        <tr r="L10" s="1"/>
      </tp>
      <tp t="s">
        <v>US912828Y388</v>
        <stp/>
        <stp>##V3_BDPV12</stp>
        <stp>912828Y3 Govt</stp>
        <stp>ID_ISIN</stp>
        <stp>[TIPS.xlsx]Sheet1!R30C12</stp>
        <tr r="L30" s="1"/>
      </tp>
      <tp t="s">
        <v>FIXED</v>
        <stp/>
        <stp>##V3_BDPV12</stp>
        <stp>91282CCA Govt</stp>
        <stp>CPN_TYP</stp>
        <stp>[TIPS.xlsx]Sheet1!R3C11</stp>
        <tr r="K3" s="1"/>
      </tp>
      <tp t="s">
        <v>91282CCM1</v>
        <stp/>
        <stp>##V3_BDPV12</stp>
        <stp>91282CCM Govt</stp>
        <stp>ID_CUSIP</stp>
        <stp>[TIPS.xlsx]Sheet1!R2C19</stp>
        <tr r="S2" s="1"/>
      </tp>
      <tp t="s">
        <v>2/26/2021</v>
        <stp/>
        <stp>##V3_BDPV12</stp>
        <stp>912810SV Govt</stp>
        <stp>ISSUE_DT</stp>
        <stp>[TIPS.xlsx]Sheet1!R4C15</stp>
        <tr r="O4" s="1"/>
      </tp>
      <tp t="s">
        <v>TII</v>
        <stp/>
        <stp>##V3_BDPV12</stp>
        <stp>912828UH Govt</stp>
        <stp>TICKER</stp>
        <stp>[TIPS.xlsx]Sheet1!R6C2</stp>
        <tr r="B6" s="1"/>
      </tp>
      <tp t="s">
        <v>FIXED</v>
        <stp/>
        <stp>##V3_BDPV12</stp>
        <stp>912828Q6 Govt</stp>
        <stp>CPN_TYP</stp>
        <stp>[TIPS.xlsx]Sheet1!R50C11</stp>
        <tr r="K50" s="1"/>
      </tp>
      <tp t="s">
        <v>US912828B253</v>
        <stp/>
        <stp>##V3_BDPV12</stp>
        <stp>912828B2 Govt</stp>
        <stp>ID_ISIN</stp>
        <stp>[TIPS.xlsx]Sheet1!R25C12</stp>
        <tr r="L25" s="1"/>
      </tp>
      <tp t="s">
        <v>FIXED</v>
        <stp/>
        <stp>##V3_BDPV12</stp>
        <stp>91282CBF Govt</stp>
        <stp>CPN_TYP</stp>
        <stp>[TIPS.xlsx]Sheet1!R5C11</stp>
        <tr r="K5" s="1"/>
      </tp>
      <tp t="s">
        <v>TII</v>
        <stp/>
        <stp>##V3_BDPV12</stp>
        <stp>91282CBF Govt</stp>
        <stp>TICKER</stp>
        <stp>[TIPS.xlsx]Sheet1!R5C2</stp>
        <tr r="B5" s="1"/>
      </tp>
      <tp t="s">
        <v>FIXED</v>
        <stp/>
        <stp>##V3_BDPV12</stp>
        <stp>912828S5 Govt</stp>
        <stp>CPN_TYP</stp>
        <stp>[TIPS.xlsx]Sheet1!R13C11</stp>
        <tr r="K13" s="1"/>
      </tp>
      <tp t="s">
        <v>NORMAL</v>
        <stp/>
        <stp>##V3_BDPV12</stp>
        <stp>9128275W Govt</stp>
        <stp>MTY_TYP</stp>
        <stp>[TIPS.xlsx]Sheet1!R68C6</stp>
        <tr r="F68" s="1"/>
      </tp>
      <tp t="s">
        <v>8/15/2021</v>
        <stp/>
        <stp>##V3_BDPV12</stp>
        <stp>912810SV Govt</stp>
        <stp>FIRST_CPN_DT</stp>
        <stp>[TIPS.xlsx]Sheet1!R4C9</stp>
        <tr r="I4" s="1"/>
      </tp>
      <tp t="s">
        <v>FIXED</v>
        <stp/>
        <stp>##V3_BDPV12</stp>
        <stp>912828V4 Govt</stp>
        <stp>CPN_TYP</stp>
        <stp>[TIPS.xlsx]Sheet1!R29C11</stp>
        <tr r="K29" s="1"/>
      </tp>
      <tp t="s">
        <v>FIXED</v>
        <stp/>
        <stp>##V3_BDPV12</stp>
        <stp>912828H4 Govt</stp>
        <stp>CPN_TYP</stp>
        <stp>[TIPS.xlsx]Sheet1!R27C11</stp>
        <tr r="K27" s="1"/>
      </tp>
      <tp t="s">
        <v>TII</v>
        <stp/>
        <stp>##V3_BDPV12</stp>
        <stp>91282CCA Govt</stp>
        <stp>TICKER</stp>
        <stp>[TIPS.xlsx]Sheet1!R3C2</stp>
        <tr r="B3" s="1"/>
      </tp>
      <tp t="s">
        <v>10/15/2017</v>
        <stp/>
        <stp>##V3_BDPV12</stp>
        <stp>912828X3 Govt</stp>
        <stp>FIRST_CPN_DT</stp>
        <stp>[TIPS.xlsx]Sheet1!R8C9</stp>
        <tr r="I8" s="1"/>
      </tp>
      <tp t="s">
        <v>FIXED</v>
        <stp/>
        <stp>##V3_BDPV12</stp>
        <stp>912828Z3 Govt</stp>
        <stp>CPN_TYP</stp>
        <stp>[TIPS.xlsx]Sheet1!R10C11</stp>
        <tr r="K10" s="1"/>
      </tp>
      <tp t="s">
        <v>FIXED</v>
        <stp/>
        <stp>##V3_BDPV12</stp>
        <stp>912828Y3 Govt</stp>
        <stp>CPN_TYP</stp>
        <stp>[TIPS.xlsx]Sheet1!R30C11</stp>
        <tr r="K30" s="1"/>
      </tp>
      <tp t="s">
        <v>FIXED</v>
        <stp/>
        <stp>##V3_BDPV12</stp>
        <stp>912828K3 Govt</stp>
        <stp>CPN_TYP</stp>
        <stp>[TIPS.xlsx]Sheet1!R66C11</stp>
        <tr r="K66" s="1"/>
      </tp>
      <tp t="s">
        <v>US912828N712</v>
        <stp/>
        <stp>##V3_BDPV12</stp>
        <stp>912828N7 Govt</stp>
        <stp>ID_ISIN</stp>
        <stp>[TIPS.xlsx]Sheet1!R17C12</stp>
        <tr r="L17" s="1"/>
      </tp>
      <tp t="s">
        <v>NORMAL</v>
        <stp/>
        <stp>##V3_BDPV12</stp>
        <stp>9128273A Govt</stp>
        <stp>MTY_TYP</stp>
        <stp>[TIPS.xlsx]Sheet1!R78C6</stp>
        <tr r="F78" s="1"/>
      </tp>
      <tp t="s">
        <v>TII</v>
        <stp/>
        <stp>##V3_BDPV12</stp>
        <stp>91282CCM Govt</stp>
        <stp>TICKER</stp>
        <stp>[TIPS.xlsx]Sheet1!R2C2</stp>
        <tr r="B2" s="1"/>
      </tp>
      <tp t="s">
        <v>FIXED</v>
        <stp/>
        <stp>##V3_BDPV12</stp>
        <stp>912828B2 Govt</stp>
        <stp>CPN_TYP</stp>
        <stp>[TIPS.xlsx]Sheet1!R25C11</stp>
        <tr r="K25" s="1"/>
      </tp>
      <tp t="s">
        <v>US912828Q608</v>
        <stp/>
        <stp>##V3_BDPV12</stp>
        <stp>912828Q6 Govt</stp>
        <stp>ID_ISIN</stp>
        <stp>[TIPS.xlsx]Sheet1!R50C12</stp>
        <tr r="L50" s="1"/>
      </tp>
      <tp t="s">
        <v>912828UH1</v>
        <stp/>
        <stp>##V3_BDPV12</stp>
        <stp>912828UH Govt</stp>
        <stp>ID_CUSIP</stp>
        <stp>[TIPS.xlsx]Sheet1!R6C19</stp>
        <tr r="S6" s="1"/>
      </tp>
      <tp t="s">
        <v>9128284H0</v>
        <stp/>
        <stp>##V3_BDPV12</stp>
        <stp>9128284H Govt</stp>
        <stp>ID_CUSIP</stp>
        <stp>[TIPS.xlsx]Sheet1!R7C19</stp>
        <tr r="S7" s="1"/>
      </tp>
      <tp t="s">
        <v>USD</v>
        <stp/>
        <stp>##V3_BDPV12</stp>
        <stp>912810SV Govt</stp>
        <stp>CRNCY</stp>
        <stp>[TIPS.xlsx]Sheet1!R4C7</stp>
        <tr r="G4" s="1"/>
      </tp>
      <tp t="s">
        <v>US912828S505</v>
        <stp/>
        <stp>##V3_BDPV12</stp>
        <stp>912828S5 Govt</stp>
        <stp>ID_ISIN</stp>
        <stp>[TIPS.xlsx]Sheet1!R13C12</stp>
        <tr r="L13" s="1"/>
      </tp>
      <tp t="s">
        <v>1/15/2021</v>
        <stp/>
        <stp>##V3_BDPV12</stp>
        <stp>912828ZZ Govt</stp>
        <stp>FIRST_CPN_DT</stp>
        <stp>[TIPS.xlsx]Sheet1!R9C9</stp>
        <tr r="I9" s="1"/>
      </tp>
      <tp t="s">
        <v>7/15/2013</v>
        <stp/>
        <stp>##V3_BDPV12</stp>
        <stp>912828UH Govt</stp>
        <stp>FIRST_CPN_DT</stp>
        <stp>[TIPS.xlsx]Sheet1!R6C9</stp>
        <tr r="I6" s="1"/>
      </tp>
      <tp t="s">
        <v>USD</v>
        <stp/>
        <stp>##V3_BDPV12</stp>
        <stp>912828ZZ Govt</stp>
        <stp>CRNCY</stp>
        <stp>[TIPS.xlsx]Sheet1!R9C7</stp>
        <tr r="G9" s="1"/>
      </tp>
      <tp t="s">
        <v>US912828V491</v>
        <stp/>
        <stp>##V3_BDPV12</stp>
        <stp>912828V4 Govt</stp>
        <stp>ID_ISIN</stp>
        <stp>[TIPS.xlsx]Sheet1!R29C12</stp>
        <tr r="L29" s="1"/>
      </tp>
      <tp t="s">
        <v>US912828H458</v>
        <stp/>
        <stp>##V3_BDPV12</stp>
        <stp>912828H4 Govt</stp>
        <stp>ID_ISIN</stp>
        <stp>[TIPS.xlsx]Sheet1!R27C12</stp>
        <tr r="L27" s="1"/>
      </tp>
      <tp t="s">
        <v>NORMAL</v>
        <stp/>
        <stp>##V3_BDPV12</stp>
        <stp>9128284H Govt</stp>
        <stp>MTY_TYP</stp>
        <stp>[TIPS.xlsx]Sheet1!R7C6</stp>
        <tr r="F7" s="1"/>
      </tp>
      <tp t="s">
        <v>NORMAL</v>
        <stp/>
        <stp>##V3_BDPV12</stp>
        <stp>912828UH Govt</stp>
        <stp>MTY_TYP</stp>
        <stp>[TIPS.xlsx]Sheet1!R6C6</stp>
        <tr r="F6" s="1"/>
      </tp>
      <tp t="s">
        <v>FIXED</v>
        <stp/>
        <stp>##V3_BDPV12</stp>
        <stp>912828ZZ Govt</stp>
        <stp>CPN_TYP</stp>
        <stp>[TIPS.xlsx]Sheet1!R9C11</stp>
        <tr r="K9" s="1"/>
      </tp>
      <tp t="s">
        <v>USD</v>
        <stp/>
        <stp>##V3_BDPV12</stp>
        <stp>912828UH Govt</stp>
        <stp>CRNCY</stp>
        <stp>[TIPS.xlsx]Sheet1!R6C7</stp>
        <tr r="G6" s="1"/>
      </tp>
      <tp t="s">
        <v>4/15/2019</v>
        <stp/>
        <stp>##V3_BDPV12</stp>
        <stp>912828C9 Govt</stp>
        <stp>MATURITY</stp>
        <stp>[TIPS.xlsx]Sheet1!R53C5</stp>
        <tr r="E53" s="1"/>
      </tp>
      <tp t="s">
        <v>FIXED</v>
        <stp/>
        <stp>##V3_BDPV12</stp>
        <stp>912828X3 Govt</stp>
        <stp>CPN_TYP</stp>
        <stp>[TIPS.xlsx]Sheet1!R8C11</stp>
        <tr r="K8" s="1"/>
      </tp>
      <tp>
        <v>1.0525100000000001</v>
        <stp/>
        <stp>##V3_BDPV12</stp>
        <stp>91282CAQ Govt</stp>
        <stp>IDX_RATIO</stp>
        <stp>[TIPS.xlsx]Sheet1!R14C20</stp>
        <tr r="T14" s="1"/>
      </tp>
      <tp t="s">
        <v>USD</v>
        <stp/>
        <stp>##V3_BDPV12</stp>
        <stp>9128284H Govt</stp>
        <stp>CRNCY</stp>
        <stp>[TIPS.xlsx]Sheet1!R7C7</stp>
        <tr r="G7" s="1"/>
      </tp>
      <tp t="s">
        <v>USD</v>
        <stp/>
        <stp>##V3_BDPV12</stp>
        <stp>91282CCM Govt</stp>
        <stp>CRNCY</stp>
        <stp>[TIPS.xlsx]Sheet1!R2C7</stp>
        <tr r="G2" s="1"/>
      </tp>
      <tp t="s">
        <v>US912828UH11</v>
        <stp/>
        <stp>##V3_BDPV12</stp>
        <stp>912828UH Govt</stp>
        <stp>ID_ISIN</stp>
        <stp>[TIPS.xlsx]Sheet1!R6C12</stp>
        <tr r="L6" s="1"/>
      </tp>
      <tp t="s">
        <v>7/30/2021</v>
        <stp/>
        <stp>##V3_BDPV12</stp>
        <stp>91282CCM Govt</stp>
        <stp>ISSUE_DT</stp>
        <stp>[TIPS.xlsx]Sheet1!R2C15</stp>
        <tr r="O2" s="1"/>
      </tp>
      <tp t="s">
        <v>912810SV1</v>
        <stp/>
        <stp>##V3_BDPV12</stp>
        <stp>912810SV Govt</stp>
        <stp>ID_CUSIP</stp>
        <stp>[TIPS.xlsx]Sheet1!R4C19</stp>
        <tr r="S4" s="1"/>
      </tp>
      <tp t="s">
        <v>1/15/2027</v>
        <stp/>
        <stp>##V3_BDPV12</stp>
        <stp>912828V4 Govt</stp>
        <stp>MATURITY</stp>
        <stp>[TIPS.xlsx]Sheet1!R29C5</stp>
        <tr r="E29" s="1"/>
      </tp>
      <tp t="s">
        <v>US912810SV17</v>
        <stp/>
        <stp>##V3_BDPV12</stp>
        <stp>912810SV Govt</stp>
        <stp>ID_ISIN</stp>
        <stp>[TIPS.xlsx]Sheet1!R4C12</stp>
        <tr r="L4" s="1"/>
      </tp>
      <tp t="s">
        <v>1/31/2013</v>
        <stp/>
        <stp>##V3_BDPV12</stp>
        <stp>912828UH Govt</stp>
        <stp>ISSUE_DT</stp>
        <stp>[TIPS.xlsx]Sheet1!R6C15</stp>
        <tr r="O6" s="1"/>
      </tp>
      <tp t="s">
        <v>4/30/2018</v>
        <stp/>
        <stp>##V3_BDPV12</stp>
        <stp>9128284H Govt</stp>
        <stp>ISSUE_DT</stp>
        <stp>[TIPS.xlsx]Sheet1!R7C15</stp>
        <tr r="O7" s="1"/>
      </tp>
      <tp t="s">
        <v>1/29/2021</v>
        <stp/>
        <stp>##V3_BDPV12</stp>
        <stp>91282CBF Govt</stp>
        <stp>ISSUE_DT</stp>
        <stp>[TIPS.xlsx]Sheet1!R5C15</stp>
        <tr r="O5" s="1"/>
      </tp>
      <tp t="s">
        <v>FIXED</v>
        <stp/>
        <stp>##V3_BDPV12</stp>
        <stp>912810SV Govt</stp>
        <stp>CPN_TYP</stp>
        <stp>[TIPS.xlsx]Sheet1!R4C11</stp>
        <tr r="K4" s="1"/>
      </tp>
      <tp t="s">
        <v>1/15/2026</v>
        <stp/>
        <stp>##V3_BDPV12</stp>
        <stp>912828N7 Govt</stp>
        <stp>MATURITY</stp>
        <stp>[TIPS.xlsx]Sheet1!R17C5</stp>
        <tr r="E17" s="1"/>
      </tp>
      <tp t="s">
        <v>7/15/2028</v>
        <stp/>
        <stp>##V3_BDPV12</stp>
        <stp>912828Y3 Govt</stp>
        <stp>MATURITY</stp>
        <stp>[TIPS.xlsx]Sheet1!R30C5</stp>
        <tr r="E30" s="1"/>
      </tp>
      <tp t="s">
        <v>1/15/2030</v>
        <stp/>
        <stp>##V3_BDPV12</stp>
        <stp>912828Z3 Govt</stp>
        <stp>MATURITY</stp>
        <stp>[TIPS.xlsx]Sheet1!R10C5</stp>
        <tr r="E10" s="1"/>
      </tp>
      <tp t="s">
        <v>1/15/2025</v>
        <stp/>
        <stp>##V3_BDPV12</stp>
        <stp>912828H4 Govt</stp>
        <stp>MATURITY</stp>
        <stp>[TIPS.xlsx]Sheet1!R27C5</stp>
        <tr r="E27" s="1"/>
      </tp>
      <tp t="s">
        <v>7/15/2021</v>
        <stp/>
        <stp>##V3_BDPV12</stp>
        <stp>91282CBF Govt</stp>
        <stp>FIRST_CPN_DT</stp>
        <stp>[TIPS.xlsx]Sheet1!R5C9</stp>
        <tr r="I5" s="1"/>
      </tp>
      <tp t="s">
        <v>NORMAL</v>
        <stp/>
        <stp>##V3_BDPV12</stp>
        <stp>912810SV Govt</stp>
        <stp>MTY_TYP</stp>
        <stp>[TIPS.xlsx]Sheet1!R4C6</stp>
        <tr r="F4" s="1"/>
      </tp>
      <tp>
        <v>1.0490900000000001</v>
        <stp/>
        <stp>##V3_BDPV12</stp>
        <stp>91282CBF Govt</stp>
        <stp>IDX_RATIO</stp>
        <stp>[TIPS.xlsx]Sheet1!R5C20</stp>
        <tr r="T5" s="1"/>
      </tp>
      <tp>
        <v>1.0189299999999999</v>
        <stp/>
        <stp>##V3_BDPV12</stp>
        <stp>91282CCM Govt</stp>
        <stp>IDX_RATIO</stp>
        <stp>[TIPS.xlsx]Sheet1!R2C20</stp>
        <tr r="T2" s="1"/>
      </tp>
      <tp>
        <v>1.04135</v>
        <stp/>
        <stp>##V3_BDPV12</stp>
        <stp>91282CCA Govt</stp>
        <stp>IDX_RATIO</stp>
        <stp>[TIPS.xlsx]Sheet1!R3C20</stp>
        <tr r="T3" s="1"/>
      </tp>
      <tp t="s">
        <v>4/15/2020</v>
        <stp/>
        <stp>##V3_BDPV12</stp>
        <stp>912828K3 Govt</stp>
        <stp>MATURITY</stp>
        <stp>[TIPS.xlsx]Sheet1!R66C5</stp>
        <tr r="E66" s="1"/>
      </tp>
      <tp t="s">
        <v>10/15/2021</v>
        <stp/>
        <stp>##V3_BDPV12</stp>
        <stp>91282CCA Govt</stp>
        <stp>FIRST_CPN_DT</stp>
        <stp>[TIPS.xlsx]Sheet1!R3C9</stp>
        <tr r="I3" s="1"/>
      </tp>
      <tp t="s">
        <v>US912828ZZ63</v>
        <stp/>
        <stp>##V3_BDPV12</stp>
        <stp>912828ZZ Govt</stp>
        <stp>ID_ISIN</stp>
        <stp>[TIPS.xlsx]Sheet1!R9C12</stp>
        <tr r="L9" s="1"/>
      </tp>
      <tp>
        <v>1.1831400000000001</v>
        <stp/>
        <stp>##V3_BDPV12</stp>
        <stp>912828UH Govt</stp>
        <stp>IDX_RATIO</stp>
        <stp>[TIPS.xlsx]Sheet1!R6C20</stp>
        <tr r="T6" s="1"/>
      </tp>
      <tp>
        <v>1.06515</v>
        <stp/>
        <stp>##V3_BDPV12</stp>
        <stp>912828ZZ Govt</stp>
        <stp>IDX_RATIO</stp>
        <stp>[TIPS.xlsx]Sheet1!R9C20</stp>
        <tr r="T9" s="1"/>
      </tp>
      <tp>
        <v>1.12294</v>
        <stp/>
        <stp>##V3_BDPV12</stp>
        <stp>912828X3 Govt</stp>
        <stp>IDX_RATIO</stp>
        <stp>[TIPS.xlsx]Sheet1!R8C20</stp>
        <tr r="T8" s="1"/>
      </tp>
      <tp>
        <v>1.09945</v>
        <stp/>
        <stp>##V3_BDPV12</stp>
        <stp>9128284H Govt</stp>
        <stp>IDX_RATIO</stp>
        <stp>[TIPS.xlsx]Sheet1!R7C20</stp>
        <tr r="T7" s="1"/>
      </tp>
      <tp t="s">
        <v>1/15/2022</v>
        <stp/>
        <stp>##V3_BDPV12</stp>
        <stp>91282CCM Govt</stp>
        <stp>FIRST_CPN_DT</stp>
        <stp>[TIPS.xlsx]Sheet1!R2C9</stp>
        <tr r="I2" s="1"/>
      </tp>
      <tp t="s">
        <v>1/15/2024</v>
        <stp/>
        <stp>##V3_BDPV12</stp>
        <stp>912828B2 Govt</stp>
        <stp>MATURITY</stp>
        <stp>[TIPS.xlsx]Sheet1!R25C5</stp>
        <tr r="E25" s="1"/>
      </tp>
      <tp t="s">
        <v>US912828X398</v>
        <stp/>
        <stp>##V3_BDPV12</stp>
        <stp>912828X3 Govt</stp>
        <stp>ID_ISIN</stp>
        <stp>[TIPS.xlsx]Sheet1!R8C12</stp>
        <tr r="L8" s="1"/>
      </tp>
      <tp t="s">
        <v>USD</v>
        <stp/>
        <stp>##V3_BDPV12</stp>
        <stp>91282CCA Govt</stp>
        <stp>CRNCY</stp>
        <stp>[TIPS.xlsx]Sheet1!R3C7</stp>
        <tr r="G3" s="1"/>
      </tp>
      <tp t="s">
        <v>FIXED</v>
        <stp/>
        <stp>##V3_BDPV12</stp>
        <stp>912828UH Govt</stp>
        <stp>CPN_TYP</stp>
        <stp>[TIPS.xlsx]Sheet1!R6C11</stp>
        <tr r="K6" s="1"/>
      </tp>
      <tp t="s">
        <v>NORMAL</v>
        <stp/>
        <stp>##V3_BDPV12</stp>
        <stp>912828ZZ Govt</stp>
        <stp>MTY_TYP</stp>
        <stp>[TIPS.xlsx]Sheet1!R9C6</stp>
        <tr r="F9" s="1"/>
      </tp>
      <tp t="s">
        <v>4/15/2021</v>
        <stp/>
        <stp>##V3_BDPV12</stp>
        <stp>912828Q6 Govt</stp>
        <stp>MATURITY</stp>
        <stp>[TIPS.xlsx]Sheet1!R50C5</stp>
        <tr r="E50" s="1"/>
      </tp>
      <tp t="s">
        <v>7/15/2026</v>
        <stp/>
        <stp>##V3_BDPV12</stp>
        <stp>912828S5 Govt</stp>
        <stp>MATURITY</stp>
        <stp>[TIPS.xlsx]Sheet1!R13C5</stp>
        <tr r="E13" s="1"/>
      </tp>
      <tp t="s">
        <v>USD</v>
        <stp/>
        <stp>##V3_BDPV12</stp>
        <stp>91282CBF Govt</stp>
        <stp>CRNCY</stp>
        <stp>[TIPS.xlsx]Sheet1!R5C7</stp>
        <tr r="G5" s="1"/>
      </tp>
      <tp t="s">
        <v>912828ZZ6</v>
        <stp/>
        <stp>##V3_BDPV12</stp>
        <stp>912828ZZ Govt</stp>
        <stp>ID_CUSIP</stp>
        <stp>[TIPS.xlsx]Sheet1!R9C19</stp>
        <tr r="S9" s="1"/>
      </tp>
      <tp t="s">
        <v>4/30/2021</v>
        <stp/>
        <stp>##V3_BDPV12</stp>
        <stp>91282CCA Govt</stp>
        <stp>ISSUE_DT</stp>
        <stp>[TIPS.xlsx]Sheet1!R3C15</stp>
        <tr r="O3" s="1"/>
      </tp>
      <tp>
        <v>1.04894</v>
        <stp/>
        <stp>##V3_BDPV12</stp>
        <stp>912810SV Govt</stp>
        <stp>IDX_RATIO</stp>
        <stp>[TIPS.xlsx]Sheet1!R4C20</stp>
        <tr r="T4" s="1"/>
      </tp>
      <tp t="s">
        <v>NORMAL</v>
        <stp/>
        <stp>##V3_BDPV12</stp>
        <stp>912828X3 Govt</stp>
        <stp>MTY_TYP</stp>
        <stp>[TIPS.xlsx]Sheet1!R8C6</stp>
        <tr r="F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76E5-AEFF-4B8D-9354-EE35D168CCAD}">
  <dimension ref="A1:U85"/>
  <sheetViews>
    <sheetView tabSelected="1" workbookViewId="0">
      <selection activeCell="B4" sqref="B4"/>
    </sheetView>
  </sheetViews>
  <sheetFormatPr defaultRowHeight="15" x14ac:dyDescent="0.25"/>
  <cols>
    <col min="1" max="1" width="10" bestFit="1" customWidth="1"/>
    <col min="7" max="7" width="9.7109375" bestFit="1" customWidth="1"/>
    <col min="20" max="20" width="20.85546875" bestFit="1" customWidth="1"/>
  </cols>
  <sheetData>
    <row r="1" spans="1:21" x14ac:dyDescent="0.25">
      <c r="A1" s="2" t="s">
        <v>8</v>
      </c>
      <c r="B1" s="2" t="s">
        <v>0</v>
      </c>
      <c r="C1" s="2" t="s">
        <v>9</v>
      </c>
      <c r="D1" s="2" t="s">
        <v>15</v>
      </c>
      <c r="E1" s="2" t="s">
        <v>1</v>
      </c>
      <c r="F1" s="2" t="s">
        <v>16</v>
      </c>
      <c r="G1" s="2" t="s">
        <v>2</v>
      </c>
      <c r="H1" s="2" t="s">
        <v>17</v>
      </c>
      <c r="I1" s="2" t="s">
        <v>18</v>
      </c>
      <c r="J1" s="2" t="s">
        <v>10</v>
      </c>
      <c r="K1" s="2" t="s">
        <v>3</v>
      </c>
      <c r="L1" s="2" t="s">
        <v>4</v>
      </c>
      <c r="M1" s="2" t="s">
        <v>13</v>
      </c>
      <c r="N1" s="2" t="s">
        <v>11</v>
      </c>
      <c r="O1" s="2" t="s">
        <v>5</v>
      </c>
      <c r="P1" s="2" t="s">
        <v>12</v>
      </c>
      <c r="Q1" s="2" t="s">
        <v>6</v>
      </c>
      <c r="R1" s="2" t="s">
        <v>19</v>
      </c>
      <c r="S1" s="2" t="s">
        <v>7</v>
      </c>
      <c r="T1" s="2" t="s">
        <v>20</v>
      </c>
    </row>
    <row r="2" spans="1:21" x14ac:dyDescent="0.25">
      <c r="A2" t="s">
        <v>14</v>
      </c>
      <c r="B2" t="str">
        <f>_xll.BDP("91282CCM Govt","TICKER")</f>
        <v>TII</v>
      </c>
      <c r="C2">
        <f>_xll.BDP("91282CCM Govt","CPN")</f>
        <v>0.125</v>
      </c>
      <c r="D2">
        <f>_xll.BDP("91282CCM Govt","YLD_YTM_BID")</f>
        <v>-0.91976570390512302</v>
      </c>
      <c r="E2" t="str">
        <f>_xll.BDP("91282CCM Govt","MATURITY")</f>
        <v>7/15/2031</v>
      </c>
      <c r="F2" t="str">
        <f>_xll.BDP("91282CCM Govt","MTY_TYP")</f>
        <v>NORMAL</v>
      </c>
      <c r="G2" t="str">
        <f>_xll.BDP("91282CCM Govt","CRNCY")</f>
        <v>USD</v>
      </c>
      <c r="H2" t="str">
        <f>_xll.BDP("91282CCM Govt","COUNTRY_FULL_NAME")</f>
        <v>UNITED STATES</v>
      </c>
      <c r="I2" t="str">
        <f>_xll.BDP("91282CCM Govt","FIRST_CPN_DT")</f>
        <v>1/15/2022</v>
      </c>
      <c r="J2" t="str">
        <f>_xll.BDP("91282CCM Govt","COUPON_FREQUENCY_DESCRIPTION")</f>
        <v>S/A</v>
      </c>
      <c r="K2" t="str">
        <f>_xll.BDP("91282CCM Govt","CPN_TYP")</f>
        <v>FIXED</v>
      </c>
      <c r="L2" t="str">
        <f>_xll.BDP("91282CCM Govt","ID_ISIN")</f>
        <v>US91282CCM10</v>
      </c>
      <c r="M2">
        <v>30000000000</v>
      </c>
      <c r="N2">
        <v>30000000000</v>
      </c>
      <c r="O2" t="str">
        <f>_xll.BDP("91282CCM Govt","ISSUE_DT")</f>
        <v>7/30/2021</v>
      </c>
      <c r="P2" t="str">
        <f>_xll.BDP("91282CCM Govt","SECURITY_NAME")</f>
        <v>TII 0 1/8 07/15/31</v>
      </c>
      <c r="Q2" t="str">
        <f>_xll.BDP("91282CCM Govt","DAY_CNT_DES")</f>
        <v>ACT/ACT</v>
      </c>
      <c r="R2">
        <v>100</v>
      </c>
      <c r="S2" t="str">
        <f>_xll.BDP("91282CCM Govt","ID_CUSIP")</f>
        <v>91282CCM1</v>
      </c>
      <c r="T2">
        <f>_xll.BDP("91282CCM Govt","IDX_RATIO")</f>
        <v>1.0189299999999999</v>
      </c>
    </row>
    <row r="3" spans="1:21" x14ac:dyDescent="0.25">
      <c r="A3" t="s">
        <v>14</v>
      </c>
      <c r="B3" t="str">
        <f>_xll.BDP("91282CCA Govt","TICKER")</f>
        <v>TII</v>
      </c>
      <c r="C3">
        <f>_xll.BDP("91282CCA Govt","CPN")</f>
        <v>0.125</v>
      </c>
      <c r="D3">
        <f>_xll.BDP("91282CCA Govt","YLD_YTM_BID")</f>
        <v>-1.7054702119406877</v>
      </c>
      <c r="E3" t="str">
        <f>_xll.BDP("91282CCA Govt","MATURITY")</f>
        <v>4/15/2026</v>
      </c>
      <c r="F3" t="str">
        <f>_xll.BDP("91282CCA Govt","MTY_TYP")</f>
        <v>NORMAL</v>
      </c>
      <c r="G3" t="str">
        <f>_xll.BDP("91282CCA Govt","CRNCY")</f>
        <v>USD</v>
      </c>
      <c r="H3" t="str">
        <f>_xll.BDP("91282CCA Govt","COUNTRY_FULL_NAME")</f>
        <v>UNITED STATES</v>
      </c>
      <c r="I3" t="str">
        <f>_xll.BDP("91282CCA Govt","FIRST_CPN_DT")</f>
        <v>10/15/2021</v>
      </c>
      <c r="J3" t="str">
        <f>_xll.BDP("91282CCA Govt","COUPON_FREQUENCY_DESCRIPTION")</f>
        <v>S/A</v>
      </c>
      <c r="K3" t="str">
        <f>_xll.BDP("91282CCA Govt","CPN_TYP")</f>
        <v>FIXED</v>
      </c>
      <c r="L3" t="str">
        <f>_xll.BDP("91282CCA Govt","ID_ISIN")</f>
        <v>US91282CCA71</v>
      </c>
      <c r="M3">
        <v>39861000000</v>
      </c>
      <c r="N3">
        <v>39861000000</v>
      </c>
      <c r="O3" t="str">
        <f>_xll.BDP("91282CCA Govt","ISSUE_DT")</f>
        <v>4/30/2021</v>
      </c>
      <c r="P3" t="str">
        <f>_xll.BDP("91282CCA Govt","SECURITY_NAME")</f>
        <v>TII 0 1/8 04/15/26</v>
      </c>
      <c r="Q3" t="str">
        <f>_xll.BDP("91282CCA Govt","DAY_CNT_DES")</f>
        <v>ACT/ACT</v>
      </c>
      <c r="R3">
        <v>100</v>
      </c>
      <c r="S3" t="str">
        <f>_xll.BDP("91282CCA Govt","ID_CUSIP")</f>
        <v>91282CCA7</v>
      </c>
      <c r="T3">
        <f>_xll.BDP("91282CCA Govt","IDX_RATIO")</f>
        <v>1.04135</v>
      </c>
      <c r="U3" s="1"/>
    </row>
    <row r="4" spans="1:21" x14ac:dyDescent="0.25">
      <c r="A4" t="s">
        <v>14</v>
      </c>
      <c r="B4" t="str">
        <f>_xll.BDP("912810SV Govt","TICKER")</f>
        <v>TII</v>
      </c>
      <c r="C4">
        <f>_xll.BDP("912810SV Govt","CPN")</f>
        <v>0.125</v>
      </c>
      <c r="D4">
        <f>_xll.BDP("912810SV Govt","YLD_YTM_BID")</f>
        <v>-0.23025526613330186</v>
      </c>
      <c r="E4" t="str">
        <f>_xll.BDP("912810SV Govt","MATURITY")</f>
        <v>2/15/2051</v>
      </c>
      <c r="F4" t="str">
        <f>_xll.BDP("912810SV Govt","MTY_TYP")</f>
        <v>NORMAL</v>
      </c>
      <c r="G4" t="str">
        <f>_xll.BDP("912810SV Govt","CRNCY")</f>
        <v>USD</v>
      </c>
      <c r="H4" t="str">
        <f>_xll.BDP("912810SV Govt","COUNTRY_FULL_NAME")</f>
        <v>UNITED STATES</v>
      </c>
      <c r="I4" t="str">
        <f>_xll.BDP("912810SV Govt","FIRST_CPN_DT")</f>
        <v>8/15/2021</v>
      </c>
      <c r="J4" t="str">
        <f>_xll.BDP("912810SV Govt","COUPON_FREQUENCY_DESCRIPTION")</f>
        <v>S/A</v>
      </c>
      <c r="K4" t="str">
        <f>_xll.BDP("912810SV Govt","CPN_TYP")</f>
        <v>FIXED</v>
      </c>
      <c r="L4" t="str">
        <f>_xll.BDP("912810SV Govt","ID_ISIN")</f>
        <v>US912810SV17</v>
      </c>
      <c r="M4">
        <v>17999000000</v>
      </c>
      <c r="N4">
        <v>17999000000</v>
      </c>
      <c r="O4" t="str">
        <f>_xll.BDP("912810SV Govt","ISSUE_DT")</f>
        <v>2/26/2021</v>
      </c>
      <c r="P4" t="str">
        <f>_xll.BDP("912810SV Govt","SECURITY_NAME")</f>
        <v>TII 0 1/8 02/15/51</v>
      </c>
      <c r="Q4" t="str">
        <f>_xll.BDP("912810SV Govt","DAY_CNT_DES")</f>
        <v>ACT/ACT</v>
      </c>
      <c r="R4">
        <v>100</v>
      </c>
      <c r="S4" t="str">
        <f>_xll.BDP("912810SV Govt","ID_CUSIP")</f>
        <v>912810SV1</v>
      </c>
      <c r="T4">
        <f>_xll.BDP("912810SV Govt","IDX_RATIO")</f>
        <v>1.04894</v>
      </c>
    </row>
    <row r="5" spans="1:21" x14ac:dyDescent="0.25">
      <c r="A5" t="s">
        <v>14</v>
      </c>
      <c r="B5" t="str">
        <f>_xll.BDP("91282CBF Govt","TICKER")</f>
        <v>TII</v>
      </c>
      <c r="C5">
        <f>_xll.BDP("91282CBF Govt","CPN")</f>
        <v>0.125</v>
      </c>
      <c r="D5">
        <f>_xll.BDP("91282CBF Govt","YLD_YTM_BID")</f>
        <v>-0.94129942480847839</v>
      </c>
      <c r="E5" t="str">
        <f>_xll.BDP("91282CBF Govt","MATURITY")</f>
        <v>1/15/2031</v>
      </c>
      <c r="F5" t="str">
        <f>_xll.BDP("91282CBF Govt","MTY_TYP")</f>
        <v>NORMAL</v>
      </c>
      <c r="G5" t="str">
        <f>_xll.BDP("91282CBF Govt","CRNCY")</f>
        <v>USD</v>
      </c>
      <c r="H5" t="str">
        <f>_xll.BDP("91282CBF Govt","COUNTRY_FULL_NAME")</f>
        <v>UNITED STATES</v>
      </c>
      <c r="I5" t="str">
        <f>_xll.BDP("91282CBF Govt","FIRST_CPN_DT")</f>
        <v>7/15/2021</v>
      </c>
      <c r="J5" t="str">
        <f>_xll.BDP("91282CBF Govt","COUPON_FREQUENCY_DESCRIPTION")</f>
        <v>S/A</v>
      </c>
      <c r="K5" t="str">
        <f>_xll.BDP("91282CBF Govt","CPN_TYP")</f>
        <v>FIXED</v>
      </c>
      <c r="L5" t="str">
        <f>_xll.BDP("91282CBF Govt","ID_ISIN")</f>
        <v>US91282CBF77</v>
      </c>
      <c r="M5">
        <v>43333000000</v>
      </c>
      <c r="N5">
        <v>43333000000</v>
      </c>
      <c r="O5" t="str">
        <f>_xll.BDP("91282CBF Govt","ISSUE_DT")</f>
        <v>1/29/2021</v>
      </c>
      <c r="P5" t="str">
        <f>_xll.BDP("91282CBF Govt","SECURITY_NAME")</f>
        <v>TII 0 1/8 01/15/31</v>
      </c>
      <c r="Q5" t="str">
        <f>_xll.BDP("91282CBF Govt","DAY_CNT_DES")</f>
        <v>ACT/ACT</v>
      </c>
      <c r="R5">
        <v>100</v>
      </c>
      <c r="S5" t="str">
        <f>_xll.BDP("91282CBF Govt","ID_CUSIP")</f>
        <v>91282CBF7</v>
      </c>
      <c r="T5">
        <f>_xll.BDP("91282CBF Govt","IDX_RATIO")</f>
        <v>1.0490900000000001</v>
      </c>
    </row>
    <row r="6" spans="1:21" x14ac:dyDescent="0.25">
      <c r="A6" t="s">
        <v>14</v>
      </c>
      <c r="B6" t="str">
        <f>_xll.BDP("912828UH Govt","TICKER")</f>
        <v>TII</v>
      </c>
      <c r="C6">
        <f>_xll.BDP("912828UH Govt","CPN")</f>
        <v>0.125</v>
      </c>
      <c r="D6">
        <f>_xll.BDP("912828UH Govt","YLD_YTM_BID")</f>
        <v>-2.6467214315105636</v>
      </c>
      <c r="E6" t="str">
        <f>_xll.BDP("912828UH Govt","MATURITY")</f>
        <v>1/15/2023</v>
      </c>
      <c r="F6" t="str">
        <f>_xll.BDP("912828UH Govt","MTY_TYP")</f>
        <v>NORMAL</v>
      </c>
      <c r="G6" t="str">
        <f>_xll.BDP("912828UH Govt","CRNCY")</f>
        <v>USD</v>
      </c>
      <c r="H6" t="str">
        <f>_xll.BDP("912828UH Govt","COUNTRY_FULL_NAME")</f>
        <v>UNITED STATES</v>
      </c>
      <c r="I6" t="str">
        <f>_xll.BDP("912828UH Govt","FIRST_CPN_DT")</f>
        <v>7/15/2013</v>
      </c>
      <c r="J6" t="str">
        <f>_xll.BDP("912828UH Govt","COUPON_FREQUENCY_DESCRIPTION")</f>
        <v>S/A</v>
      </c>
      <c r="K6" t="str">
        <f>_xll.BDP("912828UH Govt","CPN_TYP")</f>
        <v>FIXED</v>
      </c>
      <c r="L6" t="str">
        <f>_xll.BDP("912828UH Govt","ID_ISIN")</f>
        <v>US912828UH11</v>
      </c>
      <c r="M6">
        <v>40998000000</v>
      </c>
      <c r="N6">
        <v>40993000000</v>
      </c>
      <c r="O6" t="str">
        <f>_xll.BDP("912828UH Govt","ISSUE_DT")</f>
        <v>1/31/2013</v>
      </c>
      <c r="P6" t="str">
        <f>_xll.BDP("912828UH Govt","SECURITY_NAME")</f>
        <v>TII 0 1/8 01/15/23</v>
      </c>
      <c r="Q6" t="str">
        <f>_xll.BDP("912828UH Govt","DAY_CNT_DES")</f>
        <v>ACT/ACT</v>
      </c>
      <c r="R6">
        <v>100</v>
      </c>
      <c r="S6" t="str">
        <f>_xll.BDP("912828UH Govt","ID_CUSIP")</f>
        <v>912828UH1</v>
      </c>
      <c r="T6">
        <f>_xll.BDP("912828UH Govt","IDX_RATIO")</f>
        <v>1.1831400000000001</v>
      </c>
    </row>
    <row r="7" spans="1:21" x14ac:dyDescent="0.25">
      <c r="A7" t="s">
        <v>14</v>
      </c>
      <c r="B7" t="str">
        <f>_xll.BDP("9128284H Govt","TICKER")</f>
        <v>TII</v>
      </c>
      <c r="C7">
        <f>_xll.BDP("9128284H Govt","CPN")</f>
        <v>0.625</v>
      </c>
      <c r="D7">
        <f>_xll.BDP("9128284H Govt","YLD_YTM_BID")</f>
        <v>-2.5163926417400773</v>
      </c>
      <c r="E7" t="str">
        <f>_xll.BDP("9128284H Govt","MATURITY")</f>
        <v>4/15/2023</v>
      </c>
      <c r="F7" t="str">
        <f>_xll.BDP("9128284H Govt","MTY_TYP")</f>
        <v>NORMAL</v>
      </c>
      <c r="G7" t="str">
        <f>_xll.BDP("9128284H Govt","CRNCY")</f>
        <v>USD</v>
      </c>
      <c r="H7" t="str">
        <f>_xll.BDP("9128284H Govt","COUNTRY_FULL_NAME")</f>
        <v>UNITED STATES</v>
      </c>
      <c r="I7" t="str">
        <f>_xll.BDP("9128284H Govt","FIRST_CPN_DT")</f>
        <v>10/15/2018</v>
      </c>
      <c r="J7" t="str">
        <f>_xll.BDP("9128284H Govt","COUPON_FREQUENCY_DESCRIPTION")</f>
        <v>S/A</v>
      </c>
      <c r="K7" t="str">
        <f>_xll.BDP("9128284H Govt","CPN_TYP")</f>
        <v>FIXED</v>
      </c>
      <c r="L7" t="str">
        <f>_xll.BDP("9128284H Govt","ID_ISIN")</f>
        <v>US9128284H06</v>
      </c>
      <c r="M7">
        <v>47028000000</v>
      </c>
      <c r="N7">
        <v>47028000000</v>
      </c>
      <c r="O7" t="str">
        <f>_xll.BDP("9128284H Govt","ISSUE_DT")</f>
        <v>4/30/2018</v>
      </c>
      <c r="P7" t="str">
        <f>_xll.BDP("9128284H Govt","SECURITY_NAME")</f>
        <v>TII 0 5/8 04/15/23</v>
      </c>
      <c r="Q7" t="str">
        <f>_xll.BDP("9128284H Govt","DAY_CNT_DES")</f>
        <v>ACT/ACT</v>
      </c>
      <c r="R7">
        <v>100</v>
      </c>
      <c r="S7" t="str">
        <f>_xll.BDP("9128284H Govt","ID_CUSIP")</f>
        <v>9128284H0</v>
      </c>
      <c r="T7">
        <f>_xll.BDP("9128284H Govt","IDX_RATIO")</f>
        <v>1.09945</v>
      </c>
    </row>
    <row r="8" spans="1:21" x14ac:dyDescent="0.25">
      <c r="A8" t="s">
        <v>14</v>
      </c>
      <c r="B8" t="str">
        <f>_xll.BDP("912828X3 Govt","TICKER")</f>
        <v>TII</v>
      </c>
      <c r="C8">
        <f>_xll.BDP("912828X3 Govt","CPN")</f>
        <v>0.125</v>
      </c>
      <c r="D8">
        <f>_xll.BDP("912828X3 Govt","YLD_YTM_BID")</f>
        <v>-2.9117443132347418</v>
      </c>
      <c r="E8" t="str">
        <f>_xll.BDP("912828X3 Govt","MATURITY")</f>
        <v>4/15/2022</v>
      </c>
      <c r="F8" t="str">
        <f>_xll.BDP("912828X3 Govt","MTY_TYP")</f>
        <v>NORMAL</v>
      </c>
      <c r="G8" t="str">
        <f>_xll.BDP("912828X3 Govt","CRNCY")</f>
        <v>USD</v>
      </c>
      <c r="H8" t="str">
        <f>_xll.BDP("912828X3 Govt","COUNTRY_FULL_NAME")</f>
        <v>UNITED STATES</v>
      </c>
      <c r="I8" t="str">
        <f>_xll.BDP("912828X3 Govt","FIRST_CPN_DT")</f>
        <v>10/15/2017</v>
      </c>
      <c r="J8" t="str">
        <f>_xll.BDP("912828X3 Govt","COUPON_FREQUENCY_DESCRIPTION")</f>
        <v>S/A</v>
      </c>
      <c r="K8" t="str">
        <f>_xll.BDP("912828X3 Govt","CPN_TYP")</f>
        <v>FIXED</v>
      </c>
      <c r="L8" t="str">
        <f>_xll.BDP("912828X3 Govt","ID_ISIN")</f>
        <v>US912828X398</v>
      </c>
      <c r="M8">
        <v>44430000000</v>
      </c>
      <c r="N8">
        <v>44430000000</v>
      </c>
      <c r="O8" t="str">
        <f>_xll.BDP("912828X3 Govt","ISSUE_DT")</f>
        <v>4/28/2017</v>
      </c>
      <c r="P8" t="str">
        <f>_xll.BDP("912828X3 Govt","SECURITY_NAME")</f>
        <v>TII 0 1/8 04/15/22</v>
      </c>
      <c r="Q8" t="str">
        <f>_xll.BDP("912828X3 Govt","DAY_CNT_DES")</f>
        <v>ACT/ACT</v>
      </c>
      <c r="R8">
        <v>100</v>
      </c>
      <c r="S8" t="str">
        <f>_xll.BDP("912828X3 Govt","ID_CUSIP")</f>
        <v>912828X39</v>
      </c>
      <c r="T8">
        <f>_xll.BDP("912828X3 Govt","IDX_RATIO")</f>
        <v>1.12294</v>
      </c>
    </row>
    <row r="9" spans="1:21" x14ac:dyDescent="0.25">
      <c r="A9" t="s">
        <v>14</v>
      </c>
      <c r="B9" t="str">
        <f>_xll.BDP("912828ZZ Govt","TICKER")</f>
        <v>TII</v>
      </c>
      <c r="C9">
        <f>_xll.BDP("912828ZZ Govt","CPN")</f>
        <v>0.125</v>
      </c>
      <c r="D9">
        <f>_xll.BDP("912828ZZ Govt","YLD_YTM_BID")</f>
        <v>-1.049840415356196</v>
      </c>
      <c r="E9" t="str">
        <f>_xll.BDP("912828ZZ Govt","MATURITY")</f>
        <v>7/15/2030</v>
      </c>
      <c r="F9" t="str">
        <f>_xll.BDP("912828ZZ Govt","MTY_TYP")</f>
        <v>NORMAL</v>
      </c>
      <c r="G9" t="str">
        <f>_xll.BDP("912828ZZ Govt","CRNCY")</f>
        <v>USD</v>
      </c>
      <c r="H9" t="str">
        <f>_xll.BDP("912828ZZ Govt","COUNTRY_FULL_NAME")</f>
        <v>UNITED STATES</v>
      </c>
      <c r="I9" t="str">
        <f>_xll.BDP("912828ZZ Govt","FIRST_CPN_DT")</f>
        <v>1/15/2021</v>
      </c>
      <c r="J9" t="str">
        <f>_xll.BDP("912828ZZ Govt","COUPON_FREQUENCY_DESCRIPTION")</f>
        <v>S/A</v>
      </c>
      <c r="K9" t="str">
        <f>_xll.BDP("912828ZZ Govt","CPN_TYP")</f>
        <v>FIXED</v>
      </c>
      <c r="L9" t="str">
        <f>_xll.BDP("912828ZZ Govt","ID_ISIN")</f>
        <v>US912828ZZ63</v>
      </c>
      <c r="M9">
        <v>42897000000</v>
      </c>
      <c r="N9">
        <v>42897000000</v>
      </c>
      <c r="O9" t="str">
        <f>_xll.BDP("912828ZZ Govt","ISSUE_DT")</f>
        <v>7/31/2020</v>
      </c>
      <c r="P9" t="str">
        <f>_xll.BDP("912828ZZ Govt","SECURITY_NAME")</f>
        <v>TII 0 1/8 07/15/30</v>
      </c>
      <c r="Q9" t="str">
        <f>_xll.BDP("912828ZZ Govt","DAY_CNT_DES")</f>
        <v>ACT/ACT</v>
      </c>
      <c r="R9">
        <v>100</v>
      </c>
      <c r="S9" t="str">
        <f>_xll.BDP("912828ZZ Govt","ID_CUSIP")</f>
        <v>912828ZZ6</v>
      </c>
      <c r="T9">
        <f>_xll.BDP("912828ZZ Govt","IDX_RATIO")</f>
        <v>1.06515</v>
      </c>
    </row>
    <row r="10" spans="1:21" x14ac:dyDescent="0.25">
      <c r="A10" t="s">
        <v>14</v>
      </c>
      <c r="B10" t="str">
        <f>_xll.BDP("912828Z3 Govt","TICKER")</f>
        <v>TII</v>
      </c>
      <c r="C10">
        <f>_xll.BDP("912828Z3 Govt","CPN")</f>
        <v>0.125</v>
      </c>
      <c r="D10">
        <f>_xll.BDP("912828Z3 Govt","YLD_YTM_BID")</f>
        <v>-1.0716252866525933</v>
      </c>
      <c r="E10" t="str">
        <f>_xll.BDP("912828Z3 Govt","MATURITY")</f>
        <v>1/15/2030</v>
      </c>
      <c r="F10" t="str">
        <f>_xll.BDP("912828Z3 Govt","MTY_TYP")</f>
        <v>NORMAL</v>
      </c>
      <c r="G10" t="str">
        <f>_xll.BDP("912828Z3 Govt","CRNCY")</f>
        <v>USD</v>
      </c>
      <c r="H10" t="str">
        <f>_xll.BDP("912828Z3 Govt","COUNTRY_FULL_NAME")</f>
        <v>UNITED STATES</v>
      </c>
      <c r="I10" t="str">
        <f>_xll.BDP("912828Z3 Govt","FIRST_CPN_DT")</f>
        <v>7/15/2020</v>
      </c>
      <c r="J10" t="str">
        <f>_xll.BDP("912828Z3 Govt","COUPON_FREQUENCY_DESCRIPTION")</f>
        <v>S/A</v>
      </c>
      <c r="K10" t="str">
        <f>_xll.BDP("912828Z3 Govt","CPN_TYP")</f>
        <v>FIXED</v>
      </c>
      <c r="L10" t="str">
        <f>_xll.BDP("912828Z3 Govt","ID_ISIN")</f>
        <v>US912828Z377</v>
      </c>
      <c r="M10">
        <v>41059000000</v>
      </c>
      <c r="N10">
        <v>41059000000</v>
      </c>
      <c r="O10" t="str">
        <f>_xll.BDP("912828Z3 Govt","ISSUE_DT")</f>
        <v>1/31/2020</v>
      </c>
      <c r="P10" t="str">
        <f>_xll.BDP("912828Z3 Govt","SECURITY_NAME")</f>
        <v>TII 0 1/8 01/15/30</v>
      </c>
      <c r="Q10" t="str">
        <f>_xll.BDP("912828Z3 Govt","DAY_CNT_DES")</f>
        <v>ACT/ACT</v>
      </c>
      <c r="R10">
        <v>100</v>
      </c>
      <c r="S10" t="str">
        <f>_xll.BDP("912828Z3 Govt","ID_CUSIP")</f>
        <v>912828Z37</v>
      </c>
      <c r="T10">
        <f>_xll.BDP("912828Z3 Govt","IDX_RATIO")</f>
        <v>1.06145</v>
      </c>
    </row>
    <row r="11" spans="1:21" x14ac:dyDescent="0.25">
      <c r="A11" t="s">
        <v>14</v>
      </c>
      <c r="B11" t="str">
        <f>_xll.BDP("912810SM Govt","TICKER")</f>
        <v>TII</v>
      </c>
      <c r="C11">
        <f>_xll.BDP("912810SM Govt","CPN")</f>
        <v>0.25</v>
      </c>
      <c r="D11">
        <f>_xll.BDP("912810SM Govt","YLD_YTM_BID")</f>
        <v>-0.22214570258908506</v>
      </c>
      <c r="E11" t="str">
        <f>_xll.BDP("912810SM Govt","MATURITY")</f>
        <v>2/15/2050</v>
      </c>
      <c r="F11" t="str">
        <f>_xll.BDP("912810SM Govt","MTY_TYP")</f>
        <v>NORMAL</v>
      </c>
      <c r="G11" t="str">
        <f>_xll.BDP("912810SM Govt","CRNCY")</f>
        <v>USD</v>
      </c>
      <c r="H11" t="str">
        <f>_xll.BDP("912810SM Govt","COUNTRY_FULL_NAME")</f>
        <v>UNITED STATES</v>
      </c>
      <c r="I11" t="str">
        <f>_xll.BDP("912810SM Govt","FIRST_CPN_DT")</f>
        <v>8/15/2020</v>
      </c>
      <c r="J11" t="str">
        <f>_xll.BDP("912810SM Govt","COUPON_FREQUENCY_DESCRIPTION")</f>
        <v>S/A</v>
      </c>
      <c r="K11" t="str">
        <f>_xll.BDP("912810SM Govt","CPN_TYP")</f>
        <v>FIXED</v>
      </c>
      <c r="L11" t="str">
        <f>_xll.BDP("912810SM Govt","ID_ISIN")</f>
        <v>US912810SM18</v>
      </c>
      <c r="M11">
        <v>15608000000</v>
      </c>
      <c r="N11">
        <v>15608000000</v>
      </c>
      <c r="O11" t="str">
        <f>_xll.BDP("912810SM Govt","ISSUE_DT")</f>
        <v>2/28/2020</v>
      </c>
      <c r="P11" t="str">
        <f>_xll.BDP("912810SM Govt","SECURITY_NAME")</f>
        <v>TII 0 1/4 02/15/50</v>
      </c>
      <c r="Q11" t="str">
        <f>_xll.BDP("912810SM Govt","DAY_CNT_DES")</f>
        <v>ACT/ACT</v>
      </c>
      <c r="R11">
        <v>100</v>
      </c>
      <c r="S11" t="str">
        <f>_xll.BDP("912810SM Govt","ID_CUSIP")</f>
        <v>912810SM1</v>
      </c>
      <c r="T11">
        <f>_xll.BDP("912810SM Govt","IDX_RATIO")</f>
        <v>1.06223</v>
      </c>
    </row>
    <row r="12" spans="1:21" x14ac:dyDescent="0.25">
      <c r="A12" t="s">
        <v>14</v>
      </c>
      <c r="B12" t="str">
        <f>_xll.BDP("912828SA Govt","TICKER")</f>
        <v>TII</v>
      </c>
      <c r="C12">
        <f>_xll.BDP("912828SA Govt","CPN")</f>
        <v>0.125</v>
      </c>
      <c r="D12">
        <f>_xll.BDP("912828SA Govt","YLD_YTM_BID")</f>
        <v>-3.0357005787329054</v>
      </c>
      <c r="E12" t="str">
        <f>_xll.BDP("912828SA Govt","MATURITY")</f>
        <v>1/15/2022</v>
      </c>
      <c r="F12" t="str">
        <f>_xll.BDP("912828SA Govt","MTY_TYP")</f>
        <v>NORMAL</v>
      </c>
      <c r="G12" t="str">
        <f>_xll.BDP("912828SA Govt","CRNCY")</f>
        <v>USD</v>
      </c>
      <c r="H12" t="str">
        <f>_xll.BDP("912828SA Govt","COUNTRY_FULL_NAME")</f>
        <v>UNITED STATES</v>
      </c>
      <c r="I12" t="str">
        <f>_xll.BDP("912828SA Govt","FIRST_CPN_DT")</f>
        <v>7/15/2012</v>
      </c>
      <c r="J12" t="str">
        <f>_xll.BDP("912828SA Govt","COUPON_FREQUENCY_DESCRIPTION")</f>
        <v>S/A</v>
      </c>
      <c r="K12" t="str">
        <f>_xll.BDP("912828SA Govt","CPN_TYP")</f>
        <v>FIXED</v>
      </c>
      <c r="L12" t="str">
        <f>_xll.BDP("912828SA Govt","ID_ISIN")</f>
        <v>US912828SA95</v>
      </c>
      <c r="M12">
        <v>41282000000</v>
      </c>
      <c r="N12">
        <v>41274000000</v>
      </c>
      <c r="O12" t="str">
        <f>_xll.BDP("912828SA Govt","ISSUE_DT")</f>
        <v>1/31/2012</v>
      </c>
      <c r="P12" t="str">
        <f>_xll.BDP("912828SA Govt","SECURITY_NAME")</f>
        <v>TII 0 1/8 01/15/22</v>
      </c>
      <c r="Q12" t="str">
        <f>_xll.BDP("912828SA Govt","DAY_CNT_DES")</f>
        <v>ACT/ACT</v>
      </c>
      <c r="R12">
        <v>100</v>
      </c>
      <c r="S12" t="str">
        <f>_xll.BDP("912828SA Govt","ID_CUSIP")</f>
        <v>912828SA9</v>
      </c>
      <c r="T12">
        <f>_xll.BDP("912828SA Govt","IDX_RATIO")</f>
        <v>1.2065900000000001</v>
      </c>
    </row>
    <row r="13" spans="1:21" x14ac:dyDescent="0.25">
      <c r="A13" t="s">
        <v>14</v>
      </c>
      <c r="B13" t="str">
        <f>_xll.BDP("912828S5 Govt","TICKER")</f>
        <v>TII</v>
      </c>
      <c r="C13">
        <f>_xll.BDP("912828S5 Govt","CPN")</f>
        <v>0.125</v>
      </c>
      <c r="D13">
        <f>_xll.BDP("912828S5 Govt","YLD_YTM_BID")</f>
        <v>-1.7610078714858901</v>
      </c>
      <c r="E13" t="str">
        <f>_xll.BDP("912828S5 Govt","MATURITY")</f>
        <v>7/15/2026</v>
      </c>
      <c r="F13" t="str">
        <f>_xll.BDP("912828S5 Govt","MTY_TYP")</f>
        <v>NORMAL</v>
      </c>
      <c r="G13" t="str">
        <f>_xll.BDP("912828S5 Govt","CRNCY")</f>
        <v>USD</v>
      </c>
      <c r="H13" t="str">
        <f>_xll.BDP("912828S5 Govt","COUNTRY_FULL_NAME")</f>
        <v>UNITED STATES</v>
      </c>
      <c r="I13" t="str">
        <f>_xll.BDP("912828S5 Govt","FIRST_CPN_DT")</f>
        <v>1/15/2017</v>
      </c>
      <c r="J13" t="str">
        <f>_xll.BDP("912828S5 Govt","COUPON_FREQUENCY_DESCRIPTION")</f>
        <v>S/A</v>
      </c>
      <c r="K13" t="str">
        <f>_xll.BDP("912828S5 Govt","CPN_TYP")</f>
        <v>FIXED</v>
      </c>
      <c r="L13" t="str">
        <f>_xll.BDP("912828S5 Govt","ID_ISIN")</f>
        <v>US912828S505</v>
      </c>
      <c r="M13">
        <v>36841000000</v>
      </c>
      <c r="N13">
        <v>36841000000</v>
      </c>
      <c r="O13" t="str">
        <f>_xll.BDP("912828S5 Govt","ISSUE_DT")</f>
        <v>7/29/2016</v>
      </c>
      <c r="P13" t="str">
        <f>_xll.BDP("912828S5 Govt","SECURITY_NAME")</f>
        <v>TII 0 1/8 07/15/26</v>
      </c>
      <c r="Q13" t="str">
        <f>_xll.BDP("912828S5 Govt","DAY_CNT_DES")</f>
        <v>ACT/ACT</v>
      </c>
      <c r="R13">
        <v>100</v>
      </c>
      <c r="S13" t="str">
        <f>_xll.BDP("912828S5 Govt","ID_CUSIP")</f>
        <v>912828S50</v>
      </c>
      <c r="T13">
        <f>_xll.BDP("912828S5 Govt","IDX_RATIO")</f>
        <v>1.13931</v>
      </c>
    </row>
    <row r="14" spans="1:21" x14ac:dyDescent="0.25">
      <c r="A14" t="s">
        <v>14</v>
      </c>
      <c r="B14" t="str">
        <f>_xll.BDP("91282CAQ Govt","TICKER")</f>
        <v>TII</v>
      </c>
      <c r="C14">
        <f>_xll.BDP("91282CAQ Govt","CPN")</f>
        <v>0.125</v>
      </c>
      <c r="D14">
        <f>_xll.BDP("91282CAQ Govt","YLD_YTM_BID")</f>
        <v>-1.9133484869272077</v>
      </c>
      <c r="E14" t="str">
        <f>_xll.BDP("91282CAQ Govt","MATURITY")</f>
        <v>10/15/2025</v>
      </c>
      <c r="F14" t="str">
        <f>_xll.BDP("91282CAQ Govt","MTY_TYP")</f>
        <v>NORMAL</v>
      </c>
      <c r="G14" t="str">
        <f>_xll.BDP("91282CAQ Govt","CRNCY")</f>
        <v>USD</v>
      </c>
      <c r="H14" t="str">
        <f>_xll.BDP("91282CAQ Govt","COUNTRY_FULL_NAME")</f>
        <v>UNITED STATES</v>
      </c>
      <c r="I14" t="str">
        <f>_xll.BDP("91282CAQ Govt","FIRST_CPN_DT")</f>
        <v>4/15/2021</v>
      </c>
      <c r="J14" t="str">
        <f>_xll.BDP("91282CAQ Govt","COUPON_FREQUENCY_DESCRIPTION")</f>
        <v>S/A</v>
      </c>
      <c r="K14" t="str">
        <f>_xll.BDP("91282CAQ Govt","CPN_TYP")</f>
        <v>FIXED</v>
      </c>
      <c r="L14" t="str">
        <f>_xll.BDP("91282CAQ Govt","ID_ISIN")</f>
        <v>US91282CAQ42</v>
      </c>
      <c r="M14">
        <v>34279000000</v>
      </c>
      <c r="N14">
        <v>34279000000</v>
      </c>
      <c r="O14" t="str">
        <f>_xll.BDP("91282CAQ Govt","ISSUE_DT")</f>
        <v>10/30/2020</v>
      </c>
      <c r="P14" t="str">
        <f>_xll.BDP("91282CAQ Govt","SECURITY_NAME")</f>
        <v>TII 0 1/8 10/15/25</v>
      </c>
      <c r="Q14" t="str">
        <f>_xll.BDP("91282CAQ Govt","DAY_CNT_DES")</f>
        <v>ACT/ACT</v>
      </c>
      <c r="R14">
        <v>100</v>
      </c>
      <c r="S14" t="str">
        <f>_xll.BDP("91282CAQ Govt","ID_CUSIP")</f>
        <v>91282CAQ4</v>
      </c>
      <c r="T14">
        <f>_xll.BDP("91282CAQ Govt","IDX_RATIO")</f>
        <v>1.0525100000000001</v>
      </c>
    </row>
    <row r="15" spans="1:21" x14ac:dyDescent="0.25">
      <c r="A15" t="s">
        <v>14</v>
      </c>
      <c r="B15" t="str">
        <f>_xll.BDP("9128286N Govt","TICKER")</f>
        <v>TII</v>
      </c>
      <c r="C15">
        <f>_xll.BDP("9128286N Govt","CPN")</f>
        <v>0.5</v>
      </c>
      <c r="D15">
        <f>_xll.BDP("9128286N Govt","YLD_YTM_BID")</f>
        <v>-2.2077491043228781</v>
      </c>
      <c r="E15" t="str">
        <f>_xll.BDP("9128286N Govt","MATURITY")</f>
        <v>4/15/2024</v>
      </c>
      <c r="F15" t="str">
        <f>_xll.BDP("9128286N Govt","MTY_TYP")</f>
        <v>NORMAL</v>
      </c>
      <c r="G15" t="str">
        <f>_xll.BDP("9128286N Govt","CRNCY")</f>
        <v>USD</v>
      </c>
      <c r="H15" t="str">
        <f>_xll.BDP("9128286N Govt","COUNTRY_FULL_NAME")</f>
        <v>UNITED STATES</v>
      </c>
      <c r="I15" t="str">
        <f>_xll.BDP("9128286N Govt","FIRST_CPN_DT")</f>
        <v>10/15/2019</v>
      </c>
      <c r="J15" t="str">
        <f>_xll.BDP("9128286N Govt","COUPON_FREQUENCY_DESCRIPTION")</f>
        <v>S/A</v>
      </c>
      <c r="K15" t="str">
        <f>_xll.BDP("9128286N Govt","CPN_TYP")</f>
        <v>FIXED</v>
      </c>
      <c r="L15" t="str">
        <f>_xll.BDP("9128286N Govt","ID_ISIN")</f>
        <v>US9128286N55</v>
      </c>
      <c r="M15">
        <v>32207000000</v>
      </c>
      <c r="N15">
        <v>32207000000</v>
      </c>
      <c r="O15" t="str">
        <f>_xll.BDP("9128286N Govt","ISSUE_DT")</f>
        <v>4/30/2019</v>
      </c>
      <c r="P15" t="str">
        <f>_xll.BDP("9128286N Govt","SECURITY_NAME")</f>
        <v>TII 0 1/2 04/15/24</v>
      </c>
      <c r="Q15" t="str">
        <f>_xll.BDP("9128286N Govt","DAY_CNT_DES")</f>
        <v>ACT/ACT</v>
      </c>
      <c r="R15">
        <v>100</v>
      </c>
      <c r="S15" t="str">
        <f>_xll.BDP("9128286N Govt","ID_CUSIP")</f>
        <v>9128286N5</v>
      </c>
      <c r="T15">
        <f>_xll.BDP("9128286N Govt","IDX_RATIO")</f>
        <v>1.0828100000000001</v>
      </c>
    </row>
    <row r="16" spans="1:21" x14ac:dyDescent="0.25">
      <c r="A16" t="s">
        <v>14</v>
      </c>
      <c r="B16" t="str">
        <f>_xll.BDP("9128287D Govt","TICKER")</f>
        <v>TII</v>
      </c>
      <c r="C16">
        <f>_xll.BDP("9128287D Govt","CPN")</f>
        <v>0.25</v>
      </c>
      <c r="D16">
        <f>_xll.BDP("9128287D Govt","YLD_YTM_BID")</f>
        <v>-1.189031160021875</v>
      </c>
      <c r="E16" t="str">
        <f>_xll.BDP("9128287D Govt","MATURITY")</f>
        <v>7/15/2029</v>
      </c>
      <c r="F16" t="str">
        <f>_xll.BDP("9128287D Govt","MTY_TYP")</f>
        <v>NORMAL</v>
      </c>
      <c r="G16" t="str">
        <f>_xll.BDP("9128287D Govt","CRNCY")</f>
        <v>USD</v>
      </c>
      <c r="H16" t="str">
        <f>_xll.BDP("9128287D Govt","COUNTRY_FULL_NAME")</f>
        <v>UNITED STATES</v>
      </c>
      <c r="I16" t="str">
        <f>_xll.BDP("9128287D Govt","FIRST_CPN_DT")</f>
        <v>1/15/2020</v>
      </c>
      <c r="J16" t="str">
        <f>_xll.BDP("9128287D Govt","COUPON_FREQUENCY_DESCRIPTION")</f>
        <v>S/A</v>
      </c>
      <c r="K16" t="str">
        <f>_xll.BDP("9128287D Govt","CPN_TYP")</f>
        <v>FIXED</v>
      </c>
      <c r="L16" t="str">
        <f>_xll.BDP("9128287D Govt","ID_ISIN")</f>
        <v>US9128287D64</v>
      </c>
      <c r="M16">
        <v>39802000000</v>
      </c>
      <c r="N16">
        <v>39802000000</v>
      </c>
      <c r="O16" t="str">
        <f>_xll.BDP("9128287D Govt","ISSUE_DT")</f>
        <v>7/31/2019</v>
      </c>
      <c r="P16" t="str">
        <f>_xll.BDP("9128287D Govt","SECURITY_NAME")</f>
        <v>TII 0 1/4 07/15/29</v>
      </c>
      <c r="Q16" t="str">
        <f>_xll.BDP("9128287D Govt","DAY_CNT_DES")</f>
        <v>ACT/ACT</v>
      </c>
      <c r="R16">
        <v>100</v>
      </c>
      <c r="S16" t="str">
        <f>_xll.BDP("9128287D Govt","ID_CUSIP")</f>
        <v>9128287D6</v>
      </c>
      <c r="T16">
        <f>_xll.BDP("9128287D Govt","IDX_RATIO")</f>
        <v>1.0676300000000001</v>
      </c>
    </row>
    <row r="17" spans="1:20" x14ac:dyDescent="0.25">
      <c r="A17" t="s">
        <v>14</v>
      </c>
      <c r="B17" t="str">
        <f>_xll.BDP("912828N7 Govt","TICKER")</f>
        <v>TII</v>
      </c>
      <c r="C17">
        <f>_xll.BDP("912828N7 Govt","CPN")</f>
        <v>0.625</v>
      </c>
      <c r="D17">
        <f>_xll.BDP("912828N7 Govt","YLD_YTM_BID")</f>
        <v>-1.7740403911882681</v>
      </c>
      <c r="E17" t="str">
        <f>_xll.BDP("912828N7 Govt","MATURITY")</f>
        <v>1/15/2026</v>
      </c>
      <c r="F17" t="str">
        <f>_xll.BDP("912828N7 Govt","MTY_TYP")</f>
        <v>NORMAL</v>
      </c>
      <c r="G17" t="str">
        <f>_xll.BDP("912828N7 Govt","CRNCY")</f>
        <v>USD</v>
      </c>
      <c r="H17" t="str">
        <f>_xll.BDP("912828N7 Govt","COUNTRY_FULL_NAME")</f>
        <v>UNITED STATES</v>
      </c>
      <c r="I17" t="str">
        <f>_xll.BDP("912828N7 Govt","FIRST_CPN_DT")</f>
        <v>7/15/2016</v>
      </c>
      <c r="J17" t="str">
        <f>_xll.BDP("912828N7 Govt","COUPON_FREQUENCY_DESCRIPTION")</f>
        <v>S/A</v>
      </c>
      <c r="K17" t="str">
        <f>_xll.BDP("912828N7 Govt","CPN_TYP")</f>
        <v>FIXED</v>
      </c>
      <c r="L17" t="str">
        <f>_xll.BDP("912828N7 Govt","ID_ISIN")</f>
        <v>US912828N712</v>
      </c>
      <c r="M17">
        <v>42420000000</v>
      </c>
      <c r="N17">
        <v>42420000000</v>
      </c>
      <c r="O17" t="str">
        <f>_xll.BDP("912828N7 Govt","ISSUE_DT")</f>
        <v>1/29/2016</v>
      </c>
      <c r="P17" t="str">
        <f>_xll.BDP("912828N7 Govt","SECURITY_NAME")</f>
        <v>TII 0 5/8 01/15/26</v>
      </c>
      <c r="Q17" t="str">
        <f>_xll.BDP("912828N7 Govt","DAY_CNT_DES")</f>
        <v>ACT/ACT</v>
      </c>
      <c r="R17">
        <v>100</v>
      </c>
      <c r="S17" t="str">
        <f>_xll.BDP("912828N7 Govt","ID_CUSIP")</f>
        <v>912828N71</v>
      </c>
      <c r="T17">
        <f>_xll.BDP("912828N7 Govt","IDX_RATIO")</f>
        <v>1.14933</v>
      </c>
    </row>
    <row r="18" spans="1:20" x14ac:dyDescent="0.25">
      <c r="A18" t="s">
        <v>14</v>
      </c>
      <c r="B18" t="str">
        <f>_xll.BDP("912828TE Govt","TICKER")</f>
        <v>TII</v>
      </c>
      <c r="C18">
        <f>_xll.BDP("912828TE Govt","CPN")</f>
        <v>0.125</v>
      </c>
      <c r="D18">
        <f>_xll.BDP("912828TE Govt","YLD_YTM_BID")</f>
        <v>-3.1857268003024855</v>
      </c>
      <c r="E18" t="str">
        <f>_xll.BDP("912828TE Govt","MATURITY")</f>
        <v>7/15/2022</v>
      </c>
      <c r="F18" t="str">
        <f>_xll.BDP("912828TE Govt","MTY_TYP")</f>
        <v>NORMAL</v>
      </c>
      <c r="G18" t="str">
        <f>_xll.BDP("912828TE Govt","CRNCY")</f>
        <v>USD</v>
      </c>
      <c r="H18" t="str">
        <f>_xll.BDP("912828TE Govt","COUNTRY_FULL_NAME")</f>
        <v>UNITED STATES</v>
      </c>
      <c r="I18" t="str">
        <f>_xll.BDP("912828TE Govt","FIRST_CPN_DT")</f>
        <v>1/15/2013</v>
      </c>
      <c r="J18" t="str">
        <f>_xll.BDP("912828TE Govt","COUPON_FREQUENCY_DESCRIPTION")</f>
        <v>S/A</v>
      </c>
      <c r="K18" t="str">
        <f>_xll.BDP("912828TE Govt","CPN_TYP")</f>
        <v>FIXED</v>
      </c>
      <c r="L18" t="str">
        <f>_xll.BDP("912828TE Govt","ID_ISIN")</f>
        <v>US912828TE09</v>
      </c>
      <c r="M18">
        <v>40998000000</v>
      </c>
      <c r="N18">
        <v>40998000000</v>
      </c>
      <c r="O18" t="str">
        <f>_xll.BDP("912828TE Govt","ISSUE_DT")</f>
        <v>7/31/2012</v>
      </c>
      <c r="P18" t="str">
        <f>_xll.BDP("912828TE Govt","SECURITY_NAME")</f>
        <v>TII 0 1/8 07/15/22</v>
      </c>
      <c r="Q18" t="str">
        <f>_xll.BDP("912828TE Govt","DAY_CNT_DES")</f>
        <v>ACT/ACT</v>
      </c>
      <c r="R18">
        <v>100</v>
      </c>
      <c r="S18" t="str">
        <f>_xll.BDP("912828TE Govt","ID_CUSIP")</f>
        <v>912828TE0</v>
      </c>
      <c r="T18">
        <f>_xll.BDP("912828TE Govt","IDX_RATIO")</f>
        <v>1.1875599999999999</v>
      </c>
    </row>
    <row r="19" spans="1:20" x14ac:dyDescent="0.25">
      <c r="A19" t="s">
        <v>14</v>
      </c>
      <c r="B19" t="str">
        <f>_xll.BDP("912828ZJ Govt","TICKER")</f>
        <v>TII</v>
      </c>
      <c r="C19">
        <f>_xll.BDP("912828ZJ Govt","CPN")</f>
        <v>0.125</v>
      </c>
      <c r="D19">
        <f>_xll.BDP("912828ZJ Govt","YLD_YTM_BID")</f>
        <v>-1.9418782542836661</v>
      </c>
      <c r="E19" t="str">
        <f>_xll.BDP("912828ZJ Govt","MATURITY")</f>
        <v>4/15/2025</v>
      </c>
      <c r="F19" t="str">
        <f>_xll.BDP("912828ZJ Govt","MTY_TYP")</f>
        <v>NORMAL</v>
      </c>
      <c r="G19" t="str">
        <f>_xll.BDP("912828ZJ Govt","CRNCY")</f>
        <v>USD</v>
      </c>
      <c r="H19" t="str">
        <f>_xll.BDP("912828ZJ Govt","COUNTRY_FULL_NAME")</f>
        <v>UNITED STATES</v>
      </c>
      <c r="I19" t="str">
        <f>_xll.BDP("912828ZJ Govt","FIRST_CPN_DT")</f>
        <v>10/15/2020</v>
      </c>
      <c r="J19" t="str">
        <f>_xll.BDP("912828ZJ Govt","COUPON_FREQUENCY_DESCRIPTION")</f>
        <v>S/A</v>
      </c>
      <c r="K19" t="str">
        <f>_xll.BDP("912828ZJ Govt","CPN_TYP")</f>
        <v>FIXED</v>
      </c>
      <c r="L19" t="str">
        <f>_xll.BDP("912828ZJ Govt","ID_ISIN")</f>
        <v>US912828ZJ22</v>
      </c>
      <c r="M19">
        <v>35552000000</v>
      </c>
      <c r="N19">
        <v>35552000000</v>
      </c>
      <c r="O19" t="str">
        <f>_xll.BDP("912828ZJ Govt","ISSUE_DT")</f>
        <v>4/30/2020</v>
      </c>
      <c r="P19" t="str">
        <f>_xll.BDP("912828ZJ Govt","SECURITY_NAME")</f>
        <v>TII 0 1/8 04/15/25</v>
      </c>
      <c r="Q19" t="str">
        <f>_xll.BDP("912828ZJ Govt","DAY_CNT_DES")</f>
        <v>ACT/ACT</v>
      </c>
      <c r="R19">
        <v>100</v>
      </c>
      <c r="S19" t="str">
        <f>_xll.BDP("912828ZJ Govt","ID_CUSIP")</f>
        <v>912828ZJ2</v>
      </c>
      <c r="T19">
        <f>_xll.BDP("912828ZJ Govt","IDX_RATIO")</f>
        <v>1.0572699999999999</v>
      </c>
    </row>
    <row r="20" spans="1:20" x14ac:dyDescent="0.25">
      <c r="A20" t="s">
        <v>14</v>
      </c>
      <c r="B20" t="str">
        <f>_xll.BDP("9128285W Govt","TICKER")</f>
        <v>TII</v>
      </c>
      <c r="C20">
        <f>_xll.BDP("9128285W Govt","CPN")</f>
        <v>0.875</v>
      </c>
      <c r="D20">
        <f>_xll.BDP("9128285W Govt","YLD_YTM_BID")</f>
        <v>-1.222391004594179</v>
      </c>
      <c r="E20" t="str">
        <f>_xll.BDP("9128285W Govt","MATURITY")</f>
        <v>1/15/2029</v>
      </c>
      <c r="F20" t="str">
        <f>_xll.BDP("9128285W Govt","MTY_TYP")</f>
        <v>NORMAL</v>
      </c>
      <c r="G20" t="str">
        <f>_xll.BDP("9128285W Govt","CRNCY")</f>
        <v>USD</v>
      </c>
      <c r="H20" t="str">
        <f>_xll.BDP("9128285W Govt","COUNTRY_FULL_NAME")</f>
        <v>UNITED STATES</v>
      </c>
      <c r="I20" t="str">
        <f>_xll.BDP("9128285W Govt","FIRST_CPN_DT")</f>
        <v>7/15/2019</v>
      </c>
      <c r="J20" t="str">
        <f>_xll.BDP("9128285W Govt","COUPON_FREQUENCY_DESCRIPTION")</f>
        <v>S/A</v>
      </c>
      <c r="K20" t="str">
        <f>_xll.BDP("9128285W Govt","CPN_TYP")</f>
        <v>FIXED</v>
      </c>
      <c r="L20" t="str">
        <f>_xll.BDP("9128285W Govt","ID_ISIN")</f>
        <v>US9128285W63</v>
      </c>
      <c r="M20">
        <v>36155000000</v>
      </c>
      <c r="N20">
        <v>36155000000</v>
      </c>
      <c r="O20" t="str">
        <f>_xll.BDP("9128285W Govt","ISSUE_DT")</f>
        <v>1/31/2019</v>
      </c>
      <c r="P20" t="str">
        <f>_xll.BDP("9128285W Govt","SECURITY_NAME")</f>
        <v>TII 0 7/8 01/15/29</v>
      </c>
      <c r="Q20" t="str">
        <f>_xll.BDP("9128285W Govt","DAY_CNT_DES")</f>
        <v>ACT/ACT</v>
      </c>
      <c r="R20">
        <v>100</v>
      </c>
      <c r="S20" t="str">
        <f>_xll.BDP("9128285W Govt","ID_CUSIP")</f>
        <v>9128285W6</v>
      </c>
      <c r="T20">
        <f>_xll.BDP("9128285W Govt","IDX_RATIO")</f>
        <v>1.08155</v>
      </c>
    </row>
    <row r="21" spans="1:20" x14ac:dyDescent="0.25">
      <c r="A21" t="s">
        <v>14</v>
      </c>
      <c r="B21" t="str">
        <f>_xll.BDP("912828XL Govt","TICKER")</f>
        <v>TII</v>
      </c>
      <c r="C21">
        <f>_xll.BDP("912828XL Govt","CPN")</f>
        <v>0.375</v>
      </c>
      <c r="D21">
        <f>_xll.BDP("912828XL Govt","YLD_YTM_BID")</f>
        <v>-2.0186225636258119</v>
      </c>
      <c r="E21" t="str">
        <f>_xll.BDP("912828XL Govt","MATURITY")</f>
        <v>7/15/2025</v>
      </c>
      <c r="F21" t="str">
        <f>_xll.BDP("912828XL Govt","MTY_TYP")</f>
        <v>NORMAL</v>
      </c>
      <c r="G21" t="str">
        <f>_xll.BDP("912828XL Govt","CRNCY")</f>
        <v>USD</v>
      </c>
      <c r="H21" t="str">
        <f>_xll.BDP("912828XL Govt","COUNTRY_FULL_NAME")</f>
        <v>UNITED STATES</v>
      </c>
      <c r="I21" t="str">
        <f>_xll.BDP("912828XL Govt","FIRST_CPN_DT")</f>
        <v>1/15/2016</v>
      </c>
      <c r="J21" t="str">
        <f>_xll.BDP("912828XL Govt","COUPON_FREQUENCY_DESCRIPTION")</f>
        <v>S/A</v>
      </c>
      <c r="K21" t="str">
        <f>_xll.BDP("912828XL Govt","CPN_TYP")</f>
        <v>FIXED</v>
      </c>
      <c r="L21" t="str">
        <f>_xll.BDP("912828XL Govt","ID_ISIN")</f>
        <v>US912828XL95</v>
      </c>
      <c r="M21">
        <v>40999000000</v>
      </c>
      <c r="N21">
        <v>40999000000</v>
      </c>
      <c r="O21" t="str">
        <f>_xll.BDP("912828XL Govt","ISSUE_DT")</f>
        <v>7/31/2015</v>
      </c>
      <c r="P21" t="str">
        <f>_xll.BDP("912828XL Govt","SECURITY_NAME")</f>
        <v>TII 0 3/8 07/15/25</v>
      </c>
      <c r="Q21" t="str">
        <f>_xll.BDP("912828XL Govt","DAY_CNT_DES")</f>
        <v>ACT/ACT</v>
      </c>
      <c r="R21">
        <v>100</v>
      </c>
      <c r="S21" t="str">
        <f>_xll.BDP("912828XL Govt","ID_CUSIP")</f>
        <v>912828XL9</v>
      </c>
      <c r="T21">
        <f>_xll.BDP("912828XL Govt","IDX_RATIO")</f>
        <v>1.1516</v>
      </c>
    </row>
    <row r="22" spans="1:20" x14ac:dyDescent="0.25">
      <c r="A22" t="s">
        <v>14</v>
      </c>
      <c r="B22" t="str">
        <f>_xll.BDP("9128283R Govt","TICKER")</f>
        <v>TII</v>
      </c>
      <c r="C22">
        <f>_xll.BDP("9128283R Govt","CPN")</f>
        <v>0.5</v>
      </c>
      <c r="D22">
        <f>_xll.BDP("9128283R Govt","YLD_YTM_BID")</f>
        <v>-1.382322940841243</v>
      </c>
      <c r="E22" t="str">
        <f>_xll.BDP("9128283R Govt","MATURITY")</f>
        <v>1/15/2028</v>
      </c>
      <c r="F22" t="str">
        <f>_xll.BDP("9128283R Govt","MTY_TYP")</f>
        <v>NORMAL</v>
      </c>
      <c r="G22" t="str">
        <f>_xll.BDP("9128283R Govt","CRNCY")</f>
        <v>USD</v>
      </c>
      <c r="H22" t="str">
        <f>_xll.BDP("9128283R Govt","COUNTRY_FULL_NAME")</f>
        <v>UNITED STATES</v>
      </c>
      <c r="I22" t="str">
        <f>_xll.BDP("9128283R Govt","FIRST_CPN_DT")</f>
        <v>7/15/2018</v>
      </c>
      <c r="J22" t="str">
        <f>_xll.BDP("9128283R Govt","COUPON_FREQUENCY_DESCRIPTION")</f>
        <v>S/A</v>
      </c>
      <c r="K22" t="str">
        <f>_xll.BDP("9128283R Govt","CPN_TYP")</f>
        <v>FIXED</v>
      </c>
      <c r="L22" t="str">
        <f>_xll.BDP("9128283R Govt","ID_ISIN")</f>
        <v>US9128283R96</v>
      </c>
      <c r="M22">
        <v>38820000000</v>
      </c>
      <c r="N22">
        <v>38820000000</v>
      </c>
      <c r="O22" t="str">
        <f>_xll.BDP("9128283R Govt","ISSUE_DT")</f>
        <v>1/31/2018</v>
      </c>
      <c r="P22" t="str">
        <f>_xll.BDP("9128283R Govt","SECURITY_NAME")</f>
        <v>TII 0 1/2 01/15/28</v>
      </c>
      <c r="Q22" t="str">
        <f>_xll.BDP("9128283R Govt","DAY_CNT_DES")</f>
        <v>ACT/ACT</v>
      </c>
      <c r="R22">
        <v>100</v>
      </c>
      <c r="S22" t="str">
        <f>_xll.BDP("9128283R Govt","ID_CUSIP")</f>
        <v>9128283R9</v>
      </c>
      <c r="T22">
        <f>_xll.BDP("9128283R Govt","IDX_RATIO")</f>
        <v>1.10714</v>
      </c>
    </row>
    <row r="23" spans="1:20" x14ac:dyDescent="0.25">
      <c r="A23" t="s">
        <v>14</v>
      </c>
      <c r="B23" t="str">
        <f>_xll.BDP("9128282L Govt","TICKER")</f>
        <v>TII</v>
      </c>
      <c r="C23">
        <f>_xll.BDP("9128282L Govt","CPN")</f>
        <v>0.375</v>
      </c>
      <c r="D23">
        <f>_xll.BDP("9128282L Govt","YLD_YTM_BID")</f>
        <v>-1.5481453792319866</v>
      </c>
      <c r="E23" t="str">
        <f>_xll.BDP("9128282L Govt","MATURITY")</f>
        <v>7/15/2027</v>
      </c>
      <c r="F23" t="str">
        <f>_xll.BDP("9128282L Govt","MTY_TYP")</f>
        <v>NORMAL</v>
      </c>
      <c r="G23" t="str">
        <f>_xll.BDP("9128282L Govt","CRNCY")</f>
        <v>USD</v>
      </c>
      <c r="H23" t="str">
        <f>_xll.BDP("9128282L Govt","COUNTRY_FULL_NAME")</f>
        <v>UNITED STATES</v>
      </c>
      <c r="I23" t="str">
        <f>_xll.BDP("9128282L Govt","FIRST_CPN_DT")</f>
        <v>1/15/2018</v>
      </c>
      <c r="J23" t="str">
        <f>_xll.BDP("9128282L Govt","COUPON_FREQUENCY_DESCRIPTION")</f>
        <v>S/A</v>
      </c>
      <c r="K23" t="str">
        <f>_xll.BDP("9128282L Govt","CPN_TYP")</f>
        <v>FIXED</v>
      </c>
      <c r="L23" t="str">
        <f>_xll.BDP("9128282L Govt","ID_ISIN")</f>
        <v>US9128282L36</v>
      </c>
      <c r="M23">
        <v>36917000000</v>
      </c>
      <c r="N23">
        <v>36917000000</v>
      </c>
      <c r="O23" t="str">
        <f>_xll.BDP("9128282L Govt","ISSUE_DT")</f>
        <v>7/31/2017</v>
      </c>
      <c r="P23" t="str">
        <f>_xll.BDP("9128282L Govt","SECURITY_NAME")</f>
        <v>TII 0 3/8 07/15/27</v>
      </c>
      <c r="Q23" t="str">
        <f>_xll.BDP("9128282L Govt","DAY_CNT_DES")</f>
        <v>ACT/ACT</v>
      </c>
      <c r="R23">
        <v>100</v>
      </c>
      <c r="S23" t="str">
        <f>_xll.BDP("9128282L Govt","ID_CUSIP")</f>
        <v>9128282L3</v>
      </c>
      <c r="T23">
        <f>_xll.BDP("9128282L Govt","IDX_RATIO")</f>
        <v>1.1164099999999999</v>
      </c>
    </row>
    <row r="24" spans="1:20" x14ac:dyDescent="0.25">
      <c r="A24" t="s">
        <v>14</v>
      </c>
      <c r="B24" t="str">
        <f>_xll.BDP("912828YL Govt","TICKER")</f>
        <v>TII</v>
      </c>
      <c r="C24">
        <f>_xll.BDP("912828YL Govt","CPN")</f>
        <v>0.125</v>
      </c>
      <c r="D24">
        <f>_xll.BDP("912828YL Govt","YLD_YTM_BID")</f>
        <v>-2.1998228742856254</v>
      </c>
      <c r="E24" t="str">
        <f>_xll.BDP("912828YL Govt","MATURITY")</f>
        <v>10/15/2024</v>
      </c>
      <c r="F24" t="str">
        <f>_xll.BDP("912828YL Govt","MTY_TYP")</f>
        <v>NORMAL</v>
      </c>
      <c r="G24" t="str">
        <f>_xll.BDP("912828YL Govt","CRNCY")</f>
        <v>USD</v>
      </c>
      <c r="H24" t="str">
        <f>_xll.BDP("912828YL Govt","COUNTRY_FULL_NAME")</f>
        <v>UNITED STATES</v>
      </c>
      <c r="I24" t="str">
        <f>_xll.BDP("912828YL Govt","FIRST_CPN_DT")</f>
        <v>4/15/2020</v>
      </c>
      <c r="J24" t="str">
        <f>_xll.BDP("912828YL Govt","COUPON_FREQUENCY_DESCRIPTION")</f>
        <v>S/A</v>
      </c>
      <c r="K24" t="str">
        <f>_xll.BDP("912828YL Govt","CPN_TYP")</f>
        <v>FIXED</v>
      </c>
      <c r="L24" t="str">
        <f>_xll.BDP("912828YL Govt","ID_ISIN")</f>
        <v>US912828YL86</v>
      </c>
      <c r="M24">
        <v>35189000000</v>
      </c>
      <c r="N24">
        <v>35189000000</v>
      </c>
      <c r="O24" t="str">
        <f>_xll.BDP("912828YL Govt","ISSUE_DT")</f>
        <v>10/31/2019</v>
      </c>
      <c r="P24" t="str">
        <f>_xll.BDP("912828YL Govt","SECURITY_NAME")</f>
        <v>TII 0 1/8 10/15/24</v>
      </c>
      <c r="Q24" t="str">
        <f>_xll.BDP("912828YL Govt","DAY_CNT_DES")</f>
        <v>ACT/ACT</v>
      </c>
      <c r="R24">
        <v>100</v>
      </c>
      <c r="S24" t="str">
        <f>_xll.BDP("912828YL Govt","ID_CUSIP")</f>
        <v>912828YL8</v>
      </c>
      <c r="T24">
        <f>_xll.BDP("912828YL Govt","IDX_RATIO")</f>
        <v>1.0644199999999999</v>
      </c>
    </row>
    <row r="25" spans="1:20" x14ac:dyDescent="0.25">
      <c r="A25" t="s">
        <v>14</v>
      </c>
      <c r="B25" t="str">
        <f>_xll.BDP("912828B2 Govt","TICKER")</f>
        <v>TII</v>
      </c>
      <c r="C25">
        <f>_xll.BDP("912828B2 Govt","CPN")</f>
        <v>0.625</v>
      </c>
      <c r="D25">
        <f>_xll.BDP("912828B2 Govt","YLD_YTM_BID")</f>
        <v>-2.3271975395825519</v>
      </c>
      <c r="E25" t="str">
        <f>_xll.BDP("912828B2 Govt","MATURITY")</f>
        <v>1/15/2024</v>
      </c>
      <c r="F25" t="str">
        <f>_xll.BDP("912828B2 Govt","MTY_TYP")</f>
        <v>NORMAL</v>
      </c>
      <c r="G25" t="str">
        <f>_xll.BDP("912828B2 Govt","CRNCY")</f>
        <v>USD</v>
      </c>
      <c r="H25" t="str">
        <f>_xll.BDP("912828B2 Govt","COUNTRY_FULL_NAME")</f>
        <v>UNITED STATES</v>
      </c>
      <c r="I25" t="str">
        <f>_xll.BDP("912828B2 Govt","FIRST_CPN_DT")</f>
        <v>7/15/2014</v>
      </c>
      <c r="J25" t="str">
        <f>_xll.BDP("912828B2 Govt","COUPON_FREQUENCY_DESCRIPTION")</f>
        <v>S/A</v>
      </c>
      <c r="K25" t="str">
        <f>_xll.BDP("912828B2 Govt","CPN_TYP")</f>
        <v>FIXED</v>
      </c>
      <c r="L25" t="str">
        <f>_xll.BDP("912828B2 Govt","ID_ISIN")</f>
        <v>US912828B253</v>
      </c>
      <c r="M25">
        <v>40980000000</v>
      </c>
      <c r="N25">
        <v>40980000000</v>
      </c>
      <c r="O25" t="str">
        <f>_xll.BDP("912828B2 Govt","ISSUE_DT")</f>
        <v>1/31/2014</v>
      </c>
      <c r="P25" t="str">
        <f>_xll.BDP("912828B2 Govt","SECURITY_NAME")</f>
        <v>TII 0 5/8 01/15/24</v>
      </c>
      <c r="Q25" t="str">
        <f>_xll.BDP("912828B2 Govt","DAY_CNT_DES")</f>
        <v>ACT/ACT</v>
      </c>
      <c r="R25">
        <v>100</v>
      </c>
      <c r="S25" t="str">
        <f>_xll.BDP("912828B2 Govt","ID_CUSIP")</f>
        <v>912828B25</v>
      </c>
      <c r="T25">
        <f>_xll.BDP("912828B2 Govt","IDX_RATIO")</f>
        <v>1.17042</v>
      </c>
    </row>
    <row r="26" spans="1:20" x14ac:dyDescent="0.25">
      <c r="A26" t="s">
        <v>14</v>
      </c>
      <c r="B26" t="str">
        <f>_xll.BDP("912828WU Govt","TICKER")</f>
        <v>TII</v>
      </c>
      <c r="C26">
        <f>_xll.BDP("912828WU Govt","CPN")</f>
        <v>0.125</v>
      </c>
      <c r="D26">
        <f>_xll.BDP("912828WU Govt","YLD_YTM_BID")</f>
        <v>-2.332302491618329</v>
      </c>
      <c r="E26" t="str">
        <f>_xll.BDP("912828WU Govt","MATURITY")</f>
        <v>7/15/2024</v>
      </c>
      <c r="F26" t="str">
        <f>_xll.BDP("912828WU Govt","MTY_TYP")</f>
        <v>NORMAL</v>
      </c>
      <c r="G26" t="str">
        <f>_xll.BDP("912828WU Govt","CRNCY")</f>
        <v>USD</v>
      </c>
      <c r="H26" t="str">
        <f>_xll.BDP("912828WU Govt","COUNTRY_FULL_NAME")</f>
        <v>UNITED STATES</v>
      </c>
      <c r="I26" t="str">
        <f>_xll.BDP("912828WU Govt","FIRST_CPN_DT")</f>
        <v>1/15/2015</v>
      </c>
      <c r="J26" t="str">
        <f>_xll.BDP("912828WU Govt","COUPON_FREQUENCY_DESCRIPTION")</f>
        <v>S/A</v>
      </c>
      <c r="K26" t="str">
        <f>_xll.BDP("912828WU Govt","CPN_TYP")</f>
        <v>FIXED</v>
      </c>
      <c r="L26" t="str">
        <f>_xll.BDP("912828WU Govt","ID_ISIN")</f>
        <v>US912828WU04</v>
      </c>
      <c r="M26">
        <v>41005000000</v>
      </c>
      <c r="N26">
        <v>41005000000</v>
      </c>
      <c r="O26" t="str">
        <f>_xll.BDP("912828WU Govt","ISSUE_DT")</f>
        <v>7/31/2014</v>
      </c>
      <c r="P26" t="str">
        <f>_xll.BDP("912828WU Govt","SECURITY_NAME")</f>
        <v>TII 0 1/8 07/15/24</v>
      </c>
      <c r="Q26" t="str">
        <f>_xll.BDP("912828WU Govt","DAY_CNT_DES")</f>
        <v>ACT/ACT</v>
      </c>
      <c r="R26">
        <v>100</v>
      </c>
      <c r="S26" t="str">
        <f>_xll.BDP("912828WU Govt","ID_CUSIP")</f>
        <v>912828WU0</v>
      </c>
      <c r="T26">
        <f>_xll.BDP("912828WU Govt","IDX_RATIO")</f>
        <v>1.1501300000000001</v>
      </c>
    </row>
    <row r="27" spans="1:20" x14ac:dyDescent="0.25">
      <c r="A27" t="s">
        <v>14</v>
      </c>
      <c r="B27" t="str">
        <f>_xll.BDP("912828H4 Govt","TICKER")</f>
        <v>TII</v>
      </c>
      <c r="C27">
        <f>_xll.BDP("912828H4 Govt","CPN")</f>
        <v>0.25</v>
      </c>
      <c r="D27">
        <f>_xll.BDP("912828H4 Govt","YLD_YTM_BID")</f>
        <v>-2.0248692869841065</v>
      </c>
      <c r="E27" t="str">
        <f>_xll.BDP("912828H4 Govt","MATURITY")</f>
        <v>1/15/2025</v>
      </c>
      <c r="F27" t="str">
        <f>_xll.BDP("912828H4 Govt","MTY_TYP")</f>
        <v>NORMAL</v>
      </c>
      <c r="G27" t="str">
        <f>_xll.BDP("912828H4 Govt","CRNCY")</f>
        <v>USD</v>
      </c>
      <c r="H27" t="str">
        <f>_xll.BDP("912828H4 Govt","COUNTRY_FULL_NAME")</f>
        <v>UNITED STATES</v>
      </c>
      <c r="I27" t="str">
        <f>_xll.BDP("912828H4 Govt","FIRST_CPN_DT")</f>
        <v>7/15/2015</v>
      </c>
      <c r="J27" t="str">
        <f>_xll.BDP("912828H4 Govt","COUPON_FREQUENCY_DESCRIPTION")</f>
        <v>S/A</v>
      </c>
      <c r="K27" t="str">
        <f>_xll.BDP("912828H4 Govt","CPN_TYP")</f>
        <v>FIXED</v>
      </c>
      <c r="L27" t="str">
        <f>_xll.BDP("912828H4 Govt","ID_ISIN")</f>
        <v>US912828H458</v>
      </c>
      <c r="M27">
        <v>40994000000</v>
      </c>
      <c r="N27">
        <v>40994000000</v>
      </c>
      <c r="O27" t="str">
        <f>_xll.BDP("912828H4 Govt","ISSUE_DT")</f>
        <v>1/30/2015</v>
      </c>
      <c r="P27" t="str">
        <f>_xll.BDP("912828H4 Govt","SECURITY_NAME")</f>
        <v>TII 0 1/4 01/15/25</v>
      </c>
      <c r="Q27" t="str">
        <f>_xll.BDP("912828H4 Govt","DAY_CNT_DES")</f>
        <v>ACT/ACT</v>
      </c>
      <c r="R27">
        <v>100</v>
      </c>
      <c r="S27" t="str">
        <f>_xll.BDP("912828H4 Govt","ID_CUSIP")</f>
        <v>912828H45</v>
      </c>
      <c r="T27">
        <f>_xll.BDP("912828H4 Govt","IDX_RATIO")</f>
        <v>1.1530100000000001</v>
      </c>
    </row>
    <row r="28" spans="1:20" x14ac:dyDescent="0.25">
      <c r="A28" t="s">
        <v>14</v>
      </c>
      <c r="B28" t="str">
        <f>_xll.BDP("912828VM Govt","TICKER")</f>
        <v>TII</v>
      </c>
      <c r="C28">
        <f>_xll.BDP("912828VM Govt","CPN")</f>
        <v>0.375</v>
      </c>
      <c r="D28">
        <f>_xll.BDP("912828VM Govt","YLD_YTM_BID")</f>
        <v>-2.7104691812028356</v>
      </c>
      <c r="E28" t="str">
        <f>_xll.BDP("912828VM Govt","MATURITY")</f>
        <v>7/15/2023</v>
      </c>
      <c r="F28" t="str">
        <f>_xll.BDP("912828VM Govt","MTY_TYP")</f>
        <v>NORMAL</v>
      </c>
      <c r="G28" t="str">
        <f>_xll.BDP("912828VM Govt","CRNCY")</f>
        <v>USD</v>
      </c>
      <c r="H28" t="str">
        <f>_xll.BDP("912828VM Govt","COUNTRY_FULL_NAME")</f>
        <v>UNITED STATES</v>
      </c>
      <c r="I28" t="str">
        <f>_xll.BDP("912828VM Govt","FIRST_CPN_DT")</f>
        <v>1/15/2014</v>
      </c>
      <c r="J28" t="str">
        <f>_xll.BDP("912828VM Govt","COUPON_FREQUENCY_DESCRIPTION")</f>
        <v>S/A</v>
      </c>
      <c r="K28" t="str">
        <f>_xll.BDP("912828VM Govt","CPN_TYP")</f>
        <v>FIXED</v>
      </c>
      <c r="L28" t="str">
        <f>_xll.BDP("912828VM Govt","ID_ISIN")</f>
        <v>US912828VM96</v>
      </c>
      <c r="M28">
        <v>41001000000</v>
      </c>
      <c r="N28">
        <v>40998000000</v>
      </c>
      <c r="O28" t="str">
        <f>_xll.BDP("912828VM Govt","ISSUE_DT")</f>
        <v>7/31/2013</v>
      </c>
      <c r="P28" t="str">
        <f>_xll.BDP("912828VM Govt","SECURITY_NAME")</f>
        <v>TII 0 3/8 07/15/23</v>
      </c>
      <c r="Q28" t="str">
        <f>_xll.BDP("912828VM Govt","DAY_CNT_DES")</f>
        <v>ACT/ACT</v>
      </c>
      <c r="R28">
        <v>100</v>
      </c>
      <c r="S28" t="str">
        <f>_xll.BDP("912828VM Govt","ID_CUSIP")</f>
        <v>912828VM9</v>
      </c>
      <c r="T28">
        <f>_xll.BDP("912828VM Govt","IDX_RATIO")</f>
        <v>1.1735</v>
      </c>
    </row>
    <row r="29" spans="1:20" x14ac:dyDescent="0.25">
      <c r="A29" t="s">
        <v>14</v>
      </c>
      <c r="B29" t="str">
        <f>_xll.BDP("912828V4 Govt","TICKER")</f>
        <v>TII</v>
      </c>
      <c r="C29">
        <f>_xll.BDP("912828V4 Govt","CPN")</f>
        <v>0.375</v>
      </c>
      <c r="D29">
        <f>_xll.BDP("912828V4 Govt","YLD_YTM_BID")</f>
        <v>-1.581125644090686</v>
      </c>
      <c r="E29" t="str">
        <f>_xll.BDP("912828V4 Govt","MATURITY")</f>
        <v>1/15/2027</v>
      </c>
      <c r="F29" t="str">
        <f>_xll.BDP("912828V4 Govt","MTY_TYP")</f>
        <v>NORMAL</v>
      </c>
      <c r="G29" t="str">
        <f>_xll.BDP("912828V4 Govt","CRNCY")</f>
        <v>USD</v>
      </c>
      <c r="H29" t="str">
        <f>_xll.BDP("912828V4 Govt","COUNTRY_FULL_NAME")</f>
        <v>UNITED STATES</v>
      </c>
      <c r="I29" t="str">
        <f>_xll.BDP("912828V4 Govt","FIRST_CPN_DT")</f>
        <v>7/15/2017</v>
      </c>
      <c r="J29" t="str">
        <f>_xll.BDP("912828V4 Govt","COUPON_FREQUENCY_DESCRIPTION")</f>
        <v>S/A</v>
      </c>
      <c r="K29" t="str">
        <f>_xll.BDP("912828V4 Govt","CPN_TYP")</f>
        <v>FIXED</v>
      </c>
      <c r="L29" t="str">
        <f>_xll.BDP("912828V4 Govt","ID_ISIN")</f>
        <v>US912828V491</v>
      </c>
      <c r="M29">
        <v>38479000000</v>
      </c>
      <c r="N29">
        <v>38479000000</v>
      </c>
      <c r="O29" t="str">
        <f>_xll.BDP("912828V4 Govt","ISSUE_DT")</f>
        <v>1/31/2017</v>
      </c>
      <c r="P29" t="str">
        <f>_xll.BDP("912828V4 Govt","SECURITY_NAME")</f>
        <v>TII 0 3/8 01/15/27</v>
      </c>
      <c r="Q29" t="str">
        <f>_xll.BDP("912828V4 Govt","DAY_CNT_DES")</f>
        <v>ACT/ACT</v>
      </c>
      <c r="R29">
        <v>100</v>
      </c>
      <c r="S29" t="str">
        <f>_xll.BDP("912828V4 Govt","ID_CUSIP")</f>
        <v>912828V49</v>
      </c>
      <c r="T29">
        <f>_xll.BDP("912828V4 Govt","IDX_RATIO")</f>
        <v>1.1305499999999999</v>
      </c>
    </row>
    <row r="30" spans="1:20" x14ac:dyDescent="0.25">
      <c r="A30" t="s">
        <v>14</v>
      </c>
      <c r="B30" t="str">
        <f>_xll.BDP("912828Y3 Govt","TICKER")</f>
        <v>TII</v>
      </c>
      <c r="C30">
        <f>_xll.BDP("912828Y3 Govt","CPN")</f>
        <v>0.75</v>
      </c>
      <c r="D30">
        <f>_xll.BDP("912828Y3 Govt","YLD_YTM_BID")</f>
        <v>-1.3523957763874819</v>
      </c>
      <c r="E30" t="str">
        <f>_xll.BDP("912828Y3 Govt","MATURITY")</f>
        <v>7/15/2028</v>
      </c>
      <c r="F30" t="str">
        <f>_xll.BDP("912828Y3 Govt","MTY_TYP")</f>
        <v>NORMAL</v>
      </c>
      <c r="G30" t="str">
        <f>_xll.BDP("912828Y3 Govt","CRNCY")</f>
        <v>USD</v>
      </c>
      <c r="H30" t="str">
        <f>_xll.BDP("912828Y3 Govt","COUNTRY_FULL_NAME")</f>
        <v>UNITED STATES</v>
      </c>
      <c r="I30" t="str">
        <f>_xll.BDP("912828Y3 Govt","FIRST_CPN_DT")</f>
        <v>1/15/2019</v>
      </c>
      <c r="J30" t="str">
        <f>_xll.BDP("912828Y3 Govt","COUPON_FREQUENCY_DESCRIPTION")</f>
        <v>S/A</v>
      </c>
      <c r="K30" t="str">
        <f>_xll.BDP("912828Y3 Govt","CPN_TYP")</f>
        <v>FIXED</v>
      </c>
      <c r="L30" t="str">
        <f>_xll.BDP("912828Y3 Govt","ID_ISIN")</f>
        <v>US912828Y388</v>
      </c>
      <c r="M30">
        <v>36672000000</v>
      </c>
      <c r="N30">
        <v>36672000000</v>
      </c>
      <c r="O30" t="str">
        <f>_xll.BDP("912828Y3 Govt","ISSUE_DT")</f>
        <v>7/31/2018</v>
      </c>
      <c r="P30" t="str">
        <f>_xll.BDP("912828Y3 Govt","SECURITY_NAME")</f>
        <v>TII 0 3/4 07/15/28</v>
      </c>
      <c r="Q30" t="str">
        <f>_xll.BDP("912828Y3 Govt","DAY_CNT_DES")</f>
        <v>ACT/ACT</v>
      </c>
      <c r="R30">
        <v>100</v>
      </c>
      <c r="S30" t="str">
        <f>_xll.BDP("912828Y3 Govt","ID_CUSIP")</f>
        <v>912828Y38</v>
      </c>
      <c r="T30">
        <f>_xll.BDP("912828Y3 Govt","IDX_RATIO")</f>
        <v>1.08795</v>
      </c>
    </row>
    <row r="31" spans="1:20" x14ac:dyDescent="0.25">
      <c r="A31" t="s">
        <v>14</v>
      </c>
      <c r="B31" t="str">
        <f>_xll.BDP("912810QP Govt","TICKER")</f>
        <v>TII</v>
      </c>
      <c r="C31">
        <f>_xll.BDP("912810QP Govt","CPN")</f>
        <v>2.125</v>
      </c>
      <c r="D31">
        <f>_xll.BDP("912810QP Govt","YLD_YTM_BID")</f>
        <v>-0.42370212915706967</v>
      </c>
      <c r="E31" t="str">
        <f>_xll.BDP("912810QP Govt","MATURITY")</f>
        <v>2/15/2041</v>
      </c>
      <c r="F31" t="str">
        <f>_xll.BDP("912810QP Govt","MTY_TYP")</f>
        <v>NORMAL</v>
      </c>
      <c r="G31" t="str">
        <f>_xll.BDP("912810QP Govt","CRNCY")</f>
        <v>USD</v>
      </c>
      <c r="H31" t="str">
        <f>_xll.BDP("912810QP Govt","COUNTRY_FULL_NAME")</f>
        <v>UNITED STATES</v>
      </c>
      <c r="I31" t="str">
        <f>_xll.BDP("912810QP Govt","FIRST_CPN_DT")</f>
        <v>8/15/2011</v>
      </c>
      <c r="J31" t="str">
        <f>_xll.BDP("912810QP Govt","COUPON_FREQUENCY_DESCRIPTION")</f>
        <v>S/A</v>
      </c>
      <c r="K31" t="str">
        <f>_xll.BDP("912810QP Govt","CPN_TYP")</f>
        <v>FIXED</v>
      </c>
      <c r="L31" t="str">
        <f>_xll.BDP("912810QP Govt","ID_ISIN")</f>
        <v>US912810QP66</v>
      </c>
      <c r="M31">
        <v>23985000000</v>
      </c>
      <c r="N31">
        <v>23985000000</v>
      </c>
      <c r="O31" t="str">
        <f>_xll.BDP("912810QP Govt","ISSUE_DT")</f>
        <v>2/28/2011</v>
      </c>
      <c r="P31" t="str">
        <f>_xll.BDP("912810QP Govt","SECURITY_NAME")</f>
        <v>TII 2 1/8 02/15/41</v>
      </c>
      <c r="Q31" t="str">
        <f>_xll.BDP("912810QP Govt","DAY_CNT_DES")</f>
        <v>ACT/ACT</v>
      </c>
      <c r="R31">
        <v>100</v>
      </c>
      <c r="S31" t="str">
        <f>_xll.BDP("912810QP Govt","ID_CUSIP")</f>
        <v>912810QP6</v>
      </c>
      <c r="T31">
        <f>_xll.BDP("912810QP Govt","IDX_RATIO")</f>
        <v>1.2470600000000001</v>
      </c>
    </row>
    <row r="32" spans="1:20" x14ac:dyDescent="0.25">
      <c r="A32" t="s">
        <v>14</v>
      </c>
      <c r="B32" t="str">
        <f>_xll.BDP("912810RF Govt","TICKER")</f>
        <v>TII</v>
      </c>
      <c r="C32">
        <f>_xll.BDP("912810RF Govt","CPN")</f>
        <v>1.375</v>
      </c>
      <c r="D32">
        <f>_xll.BDP("912810RF Govt","YLD_YTM_BID")</f>
        <v>-0.28385612013327333</v>
      </c>
      <c r="E32" t="str">
        <f>_xll.BDP("912810RF Govt","MATURITY")</f>
        <v>2/15/2044</v>
      </c>
      <c r="F32" t="str">
        <f>_xll.BDP("912810RF Govt","MTY_TYP")</f>
        <v>NORMAL</v>
      </c>
      <c r="G32" t="str">
        <f>_xll.BDP("912810RF Govt","CRNCY")</f>
        <v>USD</v>
      </c>
      <c r="H32" t="str">
        <f>_xll.BDP("912810RF Govt","COUNTRY_FULL_NAME")</f>
        <v>UNITED STATES</v>
      </c>
      <c r="I32" t="str">
        <f>_xll.BDP("912810RF Govt","FIRST_CPN_DT")</f>
        <v>8/15/2014</v>
      </c>
      <c r="J32" t="str">
        <f>_xll.BDP("912810RF Govt","COUPON_FREQUENCY_DESCRIPTION")</f>
        <v>S/A</v>
      </c>
      <c r="K32" t="str">
        <f>_xll.BDP("912810RF Govt","CPN_TYP")</f>
        <v>FIXED</v>
      </c>
      <c r="L32" t="str">
        <f>_xll.BDP("912810RF Govt","ID_ISIN")</f>
        <v>US912810RF75</v>
      </c>
      <c r="M32">
        <v>23018000000</v>
      </c>
      <c r="N32">
        <v>23018000000</v>
      </c>
      <c r="O32" t="str">
        <f>_xll.BDP("912810RF Govt","ISSUE_DT")</f>
        <v>2/28/2014</v>
      </c>
      <c r="P32" t="str">
        <f>_xll.BDP("912810RF Govt","SECURITY_NAME")</f>
        <v>TII 1 3/8 02/15/44</v>
      </c>
      <c r="Q32" t="str">
        <f>_xll.BDP("912810RF Govt","DAY_CNT_DES")</f>
        <v>ACT/ACT</v>
      </c>
      <c r="R32">
        <v>100</v>
      </c>
      <c r="S32" t="str">
        <f>_xll.BDP("912810RF Govt","ID_CUSIP")</f>
        <v>912810RF7</v>
      </c>
      <c r="T32">
        <f>_xll.BDP("912810RF Govt","IDX_RATIO")</f>
        <v>1.17178</v>
      </c>
    </row>
    <row r="33" spans="1:20" x14ac:dyDescent="0.25">
      <c r="A33" t="s">
        <v>14</v>
      </c>
      <c r="B33" t="str">
        <f>_xll.BDP("912810FS Govt","TICKER")</f>
        <v>TII</v>
      </c>
      <c r="C33">
        <f>_xll.BDP("912810FS Govt","CPN")</f>
        <v>2</v>
      </c>
      <c r="D33">
        <f>_xll.BDP("912810FS Govt","YLD_YTM_BID")</f>
        <v>-1.7896186523108948</v>
      </c>
      <c r="E33" t="str">
        <f>_xll.BDP("912810FS Govt","MATURITY")</f>
        <v>1/15/2026</v>
      </c>
      <c r="F33" t="str">
        <f>_xll.BDP("912810FS Govt","MTY_TYP")</f>
        <v>NORMAL</v>
      </c>
      <c r="G33" t="str">
        <f>_xll.BDP("912810FS Govt","CRNCY")</f>
        <v>USD</v>
      </c>
      <c r="H33" t="str">
        <f>_xll.BDP("912810FS Govt","COUNTRY_FULL_NAME")</f>
        <v>UNITED STATES</v>
      </c>
      <c r="I33" t="str">
        <f>_xll.BDP("912810FS Govt","FIRST_CPN_DT")</f>
        <v>7/15/2006</v>
      </c>
      <c r="J33" t="str">
        <f>_xll.BDP("912810FS Govt","COUPON_FREQUENCY_DESCRIPTION")</f>
        <v>S/A</v>
      </c>
      <c r="K33" t="str">
        <f>_xll.BDP("912810FS Govt","CPN_TYP")</f>
        <v>FIXED</v>
      </c>
      <c r="L33" t="str">
        <f>_xll.BDP("912810FS Govt","ID_ISIN")</f>
        <v>US912810FS25</v>
      </c>
      <c r="M33">
        <v>20000000000</v>
      </c>
      <c r="N33">
        <v>20000000000</v>
      </c>
      <c r="O33" t="str">
        <f>_xll.BDP("912810FS Govt","ISSUE_DT")</f>
        <v>1/31/2006</v>
      </c>
      <c r="P33" t="str">
        <f>_xll.BDP("912810FS Govt","SECURITY_NAME")</f>
        <v>TII 2 01/15/26</v>
      </c>
      <c r="Q33" t="str">
        <f>_xll.BDP("912810FS Govt","DAY_CNT_DES")</f>
        <v>ACT/ACT</v>
      </c>
      <c r="R33">
        <v>100</v>
      </c>
      <c r="S33" t="str">
        <f>_xll.BDP("912810FS Govt","ID_CUSIP")</f>
        <v>912810FS2</v>
      </c>
      <c r="T33">
        <f>_xll.BDP("912810FS Govt","IDX_RATIO")</f>
        <v>1.3759399999999999</v>
      </c>
    </row>
    <row r="34" spans="1:20" x14ac:dyDescent="0.25">
      <c r="A34" t="s">
        <v>14</v>
      </c>
      <c r="B34" t="str">
        <f>_xll.BDP("912810FR Govt","TICKER")</f>
        <v>TII</v>
      </c>
      <c r="C34">
        <f>_xll.BDP("912810FR Govt","CPN")</f>
        <v>2.375</v>
      </c>
      <c r="D34">
        <f>_xll.BDP("912810FR Govt","YLD_YTM_BID")</f>
        <v>-2.0420768776148823</v>
      </c>
      <c r="E34" t="str">
        <f>_xll.BDP("912810FR Govt","MATURITY")</f>
        <v>1/15/2025</v>
      </c>
      <c r="F34" t="str">
        <f>_xll.BDP("912810FR Govt","MTY_TYP")</f>
        <v>NORMAL</v>
      </c>
      <c r="G34" t="str">
        <f>_xll.BDP("912810FR Govt","CRNCY")</f>
        <v>USD</v>
      </c>
      <c r="H34" t="str">
        <f>_xll.BDP("912810FR Govt","COUNTRY_FULL_NAME")</f>
        <v>UNITED STATES</v>
      </c>
      <c r="I34" t="str">
        <f>_xll.BDP("912810FR Govt","FIRST_CPN_DT")</f>
        <v>1/15/2005</v>
      </c>
      <c r="J34" t="str">
        <f>_xll.BDP("912810FR Govt","COUPON_FREQUENCY_DESCRIPTION")</f>
        <v>S/A</v>
      </c>
      <c r="K34" t="str">
        <f>_xll.BDP("912810FR Govt","CPN_TYP")</f>
        <v>FIXED</v>
      </c>
      <c r="L34" t="str">
        <f>_xll.BDP("912810FR Govt","ID_ISIN")</f>
        <v>US912810FR42</v>
      </c>
      <c r="M34">
        <v>28001000000</v>
      </c>
      <c r="N34">
        <v>28001000000</v>
      </c>
      <c r="O34" t="str">
        <f>_xll.BDP("912810FR Govt","ISSUE_DT")</f>
        <v>7/30/2004</v>
      </c>
      <c r="P34" t="str">
        <f>_xll.BDP("912810FR Govt","SECURITY_NAME")</f>
        <v>TII 2 3/8 01/15/25</v>
      </c>
      <c r="Q34" t="str">
        <f>_xll.BDP("912810FR Govt","DAY_CNT_DES")</f>
        <v>ACT/ACT</v>
      </c>
      <c r="R34">
        <v>100</v>
      </c>
      <c r="S34" t="str">
        <f>_xll.BDP("912810FR Govt","ID_CUSIP")</f>
        <v>912810FR4</v>
      </c>
      <c r="T34">
        <f>_xll.BDP("912810FR Govt","IDX_RATIO")</f>
        <v>1.4487999999999999</v>
      </c>
    </row>
    <row r="35" spans="1:20" x14ac:dyDescent="0.25">
      <c r="A35" t="s">
        <v>14</v>
      </c>
      <c r="B35" t="str">
        <f>_xll.BDP("912810FD Govt","TICKER")</f>
        <v>TII</v>
      </c>
      <c r="C35">
        <f>_xll.BDP("912810FD Govt","CPN")</f>
        <v>3.625</v>
      </c>
      <c r="D35">
        <f>_xll.BDP("912810FD Govt","YLD_YTM_BID")</f>
        <v>-1.3502342808859187</v>
      </c>
      <c r="E35" t="str">
        <f>_xll.BDP("912810FD Govt","MATURITY")</f>
        <v>4/15/2028</v>
      </c>
      <c r="F35" t="str">
        <f>_xll.BDP("912810FD Govt","MTY_TYP")</f>
        <v>NORMAL</v>
      </c>
      <c r="G35" t="str">
        <f>_xll.BDP("912810FD Govt","CRNCY")</f>
        <v>USD</v>
      </c>
      <c r="H35" t="str">
        <f>_xll.BDP("912810FD Govt","COUNTRY_FULL_NAME")</f>
        <v>UNITED STATES</v>
      </c>
      <c r="I35" t="str">
        <f>_xll.BDP("912810FD Govt","FIRST_CPN_DT")</f>
        <v>10/15/1998</v>
      </c>
      <c r="J35" t="str">
        <f>_xll.BDP("912810FD Govt","COUPON_FREQUENCY_DESCRIPTION")</f>
        <v>S/A</v>
      </c>
      <c r="K35" t="str">
        <f>_xll.BDP("912810FD Govt","CPN_TYP")</f>
        <v>FIXED</v>
      </c>
      <c r="L35" t="str">
        <f>_xll.BDP("912810FD Govt","ID_ISIN")</f>
        <v>US912810FD55</v>
      </c>
      <c r="M35">
        <v>16808000000</v>
      </c>
      <c r="N35">
        <v>16783000000</v>
      </c>
      <c r="O35" t="str">
        <f>_xll.BDP("912810FD Govt","ISSUE_DT")</f>
        <v>4/15/1998</v>
      </c>
      <c r="P35" t="str">
        <f>_xll.BDP("912810FD Govt","SECURITY_NAME")</f>
        <v>TII 3 5/8 04/15/28</v>
      </c>
      <c r="Q35" t="str">
        <f>_xll.BDP("912810FD Govt","DAY_CNT_DES")</f>
        <v>ACT/ACT</v>
      </c>
      <c r="R35">
        <v>100</v>
      </c>
      <c r="S35" t="str">
        <f>_xll.BDP("912810FD Govt","ID_CUSIP")</f>
        <v>912810FD5</v>
      </c>
      <c r="T35">
        <f>_xll.BDP("912810FD Govt","IDX_RATIO")</f>
        <v>1.68848</v>
      </c>
    </row>
    <row r="36" spans="1:20" x14ac:dyDescent="0.25">
      <c r="A36" t="s">
        <v>14</v>
      </c>
      <c r="B36" t="str">
        <f>_xll.BDP("912810FQ Govt","TICKER")</f>
        <v>TII</v>
      </c>
      <c r="C36">
        <f>_xll.BDP("912810FQ Govt","CPN")</f>
        <v>3.375</v>
      </c>
      <c r="D36">
        <f>_xll.BDP("912810FQ Govt","YLD_YTM_BID")</f>
        <v>-0.87951880775564151</v>
      </c>
      <c r="E36" t="str">
        <f>_xll.BDP("912810FQ Govt","MATURITY")</f>
        <v>4/15/2032</v>
      </c>
      <c r="F36" t="str">
        <f>_xll.BDP("912810FQ Govt","MTY_TYP")</f>
        <v>NORMAL</v>
      </c>
      <c r="G36" t="str">
        <f>_xll.BDP("912810FQ Govt","CRNCY")</f>
        <v>USD</v>
      </c>
      <c r="H36" t="str">
        <f>_xll.BDP("912810FQ Govt","COUNTRY_FULL_NAME")</f>
        <v>UNITED STATES</v>
      </c>
      <c r="I36" t="str">
        <f>_xll.BDP("912810FQ Govt","FIRST_CPN_DT")</f>
        <v>4/15/2002</v>
      </c>
      <c r="J36" t="str">
        <f>_xll.BDP("912810FQ Govt","COUPON_FREQUENCY_DESCRIPTION")</f>
        <v>S/A</v>
      </c>
      <c r="K36" t="str">
        <f>_xll.BDP("912810FQ Govt","CPN_TYP")</f>
        <v>FIXED</v>
      </c>
      <c r="L36" t="str">
        <f>_xll.BDP("912810FQ Govt","ID_ISIN")</f>
        <v>US912810FQ68</v>
      </c>
      <c r="M36">
        <v>5012000000</v>
      </c>
      <c r="N36">
        <v>5012000000</v>
      </c>
      <c r="O36" t="str">
        <f>_xll.BDP("912810FQ Govt","ISSUE_DT")</f>
        <v>10/15/2001</v>
      </c>
      <c r="P36" t="str">
        <f>_xll.BDP("912810FQ Govt","SECURITY_NAME")</f>
        <v>TII 3 3/8 04/15/32</v>
      </c>
      <c r="Q36" t="str">
        <f>_xll.BDP("912810FQ Govt","DAY_CNT_DES")</f>
        <v>ACT/ACT</v>
      </c>
      <c r="R36">
        <v>100</v>
      </c>
      <c r="S36" t="str">
        <f>_xll.BDP("912810FQ Govt","ID_CUSIP")</f>
        <v>912810FQ6</v>
      </c>
      <c r="T36">
        <f>_xll.BDP("912810FQ Govt","IDX_RATIO")</f>
        <v>1.5385599999999999</v>
      </c>
    </row>
    <row r="37" spans="1:20" x14ac:dyDescent="0.25">
      <c r="A37" t="s">
        <v>14</v>
      </c>
      <c r="B37" t="str">
        <f>_xll.BDP("912810RL Govt","TICKER")</f>
        <v>TII</v>
      </c>
      <c r="C37">
        <f>_xll.BDP("912810RL Govt","CPN")</f>
        <v>0.75</v>
      </c>
      <c r="D37">
        <f>_xll.BDP("912810RL Govt","YLD_YTM_BID")</f>
        <v>-0.24625407018354104</v>
      </c>
      <c r="E37" t="str">
        <f>_xll.BDP("912810RL Govt","MATURITY")</f>
        <v>2/15/2045</v>
      </c>
      <c r="F37" t="str">
        <f>_xll.BDP("912810RL Govt","MTY_TYP")</f>
        <v>NORMAL</v>
      </c>
      <c r="G37" t="str">
        <f>_xll.BDP("912810RL Govt","CRNCY")</f>
        <v>USD</v>
      </c>
      <c r="H37" t="str">
        <f>_xll.BDP("912810RL Govt","COUNTRY_FULL_NAME")</f>
        <v>UNITED STATES</v>
      </c>
      <c r="I37" t="str">
        <f>_xll.BDP("912810RL Govt","FIRST_CPN_DT")</f>
        <v>8/15/2015</v>
      </c>
      <c r="J37" t="str">
        <f>_xll.BDP("912810RL Govt","COUPON_FREQUENCY_DESCRIPTION")</f>
        <v>S/A</v>
      </c>
      <c r="K37" t="str">
        <f>_xll.BDP("912810RL Govt","CPN_TYP")</f>
        <v>FIXED</v>
      </c>
      <c r="L37" t="str">
        <f>_xll.BDP("912810RL Govt","ID_ISIN")</f>
        <v>US912810RL44</v>
      </c>
      <c r="M37">
        <v>23000000000</v>
      </c>
      <c r="N37">
        <v>23000000000</v>
      </c>
      <c r="O37" t="str">
        <f>_xll.BDP("912810RL Govt","ISSUE_DT")</f>
        <v>2/27/2015</v>
      </c>
      <c r="P37" t="str">
        <f>_xll.BDP("912810RL Govt","SECURITY_NAME")</f>
        <v>TII 0 3/4 02/15/45</v>
      </c>
      <c r="Q37" t="str">
        <f>_xll.BDP("912810RL Govt","DAY_CNT_DES")</f>
        <v>ACT/ACT</v>
      </c>
      <c r="R37">
        <v>100</v>
      </c>
      <c r="S37" t="str">
        <f>_xll.BDP("912810RL Govt","ID_CUSIP")</f>
        <v>912810RL4</v>
      </c>
      <c r="T37">
        <f>_xll.BDP("912810RL Govt","IDX_RATIO")</f>
        <v>1.1597299999999999</v>
      </c>
    </row>
    <row r="38" spans="1:20" x14ac:dyDescent="0.25">
      <c r="A38" t="s">
        <v>14</v>
      </c>
      <c r="B38" t="str">
        <f>_xll.BDP("912810QF Govt","TICKER")</f>
        <v>TII</v>
      </c>
      <c r="C38">
        <f>_xll.BDP("912810QF Govt","CPN")</f>
        <v>2.125</v>
      </c>
      <c r="D38">
        <f>_xll.BDP("912810QF Govt","YLD_YTM_BID")</f>
        <v>-0.4661857572510536</v>
      </c>
      <c r="E38" t="str">
        <f>_xll.BDP("912810QF Govt","MATURITY")</f>
        <v>2/15/2040</v>
      </c>
      <c r="F38" t="str">
        <f>_xll.BDP("912810QF Govt","MTY_TYP")</f>
        <v>NORMAL</v>
      </c>
      <c r="G38" t="str">
        <f>_xll.BDP("912810QF Govt","CRNCY")</f>
        <v>USD</v>
      </c>
      <c r="H38" t="str">
        <f>_xll.BDP("912810QF Govt","COUNTRY_FULL_NAME")</f>
        <v>UNITED STATES</v>
      </c>
      <c r="I38" t="str">
        <f>_xll.BDP("912810QF Govt","FIRST_CPN_DT")</f>
        <v>8/15/2010</v>
      </c>
      <c r="J38" t="str">
        <f>_xll.BDP("912810QF Govt","COUPON_FREQUENCY_DESCRIPTION")</f>
        <v>S/A</v>
      </c>
      <c r="K38" t="str">
        <f>_xll.BDP("912810QF Govt","CPN_TYP")</f>
        <v>FIXED</v>
      </c>
      <c r="L38" t="str">
        <f>_xll.BDP("912810QF Govt","ID_ISIN")</f>
        <v>US912810QF84</v>
      </c>
      <c r="M38">
        <v>15171000000</v>
      </c>
      <c r="N38">
        <v>15171000000</v>
      </c>
      <c r="O38" t="str">
        <f>_xll.BDP("912810QF Govt","ISSUE_DT")</f>
        <v>2/26/2010</v>
      </c>
      <c r="P38" t="str">
        <f>_xll.BDP("912810QF Govt","SECURITY_NAME")</f>
        <v>TII 2 1/8 02/15/40</v>
      </c>
      <c r="Q38" t="str">
        <f>_xll.BDP("912810QF Govt","DAY_CNT_DES")</f>
        <v>ACT/ACT</v>
      </c>
      <c r="R38">
        <v>100</v>
      </c>
      <c r="S38" t="str">
        <f>_xll.BDP("912810QF Govt","ID_CUSIP")</f>
        <v>912810QF8</v>
      </c>
      <c r="T38">
        <f>_xll.BDP("912810QF Govt","IDX_RATIO")</f>
        <v>1.2635100000000001</v>
      </c>
    </row>
    <row r="39" spans="1:20" x14ac:dyDescent="0.25">
      <c r="A39" t="s">
        <v>14</v>
      </c>
      <c r="B39" t="str">
        <f>_xll.BDP("912810QV Govt","TICKER")</f>
        <v>TII</v>
      </c>
      <c r="C39">
        <f>_xll.BDP("912810QV Govt","CPN")</f>
        <v>0.75</v>
      </c>
      <c r="D39">
        <f>_xll.BDP("912810QV Govt","YLD_YTM_BID")</f>
        <v>-0.32814509008838494</v>
      </c>
      <c r="E39" t="str">
        <f>_xll.BDP("912810QV Govt","MATURITY")</f>
        <v>2/15/2042</v>
      </c>
      <c r="F39" t="str">
        <f>_xll.BDP("912810QV Govt","MTY_TYP")</f>
        <v>NORMAL</v>
      </c>
      <c r="G39" t="str">
        <f>_xll.BDP("912810QV Govt","CRNCY")</f>
        <v>USD</v>
      </c>
      <c r="H39" t="str">
        <f>_xll.BDP("912810QV Govt","COUNTRY_FULL_NAME")</f>
        <v>UNITED STATES</v>
      </c>
      <c r="I39" t="str">
        <f>_xll.BDP("912810QV Govt","FIRST_CPN_DT")</f>
        <v>8/15/2012</v>
      </c>
      <c r="J39" t="str">
        <f>_xll.BDP("912810QV Govt","COUPON_FREQUENCY_DESCRIPTION")</f>
        <v>S/A</v>
      </c>
      <c r="K39" t="str">
        <f>_xll.BDP("912810QV Govt","CPN_TYP")</f>
        <v>FIXED</v>
      </c>
      <c r="L39" t="str">
        <f>_xll.BDP("912810QV Govt","ID_ISIN")</f>
        <v>US912810QV35</v>
      </c>
      <c r="M39">
        <v>23128000000</v>
      </c>
      <c r="N39">
        <v>23128000000</v>
      </c>
      <c r="O39" t="str">
        <f>_xll.BDP("912810QV Govt","ISSUE_DT")</f>
        <v>2/29/2012</v>
      </c>
      <c r="P39" t="str">
        <f>_xll.BDP("912810QV Govt","SECURITY_NAME")</f>
        <v>TII 0 3/4 02/15/42</v>
      </c>
      <c r="Q39" t="str">
        <f>_xll.BDP("912810QV Govt","DAY_CNT_DES")</f>
        <v>ACT/ACT</v>
      </c>
      <c r="R39">
        <v>100</v>
      </c>
      <c r="S39" t="str">
        <f>_xll.BDP("912810QV Govt","ID_CUSIP")</f>
        <v>912810QV3</v>
      </c>
      <c r="T39">
        <f>_xll.BDP("912810QV Govt","IDX_RATIO")</f>
        <v>1.2085900000000001</v>
      </c>
    </row>
    <row r="40" spans="1:20" x14ac:dyDescent="0.25">
      <c r="A40" t="s">
        <v>14</v>
      </c>
      <c r="B40" t="str">
        <f>_xll.BDP("912810RW Govt","TICKER")</f>
        <v>TII</v>
      </c>
      <c r="C40">
        <f>_xll.BDP("912810RW Govt","CPN")</f>
        <v>0.875</v>
      </c>
      <c r="D40">
        <f>_xll.BDP("912810RW Govt","YLD_YTM_BID")</f>
        <v>-0.24314919266227489</v>
      </c>
      <c r="E40" t="str">
        <f>_xll.BDP("912810RW Govt","MATURITY")</f>
        <v>2/15/2047</v>
      </c>
      <c r="F40" t="str">
        <f>_xll.BDP("912810RW Govt","MTY_TYP")</f>
        <v>NORMAL</v>
      </c>
      <c r="G40" t="str">
        <f>_xll.BDP("912810RW Govt","CRNCY")</f>
        <v>USD</v>
      </c>
      <c r="H40" t="str">
        <f>_xll.BDP("912810RW Govt","COUNTRY_FULL_NAME")</f>
        <v>UNITED STATES</v>
      </c>
      <c r="I40" t="str">
        <f>_xll.BDP("912810RW Govt","FIRST_CPN_DT")</f>
        <v>8/15/2017</v>
      </c>
      <c r="J40" t="str">
        <f>_xll.BDP("912810RW Govt","COUPON_FREQUENCY_DESCRIPTION")</f>
        <v>S/A</v>
      </c>
      <c r="K40" t="str">
        <f>_xll.BDP("912810RW Govt","CPN_TYP")</f>
        <v>FIXED</v>
      </c>
      <c r="L40" t="str">
        <f>_xll.BDP("912810RW Govt","ID_ISIN")</f>
        <v>US912810RW09</v>
      </c>
      <c r="M40">
        <v>18701000000</v>
      </c>
      <c r="N40">
        <v>18701000000</v>
      </c>
      <c r="O40" t="str">
        <f>_xll.BDP("912810RW Govt","ISSUE_DT")</f>
        <v>2/28/2017</v>
      </c>
      <c r="P40" t="str">
        <f>_xll.BDP("912810RW Govt","SECURITY_NAME")</f>
        <v>TII 0 7/8 02/15/47</v>
      </c>
      <c r="Q40" t="str">
        <f>_xll.BDP("912810RW Govt","DAY_CNT_DES")</f>
        <v>ACT/ACT</v>
      </c>
      <c r="R40">
        <v>100</v>
      </c>
      <c r="S40" t="str">
        <f>_xll.BDP("912810RW Govt","ID_CUSIP")</f>
        <v>912810RW0</v>
      </c>
      <c r="T40">
        <f>_xll.BDP("912810RW Govt","IDX_RATIO")</f>
        <v>1.1313299999999999</v>
      </c>
    </row>
    <row r="41" spans="1:20" x14ac:dyDescent="0.25">
      <c r="A41" t="s">
        <v>14</v>
      </c>
      <c r="B41" t="str">
        <f>_xll.BDP("912810FH Govt","TICKER")</f>
        <v>TII</v>
      </c>
      <c r="C41">
        <f>_xll.BDP("912810FH Govt","CPN")</f>
        <v>3.875</v>
      </c>
      <c r="D41">
        <f>_xll.BDP("912810FH Govt","YLD_YTM_BID")</f>
        <v>-1.1864001831498987</v>
      </c>
      <c r="E41" t="str">
        <f>_xll.BDP("912810FH Govt","MATURITY")</f>
        <v>4/15/2029</v>
      </c>
      <c r="F41" t="str">
        <f>_xll.BDP("912810FH Govt","MTY_TYP")</f>
        <v>NORMAL</v>
      </c>
      <c r="G41" t="str">
        <f>_xll.BDP("912810FH Govt","CRNCY")</f>
        <v>USD</v>
      </c>
      <c r="H41" t="str">
        <f>_xll.BDP("912810FH Govt","COUNTRY_FULL_NAME")</f>
        <v>UNITED STATES</v>
      </c>
      <c r="I41" t="str">
        <f>_xll.BDP("912810FH Govt","FIRST_CPN_DT")</f>
        <v>10/15/1999</v>
      </c>
      <c r="J41" t="str">
        <f>_xll.BDP("912810FH Govt","COUPON_FREQUENCY_DESCRIPTION")</f>
        <v>S/A</v>
      </c>
      <c r="K41" t="str">
        <f>_xll.BDP("912810FH Govt","CPN_TYP")</f>
        <v>FIXED</v>
      </c>
      <c r="L41" t="str">
        <f>_xll.BDP("912810FH Govt","ID_ISIN")</f>
        <v>US912810FH69</v>
      </c>
      <c r="M41">
        <v>19722000000</v>
      </c>
      <c r="N41">
        <v>19497000000</v>
      </c>
      <c r="O41" t="str">
        <f>_xll.BDP("912810FH Govt","ISSUE_DT")</f>
        <v>4/15/1999</v>
      </c>
      <c r="P41" t="str">
        <f>_xll.BDP("912810FH Govt","SECURITY_NAME")</f>
        <v>TII 3 7/8 04/15/29</v>
      </c>
      <c r="Q41" t="str">
        <f>_xll.BDP("912810FH Govt","DAY_CNT_DES")</f>
        <v>ACT/ACT</v>
      </c>
      <c r="R41">
        <v>100</v>
      </c>
      <c r="S41" t="str">
        <f>_xll.BDP("912810FH Govt","ID_CUSIP")</f>
        <v>912810FH6</v>
      </c>
      <c r="T41">
        <f>_xll.BDP("912810FH Govt","IDX_RATIO")</f>
        <v>1.6612200000000001</v>
      </c>
    </row>
    <row r="42" spans="1:20" x14ac:dyDescent="0.25">
      <c r="A42" t="s">
        <v>14</v>
      </c>
      <c r="B42" t="str">
        <f>_xll.BDP("912810SB Govt","TICKER")</f>
        <v>TII</v>
      </c>
      <c r="C42">
        <f>_xll.BDP("912810SB Govt","CPN")</f>
        <v>1</v>
      </c>
      <c r="D42">
        <f>_xll.BDP("912810SB Govt","YLD_YTM_BID")</f>
        <v>-0.24257708848315002</v>
      </c>
      <c r="E42" t="str">
        <f>_xll.BDP("912810SB Govt","MATURITY")</f>
        <v>2/15/2048</v>
      </c>
      <c r="F42" t="str">
        <f>_xll.BDP("912810SB Govt","MTY_TYP")</f>
        <v>NORMAL</v>
      </c>
      <c r="G42" t="str">
        <f>_xll.BDP("912810SB Govt","CRNCY")</f>
        <v>USD</v>
      </c>
      <c r="H42" t="str">
        <f>_xll.BDP("912810SB Govt","COUNTRY_FULL_NAME")</f>
        <v>UNITED STATES</v>
      </c>
      <c r="I42" t="str">
        <f>_xll.BDP("912810SB Govt","FIRST_CPN_DT")</f>
        <v>8/15/2018</v>
      </c>
      <c r="J42" t="str">
        <f>_xll.BDP("912810SB Govt","COUPON_FREQUENCY_DESCRIPTION")</f>
        <v>S/A</v>
      </c>
      <c r="K42" t="str">
        <f>_xll.BDP("912810SB Govt","CPN_TYP")</f>
        <v>FIXED</v>
      </c>
      <c r="L42" t="str">
        <f>_xll.BDP("912810SB Govt","ID_ISIN")</f>
        <v>US912810SB52</v>
      </c>
      <c r="M42">
        <v>18707000000</v>
      </c>
      <c r="N42">
        <v>18707000000</v>
      </c>
      <c r="O42" t="str">
        <f>_xll.BDP("912810SB Govt","ISSUE_DT")</f>
        <v>2/28/2018</v>
      </c>
      <c r="P42" t="str">
        <f>_xll.BDP("912810SB Govt","SECURITY_NAME")</f>
        <v>TII 1 02/15/48</v>
      </c>
      <c r="Q42" t="str">
        <f>_xll.BDP("912810SB Govt","DAY_CNT_DES")</f>
        <v>ACT/ACT</v>
      </c>
      <c r="R42">
        <v>100</v>
      </c>
      <c r="S42" t="str">
        <f>_xll.BDP("912810SB Govt","ID_CUSIP")</f>
        <v>912810SB5</v>
      </c>
      <c r="T42">
        <f>_xll.BDP("912810SB Govt","IDX_RATIO")</f>
        <v>1.10745</v>
      </c>
    </row>
    <row r="43" spans="1:20" x14ac:dyDescent="0.25">
      <c r="A43" t="s">
        <v>14</v>
      </c>
      <c r="B43" t="str">
        <f>_xll.BDP("912810RA Govt","TICKER")</f>
        <v>TII</v>
      </c>
      <c r="C43">
        <f>_xll.BDP("912810RA Govt","CPN")</f>
        <v>0.625</v>
      </c>
      <c r="D43">
        <f>_xll.BDP("912810RA Govt","YLD_YTM_BID")</f>
        <v>-0.28498926402052754</v>
      </c>
      <c r="E43" t="str">
        <f>_xll.BDP("912810RA Govt","MATURITY")</f>
        <v>2/15/2043</v>
      </c>
      <c r="F43" t="str">
        <f>_xll.BDP("912810RA Govt","MTY_TYP")</f>
        <v>NORMAL</v>
      </c>
      <c r="G43" t="str">
        <f>_xll.BDP("912810RA Govt","CRNCY")</f>
        <v>USD</v>
      </c>
      <c r="H43" t="str">
        <f>_xll.BDP("912810RA Govt","COUNTRY_FULL_NAME")</f>
        <v>UNITED STATES</v>
      </c>
      <c r="I43" t="str">
        <f>_xll.BDP("912810RA Govt","FIRST_CPN_DT")</f>
        <v>8/15/2013</v>
      </c>
      <c r="J43" t="str">
        <f>_xll.BDP("912810RA Govt","COUPON_FREQUENCY_DESCRIPTION")</f>
        <v>S/A</v>
      </c>
      <c r="K43" t="str">
        <f>_xll.BDP("912810RA Govt","CPN_TYP")</f>
        <v>FIXED</v>
      </c>
      <c r="L43" t="str">
        <f>_xll.BDP("912810RA Govt","ID_ISIN")</f>
        <v>US912810RA88</v>
      </c>
      <c r="M43">
        <v>23000000000</v>
      </c>
      <c r="N43">
        <v>23000000000</v>
      </c>
      <c r="O43" t="str">
        <f>_xll.BDP("912810RA Govt","ISSUE_DT")</f>
        <v>2/28/2013</v>
      </c>
      <c r="P43" t="str">
        <f>_xll.BDP("912810RA Govt","SECURITY_NAME")</f>
        <v>TII 0 5/8 02/15/43</v>
      </c>
      <c r="Q43" t="str">
        <f>_xll.BDP("912810RA Govt","DAY_CNT_DES")</f>
        <v>ACT/ACT</v>
      </c>
      <c r="R43">
        <v>100</v>
      </c>
      <c r="S43" t="str">
        <f>_xll.BDP("912810RA Govt","ID_CUSIP")</f>
        <v>912810RA8</v>
      </c>
      <c r="T43">
        <f>_xll.BDP("912810RA Govt","IDX_RATIO")</f>
        <v>1.1878199999999999</v>
      </c>
    </row>
    <row r="44" spans="1:20" x14ac:dyDescent="0.25">
      <c r="A44" t="s">
        <v>14</v>
      </c>
      <c r="B44" t="str">
        <f>_xll.BDP("912810SG Govt","TICKER")</f>
        <v>TII</v>
      </c>
      <c r="C44">
        <f>_xll.BDP("912810SG Govt","CPN")</f>
        <v>1</v>
      </c>
      <c r="D44">
        <f>_xll.BDP("912810SG Govt","YLD_YTM_BID")</f>
        <v>-0.24425196760269707</v>
      </c>
      <c r="E44" t="str">
        <f>_xll.BDP("912810SG Govt","MATURITY")</f>
        <v>2/15/2049</v>
      </c>
      <c r="F44" t="str">
        <f>_xll.BDP("912810SG Govt","MTY_TYP")</f>
        <v>NORMAL</v>
      </c>
      <c r="G44" t="str">
        <f>_xll.BDP("912810SG Govt","CRNCY")</f>
        <v>USD</v>
      </c>
      <c r="H44" t="str">
        <f>_xll.BDP("912810SG Govt","COUNTRY_FULL_NAME")</f>
        <v>UNITED STATES</v>
      </c>
      <c r="I44" t="str">
        <f>_xll.BDP("912810SG Govt","FIRST_CPN_DT")</f>
        <v>8/15/2019</v>
      </c>
      <c r="J44" t="str">
        <f>_xll.BDP("912810SG Govt","COUPON_FREQUENCY_DESCRIPTION")</f>
        <v>S/A</v>
      </c>
      <c r="K44" t="str">
        <f>_xll.BDP("912810SG Govt","CPN_TYP")</f>
        <v>FIXED</v>
      </c>
      <c r="L44" t="str">
        <f>_xll.BDP("912810SG Govt","ID_ISIN")</f>
        <v>US912810SG40</v>
      </c>
      <c r="M44">
        <v>15385000000</v>
      </c>
      <c r="N44">
        <v>15385000000</v>
      </c>
      <c r="O44" t="str">
        <f>_xll.BDP("912810SG Govt","ISSUE_DT")</f>
        <v>2/28/2019</v>
      </c>
      <c r="P44" t="str">
        <f>_xll.BDP("912810SG Govt","SECURITY_NAME")</f>
        <v>TII 1 02/15/49</v>
      </c>
      <c r="Q44" t="str">
        <f>_xll.BDP("912810SG Govt","DAY_CNT_DES")</f>
        <v>ACT/ACT</v>
      </c>
      <c r="R44">
        <v>100</v>
      </c>
      <c r="S44" t="str">
        <f>_xll.BDP("912810SG Govt","ID_CUSIP")</f>
        <v>912810SG4</v>
      </c>
      <c r="T44">
        <f>_xll.BDP("912810SG Govt","IDX_RATIO")</f>
        <v>1.08528</v>
      </c>
    </row>
    <row r="45" spans="1:20" x14ac:dyDescent="0.25">
      <c r="A45" t="s">
        <v>14</v>
      </c>
      <c r="B45" t="str">
        <f>_xll.BDP("912810PS Govt","TICKER")</f>
        <v>TII</v>
      </c>
      <c r="C45">
        <f>_xll.BDP("912810PS Govt","CPN")</f>
        <v>2.375</v>
      </c>
      <c r="D45">
        <f>_xll.BDP("912810PS Govt","YLD_YTM_BID")</f>
        <v>-1.5999607883473155</v>
      </c>
      <c r="E45" t="str">
        <f>_xll.BDP("912810PS Govt","MATURITY")</f>
        <v>1/15/2027</v>
      </c>
      <c r="F45" t="str">
        <f>_xll.BDP("912810PS Govt","MTY_TYP")</f>
        <v>NORMAL</v>
      </c>
      <c r="G45" t="str">
        <f>_xll.BDP("912810PS Govt","CRNCY")</f>
        <v>USD</v>
      </c>
      <c r="H45" t="str">
        <f>_xll.BDP("912810PS Govt","COUNTRY_FULL_NAME")</f>
        <v>UNITED STATES</v>
      </c>
      <c r="I45" t="str">
        <f>_xll.BDP("912810PS Govt","FIRST_CPN_DT")</f>
        <v>7/15/2007</v>
      </c>
      <c r="J45" t="str">
        <f>_xll.BDP("912810PS Govt","COUPON_FREQUENCY_DESCRIPTION")</f>
        <v>S/A</v>
      </c>
      <c r="K45" t="str">
        <f>_xll.BDP("912810PS Govt","CPN_TYP")</f>
        <v>FIXED</v>
      </c>
      <c r="L45" t="str">
        <f>_xll.BDP("912810PS Govt","ID_ISIN")</f>
        <v>US912810PS15</v>
      </c>
      <c r="M45">
        <v>16482000000</v>
      </c>
      <c r="N45">
        <v>16482000000</v>
      </c>
      <c r="O45" t="str">
        <f>_xll.BDP("912810PS Govt","ISSUE_DT")</f>
        <v>1/31/2007</v>
      </c>
      <c r="P45" t="str">
        <f>_xll.BDP("912810PS Govt","SECURITY_NAME")</f>
        <v>TII 2 3/8 01/15/27</v>
      </c>
      <c r="Q45" t="str">
        <f>_xll.BDP("912810PS Govt","DAY_CNT_DES")</f>
        <v>ACT/ACT</v>
      </c>
      <c r="R45">
        <v>100</v>
      </c>
      <c r="S45" t="str">
        <f>_xll.BDP("912810PS Govt","ID_CUSIP")</f>
        <v>912810PS1</v>
      </c>
      <c r="T45">
        <f>_xll.BDP("912810PS Govt","IDX_RATIO")</f>
        <v>1.3542000000000001</v>
      </c>
    </row>
    <row r="46" spans="1:20" x14ac:dyDescent="0.25">
      <c r="A46" t="s">
        <v>14</v>
      </c>
      <c r="B46" t="str">
        <f>_xll.BDP("912810PV Govt","TICKER")</f>
        <v>TII</v>
      </c>
      <c r="C46">
        <f>_xll.BDP("912810PV Govt","CPN")</f>
        <v>1.75</v>
      </c>
      <c r="D46">
        <f>_xll.BDP("912810PV Govt","YLD_YTM_BID")</f>
        <v>-1.4009488485493495</v>
      </c>
      <c r="E46" t="str">
        <f>_xll.BDP("912810PV Govt","MATURITY")</f>
        <v>1/15/2028</v>
      </c>
      <c r="F46" t="str">
        <f>_xll.BDP("912810PV Govt","MTY_TYP")</f>
        <v>NORMAL</v>
      </c>
      <c r="G46" t="str">
        <f>_xll.BDP("912810PV Govt","CRNCY")</f>
        <v>USD</v>
      </c>
      <c r="H46" t="str">
        <f>_xll.BDP("912810PV Govt","COUNTRY_FULL_NAME")</f>
        <v>UNITED STATES</v>
      </c>
      <c r="I46" t="str">
        <f>_xll.BDP("912810PV Govt","FIRST_CPN_DT")</f>
        <v>7/15/2008</v>
      </c>
      <c r="J46" t="str">
        <f>_xll.BDP("912810PV Govt","COUPON_FREQUENCY_DESCRIPTION")</f>
        <v>S/A</v>
      </c>
      <c r="K46" t="str">
        <f>_xll.BDP("912810PV Govt","CPN_TYP")</f>
        <v>FIXED</v>
      </c>
      <c r="L46" t="str">
        <f>_xll.BDP("912810PV Govt","ID_ISIN")</f>
        <v>US912810PV44</v>
      </c>
      <c r="M46">
        <v>15634000000</v>
      </c>
      <c r="N46">
        <v>15634000000</v>
      </c>
      <c r="O46" t="str">
        <f>_xll.BDP("912810PV Govt","ISSUE_DT")</f>
        <v>1/31/2008</v>
      </c>
      <c r="P46" t="str">
        <f>_xll.BDP("912810PV Govt","SECURITY_NAME")</f>
        <v>TII 1 3/4 01/15/28</v>
      </c>
      <c r="Q46" t="str">
        <f>_xll.BDP("912810PV Govt","DAY_CNT_DES")</f>
        <v>ACT/ACT</v>
      </c>
      <c r="R46">
        <v>100</v>
      </c>
      <c r="S46" t="str">
        <f>_xll.BDP("912810PV Govt","ID_CUSIP")</f>
        <v>912810PV4</v>
      </c>
      <c r="T46">
        <f>_xll.BDP("912810PV Govt","IDX_RATIO")</f>
        <v>1.3035700000000001</v>
      </c>
    </row>
    <row r="47" spans="1:20" x14ac:dyDescent="0.25">
      <c r="A47" t="s">
        <v>14</v>
      </c>
      <c r="B47" t="str">
        <f>_xll.BDP("912810RR Govt","TICKER")</f>
        <v>TII</v>
      </c>
      <c r="C47">
        <f>_xll.BDP("912810RR Govt","CPN")</f>
        <v>1</v>
      </c>
      <c r="D47">
        <f>_xll.BDP("912810RR Govt","YLD_YTM_BID")</f>
        <v>-0.24351892820738033</v>
      </c>
      <c r="E47" t="str">
        <f>_xll.BDP("912810RR Govt","MATURITY")</f>
        <v>2/15/2046</v>
      </c>
      <c r="F47" t="str">
        <f>_xll.BDP("912810RR Govt","MTY_TYP")</f>
        <v>NORMAL</v>
      </c>
      <c r="G47" t="str">
        <f>_xll.BDP("912810RR Govt","CRNCY")</f>
        <v>USD</v>
      </c>
      <c r="H47" t="str">
        <f>_xll.BDP("912810RR Govt","COUNTRY_FULL_NAME")</f>
        <v>UNITED STATES</v>
      </c>
      <c r="I47" t="str">
        <f>_xll.BDP("912810RR Govt","FIRST_CPN_DT")</f>
        <v>8/15/2016</v>
      </c>
      <c r="J47" t="str">
        <f>_xll.BDP("912810RR Govt","COUPON_FREQUENCY_DESCRIPTION")</f>
        <v>S/A</v>
      </c>
      <c r="K47" t="str">
        <f>_xll.BDP("912810RR Govt","CPN_TYP")</f>
        <v>FIXED</v>
      </c>
      <c r="L47" t="str">
        <f>_xll.BDP("912810RR Govt","ID_ISIN")</f>
        <v>US912810RR14</v>
      </c>
      <c r="M47">
        <v>20378000000</v>
      </c>
      <c r="N47">
        <v>20378000000</v>
      </c>
      <c r="O47" t="str">
        <f>_xll.BDP("912810RR Govt","ISSUE_DT")</f>
        <v>2/29/2016</v>
      </c>
      <c r="P47" t="str">
        <f>_xll.BDP("912810RR Govt","SECURITY_NAME")</f>
        <v>TII 1 02/15/46</v>
      </c>
      <c r="Q47" t="str">
        <f>_xll.BDP("912810RR Govt","DAY_CNT_DES")</f>
        <v>ACT/ACT</v>
      </c>
      <c r="R47">
        <v>100</v>
      </c>
      <c r="S47" t="str">
        <f>_xll.BDP("912810RR Govt","ID_CUSIP")</f>
        <v>912810RR1</v>
      </c>
      <c r="T47">
        <f>_xll.BDP("912810RR Govt","IDX_RATIO")</f>
        <v>1.1525700000000001</v>
      </c>
    </row>
    <row r="48" spans="1:20" x14ac:dyDescent="0.25">
      <c r="A48" t="s">
        <v>14</v>
      </c>
      <c r="B48" t="str">
        <f>_xll.BDP("912810PZ Govt","TICKER")</f>
        <v>TII</v>
      </c>
      <c r="C48">
        <f>_xll.BDP("912810PZ Govt","CPN")</f>
        <v>2.5</v>
      </c>
      <c r="D48">
        <f>_xll.BDP("912810PZ Govt","YLD_YTM_BID")</f>
        <v>-1.234378004939465</v>
      </c>
      <c r="E48" t="str">
        <f>_xll.BDP("912810PZ Govt","MATURITY")</f>
        <v>1/15/2029</v>
      </c>
      <c r="F48" t="str">
        <f>_xll.BDP("912810PZ Govt","MTY_TYP")</f>
        <v>NORMAL</v>
      </c>
      <c r="G48" t="str">
        <f>_xll.BDP("912810PZ Govt","CRNCY")</f>
        <v>USD</v>
      </c>
      <c r="H48" t="str">
        <f>_xll.BDP("912810PZ Govt","COUNTRY_FULL_NAME")</f>
        <v>UNITED STATES</v>
      </c>
      <c r="I48" t="str">
        <f>_xll.BDP("912810PZ Govt","FIRST_CPN_DT")</f>
        <v>7/15/2009</v>
      </c>
      <c r="J48" t="str">
        <f>_xll.BDP("912810PZ Govt","COUPON_FREQUENCY_DESCRIPTION")</f>
        <v>S/A</v>
      </c>
      <c r="K48" t="str">
        <f>_xll.BDP("912810PZ Govt","CPN_TYP")</f>
        <v>FIXED</v>
      </c>
      <c r="L48" t="str">
        <f>_xll.BDP("912810PZ Govt","ID_ISIN")</f>
        <v>US912810PZ57</v>
      </c>
      <c r="M48">
        <v>14151000000</v>
      </c>
      <c r="N48">
        <v>14151000000</v>
      </c>
      <c r="O48" t="str">
        <f>_xll.BDP("912810PZ Govt","ISSUE_DT")</f>
        <v>1/30/2009</v>
      </c>
      <c r="P48" t="str">
        <f>_xll.BDP("912810PZ Govt","SECURITY_NAME")</f>
        <v>TII 2 1/2 01/15/29</v>
      </c>
      <c r="Q48" t="str">
        <f>_xll.BDP("912810PZ Govt","DAY_CNT_DES")</f>
        <v>ACT/ACT</v>
      </c>
      <c r="R48">
        <v>100</v>
      </c>
      <c r="S48" t="str">
        <f>_xll.BDP("912810PZ Govt","ID_CUSIP")</f>
        <v>912810PZ5</v>
      </c>
      <c r="T48">
        <f>_xll.BDP("912810PZ Govt","IDX_RATIO")</f>
        <v>1.2719800000000001</v>
      </c>
    </row>
    <row r="49" spans="1:20" x14ac:dyDescent="0.25">
      <c r="A49" t="s">
        <v>14</v>
      </c>
      <c r="B49" t="str">
        <f>_xll.BDP("912828QV Govt","TICKER")</f>
        <v>TII</v>
      </c>
      <c r="C49">
        <f>_xll.BDP("912828QV Govt","CPN")</f>
        <v>0.625</v>
      </c>
      <c r="D49" t="str">
        <f>_xll.BDP("912828QV Govt","YLD_YTM_BID")</f>
        <v>#N/A N/A</v>
      </c>
      <c r="E49" t="str">
        <f>_xll.BDP("912828QV Govt","MATURITY")</f>
        <v>7/15/2021</v>
      </c>
      <c r="F49" t="str">
        <f>_xll.BDP("912828QV Govt","MTY_TYP")</f>
        <v>NORMAL</v>
      </c>
      <c r="G49" t="str">
        <f>_xll.BDP("912828QV Govt","CRNCY")</f>
        <v>USD</v>
      </c>
      <c r="H49" t="str">
        <f>_xll.BDP("912828QV Govt","COUNTRY_FULL_NAME")</f>
        <v>UNITED STATES</v>
      </c>
      <c r="I49" t="str">
        <f>_xll.BDP("912828QV Govt","FIRST_CPN_DT")</f>
        <v>1/15/2012</v>
      </c>
      <c r="J49" t="str">
        <f>_xll.BDP("912828QV Govt","COUPON_FREQUENCY_DESCRIPTION")</f>
        <v>S/A</v>
      </c>
      <c r="K49" t="str">
        <f>_xll.BDP("912828QV Govt","CPN_TYP")</f>
        <v>FIXED</v>
      </c>
      <c r="L49" t="str">
        <f>_xll.BDP("912828QV Govt","ID_ISIN")</f>
        <v>US912828QV50</v>
      </c>
      <c r="M49">
        <v>35840000000</v>
      </c>
      <c r="N49">
        <v>0</v>
      </c>
      <c r="O49" t="str">
        <f>_xll.BDP("912828QV Govt","ISSUE_DT")</f>
        <v>7/29/2011</v>
      </c>
      <c r="P49" t="str">
        <f>_xll.BDP("912828QV Govt","SECURITY_NAME")</f>
        <v>TII 0 5/8 07/15/21</v>
      </c>
      <c r="Q49" t="str">
        <f>_xll.BDP("912828QV Govt","DAY_CNT_DES")</f>
        <v>ACT/ACT</v>
      </c>
      <c r="R49">
        <v>100</v>
      </c>
      <c r="S49" t="str">
        <f>_xll.BDP("912828QV Govt","ID_CUSIP")</f>
        <v>912828QV5</v>
      </c>
      <c r="T49">
        <f>_xll.BDP("912828QV Govt","IDX_RATIO")</f>
        <v>1.1891799999999999</v>
      </c>
    </row>
    <row r="50" spans="1:20" x14ac:dyDescent="0.25">
      <c r="A50" t="s">
        <v>14</v>
      </c>
      <c r="B50" t="str">
        <f>_xll.BDP("912828Q6 Govt","TICKER")</f>
        <v>TII</v>
      </c>
      <c r="C50">
        <f>_xll.BDP("912828Q6 Govt","CPN")</f>
        <v>0.125</v>
      </c>
      <c r="D50" t="str">
        <f>_xll.BDP("912828Q6 Govt","YLD_YTM_BID")</f>
        <v>#N/A N/A</v>
      </c>
      <c r="E50" t="str">
        <f>_xll.BDP("912828Q6 Govt","MATURITY")</f>
        <v>4/15/2021</v>
      </c>
      <c r="F50" t="str">
        <f>_xll.BDP("912828Q6 Govt","MTY_TYP")</f>
        <v>NORMAL</v>
      </c>
      <c r="G50" t="str">
        <f>_xll.BDP("912828Q6 Govt","CRNCY")</f>
        <v>USD</v>
      </c>
      <c r="H50" t="str">
        <f>_xll.BDP("912828Q6 Govt","COUNTRY_FULL_NAME")</f>
        <v>UNITED STATES</v>
      </c>
      <c r="I50" t="str">
        <f>_xll.BDP("912828Q6 Govt","FIRST_CPN_DT")</f>
        <v>10/15/2016</v>
      </c>
      <c r="J50" t="str">
        <f>_xll.BDP("912828Q6 Govt","COUPON_FREQUENCY_DESCRIPTION")</f>
        <v>S/A</v>
      </c>
      <c r="K50" t="str">
        <f>_xll.BDP("912828Q6 Govt","CPN_TYP")</f>
        <v>FIXED</v>
      </c>
      <c r="L50" t="str">
        <f>_xll.BDP("912828Q6 Govt","ID_ISIN")</f>
        <v>US912828Q608</v>
      </c>
      <c r="M50">
        <v>44956000000</v>
      </c>
      <c r="N50">
        <v>0</v>
      </c>
      <c r="O50" t="str">
        <f>_xll.BDP("912828Q6 Govt","ISSUE_DT")</f>
        <v>4/29/2016</v>
      </c>
      <c r="P50" t="str">
        <f>_xll.BDP("912828Q6 Govt","SECURITY_NAME")</f>
        <v>TII 0 1/8 04/15/21</v>
      </c>
      <c r="Q50" t="str">
        <f>_xll.BDP("912828Q6 Govt","DAY_CNT_DES")</f>
        <v>ACT/ACT</v>
      </c>
      <c r="R50">
        <v>100</v>
      </c>
      <c r="S50" t="str">
        <f>_xll.BDP("912828Q6 Govt","ID_CUSIP")</f>
        <v>912828Q60</v>
      </c>
      <c r="T50">
        <f>_xll.BDP("912828Q6 Govt","IDX_RATIO")</f>
        <v>1.1065100000000001</v>
      </c>
    </row>
    <row r="51" spans="1:20" x14ac:dyDescent="0.25">
      <c r="A51" t="s">
        <v>14</v>
      </c>
      <c r="B51" t="str">
        <f>_xll.BDP("912828PP Govt","TICKER")</f>
        <v>TII</v>
      </c>
      <c r="C51">
        <f>_xll.BDP("912828PP Govt","CPN")</f>
        <v>1.125</v>
      </c>
      <c r="D51" t="str">
        <f>_xll.BDP("912828PP Govt","YLD_YTM_BID")</f>
        <v>#N/A N/A</v>
      </c>
      <c r="E51" t="str">
        <f>_xll.BDP("912828PP Govt","MATURITY")</f>
        <v>1/15/2021</v>
      </c>
      <c r="F51" t="str">
        <f>_xll.BDP("912828PP Govt","MTY_TYP")</f>
        <v>NORMAL</v>
      </c>
      <c r="G51" t="str">
        <f>_xll.BDP("912828PP Govt","CRNCY")</f>
        <v>USD</v>
      </c>
      <c r="H51" t="str">
        <f>_xll.BDP("912828PP Govt","COUNTRY_FULL_NAME")</f>
        <v>UNITED STATES</v>
      </c>
      <c r="I51" t="str">
        <f>_xll.BDP("912828PP Govt","FIRST_CPN_DT")</f>
        <v>7/15/2011</v>
      </c>
      <c r="J51" t="str">
        <f>_xll.BDP("912828PP Govt","COUPON_FREQUENCY_DESCRIPTION")</f>
        <v>S/A</v>
      </c>
      <c r="K51" t="str">
        <f>_xll.BDP("912828PP Govt","CPN_TYP")</f>
        <v>FIXED</v>
      </c>
      <c r="L51" t="str">
        <f>_xll.BDP("912828PP Govt","ID_ISIN")</f>
        <v>US912828PP91</v>
      </c>
      <c r="M51">
        <v>36678000000</v>
      </c>
      <c r="N51">
        <v>0</v>
      </c>
      <c r="O51" t="str">
        <f>_xll.BDP("912828PP Govt","ISSUE_DT")</f>
        <v>1/31/2011</v>
      </c>
      <c r="P51" t="str">
        <f>_xll.BDP("912828PP Govt","SECURITY_NAME")</f>
        <v>TII 1 1/8 01/15/21</v>
      </c>
      <c r="Q51" t="str">
        <f>_xll.BDP("912828PP Govt","DAY_CNT_DES")</f>
        <v>ACT/ACT</v>
      </c>
      <c r="R51">
        <v>100</v>
      </c>
      <c r="S51" t="str">
        <f>_xll.BDP("912828PP Govt","ID_CUSIP")</f>
        <v>912828PP9</v>
      </c>
      <c r="T51">
        <f>_xll.BDP("912828PP Govt","IDX_RATIO")</f>
        <v>1.19</v>
      </c>
    </row>
    <row r="52" spans="1:20" x14ac:dyDescent="0.25">
      <c r="A52" t="s">
        <v>14</v>
      </c>
      <c r="B52" t="str">
        <f>_xll.BDP("912828NM Govt","TICKER")</f>
        <v>TII</v>
      </c>
      <c r="C52">
        <f>_xll.BDP("912828NM Govt","CPN")</f>
        <v>1.25</v>
      </c>
      <c r="D52" t="str">
        <f>_xll.BDP("912828NM Govt","YLD_YTM_BID")</f>
        <v>#N/A N/A</v>
      </c>
      <c r="E52" t="str">
        <f>_xll.BDP("912828NM Govt","MATURITY")</f>
        <v>7/15/2020</v>
      </c>
      <c r="F52" t="str">
        <f>_xll.BDP("912828NM Govt","MTY_TYP")</f>
        <v>NORMAL</v>
      </c>
      <c r="G52" t="str">
        <f>_xll.BDP("912828NM Govt","CRNCY")</f>
        <v>USD</v>
      </c>
      <c r="H52" t="str">
        <f>_xll.BDP("912828NM Govt","COUNTRY_FULL_NAME")</f>
        <v>UNITED STATES</v>
      </c>
      <c r="I52" t="str">
        <f>_xll.BDP("912828NM Govt","FIRST_CPN_DT")</f>
        <v>1/15/2011</v>
      </c>
      <c r="J52" t="str">
        <f>_xll.BDP("912828NM Govt","COUPON_FREQUENCY_DESCRIPTION")</f>
        <v>S/A</v>
      </c>
      <c r="K52" t="str">
        <f>_xll.BDP("912828NM Govt","CPN_TYP")</f>
        <v>FIXED</v>
      </c>
      <c r="L52" t="str">
        <f>_xll.BDP("912828NM Govt","ID_ISIN")</f>
        <v>US912828NM88</v>
      </c>
      <c r="M52">
        <v>32378000000</v>
      </c>
      <c r="N52">
        <v>0</v>
      </c>
      <c r="O52" t="str">
        <f>_xll.BDP("912828NM Govt","ISSUE_DT")</f>
        <v>7/15/2010</v>
      </c>
      <c r="P52" t="str">
        <f>_xll.BDP("912828NM Govt","SECURITY_NAME")</f>
        <v>TII 1 1/4 07/15/20</v>
      </c>
      <c r="Q52" t="str">
        <f>_xll.BDP("912828NM Govt","DAY_CNT_DES")</f>
        <v>ACT/ACT</v>
      </c>
      <c r="R52">
        <v>100</v>
      </c>
      <c r="S52" t="str">
        <f>_xll.BDP("912828NM Govt","ID_CUSIP")</f>
        <v>912828NM8</v>
      </c>
      <c r="T52">
        <f>_xll.BDP("912828NM Govt","IDX_RATIO")</f>
        <v>1.1756500000000001</v>
      </c>
    </row>
    <row r="53" spans="1:20" x14ac:dyDescent="0.25">
      <c r="A53" t="s">
        <v>14</v>
      </c>
      <c r="B53" t="str">
        <f>_xll.BDP("912828C9 Govt","TICKER")</f>
        <v>TII</v>
      </c>
      <c r="C53">
        <f>_xll.BDP("912828C9 Govt","CPN")</f>
        <v>0.125</v>
      </c>
      <c r="D53" t="str">
        <f>_xll.BDP("912828C9 Govt","YLD_YTM_BID")</f>
        <v>#N/A N/A</v>
      </c>
      <c r="E53" t="str">
        <f>_xll.BDP("912828C9 Govt","MATURITY")</f>
        <v>4/15/2019</v>
      </c>
      <c r="F53" t="str">
        <f>_xll.BDP("912828C9 Govt","MTY_TYP")</f>
        <v>NORMAL</v>
      </c>
      <c r="G53" t="str">
        <f>_xll.BDP("912828C9 Govt","CRNCY")</f>
        <v>USD</v>
      </c>
      <c r="H53" t="str">
        <f>_xll.BDP("912828C9 Govt","COUNTRY_FULL_NAME")</f>
        <v>UNITED STATES</v>
      </c>
      <c r="I53" t="str">
        <f>_xll.BDP("912828C9 Govt","FIRST_CPN_DT")</f>
        <v>10/15/2014</v>
      </c>
      <c r="J53" t="str">
        <f>_xll.BDP("912828C9 Govt","COUPON_FREQUENCY_DESCRIPTION")</f>
        <v>S/A</v>
      </c>
      <c r="K53" t="str">
        <f>_xll.BDP("912828C9 Govt","CPN_TYP")</f>
        <v>FIXED</v>
      </c>
      <c r="L53" t="str">
        <f>_xll.BDP("912828C9 Govt","ID_ISIN")</f>
        <v>US912828C996</v>
      </c>
      <c r="M53">
        <v>50000000000</v>
      </c>
      <c r="N53">
        <v>0</v>
      </c>
      <c r="O53" t="str">
        <f>_xll.BDP("912828C9 Govt","ISSUE_DT")</f>
        <v>4/30/2014</v>
      </c>
      <c r="P53" t="str">
        <f>_xll.BDP("912828C9 Govt","SECURITY_NAME")</f>
        <v>TII 0 1/8 04/15/19</v>
      </c>
      <c r="Q53" t="str">
        <f>_xll.BDP("912828C9 Govt","DAY_CNT_DES")</f>
        <v>ACT/ACT</v>
      </c>
      <c r="R53">
        <v>100</v>
      </c>
      <c r="S53" t="str">
        <f>_xll.BDP("912828C9 Govt","ID_CUSIP")</f>
        <v>912828C99</v>
      </c>
      <c r="T53">
        <f>_xll.BDP("912828C9 Govt","IDX_RATIO")</f>
        <v>1.0763400000000001</v>
      </c>
    </row>
    <row r="54" spans="1:20" x14ac:dyDescent="0.25">
      <c r="A54" t="s">
        <v>14</v>
      </c>
      <c r="B54" t="str">
        <f>_xll.BDP("912828GX Govt","TICKER")</f>
        <v>TII</v>
      </c>
      <c r="C54">
        <f>_xll.BDP("912828GX Govt","CPN")</f>
        <v>2.625</v>
      </c>
      <c r="D54" t="str">
        <f>_xll.BDP("912828GX Govt","YLD_YTM_BID")</f>
        <v>#N/A N/A</v>
      </c>
      <c r="E54" t="str">
        <f>_xll.BDP("912828GX Govt","MATURITY")</f>
        <v>7/15/2017</v>
      </c>
      <c r="F54" t="str">
        <f>_xll.BDP("912828GX Govt","MTY_TYP")</f>
        <v>NORMAL</v>
      </c>
      <c r="G54" t="str">
        <f>_xll.BDP("912828GX Govt","CRNCY")</f>
        <v>USD</v>
      </c>
      <c r="H54" t="str">
        <f>_xll.BDP("912828GX Govt","COUNTRY_FULL_NAME")</f>
        <v>UNITED STATES</v>
      </c>
      <c r="I54" t="str">
        <f>_xll.BDP("912828GX Govt","FIRST_CPN_DT")</f>
        <v>1/15/2008</v>
      </c>
      <c r="J54" t="str">
        <f>_xll.BDP("912828GX Govt","COUPON_FREQUENCY_DESCRIPTION")</f>
        <v>S/A</v>
      </c>
      <c r="K54" t="str">
        <f>_xll.BDP("912828GX Govt","CPN_TYP")</f>
        <v>FIXED</v>
      </c>
      <c r="L54" t="str">
        <f>_xll.BDP("912828GX Govt","ID_ISIN")</f>
        <v>US912828GX27</v>
      </c>
      <c r="M54">
        <v>13998000000</v>
      </c>
      <c r="N54">
        <v>0</v>
      </c>
      <c r="O54" t="str">
        <f>_xll.BDP("912828GX Govt","ISSUE_DT")</f>
        <v>7/16/2007</v>
      </c>
      <c r="P54" t="str">
        <f>_xll.BDP("912828GX Govt","SECURITY_NAME")</f>
        <v>TII 2 5/8 07/15/17</v>
      </c>
      <c r="Q54" t="str">
        <f>_xll.BDP("912828GX Govt","DAY_CNT_DES")</f>
        <v>ACT/ACT</v>
      </c>
      <c r="R54">
        <v>100</v>
      </c>
      <c r="S54" t="str">
        <f>_xll.BDP("912828GX Govt","ID_CUSIP")</f>
        <v>912828GX2</v>
      </c>
      <c r="T54">
        <f>_xll.BDP("912828GX Govt","IDX_RATIO")</f>
        <v>1.1802699999999999</v>
      </c>
    </row>
    <row r="55" spans="1:20" x14ac:dyDescent="0.25">
      <c r="A55" t="s">
        <v>14</v>
      </c>
      <c r="B55" t="str">
        <f>_xll.BDP("912828SQ Govt","TICKER")</f>
        <v>TII</v>
      </c>
      <c r="C55">
        <f>_xll.BDP("912828SQ Govt","CPN")</f>
        <v>0.125</v>
      </c>
      <c r="D55" t="str">
        <f>_xll.BDP("912828SQ Govt","YLD_YTM_BID")</f>
        <v>#N/A N/A</v>
      </c>
      <c r="E55" t="str">
        <f>_xll.BDP("912828SQ Govt","MATURITY")</f>
        <v>4/15/2017</v>
      </c>
      <c r="F55" t="str">
        <f>_xll.BDP("912828SQ Govt","MTY_TYP")</f>
        <v>NORMAL</v>
      </c>
      <c r="G55" t="str">
        <f>_xll.BDP("912828SQ Govt","CRNCY")</f>
        <v>USD</v>
      </c>
      <c r="H55" t="str">
        <f>_xll.BDP("912828SQ Govt","COUNTRY_FULL_NAME")</f>
        <v>UNITED STATES</v>
      </c>
      <c r="I55" t="str">
        <f>_xll.BDP("912828SQ Govt","FIRST_CPN_DT")</f>
        <v>10/15/2012</v>
      </c>
      <c r="J55" t="str">
        <f>_xll.BDP("912828SQ Govt","COUPON_FREQUENCY_DESCRIPTION")</f>
        <v>S/A</v>
      </c>
      <c r="K55" t="str">
        <f>_xll.BDP("912828SQ Govt","CPN_TYP")</f>
        <v>FIXED</v>
      </c>
      <c r="L55" t="str">
        <f>_xll.BDP("912828SQ Govt","ID_ISIN")</f>
        <v>US912828SQ48</v>
      </c>
      <c r="M55">
        <v>44426000000</v>
      </c>
      <c r="N55">
        <v>0</v>
      </c>
      <c r="O55" t="str">
        <f>_xll.BDP("912828SQ Govt","ISSUE_DT")</f>
        <v>4/30/2012</v>
      </c>
      <c r="P55" t="str">
        <f>_xll.BDP("912828SQ Govt","SECURITY_NAME")</f>
        <v>TII 0 1/8 04/15/17</v>
      </c>
      <c r="Q55" t="str">
        <f>_xll.BDP("912828SQ Govt","DAY_CNT_DES")</f>
        <v>ACT/ACT</v>
      </c>
      <c r="R55">
        <v>100</v>
      </c>
      <c r="S55" t="str">
        <f>_xll.BDP("912828SQ Govt","ID_CUSIP")</f>
        <v>912828SQ4</v>
      </c>
      <c r="T55">
        <f>_xll.BDP("912828SQ Govt","IDX_RATIO")</f>
        <v>1.07073</v>
      </c>
    </row>
    <row r="56" spans="1:20" x14ac:dyDescent="0.25">
      <c r="A56" t="s">
        <v>14</v>
      </c>
      <c r="B56" t="str">
        <f>_xll.BDP("912828UX Govt","TICKER")</f>
        <v>TII</v>
      </c>
      <c r="C56">
        <f>_xll.BDP("912828UX Govt","CPN")</f>
        <v>0.125</v>
      </c>
      <c r="D56" t="str">
        <f>_xll.BDP("912828UX Govt","YLD_YTM_BID")</f>
        <v>#N/A N/A</v>
      </c>
      <c r="E56" t="str">
        <f>_xll.BDP("912828UX Govt","MATURITY")</f>
        <v>4/15/2018</v>
      </c>
      <c r="F56" t="str">
        <f>_xll.BDP("912828UX Govt","MTY_TYP")</f>
        <v>NORMAL</v>
      </c>
      <c r="G56" t="str">
        <f>_xll.BDP("912828UX Govt","CRNCY")</f>
        <v>USD</v>
      </c>
      <c r="H56" t="str">
        <f>_xll.BDP("912828UX Govt","COUNTRY_FULL_NAME")</f>
        <v>UNITED STATES</v>
      </c>
      <c r="I56" t="str">
        <f>_xll.BDP("912828UX Govt","FIRST_CPN_DT")</f>
        <v>10/15/2013</v>
      </c>
      <c r="J56" t="str">
        <f>_xll.BDP("912828UX Govt","COUPON_FREQUENCY_DESCRIPTION")</f>
        <v>S/A</v>
      </c>
      <c r="K56" t="str">
        <f>_xll.BDP("912828UX Govt","CPN_TYP")</f>
        <v>FIXED</v>
      </c>
      <c r="L56" t="str">
        <f>_xll.BDP("912828UX Govt","ID_ISIN")</f>
        <v>US912828UX60</v>
      </c>
      <c r="M56">
        <v>49994000000</v>
      </c>
      <c r="N56">
        <v>0</v>
      </c>
      <c r="O56" t="str">
        <f>_xll.BDP("912828UX Govt","ISSUE_DT")</f>
        <v>4/30/2013</v>
      </c>
      <c r="P56" t="str">
        <f>_xll.BDP("912828UX Govt","SECURITY_NAME")</f>
        <v>TII 0 1/8 04/15/18</v>
      </c>
      <c r="Q56" t="str">
        <f>_xll.BDP("912828UX Govt","DAY_CNT_DES")</f>
        <v>ACT/ACT</v>
      </c>
      <c r="R56">
        <v>100</v>
      </c>
      <c r="S56" t="str">
        <f>_xll.BDP("912828UX Govt","ID_CUSIP")</f>
        <v>912828UX6</v>
      </c>
      <c r="T56">
        <f>_xll.BDP("912828UX Govt","IDX_RATIO")</f>
        <v>1.0745400000000001</v>
      </c>
    </row>
    <row r="57" spans="1:20" x14ac:dyDescent="0.25">
      <c r="A57" t="s">
        <v>14</v>
      </c>
      <c r="B57" t="str">
        <f>_xll.BDP("9128272M Govt","TICKER")</f>
        <v>TII</v>
      </c>
      <c r="C57">
        <f>_xll.BDP("9128272M Govt","CPN")</f>
        <v>3.375</v>
      </c>
      <c r="D57" t="str">
        <f>_xll.BDP("9128272M Govt","YLD_YTM_BID")</f>
        <v>#N/A N/A</v>
      </c>
      <c r="E57" t="str">
        <f>_xll.BDP("9128272M Govt","MATURITY")</f>
        <v>1/15/2007</v>
      </c>
      <c r="F57" t="str">
        <f>_xll.BDP("9128272M Govt","MTY_TYP")</f>
        <v>NORMAL</v>
      </c>
      <c r="G57" t="str">
        <f>_xll.BDP("9128272M Govt","CRNCY")</f>
        <v>USD</v>
      </c>
      <c r="H57" t="str">
        <f>_xll.BDP("9128272M Govt","COUNTRY_FULL_NAME")</f>
        <v>UNITED STATES</v>
      </c>
      <c r="I57" t="str">
        <f>_xll.BDP("9128272M Govt","FIRST_CPN_DT")</f>
        <v>7/15/1997</v>
      </c>
      <c r="J57" t="str">
        <f>_xll.BDP("9128272M Govt","COUPON_FREQUENCY_DESCRIPTION")</f>
        <v>S/A</v>
      </c>
      <c r="K57" t="str">
        <f>_xll.BDP("9128272M Govt","CPN_TYP")</f>
        <v>FIXED</v>
      </c>
      <c r="L57" t="str">
        <f>_xll.BDP("9128272M Govt","ID_ISIN")</f>
        <v>US9128272M37</v>
      </c>
      <c r="M57">
        <v>15758000000</v>
      </c>
      <c r="N57">
        <v>0</v>
      </c>
      <c r="O57" t="str">
        <f>_xll.BDP("9128272M Govt","ISSUE_DT")</f>
        <v>2/6/1997</v>
      </c>
      <c r="P57" t="str">
        <f>_xll.BDP("9128272M Govt","SECURITY_NAME")</f>
        <v>TII 3 3/8 01/15/07</v>
      </c>
      <c r="Q57" t="str">
        <f>_xll.BDP("9128272M Govt","DAY_CNT_DES")</f>
        <v>ACT/ACT</v>
      </c>
      <c r="R57">
        <v>100</v>
      </c>
      <c r="S57" t="str">
        <f>_xll.BDP("9128272M Govt","ID_CUSIP")</f>
        <v>9128272M3</v>
      </c>
      <c r="T57">
        <f>_xll.BDP("9128272M Govt","IDX_RATIO")</f>
        <v>1.27285</v>
      </c>
    </row>
    <row r="58" spans="1:20" x14ac:dyDescent="0.25">
      <c r="A58" t="s">
        <v>14</v>
      </c>
      <c r="B58" t="str">
        <f>_xll.BDP("912828BD Govt","TICKER")</f>
        <v>TII</v>
      </c>
      <c r="C58">
        <f>_xll.BDP("912828BD Govt","CPN")</f>
        <v>1.875</v>
      </c>
      <c r="D58" t="str">
        <f>_xll.BDP("912828BD Govt","YLD_YTM_BID")</f>
        <v>#N/A N/A</v>
      </c>
      <c r="E58" t="str">
        <f>_xll.BDP("912828BD Govt","MATURITY")</f>
        <v>7/15/2013</v>
      </c>
      <c r="F58" t="str">
        <f>_xll.BDP("912828BD Govt","MTY_TYP")</f>
        <v>NORMAL</v>
      </c>
      <c r="G58" t="str">
        <f>_xll.BDP("912828BD Govt","CRNCY")</f>
        <v>USD</v>
      </c>
      <c r="H58" t="str">
        <f>_xll.BDP("912828BD Govt","COUNTRY_FULL_NAME")</f>
        <v>UNITED STATES</v>
      </c>
      <c r="I58" t="str">
        <f>_xll.BDP("912828BD Govt","FIRST_CPN_DT")</f>
        <v>1/15/2004</v>
      </c>
      <c r="J58" t="str">
        <f>_xll.BDP("912828BD Govt","COUPON_FREQUENCY_DESCRIPTION")</f>
        <v>S/A</v>
      </c>
      <c r="K58" t="str">
        <f>_xll.BDP("912828BD Govt","CPN_TYP")</f>
        <v>FIXED</v>
      </c>
      <c r="L58" t="str">
        <f>_xll.BDP("912828BD Govt","ID_ISIN")</f>
        <v>US912828BD18</v>
      </c>
      <c r="M58">
        <v>20008000000</v>
      </c>
      <c r="N58">
        <v>0</v>
      </c>
      <c r="O58" t="str">
        <f>_xll.BDP("912828BD Govt","ISSUE_DT")</f>
        <v>7/15/2003</v>
      </c>
      <c r="P58" t="str">
        <f>_xll.BDP("912828BD Govt","SECURITY_NAME")</f>
        <v>TII 1 7/8 07/15/13</v>
      </c>
      <c r="Q58" t="str">
        <f>_xll.BDP("912828BD Govt","DAY_CNT_DES")</f>
        <v>ACT/ACT</v>
      </c>
      <c r="R58">
        <v>100</v>
      </c>
      <c r="S58" t="str">
        <f>_xll.BDP("912828BD Govt","ID_CUSIP")</f>
        <v>912828BD1</v>
      </c>
      <c r="T58">
        <f>_xll.BDP("912828BD Govt","IDX_RATIO")</f>
        <v>1.26708</v>
      </c>
    </row>
    <row r="59" spans="1:20" x14ac:dyDescent="0.25">
      <c r="A59" t="s">
        <v>14</v>
      </c>
      <c r="B59" t="str">
        <f>_xll.BDP("912828LA Govt","TICKER")</f>
        <v>TII</v>
      </c>
      <c r="C59">
        <f>_xll.BDP("912828LA Govt","CPN")</f>
        <v>1.875</v>
      </c>
      <c r="D59" t="str">
        <f>_xll.BDP("912828LA Govt","YLD_YTM_BID")</f>
        <v>#N/A N/A</v>
      </c>
      <c r="E59" t="str">
        <f>_xll.BDP("912828LA Govt","MATURITY")</f>
        <v>7/15/2019</v>
      </c>
      <c r="F59" t="str">
        <f>_xll.BDP("912828LA Govt","MTY_TYP")</f>
        <v>NORMAL</v>
      </c>
      <c r="G59" t="str">
        <f>_xll.BDP("912828LA Govt","CRNCY")</f>
        <v>USD</v>
      </c>
      <c r="H59" t="str">
        <f>_xll.BDP("912828LA Govt","COUNTRY_FULL_NAME")</f>
        <v>UNITED STATES</v>
      </c>
      <c r="I59" t="str">
        <f>_xll.BDP("912828LA Govt","FIRST_CPN_DT")</f>
        <v>1/15/2010</v>
      </c>
      <c r="J59" t="str">
        <f>_xll.BDP("912828LA Govt","COUPON_FREQUENCY_DESCRIPTION")</f>
        <v>S/A</v>
      </c>
      <c r="K59" t="str">
        <f>_xll.BDP("912828LA Govt","CPN_TYP")</f>
        <v>FIXED</v>
      </c>
      <c r="L59" t="str">
        <f>_xll.BDP("912828LA Govt","ID_ISIN")</f>
        <v>US912828LA68</v>
      </c>
      <c r="M59">
        <v>15177000000</v>
      </c>
      <c r="N59">
        <v>0</v>
      </c>
      <c r="O59" t="str">
        <f>_xll.BDP("912828LA Govt","ISSUE_DT")</f>
        <v>7/15/2009</v>
      </c>
      <c r="P59" t="str">
        <f>_xll.BDP("912828LA Govt","SECURITY_NAME")</f>
        <v>TII 1 7/8 07/15/19</v>
      </c>
      <c r="Q59" t="str">
        <f>_xll.BDP("912828LA Govt","DAY_CNT_DES")</f>
        <v>ACT/ACT</v>
      </c>
      <c r="R59">
        <v>100</v>
      </c>
      <c r="S59" t="str">
        <f>_xll.BDP("912828LA Govt","ID_CUSIP")</f>
        <v>912828LA6</v>
      </c>
      <c r="T59">
        <f>_xll.BDP("912828LA Govt","IDX_RATIO")</f>
        <v>1.1979899999999999</v>
      </c>
    </row>
    <row r="60" spans="1:20" x14ac:dyDescent="0.25">
      <c r="A60" t="s">
        <v>14</v>
      </c>
      <c r="B60" t="str">
        <f>_xll.BDP("912828HN Govt","TICKER")</f>
        <v>TII</v>
      </c>
      <c r="C60">
        <f>_xll.BDP("912828HN Govt","CPN")</f>
        <v>1.625</v>
      </c>
      <c r="D60" t="str">
        <f>_xll.BDP("912828HN Govt","YLD_YTM_BID")</f>
        <v>#N/A N/A</v>
      </c>
      <c r="E60" t="str">
        <f>_xll.BDP("912828HN Govt","MATURITY")</f>
        <v>1/15/2018</v>
      </c>
      <c r="F60" t="str">
        <f>_xll.BDP("912828HN Govt","MTY_TYP")</f>
        <v>NORMAL</v>
      </c>
      <c r="G60" t="str">
        <f>_xll.BDP("912828HN Govt","CRNCY")</f>
        <v>USD</v>
      </c>
      <c r="H60" t="str">
        <f>_xll.BDP("912828HN Govt","COUNTRY_FULL_NAME")</f>
        <v>UNITED STATES</v>
      </c>
      <c r="I60" t="str">
        <f>_xll.BDP("912828HN Govt","FIRST_CPN_DT")</f>
        <v>7/15/2008</v>
      </c>
      <c r="J60" t="str">
        <f>_xll.BDP("912828HN Govt","COUPON_FREQUENCY_DESCRIPTION")</f>
        <v>S/A</v>
      </c>
      <c r="K60" t="str">
        <f>_xll.BDP("912828HN Govt","CPN_TYP")</f>
        <v>FIXED</v>
      </c>
      <c r="L60" t="str">
        <f>_xll.BDP("912828HN Govt","ID_ISIN")</f>
        <v>US912828HN36</v>
      </c>
      <c r="M60">
        <v>16417000000</v>
      </c>
      <c r="N60">
        <v>0</v>
      </c>
      <c r="O60" t="str">
        <f>_xll.BDP("912828HN Govt","ISSUE_DT")</f>
        <v>1/15/2008</v>
      </c>
      <c r="P60" t="str">
        <f>_xll.BDP("912828HN Govt","SECURITY_NAME")</f>
        <v>TII 1 5/8 01/15/18</v>
      </c>
      <c r="Q60" t="str">
        <f>_xll.BDP("912828HN Govt","DAY_CNT_DES")</f>
        <v>ACT/ACT</v>
      </c>
      <c r="R60">
        <v>100</v>
      </c>
      <c r="S60" t="str">
        <f>_xll.BDP("912828HN Govt","ID_CUSIP")</f>
        <v>912828HN3</v>
      </c>
      <c r="T60">
        <f>_xll.BDP("912828HN Govt","IDX_RATIO")</f>
        <v>1.1774199999999999</v>
      </c>
    </row>
    <row r="61" spans="1:20" x14ac:dyDescent="0.25">
      <c r="A61" t="s">
        <v>14</v>
      </c>
      <c r="B61" t="str">
        <f>_xll.BDP("912828MF Govt","TICKER")</f>
        <v>TII</v>
      </c>
      <c r="C61">
        <f>_xll.BDP("912828MF Govt","CPN")</f>
        <v>1.375</v>
      </c>
      <c r="D61" t="str">
        <f>_xll.BDP("912828MF Govt","YLD_YTM_BID")</f>
        <v>#N/A N/A</v>
      </c>
      <c r="E61" t="str">
        <f>_xll.BDP("912828MF Govt","MATURITY")</f>
        <v>1/15/2020</v>
      </c>
      <c r="F61" t="str">
        <f>_xll.BDP("912828MF Govt","MTY_TYP")</f>
        <v>NORMAL</v>
      </c>
      <c r="G61" t="str">
        <f>_xll.BDP("912828MF Govt","CRNCY")</f>
        <v>USD</v>
      </c>
      <c r="H61" t="str">
        <f>_xll.BDP("912828MF Govt","COUNTRY_FULL_NAME")</f>
        <v>UNITED STATES</v>
      </c>
      <c r="I61" t="str">
        <f>_xll.BDP("912828MF Govt","FIRST_CPN_DT")</f>
        <v>7/15/2010</v>
      </c>
      <c r="J61" t="str">
        <f>_xll.BDP("912828MF Govt","COUPON_FREQUENCY_DESCRIPTION")</f>
        <v>S/A</v>
      </c>
      <c r="K61" t="str">
        <f>_xll.BDP("912828MF Govt","CPN_TYP")</f>
        <v>FIXED</v>
      </c>
      <c r="L61" t="str">
        <f>_xll.BDP("912828MF Govt","ID_ISIN")</f>
        <v>US912828MF47</v>
      </c>
      <c r="M61">
        <v>18973000000</v>
      </c>
      <c r="N61">
        <v>0</v>
      </c>
      <c r="O61" t="str">
        <f>_xll.BDP("912828MF Govt","ISSUE_DT")</f>
        <v>1/15/2010</v>
      </c>
      <c r="P61" t="str">
        <f>_xll.BDP("912828MF Govt","SECURITY_NAME")</f>
        <v>TII 1 3/8 01/15/20</v>
      </c>
      <c r="Q61" t="str">
        <f>_xll.BDP("912828MF Govt","DAY_CNT_DES")</f>
        <v>ACT/ACT</v>
      </c>
      <c r="R61">
        <v>100</v>
      </c>
      <c r="S61" t="str">
        <f>_xll.BDP("912828MF Govt","ID_CUSIP")</f>
        <v>912828MF4</v>
      </c>
      <c r="T61">
        <f>_xll.BDP("912828MF Govt","IDX_RATIO")</f>
        <v>1.18977</v>
      </c>
    </row>
    <row r="62" spans="1:20" x14ac:dyDescent="0.25">
      <c r="A62" t="s">
        <v>14</v>
      </c>
      <c r="B62" t="str">
        <f>_xll.BDP("912828MY Govt","TICKER")</f>
        <v>TII</v>
      </c>
      <c r="C62">
        <f>_xll.BDP("912828MY Govt","CPN")</f>
        <v>0.5</v>
      </c>
      <c r="D62" t="str">
        <f>_xll.BDP("912828MY Govt","YLD_YTM_BID")</f>
        <v>#N/A N/A</v>
      </c>
      <c r="E62" t="str">
        <f>_xll.BDP("912828MY Govt","MATURITY")</f>
        <v>4/15/2015</v>
      </c>
      <c r="F62" t="str">
        <f>_xll.BDP("912828MY Govt","MTY_TYP")</f>
        <v>NORMAL</v>
      </c>
      <c r="G62" t="str">
        <f>_xll.BDP("912828MY Govt","CRNCY")</f>
        <v>USD</v>
      </c>
      <c r="H62" t="str">
        <f>_xll.BDP("912828MY Govt","COUNTRY_FULL_NAME")</f>
        <v>UNITED STATES</v>
      </c>
      <c r="I62" t="str">
        <f>_xll.BDP("912828MY Govt","FIRST_CPN_DT")</f>
        <v>10/15/2010</v>
      </c>
      <c r="J62" t="str">
        <f>_xll.BDP("912828MY Govt","COUPON_FREQUENCY_DESCRIPTION")</f>
        <v>S/A</v>
      </c>
      <c r="K62" t="str">
        <f>_xll.BDP("912828MY Govt","CPN_TYP")</f>
        <v>FIXED</v>
      </c>
      <c r="L62" t="str">
        <f>_xll.BDP("912828MY Govt","ID_ISIN")</f>
        <v>US912828MY36</v>
      </c>
      <c r="M62">
        <v>21234000000</v>
      </c>
      <c r="N62">
        <v>0</v>
      </c>
      <c r="O62" t="str">
        <f>_xll.BDP("912828MY Govt","ISSUE_DT")</f>
        <v>4/30/2010</v>
      </c>
      <c r="P62" t="str">
        <f>_xll.BDP("912828MY Govt","SECURITY_NAME")</f>
        <v>TII 0 1/2 04/15/15</v>
      </c>
      <c r="Q62" t="str">
        <f>_xll.BDP("912828MY Govt","DAY_CNT_DES")</f>
        <v>ACT/ACT</v>
      </c>
      <c r="R62">
        <v>100</v>
      </c>
      <c r="S62" t="str">
        <f>_xll.BDP("912828MY Govt","ID_CUSIP")</f>
        <v>912828MY3</v>
      </c>
      <c r="T62">
        <f>_xll.BDP("912828MY Govt","IDX_RATIO")</f>
        <v>1.0806100000000001</v>
      </c>
    </row>
    <row r="63" spans="1:20" x14ac:dyDescent="0.25">
      <c r="A63" t="s">
        <v>14</v>
      </c>
      <c r="B63" t="str">
        <f>_xll.BDP("912828GD Govt","TICKER")</f>
        <v>TII</v>
      </c>
      <c r="C63">
        <f>_xll.BDP("912828GD Govt","CPN")</f>
        <v>2.375</v>
      </c>
      <c r="D63" t="str">
        <f>_xll.BDP("912828GD Govt","YLD_YTM_BID")</f>
        <v>#N/A N/A</v>
      </c>
      <c r="E63" t="str">
        <f>_xll.BDP("912828GD Govt","MATURITY")</f>
        <v>1/15/2017</v>
      </c>
      <c r="F63" t="str">
        <f>_xll.BDP("912828GD Govt","MTY_TYP")</f>
        <v>NORMAL</v>
      </c>
      <c r="G63" t="str">
        <f>_xll.BDP("912828GD Govt","CRNCY")</f>
        <v>USD</v>
      </c>
      <c r="H63" t="str">
        <f>_xll.BDP("912828GD Govt","COUNTRY_FULL_NAME")</f>
        <v>UNITED STATES</v>
      </c>
      <c r="I63" t="str">
        <f>_xll.BDP("912828GD Govt","FIRST_CPN_DT")</f>
        <v>7/15/2007</v>
      </c>
      <c r="J63" t="str">
        <f>_xll.BDP("912828GD Govt","COUPON_FREQUENCY_DESCRIPTION")</f>
        <v>S/A</v>
      </c>
      <c r="K63" t="str">
        <f>_xll.BDP("912828GD Govt","CPN_TYP")</f>
        <v>FIXED</v>
      </c>
      <c r="L63" t="str">
        <f>_xll.BDP("912828GD Govt","ID_ISIN")</f>
        <v>US912828GD62</v>
      </c>
      <c r="M63">
        <v>17249000000</v>
      </c>
      <c r="N63">
        <v>0</v>
      </c>
      <c r="O63" t="str">
        <f>_xll.BDP("912828GD Govt","ISSUE_DT")</f>
        <v>1/16/2007</v>
      </c>
      <c r="P63" t="str">
        <f>_xll.BDP("912828GD Govt","SECURITY_NAME")</f>
        <v>TII 2 3/8 01/15/17</v>
      </c>
      <c r="Q63" t="str">
        <f>_xll.BDP("912828GD Govt","DAY_CNT_DES")</f>
        <v>ACT/ACT</v>
      </c>
      <c r="R63">
        <v>100</v>
      </c>
      <c r="S63" t="str">
        <f>_xll.BDP("912828GD Govt","ID_CUSIP")</f>
        <v>912828GD6</v>
      </c>
      <c r="T63">
        <f>_xll.BDP("912828GD Govt","IDX_RATIO")</f>
        <v>1.19783</v>
      </c>
    </row>
    <row r="64" spans="1:20" x14ac:dyDescent="0.25">
      <c r="A64" t="s">
        <v>14</v>
      </c>
      <c r="B64" t="str">
        <f>_xll.BDP("912828HW Govt","TICKER")</f>
        <v>TII</v>
      </c>
      <c r="C64">
        <f>_xll.BDP("912828HW Govt","CPN")</f>
        <v>0.625</v>
      </c>
      <c r="D64" t="str">
        <f>_xll.BDP("912828HW Govt","YLD_YTM_BID")</f>
        <v>#N/A N/A</v>
      </c>
      <c r="E64" t="str">
        <f>_xll.BDP("912828HW Govt","MATURITY")</f>
        <v>4/15/2013</v>
      </c>
      <c r="F64" t="str">
        <f>_xll.BDP("912828HW Govt","MTY_TYP")</f>
        <v>NORMAL</v>
      </c>
      <c r="G64" t="str">
        <f>_xll.BDP("912828HW Govt","CRNCY")</f>
        <v>USD</v>
      </c>
      <c r="H64" t="str">
        <f>_xll.BDP("912828HW Govt","COUNTRY_FULL_NAME")</f>
        <v>UNITED STATES</v>
      </c>
      <c r="I64" t="str">
        <f>_xll.BDP("912828HW Govt","FIRST_CPN_DT")</f>
        <v>10/15/2008</v>
      </c>
      <c r="J64" t="str">
        <f>_xll.BDP("912828HW Govt","COUPON_FREQUENCY_DESCRIPTION")</f>
        <v>S/A</v>
      </c>
      <c r="K64" t="str">
        <f>_xll.BDP("912828HW Govt","CPN_TYP")</f>
        <v>FIXED</v>
      </c>
      <c r="L64" t="str">
        <f>_xll.BDP("912828HW Govt","ID_ISIN")</f>
        <v>US912828HW35</v>
      </c>
      <c r="M64">
        <v>14994000000</v>
      </c>
      <c r="N64">
        <v>0</v>
      </c>
      <c r="O64" t="str">
        <f>_xll.BDP("912828HW Govt","ISSUE_DT")</f>
        <v>4/30/2008</v>
      </c>
      <c r="P64" t="str">
        <f>_xll.BDP("912828HW Govt","SECURITY_NAME")</f>
        <v>TII 0 5/8 04/15/13</v>
      </c>
      <c r="Q64" t="str">
        <f>_xll.BDP("912828HW Govt","DAY_CNT_DES")</f>
        <v>ACT/ACT</v>
      </c>
      <c r="R64">
        <v>100</v>
      </c>
      <c r="S64" t="str">
        <f>_xll.BDP("912828HW Govt","ID_CUSIP")</f>
        <v>912828HW3</v>
      </c>
      <c r="T64">
        <f>_xll.BDP("912828HW Govt","IDX_RATIO")</f>
        <v>1.09365</v>
      </c>
    </row>
    <row r="65" spans="1:20" x14ac:dyDescent="0.25">
      <c r="A65" t="s">
        <v>14</v>
      </c>
      <c r="B65" t="str">
        <f>_xll.BDP("912828CZ Govt","TICKER")</f>
        <v>TII</v>
      </c>
      <c r="C65">
        <f>_xll.BDP("912828CZ Govt","CPN")</f>
        <v>0.875</v>
      </c>
      <c r="D65" t="str">
        <f>_xll.BDP("912828CZ Govt","YLD_YTM_BID")</f>
        <v>#N/A N/A</v>
      </c>
      <c r="E65" t="str">
        <f>_xll.BDP("912828CZ Govt","MATURITY")</f>
        <v>4/15/2010</v>
      </c>
      <c r="F65" t="str">
        <f>_xll.BDP("912828CZ Govt","MTY_TYP")</f>
        <v>NORMAL</v>
      </c>
      <c r="G65" t="str">
        <f>_xll.BDP("912828CZ Govt","CRNCY")</f>
        <v>USD</v>
      </c>
      <c r="H65" t="str">
        <f>_xll.BDP("912828CZ Govt","COUNTRY_FULL_NAME")</f>
        <v>UNITED STATES</v>
      </c>
      <c r="I65" t="str">
        <f>_xll.BDP("912828CZ Govt","FIRST_CPN_DT")</f>
        <v>4/15/2005</v>
      </c>
      <c r="J65" t="str">
        <f>_xll.BDP("912828CZ Govt","COUPON_FREQUENCY_DESCRIPTION")</f>
        <v>S/A</v>
      </c>
      <c r="K65" t="str">
        <f>_xll.BDP("912828CZ Govt","CPN_TYP")</f>
        <v>FIXED</v>
      </c>
      <c r="L65" t="str">
        <f>_xll.BDP("912828CZ Govt","ID_ISIN")</f>
        <v>US912828CZ11</v>
      </c>
      <c r="M65">
        <v>28001000000</v>
      </c>
      <c r="N65">
        <v>0</v>
      </c>
      <c r="O65" t="str">
        <f>_xll.BDP("912828CZ Govt","ISSUE_DT")</f>
        <v>10/29/2004</v>
      </c>
      <c r="P65" t="str">
        <f>_xll.BDP("912828CZ Govt","SECURITY_NAME")</f>
        <v>TII 0 7/8 04/15/10</v>
      </c>
      <c r="Q65" t="str">
        <f>_xll.BDP("912828CZ Govt","DAY_CNT_DES")</f>
        <v>ACT/ACT</v>
      </c>
      <c r="R65">
        <v>100</v>
      </c>
      <c r="S65" t="str">
        <f>_xll.BDP("912828CZ Govt","ID_CUSIP")</f>
        <v>912828CZ1</v>
      </c>
      <c r="T65">
        <f>_xll.BDP("912828CZ Govt","IDX_RATIO")</f>
        <v>1.1439300000000001</v>
      </c>
    </row>
    <row r="66" spans="1:20" x14ac:dyDescent="0.25">
      <c r="A66" t="s">
        <v>14</v>
      </c>
      <c r="B66" t="str">
        <f>_xll.BDP("912828K3 Govt","TICKER")</f>
        <v>TII</v>
      </c>
      <c r="C66">
        <f>_xll.BDP("912828K3 Govt","CPN")</f>
        <v>0.125</v>
      </c>
      <c r="D66" t="str">
        <f>_xll.BDP("912828K3 Govt","YLD_YTM_BID")</f>
        <v>#N/A N/A</v>
      </c>
      <c r="E66" t="str">
        <f>_xll.BDP("912828K3 Govt","MATURITY")</f>
        <v>4/15/2020</v>
      </c>
      <c r="F66" t="str">
        <f>_xll.BDP("912828K3 Govt","MTY_TYP")</f>
        <v>NORMAL</v>
      </c>
      <c r="G66" t="str">
        <f>_xll.BDP("912828K3 Govt","CRNCY")</f>
        <v>USD</v>
      </c>
      <c r="H66" t="str">
        <f>_xll.BDP("912828K3 Govt","COUNTRY_FULL_NAME")</f>
        <v>UNITED STATES</v>
      </c>
      <c r="I66" t="str">
        <f>_xll.BDP("912828K3 Govt","FIRST_CPN_DT")</f>
        <v>10/15/2015</v>
      </c>
      <c r="J66" t="str">
        <f>_xll.BDP("912828K3 Govt","COUPON_FREQUENCY_DESCRIPTION")</f>
        <v>S/A</v>
      </c>
      <c r="K66" t="str">
        <f>_xll.BDP("912828K3 Govt","CPN_TYP")</f>
        <v>FIXED</v>
      </c>
      <c r="L66" t="str">
        <f>_xll.BDP("912828K3 Govt","ID_ISIN")</f>
        <v>US912828K338</v>
      </c>
      <c r="M66">
        <v>50065000000</v>
      </c>
      <c r="N66">
        <v>0</v>
      </c>
      <c r="O66" t="str">
        <f>_xll.BDP("912828K3 Govt","ISSUE_DT")</f>
        <v>4/30/2015</v>
      </c>
      <c r="P66" t="str">
        <f>_xll.BDP("912828K3 Govt","SECURITY_NAME")</f>
        <v>TII 0 1/8 04/15/20</v>
      </c>
      <c r="Q66" t="str">
        <f>_xll.BDP("912828K3 Govt","DAY_CNT_DES")</f>
        <v>ACT/ACT</v>
      </c>
      <c r="R66">
        <v>100</v>
      </c>
      <c r="S66" t="str">
        <f>_xll.BDP("912828K3 Govt","ID_CUSIP")</f>
        <v>912828K33</v>
      </c>
      <c r="T66">
        <f>_xll.BDP("912828K3 Govt","IDX_RATIO")</f>
        <v>1.103</v>
      </c>
    </row>
    <row r="67" spans="1:20" x14ac:dyDescent="0.25">
      <c r="A67" t="s">
        <v>14</v>
      </c>
      <c r="B67" t="str">
        <f>_xll.BDP("9128274Y Govt","TICKER")</f>
        <v>TII</v>
      </c>
      <c r="C67">
        <f>_xll.BDP("9128274Y Govt","CPN")</f>
        <v>3.875</v>
      </c>
      <c r="D67" t="str">
        <f>_xll.BDP("9128274Y Govt","YLD_YTM_BID")</f>
        <v>#N/A N/A</v>
      </c>
      <c r="E67" t="str">
        <f>_xll.BDP("9128274Y Govt","MATURITY")</f>
        <v>1/15/2009</v>
      </c>
      <c r="F67" t="str">
        <f>_xll.BDP("9128274Y Govt","MTY_TYP")</f>
        <v>NORMAL</v>
      </c>
      <c r="G67" t="str">
        <f>_xll.BDP("9128274Y Govt","CRNCY")</f>
        <v>USD</v>
      </c>
      <c r="H67" t="str">
        <f>_xll.BDP("9128274Y Govt","COUNTRY_FULL_NAME")</f>
        <v>UNITED STATES</v>
      </c>
      <c r="I67" t="str">
        <f>_xll.BDP("9128274Y Govt","FIRST_CPN_DT")</f>
        <v>7/15/1999</v>
      </c>
      <c r="J67" t="str">
        <f>_xll.BDP("9128274Y Govt","COUPON_FREQUENCY_DESCRIPTION")</f>
        <v>S/A</v>
      </c>
      <c r="K67" t="str">
        <f>_xll.BDP("9128274Y Govt","CPN_TYP")</f>
        <v>FIXED</v>
      </c>
      <c r="L67" t="str">
        <f>_xll.BDP("9128274Y Govt","ID_ISIN")</f>
        <v>US9128274Y56</v>
      </c>
      <c r="M67">
        <v>15902000000</v>
      </c>
      <c r="N67">
        <v>0</v>
      </c>
      <c r="O67" t="str">
        <f>_xll.BDP("9128274Y Govt","ISSUE_DT")</f>
        <v>1/15/1999</v>
      </c>
      <c r="P67" t="str">
        <f>_xll.BDP("9128274Y Govt","SECURITY_NAME")</f>
        <v>TII 3 7/8 01/15/09</v>
      </c>
      <c r="Q67" t="str">
        <f>_xll.BDP("9128274Y Govt","DAY_CNT_DES")</f>
        <v>ACT/ACT</v>
      </c>
      <c r="R67">
        <v>100</v>
      </c>
      <c r="S67" t="str">
        <f>_xll.BDP("9128274Y Govt","ID_CUSIP")</f>
        <v>9128274Y5</v>
      </c>
      <c r="T67">
        <f>_xll.BDP("9128274Y Govt","IDX_RATIO")</f>
        <v>1.30914</v>
      </c>
    </row>
    <row r="68" spans="1:20" x14ac:dyDescent="0.25">
      <c r="A68" t="s">
        <v>14</v>
      </c>
      <c r="B68" t="str">
        <f>_xll.BDP("9128275W Govt","TICKER")</f>
        <v>TII</v>
      </c>
      <c r="C68">
        <f>_xll.BDP("9128275W Govt","CPN")</f>
        <v>4.25</v>
      </c>
      <c r="D68" t="str">
        <f>_xll.BDP("9128275W Govt","YLD_YTM_BID")</f>
        <v>#N/A N/A</v>
      </c>
      <c r="E68" t="str">
        <f>_xll.BDP("9128275W Govt","MATURITY")</f>
        <v>1/15/2010</v>
      </c>
      <c r="F68" t="str">
        <f>_xll.BDP("9128275W Govt","MTY_TYP")</f>
        <v>NORMAL</v>
      </c>
      <c r="G68" t="str">
        <f>_xll.BDP("9128275W Govt","CRNCY")</f>
        <v>USD</v>
      </c>
      <c r="H68" t="str">
        <f>_xll.BDP("9128275W Govt","COUNTRY_FULL_NAME")</f>
        <v>UNITED STATES</v>
      </c>
      <c r="I68" t="str">
        <f>_xll.BDP("9128275W Govt","FIRST_CPN_DT")</f>
        <v>7/15/2000</v>
      </c>
      <c r="J68" t="str">
        <f>_xll.BDP("9128275W Govt","COUPON_FREQUENCY_DESCRIPTION")</f>
        <v>S/A</v>
      </c>
      <c r="K68" t="str">
        <f>_xll.BDP("9128275W Govt","CPN_TYP")</f>
        <v>FIXED</v>
      </c>
      <c r="L68" t="str">
        <f>_xll.BDP("9128275W Govt","ID_ISIN")</f>
        <v>US9128275W81</v>
      </c>
      <c r="M68">
        <v>11321000000</v>
      </c>
      <c r="N68">
        <v>0</v>
      </c>
      <c r="O68" t="str">
        <f>_xll.BDP("9128275W Govt","ISSUE_DT")</f>
        <v>1/18/2000</v>
      </c>
      <c r="P68" t="str">
        <f>_xll.BDP("9128275W Govt","SECURITY_NAME")</f>
        <v>TII 4 1/4 01/15/10</v>
      </c>
      <c r="Q68" t="str">
        <f>_xll.BDP("9128275W Govt","DAY_CNT_DES")</f>
        <v>ACT/ACT</v>
      </c>
      <c r="R68">
        <v>100</v>
      </c>
      <c r="S68" t="str">
        <f>_xll.BDP("9128275W Govt","ID_CUSIP")</f>
        <v>9128275W8</v>
      </c>
      <c r="T68">
        <f>_xll.BDP("9128275W Govt","IDX_RATIO")</f>
        <v>1.2852999999999999</v>
      </c>
    </row>
    <row r="69" spans="1:20" x14ac:dyDescent="0.25">
      <c r="A69" t="s">
        <v>14</v>
      </c>
      <c r="B69" t="str">
        <f>_xll.BDP("912828JX Govt","TICKER")</f>
        <v>TII</v>
      </c>
      <c r="C69">
        <f>_xll.BDP("912828JX Govt","CPN")</f>
        <v>2.125</v>
      </c>
      <c r="D69" t="str">
        <f>_xll.BDP("912828JX Govt","YLD_YTM_BID")</f>
        <v>#N/A N/A</v>
      </c>
      <c r="E69" t="str">
        <f>_xll.BDP("912828JX Govt","MATURITY")</f>
        <v>1/15/2019</v>
      </c>
      <c r="F69" t="str">
        <f>_xll.BDP("912828JX Govt","MTY_TYP")</f>
        <v>NORMAL</v>
      </c>
      <c r="G69" t="str">
        <f>_xll.BDP("912828JX Govt","CRNCY")</f>
        <v>USD</v>
      </c>
      <c r="H69" t="str">
        <f>_xll.BDP("912828JX Govt","COUNTRY_FULL_NAME")</f>
        <v>UNITED STATES</v>
      </c>
      <c r="I69" t="str">
        <f>_xll.BDP("912828JX Govt","FIRST_CPN_DT")</f>
        <v>7/15/2009</v>
      </c>
      <c r="J69" t="str">
        <f>_xll.BDP("912828JX Govt","COUPON_FREQUENCY_DESCRIPTION")</f>
        <v>S/A</v>
      </c>
      <c r="K69" t="str">
        <f>_xll.BDP("912828JX Govt","CPN_TYP")</f>
        <v>FIXED</v>
      </c>
      <c r="L69" t="str">
        <f>_xll.BDP("912828JX Govt","ID_ISIN")</f>
        <v>US912828JX99</v>
      </c>
      <c r="M69">
        <v>14740000000</v>
      </c>
      <c r="N69">
        <v>0</v>
      </c>
      <c r="O69" t="str">
        <f>_xll.BDP("912828JX Govt","ISSUE_DT")</f>
        <v>1/15/2009</v>
      </c>
      <c r="P69" t="str">
        <f>_xll.BDP("912828JX Govt","SECURITY_NAME")</f>
        <v>TII 2 1/8 01/15/19</v>
      </c>
      <c r="Q69" t="str">
        <f>_xll.BDP("912828JX Govt","DAY_CNT_DES")</f>
        <v>ACT/ACT</v>
      </c>
      <c r="R69">
        <v>100</v>
      </c>
      <c r="S69" t="str">
        <f>_xll.BDP("912828JX Govt","ID_CUSIP")</f>
        <v>912828JX9</v>
      </c>
      <c r="T69">
        <f>_xll.BDP("912828JX Govt","IDX_RATIO")</f>
        <v>1.1760699999999999</v>
      </c>
    </row>
    <row r="70" spans="1:20" x14ac:dyDescent="0.25">
      <c r="A70" t="s">
        <v>14</v>
      </c>
      <c r="B70" t="str">
        <f>_xll.BDP("912828QD Govt","TICKER")</f>
        <v>TII</v>
      </c>
      <c r="C70">
        <f>_xll.BDP("912828QD Govt","CPN")</f>
        <v>0.125</v>
      </c>
      <c r="D70" t="str">
        <f>_xll.BDP("912828QD Govt","YLD_YTM_BID")</f>
        <v>#N/A N/A</v>
      </c>
      <c r="E70" t="str">
        <f>_xll.BDP("912828QD Govt","MATURITY")</f>
        <v>4/15/2016</v>
      </c>
      <c r="F70" t="str">
        <f>_xll.BDP("912828QD Govt","MTY_TYP")</f>
        <v>NORMAL</v>
      </c>
      <c r="G70" t="str">
        <f>_xll.BDP("912828QD Govt","CRNCY")</f>
        <v>USD</v>
      </c>
      <c r="H70" t="str">
        <f>_xll.BDP("912828QD Govt","COUNTRY_FULL_NAME")</f>
        <v>UNITED STATES</v>
      </c>
      <c r="I70" t="str">
        <f>_xll.BDP("912828QD Govt","FIRST_CPN_DT")</f>
        <v>10/15/2011</v>
      </c>
      <c r="J70" t="str">
        <f>_xll.BDP("912828QD Govt","COUPON_FREQUENCY_DESCRIPTION")</f>
        <v>S/A</v>
      </c>
      <c r="K70" t="str">
        <f>_xll.BDP("912828QD Govt","CPN_TYP")</f>
        <v>FIXED</v>
      </c>
      <c r="L70" t="str">
        <f>_xll.BDP("912828QD Govt","ID_ISIN")</f>
        <v>US912828QD52</v>
      </c>
      <c r="M70">
        <v>38365000000</v>
      </c>
      <c r="N70">
        <v>0</v>
      </c>
      <c r="O70" t="str">
        <f>_xll.BDP("912828QD Govt","ISSUE_DT")</f>
        <v>4/29/2011</v>
      </c>
      <c r="P70" t="str">
        <f>_xll.BDP("912828QD Govt","SECURITY_NAME")</f>
        <v>TII 0 1/8 04/15/16</v>
      </c>
      <c r="Q70" t="str">
        <f>_xll.BDP("912828QD Govt","DAY_CNT_DES")</f>
        <v>ACT/ACT</v>
      </c>
      <c r="R70">
        <v>100</v>
      </c>
      <c r="S70" t="str">
        <f>_xll.BDP("912828QD Govt","ID_CUSIP")</f>
        <v>912828QD5</v>
      </c>
      <c r="T70">
        <f>_xll.BDP("912828QD Govt","IDX_RATIO")</f>
        <v>1.0737399999999999</v>
      </c>
    </row>
    <row r="71" spans="1:20" x14ac:dyDescent="0.25">
      <c r="A71" t="s">
        <v>14</v>
      </c>
      <c r="B71" t="str">
        <f>_xll.BDP("912828AF Govt","TICKER")</f>
        <v>TII</v>
      </c>
      <c r="C71">
        <f>_xll.BDP("912828AF Govt","CPN")</f>
        <v>3</v>
      </c>
      <c r="D71" t="str">
        <f>_xll.BDP("912828AF Govt","YLD_YTM_BID")</f>
        <v>#N/A N/A</v>
      </c>
      <c r="E71" t="str">
        <f>_xll.BDP("912828AF Govt","MATURITY")</f>
        <v>7/15/2012</v>
      </c>
      <c r="F71" t="str">
        <f>_xll.BDP("912828AF Govt","MTY_TYP")</f>
        <v>NORMAL</v>
      </c>
      <c r="G71" t="str">
        <f>_xll.BDP("912828AF Govt","CRNCY")</f>
        <v>USD</v>
      </c>
      <c r="H71" t="str">
        <f>_xll.BDP("912828AF Govt","COUNTRY_FULL_NAME")</f>
        <v>UNITED STATES</v>
      </c>
      <c r="I71" t="str">
        <f>_xll.BDP("912828AF Govt","FIRST_CPN_DT")</f>
        <v>1/15/2003</v>
      </c>
      <c r="J71" t="str">
        <f>_xll.BDP("912828AF Govt","COUPON_FREQUENCY_DESCRIPTION")</f>
        <v>S/A</v>
      </c>
      <c r="K71" t="str">
        <f>_xll.BDP("912828AF Govt","CPN_TYP")</f>
        <v>FIXED</v>
      </c>
      <c r="L71" t="str">
        <f>_xll.BDP("912828AF Govt","ID_ISIN")</f>
        <v>US912828AF74</v>
      </c>
      <c r="M71">
        <v>23018000000</v>
      </c>
      <c r="N71">
        <v>0</v>
      </c>
      <c r="O71" t="str">
        <f>_xll.BDP("912828AF Govt","ISSUE_DT")</f>
        <v>7/15/2002</v>
      </c>
      <c r="P71" t="str">
        <f>_xll.BDP("912828AF Govt","SECURITY_NAME")</f>
        <v>TII 3 07/15/12</v>
      </c>
      <c r="Q71" t="str">
        <f>_xll.BDP("912828AF Govt","DAY_CNT_DES")</f>
        <v>ACT/ACT</v>
      </c>
      <c r="R71">
        <v>100</v>
      </c>
      <c r="S71" t="str">
        <f>_xll.BDP("912828AF Govt","ID_CUSIP")</f>
        <v>912828AF7</v>
      </c>
      <c r="T71">
        <f>_xll.BDP("912828AF Govt","IDX_RATIO")</f>
        <v>1.2789900000000001</v>
      </c>
    </row>
    <row r="72" spans="1:20" x14ac:dyDescent="0.25">
      <c r="A72" t="s">
        <v>14</v>
      </c>
      <c r="B72" t="str">
        <f>_xll.BDP("9128277J Govt","TICKER")</f>
        <v>TII</v>
      </c>
      <c r="C72">
        <f>_xll.BDP("9128277J Govt","CPN")</f>
        <v>3.375</v>
      </c>
      <c r="D72" t="str">
        <f>_xll.BDP("9128277J Govt","YLD_YTM_BID")</f>
        <v>#N/A N/A</v>
      </c>
      <c r="E72" t="str">
        <f>_xll.BDP("9128277J Govt","MATURITY")</f>
        <v>1/15/2012</v>
      </c>
      <c r="F72" t="str">
        <f>_xll.BDP("9128277J Govt","MTY_TYP")</f>
        <v>NORMAL</v>
      </c>
      <c r="G72" t="str">
        <f>_xll.BDP("9128277J Govt","CRNCY")</f>
        <v>USD</v>
      </c>
      <c r="H72" t="str">
        <f>_xll.BDP("9128277J Govt","COUNTRY_FULL_NAME")</f>
        <v>UNITED STATES</v>
      </c>
      <c r="I72" t="str">
        <f>_xll.BDP("9128277J Govt","FIRST_CPN_DT")</f>
        <v>7/15/2002</v>
      </c>
      <c r="J72" t="str">
        <f>_xll.BDP("9128277J Govt","COUPON_FREQUENCY_DESCRIPTION")</f>
        <v>S/A</v>
      </c>
      <c r="K72" t="str">
        <f>_xll.BDP("9128277J Govt","CPN_TYP")</f>
        <v>FIXED</v>
      </c>
      <c r="L72" t="str">
        <f>_xll.BDP("9128277J Govt","ID_ISIN")</f>
        <v>US9128277J52</v>
      </c>
      <c r="M72">
        <v>6004000000</v>
      </c>
      <c r="N72">
        <v>0</v>
      </c>
      <c r="O72" t="str">
        <f>_xll.BDP("9128277J Govt","ISSUE_DT")</f>
        <v>1/15/2002</v>
      </c>
      <c r="P72" t="str">
        <f>_xll.BDP("9128277J Govt","SECURITY_NAME")</f>
        <v>TII 3 3/8 01/15/12</v>
      </c>
      <c r="Q72" t="str">
        <f>_xll.BDP("9128277J Govt","DAY_CNT_DES")</f>
        <v>ACT/ACT</v>
      </c>
      <c r="R72">
        <v>100</v>
      </c>
      <c r="S72" t="str">
        <f>_xll.BDP("9128277J Govt","ID_CUSIP")</f>
        <v>9128277J5</v>
      </c>
      <c r="T72">
        <f>_xll.BDP("9128277J Govt","IDX_RATIO")</f>
        <v>1.2746599999999999</v>
      </c>
    </row>
    <row r="73" spans="1:20" x14ac:dyDescent="0.25">
      <c r="A73" t="s">
        <v>14</v>
      </c>
      <c r="B73" t="str">
        <f>_xll.BDP("912828ET Govt","TICKER")</f>
        <v>TII</v>
      </c>
      <c r="C73">
        <f>_xll.BDP("912828ET Govt","CPN")</f>
        <v>2</v>
      </c>
      <c r="D73" t="str">
        <f>_xll.BDP("912828ET Govt","YLD_YTM_BID")</f>
        <v>#N/A N/A</v>
      </c>
      <c r="E73" t="str">
        <f>_xll.BDP("912828ET Govt","MATURITY")</f>
        <v>1/15/2016</v>
      </c>
      <c r="F73" t="str">
        <f>_xll.BDP("912828ET Govt","MTY_TYP")</f>
        <v>NORMAL</v>
      </c>
      <c r="G73" t="str">
        <f>_xll.BDP("912828ET Govt","CRNCY")</f>
        <v>USD</v>
      </c>
      <c r="H73" t="str">
        <f>_xll.BDP("912828ET Govt","COUNTRY_FULL_NAME")</f>
        <v>UNITED STATES</v>
      </c>
      <c r="I73" t="str">
        <f>_xll.BDP("912828ET Govt","FIRST_CPN_DT")</f>
        <v>7/15/2006</v>
      </c>
      <c r="J73" t="str">
        <f>_xll.BDP("912828ET Govt","COUPON_FREQUENCY_DESCRIPTION")</f>
        <v>S/A</v>
      </c>
      <c r="K73" t="str">
        <f>_xll.BDP("912828ET Govt","CPN_TYP")</f>
        <v>FIXED</v>
      </c>
      <c r="L73" t="str">
        <f>_xll.BDP("912828ET Govt","ID_ISIN")</f>
        <v>US912828ET33</v>
      </c>
      <c r="M73">
        <v>17001000000</v>
      </c>
      <c r="N73">
        <v>0</v>
      </c>
      <c r="O73" t="str">
        <f>_xll.BDP("912828ET Govt","ISSUE_DT")</f>
        <v>1/17/2006</v>
      </c>
      <c r="P73" t="str">
        <f>_xll.BDP("912828ET Govt","SECURITY_NAME")</f>
        <v>TII 2 01/15/16</v>
      </c>
      <c r="Q73" t="str">
        <f>_xll.BDP("912828ET Govt","DAY_CNT_DES")</f>
        <v>ACT/ACT</v>
      </c>
      <c r="R73">
        <v>100</v>
      </c>
      <c r="S73" t="str">
        <f>_xll.BDP("912828ET Govt","ID_CUSIP")</f>
        <v>912828ET3</v>
      </c>
      <c r="T73">
        <f>_xll.BDP("912828ET Govt","IDX_RATIO")</f>
        <v>1.1971700000000001</v>
      </c>
    </row>
    <row r="74" spans="1:20" x14ac:dyDescent="0.25">
      <c r="A74" t="s">
        <v>14</v>
      </c>
      <c r="B74" t="str">
        <f>_xll.BDP("912828GN Govt","TICKER")</f>
        <v>TII</v>
      </c>
      <c r="C74">
        <f>_xll.BDP("912828GN Govt","CPN")</f>
        <v>2</v>
      </c>
      <c r="D74" t="str">
        <f>_xll.BDP("912828GN Govt","YLD_YTM_BID")</f>
        <v>#N/A N/A</v>
      </c>
      <c r="E74" t="str">
        <f>_xll.BDP("912828GN Govt","MATURITY")</f>
        <v>4/15/2012</v>
      </c>
      <c r="F74" t="str">
        <f>_xll.BDP("912828GN Govt","MTY_TYP")</f>
        <v>NORMAL</v>
      </c>
      <c r="G74" t="str">
        <f>_xll.BDP("912828GN Govt","CRNCY")</f>
        <v>USD</v>
      </c>
      <c r="H74" t="str">
        <f>_xll.BDP("912828GN Govt","COUNTRY_FULL_NAME")</f>
        <v>UNITED STATES</v>
      </c>
      <c r="I74" t="str">
        <f>_xll.BDP("912828GN Govt","FIRST_CPN_DT")</f>
        <v>10/15/2007</v>
      </c>
      <c r="J74" t="str">
        <f>_xll.BDP("912828GN Govt","COUPON_FREQUENCY_DESCRIPTION")</f>
        <v>S/A</v>
      </c>
      <c r="K74" t="str">
        <f>_xll.BDP("912828GN Govt","CPN_TYP")</f>
        <v>FIXED</v>
      </c>
      <c r="L74" t="str">
        <f>_xll.BDP("912828GN Govt","ID_ISIN")</f>
        <v>US912828GN45</v>
      </c>
      <c r="M74">
        <v>17281000000</v>
      </c>
      <c r="N74">
        <v>0</v>
      </c>
      <c r="O74" t="str">
        <f>_xll.BDP("912828GN Govt","ISSUE_DT")</f>
        <v>4/30/2007</v>
      </c>
      <c r="P74" t="str">
        <f>_xll.BDP("912828GN Govt","SECURITY_NAME")</f>
        <v>TII 2 04/15/12</v>
      </c>
      <c r="Q74" t="str">
        <f>_xll.BDP("912828GN Govt","DAY_CNT_DES")</f>
        <v>ACT/ACT</v>
      </c>
      <c r="R74">
        <v>100</v>
      </c>
      <c r="S74" t="str">
        <f>_xll.BDP("912828GN Govt","ID_CUSIP")</f>
        <v>912828GN4</v>
      </c>
      <c r="T74">
        <f>_xll.BDP("912828GN Govt","IDX_RATIO")</f>
        <v>1.1193</v>
      </c>
    </row>
    <row r="75" spans="1:20" x14ac:dyDescent="0.25">
      <c r="A75" t="s">
        <v>14</v>
      </c>
      <c r="B75" t="str">
        <f>_xll.BDP("9128273T Govt","TICKER")</f>
        <v>TII</v>
      </c>
      <c r="C75">
        <f>_xll.BDP("9128273T Govt","CPN")</f>
        <v>3.625</v>
      </c>
      <c r="D75" t="str">
        <f>_xll.BDP("9128273T Govt","YLD_YTM_BID")</f>
        <v>#N/A N/A</v>
      </c>
      <c r="E75" t="str">
        <f>_xll.BDP("9128273T Govt","MATURITY")</f>
        <v>1/15/2008</v>
      </c>
      <c r="F75" t="str">
        <f>_xll.BDP("9128273T Govt","MTY_TYP")</f>
        <v>NORMAL</v>
      </c>
      <c r="G75" t="str">
        <f>_xll.BDP("9128273T Govt","CRNCY")</f>
        <v>USD</v>
      </c>
      <c r="H75" t="str">
        <f>_xll.BDP("9128273T Govt","COUNTRY_FULL_NAME")</f>
        <v>UNITED STATES</v>
      </c>
      <c r="I75" t="str">
        <f>_xll.BDP("9128273T Govt","FIRST_CPN_DT")</f>
        <v>7/15/1998</v>
      </c>
      <c r="J75" t="str">
        <f>_xll.BDP("9128273T Govt","COUPON_FREQUENCY_DESCRIPTION")</f>
        <v>S/A</v>
      </c>
      <c r="K75" t="str">
        <f>_xll.BDP("9128273T Govt","CPN_TYP")</f>
        <v>FIXED</v>
      </c>
      <c r="L75" t="str">
        <f>_xll.BDP("9128273T Govt","ID_ISIN")</f>
        <v>US9128273T70</v>
      </c>
      <c r="M75">
        <v>16812000000</v>
      </c>
      <c r="N75">
        <v>0</v>
      </c>
      <c r="O75" t="str">
        <f>_xll.BDP("9128273T Govt","ISSUE_DT")</f>
        <v>1/15/1998</v>
      </c>
      <c r="P75" t="str">
        <f>_xll.BDP("9128273T Govt","SECURITY_NAME")</f>
        <v>TII 3 5/8 01/15/08</v>
      </c>
      <c r="Q75" t="str">
        <f>_xll.BDP("9128273T Govt","DAY_CNT_DES")</f>
        <v>ACT/ACT</v>
      </c>
      <c r="R75">
        <v>100</v>
      </c>
      <c r="S75" t="str">
        <f>_xll.BDP("9128273T Govt","ID_CUSIP")</f>
        <v>9128273T7</v>
      </c>
      <c r="T75">
        <f>_xll.BDP("9128273T Govt","IDX_RATIO")</f>
        <v>1.2967500000000001</v>
      </c>
    </row>
    <row r="76" spans="1:20" x14ac:dyDescent="0.25">
      <c r="A76" t="s">
        <v>14</v>
      </c>
      <c r="B76" t="str">
        <f>_xll.BDP("912828CP Govt","TICKER")</f>
        <v>TII</v>
      </c>
      <c r="C76">
        <f>_xll.BDP("912828CP Govt","CPN")</f>
        <v>2</v>
      </c>
      <c r="D76" t="str">
        <f>_xll.BDP("912828CP Govt","YLD_YTM_BID")</f>
        <v>#N/A N/A</v>
      </c>
      <c r="E76" t="str">
        <f>_xll.BDP("912828CP Govt","MATURITY")</f>
        <v>7/15/2014</v>
      </c>
      <c r="F76" t="str">
        <f>_xll.BDP("912828CP Govt","MTY_TYP")</f>
        <v>NORMAL</v>
      </c>
      <c r="G76" t="str">
        <f>_xll.BDP("912828CP Govt","CRNCY")</f>
        <v>USD</v>
      </c>
      <c r="H76" t="str">
        <f>_xll.BDP("912828CP Govt","COUNTRY_FULL_NAME")</f>
        <v>UNITED STATES</v>
      </c>
      <c r="I76" t="str">
        <f>_xll.BDP("912828CP Govt","FIRST_CPN_DT")</f>
        <v>1/15/2005</v>
      </c>
      <c r="J76" t="str">
        <f>_xll.BDP("912828CP Govt","COUPON_FREQUENCY_DESCRIPTION")</f>
        <v>S/A</v>
      </c>
      <c r="K76" t="str">
        <f>_xll.BDP("912828CP Govt","CPN_TYP")</f>
        <v>FIXED</v>
      </c>
      <c r="L76" t="str">
        <f>_xll.BDP("912828CP Govt","ID_ISIN")</f>
        <v>US912828CP39</v>
      </c>
      <c r="M76">
        <v>19002000000</v>
      </c>
      <c r="N76">
        <v>0</v>
      </c>
      <c r="O76" t="str">
        <f>_xll.BDP("912828CP Govt","ISSUE_DT")</f>
        <v>7/15/2004</v>
      </c>
      <c r="P76" t="str">
        <f>_xll.BDP("912828CP Govt","SECURITY_NAME")</f>
        <v>TII 2 07/15/14</v>
      </c>
      <c r="Q76" t="str">
        <f>_xll.BDP("912828CP Govt","DAY_CNT_DES")</f>
        <v>ACT/ACT</v>
      </c>
      <c r="R76">
        <v>100</v>
      </c>
      <c r="S76" t="str">
        <f>_xll.BDP("912828CP Govt","ID_CUSIP")</f>
        <v>912828CP3</v>
      </c>
      <c r="T76">
        <f>_xll.BDP("912828CP Govt","IDX_RATIO")</f>
        <v>1.2596799999999999</v>
      </c>
    </row>
    <row r="77" spans="1:20" x14ac:dyDescent="0.25">
      <c r="A77" t="s">
        <v>14</v>
      </c>
      <c r="B77" t="str">
        <f>_xll.BDP("9128276R Govt","TICKER")</f>
        <v>TII</v>
      </c>
      <c r="C77">
        <f>_xll.BDP("9128276R Govt","CPN")</f>
        <v>3.5</v>
      </c>
      <c r="D77" t="str">
        <f>_xll.BDP("9128276R Govt","YLD_YTM_BID")</f>
        <v>#N/A N/A</v>
      </c>
      <c r="E77" t="str">
        <f>_xll.BDP("9128276R Govt","MATURITY")</f>
        <v>1/15/2011</v>
      </c>
      <c r="F77" t="str">
        <f>_xll.BDP("9128276R Govt","MTY_TYP")</f>
        <v>NORMAL</v>
      </c>
      <c r="G77" t="str">
        <f>_xll.BDP("9128276R Govt","CRNCY")</f>
        <v>USD</v>
      </c>
      <c r="H77" t="str">
        <f>_xll.BDP("9128276R Govt","COUNTRY_FULL_NAME")</f>
        <v>UNITED STATES</v>
      </c>
      <c r="I77" t="str">
        <f>_xll.BDP("9128276R Govt","FIRST_CPN_DT")</f>
        <v>7/15/2001</v>
      </c>
      <c r="J77" t="str">
        <f>_xll.BDP("9128276R Govt","COUPON_FREQUENCY_DESCRIPTION")</f>
        <v>S/A</v>
      </c>
      <c r="K77" t="str">
        <f>_xll.BDP("9128276R Govt","CPN_TYP")</f>
        <v>FIXED</v>
      </c>
      <c r="L77" t="str">
        <f>_xll.BDP("9128276R Govt","ID_ISIN")</f>
        <v>US9128276R87</v>
      </c>
      <c r="M77">
        <v>11001000000</v>
      </c>
      <c r="N77">
        <v>0</v>
      </c>
      <c r="O77" t="str">
        <f>_xll.BDP("9128276R Govt","ISSUE_DT")</f>
        <v>1/16/2001</v>
      </c>
      <c r="P77" t="str">
        <f>_xll.BDP("9128276R Govt","SECURITY_NAME")</f>
        <v>TII 3 1/2 01/15/11</v>
      </c>
      <c r="Q77" t="str">
        <f>_xll.BDP("9128276R Govt","DAY_CNT_DES")</f>
        <v>ACT/ACT</v>
      </c>
      <c r="R77">
        <v>100</v>
      </c>
      <c r="S77" t="str">
        <f>_xll.BDP("9128276R Govt","ID_CUSIP")</f>
        <v>9128276R8</v>
      </c>
      <c r="T77">
        <f>_xll.BDP("9128276R Govt","IDX_RATIO")</f>
        <v>1.2568699999999999</v>
      </c>
    </row>
    <row r="78" spans="1:20" x14ac:dyDescent="0.25">
      <c r="A78" t="s">
        <v>14</v>
      </c>
      <c r="B78" t="str">
        <f>_xll.BDP("9128273A Govt","TICKER")</f>
        <v>TII</v>
      </c>
      <c r="C78">
        <f>_xll.BDP("9128273A Govt","CPN")</f>
        <v>3.625</v>
      </c>
      <c r="D78" t="str">
        <f>_xll.BDP("9128273A Govt","YLD_YTM_BID")</f>
        <v>#N/A N/A</v>
      </c>
      <c r="E78" t="str">
        <f>_xll.BDP("9128273A Govt","MATURITY")</f>
        <v>7/15/2002</v>
      </c>
      <c r="F78" t="str">
        <f>_xll.BDP("9128273A Govt","MTY_TYP")</f>
        <v>NORMAL</v>
      </c>
      <c r="G78" t="str">
        <f>_xll.BDP("9128273A Govt","CRNCY")</f>
        <v>USD</v>
      </c>
      <c r="H78" t="str">
        <f>_xll.BDP("9128273A Govt","COUNTRY_FULL_NAME")</f>
        <v>UNITED STATES</v>
      </c>
      <c r="I78" t="str">
        <f>_xll.BDP("9128273A Govt","FIRST_CPN_DT")</f>
        <v>1/15/1998</v>
      </c>
      <c r="J78" t="str">
        <f>_xll.BDP("9128273A Govt","COUPON_FREQUENCY_DESCRIPTION")</f>
        <v>S/A</v>
      </c>
      <c r="K78" t="str">
        <f>_xll.BDP("9128273A Govt","CPN_TYP")</f>
        <v>FIXED</v>
      </c>
      <c r="L78" t="str">
        <f>_xll.BDP("9128273A Govt","ID_ISIN")</f>
        <v>US9128273A89</v>
      </c>
      <c r="M78">
        <v>16817000000</v>
      </c>
      <c r="N78">
        <v>0</v>
      </c>
      <c r="O78" t="str">
        <f>_xll.BDP("9128273A Govt","ISSUE_DT")</f>
        <v>7/15/1997</v>
      </c>
      <c r="P78" t="str">
        <f>_xll.BDP("9128273A Govt","SECURITY_NAME")</f>
        <v>TII 3 5/8 07/15/02</v>
      </c>
      <c r="Q78" t="str">
        <f>_xll.BDP("9128273A Govt","DAY_CNT_DES")</f>
        <v>ACT/ACT</v>
      </c>
      <c r="R78">
        <v>100</v>
      </c>
      <c r="S78" t="str">
        <f>_xll.BDP("9128273A Govt","ID_CUSIP")</f>
        <v>9128273A8</v>
      </c>
      <c r="T78">
        <f>_xll.BDP("9128273A Govt","IDX_RATIO")</f>
        <v>1.12266</v>
      </c>
    </row>
    <row r="79" spans="1:20" x14ac:dyDescent="0.25">
      <c r="A79" t="s">
        <v>14</v>
      </c>
      <c r="B79" t="str">
        <f>_xll.BDP("912828EA Govt","TICKER")</f>
        <v>TII</v>
      </c>
      <c r="C79">
        <f>_xll.BDP("912828EA Govt","CPN")</f>
        <v>1.875</v>
      </c>
      <c r="D79" t="str">
        <f>_xll.BDP("912828EA Govt","YLD_YTM_BID")</f>
        <v>#N/A N/A</v>
      </c>
      <c r="E79" t="str">
        <f>_xll.BDP("912828EA Govt","MATURITY")</f>
        <v>7/15/2015</v>
      </c>
      <c r="F79" t="str">
        <f>_xll.BDP("912828EA Govt","MTY_TYP")</f>
        <v>NORMAL</v>
      </c>
      <c r="G79" t="str">
        <f>_xll.BDP("912828EA Govt","CRNCY")</f>
        <v>USD</v>
      </c>
      <c r="H79" t="str">
        <f>_xll.BDP("912828EA Govt","COUNTRY_FULL_NAME")</f>
        <v>UNITED STATES</v>
      </c>
      <c r="I79" t="str">
        <f>_xll.BDP("912828EA Govt","FIRST_CPN_DT")</f>
        <v>1/15/2006</v>
      </c>
      <c r="J79" t="str">
        <f>_xll.BDP("912828EA Govt","COUPON_FREQUENCY_DESCRIPTION")</f>
        <v>S/A</v>
      </c>
      <c r="K79" t="str">
        <f>_xll.BDP("912828EA Govt","CPN_TYP")</f>
        <v>FIXED</v>
      </c>
      <c r="L79" t="str">
        <f>_xll.BDP("912828EA Govt","ID_ISIN")</f>
        <v>US912828EA42</v>
      </c>
      <c r="M79">
        <v>17000000000</v>
      </c>
      <c r="N79">
        <v>0</v>
      </c>
      <c r="O79" t="str">
        <f>_xll.BDP("912828EA Govt","ISSUE_DT")</f>
        <v>7/15/2005</v>
      </c>
      <c r="P79" t="str">
        <f>_xll.BDP("912828EA Govt","SECURITY_NAME")</f>
        <v>TII 1 7/8 07/15/15</v>
      </c>
      <c r="Q79" t="str">
        <f>_xll.BDP("912828EA Govt","DAY_CNT_DES")</f>
        <v>ACT/ACT</v>
      </c>
      <c r="R79">
        <v>100</v>
      </c>
      <c r="S79" t="str">
        <f>_xll.BDP("912828EA Govt","ID_CUSIP")</f>
        <v>912828EA4</v>
      </c>
      <c r="T79">
        <f>_xll.BDP("912828EA Govt","IDX_RATIO")</f>
        <v>1.21919</v>
      </c>
    </row>
    <row r="80" spans="1:20" x14ac:dyDescent="0.25">
      <c r="A80" t="s">
        <v>14</v>
      </c>
      <c r="B80" t="str">
        <f>_xll.BDP("912828DH Govt","TICKER")</f>
        <v>TII</v>
      </c>
      <c r="C80">
        <f>_xll.BDP("912828DH Govt","CPN")</f>
        <v>1.625</v>
      </c>
      <c r="D80" t="str">
        <f>_xll.BDP("912828DH Govt","YLD_YTM_BID")</f>
        <v>#N/A N/A</v>
      </c>
      <c r="E80" t="str">
        <f>_xll.BDP("912828DH Govt","MATURITY")</f>
        <v>1/15/2015</v>
      </c>
      <c r="F80" t="str">
        <f>_xll.BDP("912828DH Govt","MTY_TYP")</f>
        <v>NORMAL</v>
      </c>
      <c r="G80" t="str">
        <f>_xll.BDP("912828DH Govt","CRNCY")</f>
        <v>USD</v>
      </c>
      <c r="H80" t="str">
        <f>_xll.BDP("912828DH Govt","COUNTRY_FULL_NAME")</f>
        <v>UNITED STATES</v>
      </c>
      <c r="I80" t="str">
        <f>_xll.BDP("912828DH Govt","FIRST_CPN_DT")</f>
        <v>7/15/2005</v>
      </c>
      <c r="J80" t="str">
        <f>_xll.BDP("912828DH Govt","COUPON_FREQUENCY_DESCRIPTION")</f>
        <v>S/A</v>
      </c>
      <c r="K80" t="str">
        <f>_xll.BDP("912828DH Govt","CPN_TYP")</f>
        <v>FIXED</v>
      </c>
      <c r="L80" t="str">
        <f>_xll.BDP("912828DH Govt","ID_ISIN")</f>
        <v>US912828DH04</v>
      </c>
      <c r="M80">
        <v>19001000000</v>
      </c>
      <c r="N80">
        <v>0</v>
      </c>
      <c r="O80" t="str">
        <f>_xll.BDP("912828DH Govt","ISSUE_DT")</f>
        <v>1/18/2005</v>
      </c>
      <c r="P80" t="str">
        <f>_xll.BDP("912828DH Govt","SECURITY_NAME")</f>
        <v>TII 1 5/8 01/15/15</v>
      </c>
      <c r="Q80" t="str">
        <f>_xll.BDP("912828DH Govt","DAY_CNT_DES")</f>
        <v>ACT/ACT</v>
      </c>
      <c r="R80">
        <v>100</v>
      </c>
      <c r="S80" t="str">
        <f>_xll.BDP("912828DH Govt","ID_CUSIP")</f>
        <v>912828DH0</v>
      </c>
      <c r="T80">
        <f>_xll.BDP("912828DH Govt","IDX_RATIO")</f>
        <v>1.2404299999999999</v>
      </c>
    </row>
    <row r="81" spans="1:20" x14ac:dyDescent="0.25">
      <c r="A81" t="s">
        <v>14</v>
      </c>
      <c r="B81" t="str">
        <f>_xll.BDP("912828FB Govt","TICKER")</f>
        <v>TII</v>
      </c>
      <c r="C81">
        <f>_xll.BDP("912828FB Govt","CPN")</f>
        <v>2.375</v>
      </c>
      <c r="D81" t="str">
        <f>_xll.BDP("912828FB Govt","YLD_YTM_BID")</f>
        <v>#N/A N/A</v>
      </c>
      <c r="E81" t="str">
        <f>_xll.BDP("912828FB Govt","MATURITY")</f>
        <v>4/15/2011</v>
      </c>
      <c r="F81" t="str">
        <f>_xll.BDP("912828FB Govt","MTY_TYP")</f>
        <v>NORMAL</v>
      </c>
      <c r="G81" t="str">
        <f>_xll.BDP("912828FB Govt","CRNCY")</f>
        <v>USD</v>
      </c>
      <c r="H81" t="str">
        <f>_xll.BDP("912828FB Govt","COUNTRY_FULL_NAME")</f>
        <v>UNITED STATES</v>
      </c>
      <c r="I81" t="str">
        <f>_xll.BDP("912828FB Govt","FIRST_CPN_DT")</f>
        <v>10/15/2006</v>
      </c>
      <c r="J81" t="str">
        <f>_xll.BDP("912828FB Govt","COUPON_FREQUENCY_DESCRIPTION")</f>
        <v>S/A</v>
      </c>
      <c r="K81" t="str">
        <f>_xll.BDP("912828FB Govt","CPN_TYP")</f>
        <v>FIXED</v>
      </c>
      <c r="L81" t="str">
        <f>_xll.BDP("912828FB Govt","ID_ISIN")</f>
        <v>US912828FB16</v>
      </c>
      <c r="M81">
        <v>20178000000</v>
      </c>
      <c r="N81">
        <v>0</v>
      </c>
      <c r="O81" t="str">
        <f>_xll.BDP("912828FB Govt","ISSUE_DT")</f>
        <v>4/28/2006</v>
      </c>
      <c r="P81" t="str">
        <f>_xll.BDP("912828FB Govt","SECURITY_NAME")</f>
        <v>TII 2 3/8 04/15/11</v>
      </c>
      <c r="Q81" t="str">
        <f>_xll.BDP("912828FB Govt","DAY_CNT_DES")</f>
        <v>ACT/ACT</v>
      </c>
      <c r="R81">
        <v>100</v>
      </c>
      <c r="S81" t="str">
        <f>_xll.BDP("912828FB Govt","ID_CUSIP")</f>
        <v>912828FB1</v>
      </c>
      <c r="T81">
        <f>_xll.BDP("912828FB Govt","IDX_RATIO")</f>
        <v>1.11206</v>
      </c>
    </row>
    <row r="82" spans="1:20" x14ac:dyDescent="0.25">
      <c r="A82" t="s">
        <v>14</v>
      </c>
      <c r="B82" t="str">
        <f>_xll.BDP("912828BW Govt","TICKER")</f>
        <v>TII</v>
      </c>
      <c r="C82">
        <f>_xll.BDP("912828BW Govt","CPN")</f>
        <v>2</v>
      </c>
      <c r="D82" t="str">
        <f>_xll.BDP("912828BW Govt","YLD_YTM_BID")</f>
        <v>#N/A N/A</v>
      </c>
      <c r="E82" t="str">
        <f>_xll.BDP("912828BW Govt","MATURITY")</f>
        <v>1/15/2014</v>
      </c>
      <c r="F82" t="str">
        <f>_xll.BDP("912828BW Govt","MTY_TYP")</f>
        <v>NORMAL</v>
      </c>
      <c r="G82" t="str">
        <f>_xll.BDP("912828BW Govt","CRNCY")</f>
        <v>USD</v>
      </c>
      <c r="H82" t="str">
        <f>_xll.BDP("912828BW Govt","COUNTRY_FULL_NAME")</f>
        <v>UNITED STATES</v>
      </c>
      <c r="I82" t="str">
        <f>_xll.BDP("912828BW Govt","FIRST_CPN_DT")</f>
        <v>7/15/2004</v>
      </c>
      <c r="J82" t="str">
        <f>_xll.BDP("912828BW Govt","COUPON_FREQUENCY_DESCRIPTION")</f>
        <v>S/A</v>
      </c>
      <c r="K82" t="str">
        <f>_xll.BDP("912828BW Govt","CPN_TYP")</f>
        <v>FIXED</v>
      </c>
      <c r="L82" t="str">
        <f>_xll.BDP("912828BW Govt","ID_ISIN")</f>
        <v>US912828BW98</v>
      </c>
      <c r="M82">
        <v>21002000000</v>
      </c>
      <c r="N82">
        <v>0</v>
      </c>
      <c r="O82" t="str">
        <f>_xll.BDP("912828BW Govt","ISSUE_DT")</f>
        <v>1/15/2004</v>
      </c>
      <c r="P82" t="str">
        <f>_xll.BDP("912828BW Govt","SECURITY_NAME")</f>
        <v>TII 2 01/15/14</v>
      </c>
      <c r="Q82" t="str">
        <f>_xll.BDP("912828BW Govt","DAY_CNT_DES")</f>
        <v>ACT/ACT</v>
      </c>
      <c r="R82">
        <v>100</v>
      </c>
      <c r="S82" t="str">
        <f>_xll.BDP("912828BW Govt","ID_CUSIP")</f>
        <v>912828BW9</v>
      </c>
      <c r="T82">
        <f>_xll.BDP("912828BW Govt","IDX_RATIO")</f>
        <v>1.2627900000000001</v>
      </c>
    </row>
    <row r="83" spans="1:20" x14ac:dyDescent="0.25">
      <c r="A83" t="s">
        <v>14</v>
      </c>
      <c r="B83" t="str">
        <f>_xll.BDP("912828FL Govt","TICKER")</f>
        <v>TII</v>
      </c>
      <c r="C83">
        <f>_xll.BDP("912828FL Govt","CPN")</f>
        <v>2.5</v>
      </c>
      <c r="D83" t="str">
        <f>_xll.BDP("912828FL Govt","YLD_YTM_BID")</f>
        <v>#N/A N/A</v>
      </c>
      <c r="E83" t="str">
        <f>_xll.BDP("912828FL Govt","MATURITY")</f>
        <v>7/15/2016</v>
      </c>
      <c r="F83" t="str">
        <f>_xll.BDP("912828FL Govt","MTY_TYP")</f>
        <v>NORMAL</v>
      </c>
      <c r="G83" t="str">
        <f>_xll.BDP("912828FL Govt","CRNCY")</f>
        <v>USD</v>
      </c>
      <c r="H83" t="str">
        <f>_xll.BDP("912828FL Govt","COUNTRY_FULL_NAME")</f>
        <v>UNITED STATES</v>
      </c>
      <c r="I83" t="str">
        <f>_xll.BDP("912828FL Govt","FIRST_CPN_DT")</f>
        <v>1/15/2007</v>
      </c>
      <c r="J83" t="str">
        <f>_xll.BDP("912828FL Govt","COUPON_FREQUENCY_DESCRIPTION")</f>
        <v>S/A</v>
      </c>
      <c r="K83" t="str">
        <f>_xll.BDP("912828FL Govt","CPN_TYP")</f>
        <v>FIXED</v>
      </c>
      <c r="L83" t="str">
        <f>_xll.BDP("912828FL Govt","ID_ISIN")</f>
        <v>US912828FL97</v>
      </c>
      <c r="M83">
        <v>20000000000</v>
      </c>
      <c r="N83">
        <v>0</v>
      </c>
      <c r="O83" t="str">
        <f>_xll.BDP("912828FL Govt","ISSUE_DT")</f>
        <v>7/17/2006</v>
      </c>
      <c r="P83" t="str">
        <f>_xll.BDP("912828FL Govt","SECURITY_NAME")</f>
        <v>TII 2 1/2 07/15/16</v>
      </c>
      <c r="Q83" t="str">
        <f>_xll.BDP("912828FL Govt","DAY_CNT_DES")</f>
        <v>ACT/ACT</v>
      </c>
      <c r="R83">
        <v>100</v>
      </c>
      <c r="S83" t="str">
        <f>_xll.BDP("912828FL Govt","ID_CUSIP")</f>
        <v>912828FL9</v>
      </c>
      <c r="T83">
        <f>_xll.BDP("912828FL Govt","IDX_RATIO")</f>
        <v>1.18692</v>
      </c>
    </row>
    <row r="84" spans="1:20" x14ac:dyDescent="0.25">
      <c r="A84" t="s">
        <v>14</v>
      </c>
      <c r="B84" t="str">
        <f>_xll.BDP("912828KM Govt","TICKER")</f>
        <v>TII</v>
      </c>
      <c r="C84">
        <f>_xll.BDP("912828KM Govt","CPN")</f>
        <v>1.25</v>
      </c>
      <c r="D84" t="str">
        <f>_xll.BDP("912828KM Govt","YLD_YTM_BID")</f>
        <v>#N/A N/A</v>
      </c>
      <c r="E84" t="str">
        <f>_xll.BDP("912828KM Govt","MATURITY")</f>
        <v>4/15/2014</v>
      </c>
      <c r="F84" t="str">
        <f>_xll.BDP("912828KM Govt","MTY_TYP")</f>
        <v>NORMAL</v>
      </c>
      <c r="G84" t="str">
        <f>_xll.BDP("912828KM Govt","CRNCY")</f>
        <v>USD</v>
      </c>
      <c r="H84" t="str">
        <f>_xll.BDP("912828KM Govt","COUNTRY_FULL_NAME")</f>
        <v>UNITED STATES</v>
      </c>
      <c r="I84" t="str">
        <f>_xll.BDP("912828KM Govt","FIRST_CPN_DT")</f>
        <v>10/15/2009</v>
      </c>
      <c r="J84" t="str">
        <f>_xll.BDP("912828KM Govt","COUPON_FREQUENCY_DESCRIPTION")</f>
        <v>S/A</v>
      </c>
      <c r="K84" t="str">
        <f>_xll.BDP("912828KM Govt","CPN_TYP")</f>
        <v>FIXED</v>
      </c>
      <c r="L84" t="str">
        <f>_xll.BDP("912828KM Govt","ID_ISIN")</f>
        <v>US912828KM16</v>
      </c>
      <c r="M84">
        <v>15265000000</v>
      </c>
      <c r="N84">
        <v>0</v>
      </c>
      <c r="O84" t="str">
        <f>_xll.BDP("912828KM Govt","ISSUE_DT")</f>
        <v>4/30/2009</v>
      </c>
      <c r="P84" t="str">
        <f>_xll.BDP("912828KM Govt","SECURITY_NAME")</f>
        <v>TII 1 1/4 04/15/14</v>
      </c>
      <c r="Q84" t="str">
        <f>_xll.BDP("912828KM Govt","DAY_CNT_DES")</f>
        <v>ACT/ACT</v>
      </c>
      <c r="R84">
        <v>100</v>
      </c>
      <c r="S84" t="str">
        <f>_xll.BDP("912828KM Govt","ID_CUSIP")</f>
        <v>912828KM1</v>
      </c>
      <c r="T84">
        <f>_xll.BDP("912828KM Govt","IDX_RATIO")</f>
        <v>1.1072</v>
      </c>
    </row>
    <row r="85" spans="1:20" x14ac:dyDescent="0.25">
      <c r="A85" t="s">
        <v>14</v>
      </c>
      <c r="B85" t="str">
        <f>_xll.BDP("912828JE Govt","TICKER")</f>
        <v>TII</v>
      </c>
      <c r="C85">
        <f>_xll.BDP("912828JE Govt","CPN")</f>
        <v>1.375</v>
      </c>
      <c r="D85" t="str">
        <f>_xll.BDP("912828JE Govt","YLD_YTM_BID")</f>
        <v>#N/A N/A</v>
      </c>
      <c r="E85" t="str">
        <f>_xll.BDP("912828JE Govt","MATURITY")</f>
        <v>7/15/2018</v>
      </c>
      <c r="F85" t="str">
        <f>_xll.BDP("912828JE Govt","MTY_TYP")</f>
        <v>NORMAL</v>
      </c>
      <c r="G85" t="str">
        <f>_xll.BDP("912828JE Govt","CRNCY")</f>
        <v>USD</v>
      </c>
      <c r="H85" t="str">
        <f>_xll.BDP("912828JE Govt","COUNTRY_FULL_NAME")</f>
        <v>UNITED STATES</v>
      </c>
      <c r="I85" t="str">
        <f>_xll.BDP("912828JE Govt","FIRST_CPN_DT")</f>
        <v>1/15/2009</v>
      </c>
      <c r="J85" t="str">
        <f>_xll.BDP("912828JE Govt","COUPON_FREQUENCY_DESCRIPTION")</f>
        <v>S/A</v>
      </c>
      <c r="K85" t="str">
        <f>_xll.BDP("912828JE Govt","CPN_TYP")</f>
        <v>FIXED</v>
      </c>
      <c r="L85" t="str">
        <f>_xll.BDP("912828JE Govt","ID_ISIN")</f>
        <v>US912828JE19</v>
      </c>
      <c r="M85">
        <v>14970000000</v>
      </c>
      <c r="N85">
        <v>0</v>
      </c>
      <c r="O85" t="str">
        <f>_xll.BDP("912828JE Govt","ISSUE_DT")</f>
        <v>7/15/2008</v>
      </c>
      <c r="P85" t="str">
        <f>_xll.BDP("912828JE Govt","SECURITY_NAME")</f>
        <v>TII 1 3/8 07/15/18</v>
      </c>
      <c r="Q85" t="str">
        <f>_xll.BDP("912828JE Govt","DAY_CNT_DES")</f>
        <v>ACT/ACT</v>
      </c>
      <c r="R85">
        <v>100</v>
      </c>
      <c r="S85" t="str">
        <f>_xll.BDP("912828JE Govt","ID_CUSIP")</f>
        <v>912828JE1</v>
      </c>
      <c r="T85">
        <f>_xll.BDP("912828JE Govt","IDX_RATIO")</f>
        <v>1.16405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2021-03-19T14:14:54Z</dcterms:created>
  <dcterms:modified xsi:type="dcterms:W3CDTF">2021-10-05T18:45:46Z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