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480" yWindow="120" windowWidth="14355" windowHeight="7125"/>
  </bookViews>
  <sheets>
    <sheet name="TgtVar" sheetId="5" r:id="rId1"/>
    <sheet name="PL" sheetId="4" r:id="rId2"/>
    <sheet name="AllocDefintion" sheetId="18" r:id="rId3"/>
    <sheet name="AllocDetail" sheetId="12" r:id="rId4"/>
    <sheet name="AllocSummary" sheetId="14" r:id="rId5"/>
    <sheet name="PLReport" sheetId="13" r:id="rId6"/>
    <sheet name="Fcst" sheetId="7" r:id="rId7"/>
    <sheet name="FcstDetail" sheetId="8" r:id="rId8"/>
    <sheet name="FxVar" sheetId="9" r:id="rId9"/>
    <sheet name="FxRates" sheetId="16" r:id="rId10"/>
    <sheet name="{PL}PickLst" sheetId="11" state="hidden" r:id="rId11"/>
    <sheet name="Lookup" sheetId="10" state="hidden" r:id="rId12"/>
    <sheet name="AllocationIn" sheetId="6" state="hidden" r:id="rId13"/>
    <sheet name="{AR}01" sheetId="20" state="hidden" r:id="rId14"/>
  </sheets>
  <definedNames>
    <definedName name="FcstMethods">Lookup!$G$2:$G$4</definedName>
    <definedName name="OpExSubsets" localSheetId="2">Lookup!$A$2:$A$10</definedName>
    <definedName name="OpExSubsets">Lookup!$A$2:$A$10</definedName>
    <definedName name="Organization">TgtVar!$C$13</definedName>
    <definedName name="RowFilter">Lookup!$B$2:$B$3</definedName>
    <definedName name="SelectYesNo" localSheetId="2">Lookup!$D$2:$D$3</definedName>
    <definedName name="SelectYesNo">Lookup!$D$2:$D$3</definedName>
    <definedName name="TM1REBUILDOPTION">1</definedName>
    <definedName name="TM1RPTDATARNG1" localSheetId="2">AllocDefintion!$18:$28</definedName>
    <definedName name="TM1RPTDATARNG1" localSheetId="8">FxVar!$20:$26</definedName>
    <definedName name="TM1RPTDATARNG1" localSheetId="0">TgtVar!$17:$29</definedName>
    <definedName name="TM1RPTDATARNG2" localSheetId="3">AllocDetail!$22:$36</definedName>
    <definedName name="TM1RPTDATARNG3" localSheetId="6">Fcst!$91:$103</definedName>
    <definedName name="TM1RPTDATARNG3" localSheetId="1">PL!$16:$28</definedName>
    <definedName name="TM1RPTFMTIDCOL" localSheetId="2">AllocDefintion!$A$1:$A$9</definedName>
    <definedName name="TM1RPTFMTIDCOL" localSheetId="3">AllocDetail!$A$1:$A$8</definedName>
    <definedName name="TM1RPTFMTIDCOL" localSheetId="6">Fcst!$A$1:$A$80</definedName>
    <definedName name="TM1RPTFMTIDCOL" localSheetId="8">FxVar!$A$1:$A$8</definedName>
    <definedName name="TM1RPTFMTIDCOL" localSheetId="1">PL!$A$1:$A$8</definedName>
    <definedName name="TM1RPTFMTIDCOL" localSheetId="0">TgtVar!$A$1:$A$8</definedName>
    <definedName name="TM1RPTFMTRNG" localSheetId="2">AllocDefintion!$D$1:$L$9</definedName>
    <definedName name="TM1RPTFMTRNG" localSheetId="3">AllocDetail!$C$1:$J$8</definedName>
    <definedName name="TM1RPTFMTRNG" localSheetId="6">Fcst!$C$1:$Q$80</definedName>
    <definedName name="TM1RPTFMTRNG" localSheetId="8">FxVar!$C$1:$H$8</definedName>
    <definedName name="TM1RPTFMTRNG" localSheetId="1">PL!$C$1:$H$8</definedName>
    <definedName name="TM1RPTFMTRNG" localSheetId="0">TgtVar!$C$1:$I$8</definedName>
  </definedNames>
  <calcPr calcId="152511" calcMode="manual" concurrentCalc="0"/>
</workbook>
</file>

<file path=xl/calcChain.xml><?xml version="1.0" encoding="utf-8"?>
<calcChain xmlns="http://schemas.openxmlformats.org/spreadsheetml/2006/main">
  <c r="H1" i="16" l="1"/>
  <c r="D5" i="13"/>
  <c r="C13" i="5"/>
  <c r="B5" i="13"/>
  <c r="G5" i="13"/>
  <c r="E5" i="13"/>
  <c r="D1" i="13"/>
  <c r="D10" i="13"/>
  <c r="A26" i="9"/>
  <c r="A25" i="9"/>
  <c r="A24" i="9"/>
  <c r="A23" i="9"/>
  <c r="A22" i="9"/>
  <c r="A21" i="9"/>
  <c r="G8" i="9"/>
  <c r="C5" i="16"/>
  <c r="B5" i="16"/>
  <c r="F5" i="16"/>
  <c r="C1" i="16"/>
  <c r="G8" i="16"/>
  <c r="C9" i="9"/>
  <c r="D13" i="9"/>
  <c r="C13" i="9"/>
  <c r="F13" i="9"/>
  <c r="G13" i="9"/>
  <c r="F26" i="9"/>
  <c r="G26" i="9"/>
  <c r="H26" i="9"/>
  <c r="E19" i="9"/>
  <c r="E26" i="9"/>
  <c r="D26" i="9"/>
  <c r="F25" i="9"/>
  <c r="G25" i="9"/>
  <c r="H25" i="9"/>
  <c r="E25" i="9"/>
  <c r="D25" i="9"/>
  <c r="F24" i="9"/>
  <c r="G24" i="9"/>
  <c r="H24" i="9"/>
  <c r="E24" i="9"/>
  <c r="D24" i="9"/>
  <c r="F23" i="9"/>
  <c r="G23" i="9"/>
  <c r="H23" i="9"/>
  <c r="E23" i="9"/>
  <c r="D23" i="9"/>
  <c r="F22" i="9"/>
  <c r="G22" i="9"/>
  <c r="H22" i="9"/>
  <c r="E22" i="9"/>
  <c r="D22" i="9"/>
  <c r="F21" i="9"/>
  <c r="G21" i="9"/>
  <c r="H21" i="9"/>
  <c r="E21" i="9"/>
  <c r="D21" i="9"/>
  <c r="A103" i="7"/>
  <c r="A102" i="7"/>
  <c r="A101" i="7"/>
  <c r="A100" i="7"/>
  <c r="A99" i="7"/>
  <c r="A98" i="7"/>
  <c r="A97" i="7"/>
  <c r="A96" i="7"/>
  <c r="A95" i="7"/>
  <c r="A94" i="7"/>
  <c r="A93" i="7"/>
  <c r="A92" i="7"/>
  <c r="H80" i="7"/>
  <c r="C81" i="7"/>
  <c r="D85" i="7"/>
  <c r="C85" i="7"/>
  <c r="E85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C9" i="12"/>
  <c r="C13" i="12"/>
  <c r="E13" i="12"/>
  <c r="D13" i="12"/>
  <c r="F13" i="12"/>
  <c r="J36" i="12"/>
  <c r="I36" i="12"/>
  <c r="H36" i="12"/>
  <c r="G36" i="12"/>
  <c r="F36" i="12"/>
  <c r="E36" i="12"/>
  <c r="D36" i="12"/>
  <c r="J35" i="12"/>
  <c r="I35" i="12"/>
  <c r="H35" i="12"/>
  <c r="G35" i="12"/>
  <c r="F35" i="12"/>
  <c r="E35" i="12"/>
  <c r="D35" i="12"/>
  <c r="J34" i="12"/>
  <c r="I34" i="12"/>
  <c r="H34" i="12"/>
  <c r="G34" i="12"/>
  <c r="F34" i="12"/>
  <c r="E34" i="12"/>
  <c r="D34" i="12"/>
  <c r="J33" i="12"/>
  <c r="I33" i="12"/>
  <c r="H33" i="12"/>
  <c r="G33" i="12"/>
  <c r="F33" i="12"/>
  <c r="E33" i="12"/>
  <c r="D33" i="12"/>
  <c r="J32" i="12"/>
  <c r="I32" i="12"/>
  <c r="H32" i="12"/>
  <c r="G32" i="12"/>
  <c r="F32" i="12"/>
  <c r="E32" i="12"/>
  <c r="D32" i="12"/>
  <c r="J31" i="12"/>
  <c r="I31" i="12"/>
  <c r="H31" i="12"/>
  <c r="G31" i="12"/>
  <c r="F31" i="12"/>
  <c r="E31" i="12"/>
  <c r="D31" i="12"/>
  <c r="J30" i="12"/>
  <c r="I30" i="12"/>
  <c r="H30" i="12"/>
  <c r="G30" i="12"/>
  <c r="F30" i="12"/>
  <c r="E30" i="12"/>
  <c r="D30" i="12"/>
  <c r="J29" i="12"/>
  <c r="I29" i="12"/>
  <c r="H29" i="12"/>
  <c r="G29" i="12"/>
  <c r="F29" i="12"/>
  <c r="E29" i="12"/>
  <c r="D29" i="12"/>
  <c r="J28" i="12"/>
  <c r="I28" i="12"/>
  <c r="H28" i="12"/>
  <c r="G28" i="12"/>
  <c r="F28" i="12"/>
  <c r="E28" i="12"/>
  <c r="D28" i="12"/>
  <c r="J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J25" i="12"/>
  <c r="I25" i="12"/>
  <c r="H25" i="12"/>
  <c r="G25" i="12"/>
  <c r="F25" i="12"/>
  <c r="E25" i="12"/>
  <c r="D25" i="12"/>
  <c r="J24" i="12"/>
  <c r="I24" i="12"/>
  <c r="H24" i="12"/>
  <c r="G24" i="12"/>
  <c r="F24" i="12"/>
  <c r="E24" i="12"/>
  <c r="D24" i="12"/>
  <c r="J23" i="12"/>
  <c r="I23" i="12"/>
  <c r="H23" i="12"/>
  <c r="G23" i="12"/>
  <c r="F23" i="12"/>
  <c r="E23" i="12"/>
  <c r="D23" i="12"/>
  <c r="C28" i="18"/>
  <c r="A28" i="18"/>
  <c r="C27" i="18"/>
  <c r="D10" i="18"/>
  <c r="D14" i="18"/>
  <c r="F14" i="18"/>
  <c r="C13" i="4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L28" i="18"/>
  <c r="K28" i="18"/>
  <c r="J28" i="18"/>
  <c r="I28" i="18"/>
  <c r="H28" i="18"/>
  <c r="G28" i="18"/>
  <c r="F28" i="18"/>
  <c r="E28" i="18"/>
  <c r="L27" i="18"/>
  <c r="K27" i="18"/>
  <c r="J27" i="18"/>
  <c r="I27" i="18"/>
  <c r="H27" i="18"/>
  <c r="G27" i="18"/>
  <c r="F27" i="18"/>
  <c r="E27" i="18"/>
  <c r="L26" i="18"/>
  <c r="K26" i="18"/>
  <c r="J26" i="18"/>
  <c r="I26" i="18"/>
  <c r="H26" i="18"/>
  <c r="G26" i="18"/>
  <c r="F26" i="18"/>
  <c r="E26" i="18"/>
  <c r="L25" i="18"/>
  <c r="K25" i="18"/>
  <c r="J25" i="18"/>
  <c r="I25" i="18"/>
  <c r="H25" i="18"/>
  <c r="G25" i="18"/>
  <c r="F25" i="18"/>
  <c r="E25" i="18"/>
  <c r="L24" i="18"/>
  <c r="K24" i="18"/>
  <c r="J24" i="18"/>
  <c r="I24" i="18"/>
  <c r="H24" i="18"/>
  <c r="G24" i="18"/>
  <c r="F24" i="18"/>
  <c r="E24" i="18"/>
  <c r="L23" i="18"/>
  <c r="K23" i="18"/>
  <c r="J23" i="18"/>
  <c r="I23" i="18"/>
  <c r="H23" i="18"/>
  <c r="G23" i="18"/>
  <c r="F23" i="18"/>
  <c r="E23" i="18"/>
  <c r="L22" i="18"/>
  <c r="K22" i="18"/>
  <c r="J22" i="18"/>
  <c r="I22" i="18"/>
  <c r="H22" i="18"/>
  <c r="G22" i="18"/>
  <c r="F22" i="18"/>
  <c r="E22" i="18"/>
  <c r="L21" i="18"/>
  <c r="K21" i="18"/>
  <c r="J21" i="18"/>
  <c r="I21" i="18"/>
  <c r="H21" i="18"/>
  <c r="G21" i="18"/>
  <c r="F21" i="18"/>
  <c r="E21" i="18"/>
  <c r="L20" i="18"/>
  <c r="K20" i="18"/>
  <c r="J20" i="18"/>
  <c r="I20" i="18"/>
  <c r="H20" i="18"/>
  <c r="G20" i="18"/>
  <c r="F20" i="18"/>
  <c r="E20" i="18"/>
  <c r="L19" i="18"/>
  <c r="K19" i="18"/>
  <c r="J19" i="18"/>
  <c r="I19" i="18"/>
  <c r="H19" i="18"/>
  <c r="G19" i="18"/>
  <c r="F19" i="18"/>
  <c r="E19" i="18"/>
  <c r="A28" i="4"/>
  <c r="A27" i="4"/>
  <c r="A26" i="4"/>
  <c r="A25" i="4"/>
  <c r="A24" i="4"/>
  <c r="A23" i="4"/>
  <c r="A22" i="4"/>
  <c r="A21" i="4"/>
  <c r="A20" i="4"/>
  <c r="A19" i="4"/>
  <c r="A18" i="4"/>
  <c r="A17" i="4"/>
  <c r="G8" i="4"/>
  <c r="C9" i="4"/>
  <c r="D13" i="4"/>
  <c r="E13" i="4"/>
  <c r="F13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A29" i="5"/>
  <c r="A28" i="5"/>
  <c r="A27" i="5"/>
  <c r="A26" i="5"/>
  <c r="A25" i="5"/>
  <c r="A24" i="5"/>
  <c r="A23" i="5"/>
  <c r="A22" i="5"/>
  <c r="A21" i="5"/>
  <c r="A20" i="5"/>
  <c r="A19" i="5"/>
  <c r="A18" i="5"/>
  <c r="G8" i="5"/>
  <c r="C9" i="5"/>
  <c r="D13" i="5"/>
  <c r="F13" i="5"/>
  <c r="H13" i="5"/>
  <c r="I29" i="5"/>
  <c r="H29" i="5"/>
  <c r="G29" i="5"/>
  <c r="F16" i="5"/>
  <c r="F29" i="5"/>
  <c r="E29" i="5"/>
  <c r="D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H6" i="6"/>
  <c r="F6" i="6"/>
  <c r="D6" i="6"/>
  <c r="B6" i="6"/>
  <c r="C1" i="6"/>
  <c r="B9" i="16"/>
  <c r="H13" i="9"/>
  <c r="C20" i="9"/>
  <c r="E18" i="9"/>
  <c r="F16" i="9"/>
  <c r="D12" i="8"/>
  <c r="B12" i="8"/>
  <c r="M5" i="8"/>
  <c r="P8" i="8"/>
  <c r="O8" i="8"/>
  <c r="N8" i="8"/>
  <c r="M8" i="8"/>
  <c r="L8" i="8"/>
  <c r="K8" i="8"/>
  <c r="J8" i="8"/>
  <c r="I8" i="8"/>
  <c r="H8" i="8"/>
  <c r="G8" i="8"/>
  <c r="F8" i="8"/>
  <c r="E8" i="8"/>
  <c r="O5" i="8"/>
  <c r="K5" i="8"/>
  <c r="F5" i="8"/>
  <c r="I5" i="8"/>
  <c r="D5" i="8"/>
  <c r="E1" i="8"/>
  <c r="C91" i="7"/>
  <c r="D91" i="7"/>
  <c r="P88" i="7"/>
  <c r="O88" i="7"/>
  <c r="N88" i="7"/>
  <c r="M88" i="7"/>
  <c r="L88" i="7"/>
  <c r="K88" i="7"/>
  <c r="J88" i="7"/>
  <c r="I88" i="7"/>
  <c r="H88" i="7"/>
  <c r="G88" i="7"/>
  <c r="F88" i="7"/>
  <c r="E88" i="7"/>
  <c r="H85" i="7"/>
  <c r="F8" i="13"/>
  <c r="F5" i="14"/>
  <c r="E5" i="14"/>
  <c r="D5" i="14"/>
  <c r="B5" i="14"/>
  <c r="C1" i="14"/>
  <c r="C22" i="12"/>
  <c r="J16" i="12"/>
  <c r="H16" i="12"/>
  <c r="F16" i="12"/>
  <c r="D16" i="12"/>
  <c r="C16" i="12"/>
  <c r="D18" i="18"/>
  <c r="C16" i="4"/>
  <c r="C17" i="5"/>
  <c r="F15" i="5"/>
  <c r="H8" i="4"/>
  <c r="F18" i="18"/>
  <c r="A18" i="18"/>
  <c r="E18" i="18"/>
  <c r="C18" i="18"/>
  <c r="P68" i="4"/>
  <c r="O68" i="4"/>
  <c r="N68" i="4"/>
  <c r="M68" i="4"/>
  <c r="P67" i="4"/>
  <c r="O67" i="4"/>
  <c r="N67" i="4"/>
  <c r="M67" i="4"/>
  <c r="P66" i="4"/>
  <c r="O66" i="4"/>
  <c r="N66" i="4"/>
  <c r="M66" i="4"/>
  <c r="P65" i="4"/>
  <c r="O65" i="4"/>
  <c r="N65" i="4"/>
  <c r="M65" i="4"/>
  <c r="P64" i="4"/>
  <c r="O64" i="4"/>
  <c r="N64" i="4"/>
  <c r="M64" i="4"/>
  <c r="P63" i="4"/>
  <c r="O63" i="4"/>
  <c r="N63" i="4"/>
  <c r="M63" i="4"/>
  <c r="L18" i="18"/>
  <c r="K18" i="18"/>
  <c r="J18" i="18"/>
  <c r="I18" i="18"/>
  <c r="H18" i="18"/>
  <c r="G18" i="18"/>
  <c r="A5" i="18"/>
  <c r="A4" i="18"/>
  <c r="A3" i="18"/>
  <c r="A2" i="18"/>
  <c r="C10" i="14"/>
  <c r="F7" i="13"/>
  <c r="F10" i="13"/>
  <c r="G10" i="13"/>
  <c r="N8" i="16"/>
  <c r="M8" i="16"/>
  <c r="L8" i="16"/>
  <c r="K8" i="16"/>
  <c r="J8" i="16"/>
  <c r="I8" i="16"/>
  <c r="H8" i="16"/>
  <c r="F8" i="16"/>
  <c r="E8" i="16"/>
  <c r="D8" i="16"/>
  <c r="C8" i="16"/>
  <c r="F20" i="9"/>
  <c r="G20" i="9"/>
  <c r="H20" i="9"/>
  <c r="N9" i="16"/>
  <c r="M9" i="16"/>
  <c r="L9" i="16"/>
  <c r="K9" i="16"/>
  <c r="J9" i="16"/>
  <c r="I9" i="16"/>
  <c r="H9" i="16"/>
  <c r="G9" i="16"/>
  <c r="F9" i="16"/>
  <c r="E9" i="16"/>
  <c r="D9" i="16"/>
  <c r="C9" i="16"/>
  <c r="Q12" i="8"/>
  <c r="F12" i="8"/>
  <c r="G12" i="8"/>
  <c r="H12" i="8"/>
  <c r="I12" i="8"/>
  <c r="J12" i="8"/>
  <c r="K12" i="8"/>
  <c r="L12" i="8"/>
  <c r="M12" i="8"/>
  <c r="N12" i="8"/>
  <c r="O12" i="8"/>
  <c r="P12" i="8"/>
  <c r="E12" i="8"/>
  <c r="P7" i="8"/>
  <c r="O7" i="8"/>
  <c r="N7" i="8"/>
  <c r="M7" i="8"/>
  <c r="L7" i="8"/>
  <c r="K7" i="8"/>
  <c r="J7" i="8"/>
  <c r="I7" i="8"/>
  <c r="H7" i="8"/>
  <c r="G7" i="8"/>
  <c r="F7" i="8"/>
  <c r="E7" i="8"/>
  <c r="F19" i="14"/>
  <c r="H19" i="14"/>
  <c r="I19" i="14"/>
  <c r="F18" i="14"/>
  <c r="H18" i="14"/>
  <c r="I18" i="14"/>
  <c r="F17" i="14"/>
  <c r="H17" i="14"/>
  <c r="I17" i="14"/>
  <c r="F16" i="14"/>
  <c r="H16" i="14"/>
  <c r="I16" i="14"/>
  <c r="F15" i="14"/>
  <c r="H15" i="14"/>
  <c r="I15" i="14"/>
  <c r="F14" i="14"/>
  <c r="H14" i="14"/>
  <c r="I14" i="14"/>
  <c r="F12" i="14"/>
  <c r="H12" i="14"/>
  <c r="I12" i="14"/>
  <c r="F11" i="14"/>
  <c r="H11" i="14"/>
  <c r="I11" i="14"/>
  <c r="F10" i="14"/>
  <c r="H10" i="14"/>
  <c r="I10" i="14"/>
  <c r="F20" i="14"/>
  <c r="H20" i="14"/>
  <c r="I20" i="14"/>
  <c r="F13" i="14"/>
  <c r="H13" i="14"/>
  <c r="I13" i="14"/>
  <c r="G19" i="14"/>
  <c r="E19" i="14"/>
  <c r="D19" i="14"/>
  <c r="C19" i="14"/>
  <c r="G18" i="14"/>
  <c r="E18" i="14"/>
  <c r="D18" i="14"/>
  <c r="C18" i="14"/>
  <c r="G17" i="14"/>
  <c r="E17" i="14"/>
  <c r="D17" i="14"/>
  <c r="C17" i="14"/>
  <c r="G16" i="14"/>
  <c r="E16" i="14"/>
  <c r="D16" i="14"/>
  <c r="C16" i="14"/>
  <c r="G15" i="14"/>
  <c r="E15" i="14"/>
  <c r="D15" i="14"/>
  <c r="C15" i="14"/>
  <c r="G14" i="14"/>
  <c r="E14" i="14"/>
  <c r="D14" i="14"/>
  <c r="C14" i="14"/>
  <c r="G13" i="14"/>
  <c r="E13" i="14"/>
  <c r="D13" i="14"/>
  <c r="C13" i="14"/>
  <c r="G12" i="14"/>
  <c r="E12" i="14"/>
  <c r="D12" i="14"/>
  <c r="C12" i="14"/>
  <c r="G11" i="14"/>
  <c r="E11" i="14"/>
  <c r="D11" i="14"/>
  <c r="C11" i="14"/>
  <c r="G10" i="14"/>
  <c r="E10" i="14"/>
  <c r="D10" i="14"/>
  <c r="Q13" i="8"/>
  <c r="Q14" i="8"/>
  <c r="P13" i="8"/>
  <c r="P14" i="8"/>
  <c r="O13" i="8"/>
  <c r="O14" i="8"/>
  <c r="N13" i="8"/>
  <c r="N14" i="8"/>
  <c r="M13" i="8"/>
  <c r="M14" i="8"/>
  <c r="L13" i="8"/>
  <c r="L14" i="8"/>
  <c r="K13" i="8"/>
  <c r="K14" i="8"/>
  <c r="J13" i="8"/>
  <c r="J14" i="8"/>
  <c r="I13" i="8"/>
  <c r="I14" i="8"/>
  <c r="H13" i="8"/>
  <c r="H14" i="8"/>
  <c r="G13" i="8"/>
  <c r="G14" i="8"/>
  <c r="F13" i="8"/>
  <c r="F14" i="8"/>
  <c r="E13" i="8"/>
  <c r="E1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H26" i="13"/>
  <c r="G26" i="13"/>
  <c r="F26" i="13"/>
  <c r="E26" i="13"/>
  <c r="D26" i="13"/>
  <c r="H24" i="13"/>
  <c r="G24" i="13"/>
  <c r="F24" i="13"/>
  <c r="E24" i="13"/>
  <c r="D24" i="13"/>
  <c r="H22" i="13"/>
  <c r="G22" i="13"/>
  <c r="F22" i="13"/>
  <c r="E22" i="13"/>
  <c r="D22" i="13"/>
  <c r="H20" i="13"/>
  <c r="G20" i="13"/>
  <c r="F20" i="13"/>
  <c r="E20" i="13"/>
  <c r="D20" i="13"/>
  <c r="H19" i="13"/>
  <c r="G19" i="13"/>
  <c r="F19" i="13"/>
  <c r="E19" i="13"/>
  <c r="D19" i="13"/>
  <c r="H18" i="13"/>
  <c r="G18" i="13"/>
  <c r="F18" i="13"/>
  <c r="E18" i="13"/>
  <c r="D18" i="13"/>
  <c r="H17" i="13"/>
  <c r="G17" i="13"/>
  <c r="F17" i="13"/>
  <c r="E17" i="13"/>
  <c r="D17" i="13"/>
  <c r="H16" i="13"/>
  <c r="G16" i="13"/>
  <c r="F16" i="13"/>
  <c r="E16" i="13"/>
  <c r="D16" i="13"/>
  <c r="H15" i="13"/>
  <c r="G15" i="13"/>
  <c r="F15" i="13"/>
  <c r="E15" i="13"/>
  <c r="D15" i="13"/>
  <c r="H14" i="13"/>
  <c r="G14" i="13"/>
  <c r="F14" i="13"/>
  <c r="E14" i="13"/>
  <c r="D14" i="13"/>
  <c r="H12" i="13"/>
  <c r="G12" i="13"/>
  <c r="F12" i="13"/>
  <c r="E12" i="13"/>
  <c r="D12" i="13"/>
  <c r="H11" i="13"/>
  <c r="G11" i="13"/>
  <c r="F11" i="13"/>
  <c r="E11" i="13"/>
  <c r="D11" i="13"/>
  <c r="H10" i="13"/>
  <c r="E10" i="13"/>
  <c r="J22" i="12"/>
  <c r="I22" i="12"/>
  <c r="H22" i="12"/>
  <c r="G22" i="12"/>
  <c r="F22" i="12"/>
  <c r="E22" i="12"/>
  <c r="D22" i="12"/>
  <c r="A22" i="12"/>
  <c r="A5" i="12"/>
  <c r="A4" i="12"/>
  <c r="A3" i="12"/>
  <c r="A2" i="12"/>
  <c r="E20" i="9"/>
  <c r="D20" i="9"/>
  <c r="A20" i="9"/>
  <c r="H8" i="9"/>
  <c r="A5" i="9"/>
  <c r="A4" i="9"/>
  <c r="A3" i="9"/>
  <c r="A2" i="9"/>
  <c r="I80" i="7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  <c r="A5" i="5"/>
  <c r="A4" i="5"/>
  <c r="A3" i="5"/>
  <c r="A2" i="5"/>
  <c r="A5" i="4"/>
  <c r="A4" i="4"/>
  <c r="A3" i="4"/>
  <c r="A2" i="4"/>
  <c r="A91" i="7"/>
  <c r="A17" i="5"/>
  <c r="A16" i="4"/>
  <c r="D16" i="4"/>
  <c r="F16" i="4"/>
  <c r="G16" i="4"/>
  <c r="H16" i="4"/>
  <c r="E16" i="4"/>
  <c r="F17" i="5"/>
  <c r="D17" i="5"/>
  <c r="E17" i="5"/>
  <c r="I17" i="5"/>
  <c r="H17" i="5"/>
  <c r="G17" i="5"/>
  <c r="H91" i="7"/>
  <c r="J91" i="7"/>
  <c r="E91" i="7"/>
  <c r="I91" i="7"/>
  <c r="M91" i="7"/>
  <c r="Q91" i="7"/>
  <c r="O91" i="7"/>
  <c r="K91" i="7"/>
  <c r="G91" i="7"/>
  <c r="N91" i="7"/>
  <c r="F91" i="7"/>
  <c r="P91" i="7"/>
  <c r="L91" i="7"/>
  <c r="L87" i="7"/>
  <c r="F87" i="7"/>
  <c r="P87" i="7"/>
  <c r="J87" i="7"/>
  <c r="E87" i="7"/>
  <c r="O87" i="7"/>
  <c r="I87" i="7"/>
  <c r="N87" i="7"/>
  <c r="H87" i="7"/>
  <c r="M87" i="7"/>
  <c r="K87" i="7"/>
  <c r="G87" i="7"/>
</calcChain>
</file>

<file path=xl/sharedStrings.xml><?xml version="1.0" encoding="utf-8"?>
<sst xmlns="http://schemas.openxmlformats.org/spreadsheetml/2006/main" count="525" uniqueCount="267">
  <si>
    <t>Year</t>
  </si>
  <si>
    <t>Version</t>
  </si>
  <si>
    <t>Source Entity</t>
  </si>
  <si>
    <t>Desc</t>
  </si>
  <si>
    <t>Source Account</t>
  </si>
  <si>
    <t>Source Amount</t>
  </si>
  <si>
    <t>Pct to Allocate</t>
  </si>
  <si>
    <t>Allocation Amount</t>
  </si>
  <si>
    <t>Allocation Driver</t>
  </si>
  <si>
    <t>D</t>
  </si>
  <si>
    <t>N</t>
  </si>
  <si>
    <t>[Begin Format Range]</t>
  </si>
  <si>
    <t>[End Format Range]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</si>
  <si>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</si>
  <si>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</si>
  <si>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</si>
  <si>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</si>
  <si>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</si>
  <si>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</si>
  <si>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</si>
  <si>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</si>
  <si>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</si>
  <si>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</si>
  <si>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</si>
  <si>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Row Filter</t>
  </si>
  <si>
    <t>Summary</t>
  </si>
  <si>
    <t>Search (Wildcard=*)</t>
  </si>
  <si>
    <t>Supress Zero</t>
  </si>
  <si>
    <t>Yes</t>
  </si>
  <si>
    <t>($000)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</si>
  <si>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</si>
  <si>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</si>
  <si>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</si>
  <si>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</si>
  <si>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</si>
  <si>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</si>
  <si>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</si>
  <si>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</si>
  <si>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</si>
  <si>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</si>
  <si>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</si>
  <si>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</si>
  <si>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</si>
  <si>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</si>
  <si>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</si>
  <si>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</si>
  <si>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</si>
  <si>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</si>
  <si>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</si>
  <si>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</si>
  <si>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</si>
  <si>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</si>
  <si>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</si>
  <si>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</si>
  <si>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Month</t>
  </si>
  <si>
    <t>No</t>
  </si>
  <si>
    <t>Actual</t>
  </si>
  <si>
    <t>Target</t>
  </si>
  <si>
    <t>Variance</t>
  </si>
  <si>
    <t>Variance%</t>
  </si>
  <si>
    <t>Explanation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</si>
  <si>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</si>
  <si>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</si>
  <si>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</si>
  <si>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</si>
  <si>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</si>
  <si>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</si>
  <si>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</si>
  <si>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</si>
  <si>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Act/Fcst:</t>
  </si>
  <si>
    <t>Fcst Method</t>
  </si>
  <si>
    <t>Account</t>
  </si>
  <si>
    <t>Forecast</t>
  </si>
  <si>
    <t>Office Expense</t>
  </si>
  <si>
    <t>Perf Var</t>
  </si>
  <si>
    <t>Fx Var</t>
  </si>
  <si>
    <t>Var Total</t>
  </si>
  <si>
    <t>Var %</t>
  </si>
  <si>
    <t>Budget</t>
  </si>
  <si>
    <t>Performance Variance</t>
  </si>
  <si>
    <t>Ccy Exchange Variance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</si>
  <si>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</si>
  <si>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</si>
  <si>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</si>
  <si>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</si>
  <si>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</si>
  <si>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</si>
  <si>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</si>
  <si>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</si>
  <si>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</si>
  <si>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</si>
  <si>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</si>
  <si>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</si>
  <si>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</si>
  <si>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</si>
  <si>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</si>
  <si>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Allocation List</t>
  </si>
  <si>
    <t>Exclude Entity</t>
  </si>
  <si>
    <t>Description</t>
  </si>
  <si>
    <t>Prior Year Actual</t>
  </si>
  <si>
    <t>PY Actual</t>
  </si>
  <si>
    <t>Massachusetts</t>
  </si>
  <si>
    <t>Maryland</t>
  </si>
  <si>
    <t>Georgia</t>
  </si>
  <si>
    <t>Central Region</t>
  </si>
  <si>
    <t>Michigan</t>
  </si>
  <si>
    <t>Illinois</t>
  </si>
  <si>
    <t>California</t>
  </si>
  <si>
    <t>Washington</t>
  </si>
  <si>
    <t>Canada</t>
  </si>
  <si>
    <t>Toronto</t>
  </si>
  <si>
    <t>Vancouver</t>
  </si>
  <si>
    <t>Calgary</t>
  </si>
  <si>
    <t>Allocation Detail</t>
  </si>
  <si>
    <t>Currency</t>
  </si>
  <si>
    <t>PY Actuals</t>
  </si>
  <si>
    <t>Var</t>
  </si>
  <si>
    <t>Gross Revenue</t>
  </si>
  <si>
    <t>Cost of Sales</t>
  </si>
  <si>
    <t>Operating Expense</t>
  </si>
  <si>
    <t>Allocations</t>
  </si>
  <si>
    <t>0_Jan</t>
  </si>
  <si>
    <t>1_Jan</t>
  </si>
  <si>
    <t>2_Jan</t>
  </si>
  <si>
    <t>3_Jan</t>
  </si>
  <si>
    <t>D_Jan</t>
  </si>
  <si>
    <t>N_Jan</t>
  </si>
  <si>
    <t>0_Feb</t>
  </si>
  <si>
    <t>1_Feb</t>
  </si>
  <si>
    <t>2_Feb</t>
  </si>
  <si>
    <t>3_Feb</t>
  </si>
  <si>
    <t>D_Feb</t>
  </si>
  <si>
    <t>N_Feb</t>
  </si>
  <si>
    <t>0_Mar</t>
  </si>
  <si>
    <t>1_Mar</t>
  </si>
  <si>
    <t>2_Mar</t>
  </si>
  <si>
    <t>3_Mar</t>
  </si>
  <si>
    <t>D_Mar</t>
  </si>
  <si>
    <t>N_Mar</t>
  </si>
  <si>
    <t>0_Apr</t>
  </si>
  <si>
    <t>1_Apr</t>
  </si>
  <si>
    <t>2_Apr</t>
  </si>
  <si>
    <t>3_Apr</t>
  </si>
  <si>
    <t>D_Apr</t>
  </si>
  <si>
    <t>N_Apr</t>
  </si>
  <si>
    <t>0_May</t>
  </si>
  <si>
    <t>1_May</t>
  </si>
  <si>
    <t>2_May</t>
  </si>
  <si>
    <t>3_May</t>
  </si>
  <si>
    <t>D_May</t>
  </si>
  <si>
    <t>N_May</t>
  </si>
  <si>
    <t>0_Jun</t>
  </si>
  <si>
    <t>1_Jun</t>
  </si>
  <si>
    <t>2_Jun</t>
  </si>
  <si>
    <t>3_Jun</t>
  </si>
  <si>
    <t>D_Jun</t>
  </si>
  <si>
    <t>N_Jun</t>
  </si>
  <si>
    <t>0_Jul</t>
  </si>
  <si>
    <t>1_Jul</t>
  </si>
  <si>
    <t>2_Jul</t>
  </si>
  <si>
    <t>3_Jul</t>
  </si>
  <si>
    <t>D_Jul</t>
  </si>
  <si>
    <t>N_Jul</t>
  </si>
  <si>
    <t>0_Aug</t>
  </si>
  <si>
    <t>1_Aug</t>
  </si>
  <si>
    <t>2_Aug</t>
  </si>
  <si>
    <t>3_Aug</t>
  </si>
  <si>
    <t>D_Aug</t>
  </si>
  <si>
    <t>N_Aug</t>
  </si>
  <si>
    <t>0_Sep</t>
  </si>
  <si>
    <t>1_Sep</t>
  </si>
  <si>
    <t>2_Sep</t>
  </si>
  <si>
    <t>3_Sep</t>
  </si>
  <si>
    <t>D_Sep</t>
  </si>
  <si>
    <t>N_Sep</t>
  </si>
  <si>
    <t>0_Oct</t>
  </si>
  <si>
    <t>1_Oct</t>
  </si>
  <si>
    <t>2_Oct</t>
  </si>
  <si>
    <t>3_Oct</t>
  </si>
  <si>
    <t>D_Oct</t>
  </si>
  <si>
    <t>N_Oct</t>
  </si>
  <si>
    <t>0_Nov</t>
  </si>
  <si>
    <t>1_Nov</t>
  </si>
  <si>
    <t>2_Nov</t>
  </si>
  <si>
    <t>3_Nov</t>
  </si>
  <si>
    <t>D_Nov</t>
  </si>
  <si>
    <t>N_Nov</t>
  </si>
  <si>
    <t>0_Dec</t>
  </si>
  <si>
    <t>1_Dec</t>
  </si>
  <si>
    <t>2_Dec</t>
  </si>
  <si>
    <t>3_Dec</t>
  </si>
  <si>
    <t>D_Dec</t>
  </si>
  <si>
    <t>N_Dec</t>
  </si>
  <si>
    <t>Allocation Out</t>
  </si>
  <si>
    <t>Allocation In</t>
  </si>
  <si>
    <t>Var to Bud</t>
  </si>
  <si>
    <t>Fcst Period</t>
  </si>
  <si>
    <t>Allocation</t>
  </si>
  <si>
    <t>Amount</t>
  </si>
  <si>
    <t>Entity</t>
  </si>
  <si>
    <t>Exclude</t>
  </si>
  <si>
    <t>Total</t>
  </si>
  <si>
    <t>In</t>
  </si>
  <si>
    <t>Out</t>
  </si>
  <si>
    <t>Source</t>
  </si>
  <si>
    <t>Drive</t>
  </si>
  <si>
    <t>Credit</t>
  </si>
  <si>
    <t>0</t>
  </si>
  <si>
    <t>1</t>
  </si>
  <si>
    <t>2</t>
  </si>
  <si>
    <t>3</t>
  </si>
  <si>
    <t>Exchange Rate</t>
  </si>
  <si>
    <t>Exchange Rate Type</t>
  </si>
  <si>
    <t>1_All</t>
  </si>
  <si>
    <t>Q1</t>
  </si>
  <si>
    <t>Q2</t>
  </si>
  <si>
    <t>Q3</t>
  </si>
  <si>
    <t>Q4</t>
  </si>
  <si>
    <t>4999</t>
  </si>
  <si>
    <t>5999</t>
  </si>
  <si>
    <t>GM</t>
  </si>
  <si>
    <t>6099</t>
  </si>
  <si>
    <t>6199</t>
  </si>
  <si>
    <t>6299</t>
  </si>
  <si>
    <t>6399</t>
  </si>
  <si>
    <t>6499</t>
  </si>
  <si>
    <t>6599</t>
  </si>
  <si>
    <t>TE</t>
  </si>
  <si>
    <t>NP</t>
  </si>
  <si>
    <t>6699</t>
  </si>
  <si>
    <t>NPAA</t>
  </si>
  <si>
    <t>Statistics</t>
  </si>
  <si>
    <t>P&amp;L</t>
  </si>
  <si>
    <t>New Hampshire</t>
  </si>
  <si>
    <t>North Carolina</t>
  </si>
  <si>
    <t>Vermont</t>
  </si>
  <si>
    <t>West Virginia</t>
  </si>
  <si>
    <t>Mississippi</t>
  </si>
  <si>
    <t>Louisiana</t>
  </si>
  <si>
    <t>Virginia</t>
  </si>
  <si>
    <t>South Carlolina</t>
  </si>
  <si>
    <t>Alabama</t>
  </si>
  <si>
    <t>Delaware</t>
  </si>
  <si>
    <t>Arkansas</t>
  </si>
  <si>
    <t>District of Columbia</t>
  </si>
  <si>
    <t>Kentucky</t>
  </si>
  <si>
    <t>Wisconsin</t>
  </si>
  <si>
    <t>Missouri</t>
  </si>
  <si>
    <t>Oklahoma</t>
  </si>
  <si>
    <t>Minnesota</t>
  </si>
  <si>
    <t>Texas</t>
  </si>
  <si>
    <t>Ohio</t>
  </si>
  <si>
    <t>Kansas</t>
  </si>
  <si>
    <t>Iowa</t>
  </si>
  <si>
    <t>Oregon</t>
  </si>
  <si>
    <t>Arizona</t>
  </si>
  <si>
    <t>Nevada</t>
  </si>
  <si>
    <t>Colorado</t>
  </si>
  <si>
    <t>Idaho</t>
  </si>
  <si>
    <t>Edmonton</t>
  </si>
  <si>
    <t>Ottawa</t>
  </si>
  <si>
    <t>East Region</t>
  </si>
  <si>
    <t>Florida</t>
  </si>
  <si>
    <t>West Region</t>
  </si>
  <si>
    <t>Ontario</t>
  </si>
  <si>
    <t>Quebec</t>
  </si>
  <si>
    <t>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</si>
</sst>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&quot;+ &quot;@"/>
    <numFmt numFmtId="167" formatCode="_(* #,##0_);_(* \(#,##0\);_(* &quot;-&quot;??_);_(@_)"/>
    <numFmt numFmtId="168" formatCode="0.0\%;\-0.0\%"/>
    <numFmt numFmtId="169" formatCode="_(* #,##0_);_(* \(#,##0\);_(* &quot; &quot;??_);_(@_)"/>
    <numFmt numFmtId="170" formatCode="#.0%"/>
    <numFmt numFmtId="171" formatCode="0.0\%;[Red]\(0.0\)\%"/>
  </numFmts>
  <fonts count="5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"/>
      <color indexed="9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color theme="0" tint="-0.499984740745262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7F7F7F"/>
      <name val="Arial"/>
      <family val="2"/>
    </font>
    <font>
      <b/>
      <sz val="18"/>
      <color rgb="FF0296DF"/>
      <name val="Arial"/>
      <family val="2"/>
    </font>
    <font>
      <b/>
      <sz val="9"/>
      <color rgb="FF7F7F7F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8BC43F"/>
      <name val="Arial"/>
      <family val="2"/>
    </font>
    <font>
      <b/>
      <sz val="9"/>
      <color theme="1" tint="0.499984740745262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608DAD"/>
      </bottom>
      <diagonal/>
    </border>
  </borders>
  <cellStyleXfs count="45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1">
      <alignment horizontal="right" vertical="center"/>
    </xf>
    <xf numFmtId="0" fontId="17" fillId="11" borderId="1">
      <alignment horizontal="center" vertical="center"/>
    </xf>
    <xf numFmtId="0" fontId="24" fillId="0" borderId="1">
      <alignment horizontal="right" vertical="center"/>
    </xf>
    <xf numFmtId="0" fontId="17" fillId="11" borderId="1">
      <alignment horizontal="left" vertical="center"/>
    </xf>
    <xf numFmtId="0" fontId="17" fillId="11" borderId="1">
      <alignment horizontal="center" vertical="center"/>
    </xf>
    <xf numFmtId="0" fontId="25" fillId="11" borderId="1">
      <alignment horizontal="center" vertical="center"/>
    </xf>
    <xf numFmtId="0" fontId="24" fillId="8" borderId="1"/>
    <xf numFmtId="0" fontId="17" fillId="0" borderId="1">
      <alignment horizontal="left" vertical="top"/>
    </xf>
    <xf numFmtId="0" fontId="17" fillId="12" borderId="1"/>
    <xf numFmtId="0" fontId="17" fillId="0" borderId="1">
      <alignment horizontal="left" vertical="center"/>
    </xf>
    <xf numFmtId="0" fontId="24" fillId="13" borderId="1"/>
    <xf numFmtId="0" fontId="24" fillId="0" borderId="1">
      <alignment horizontal="right" vertical="center"/>
    </xf>
    <xf numFmtId="0" fontId="24" fillId="14" borderId="1">
      <alignment horizontal="right" vertical="center"/>
    </xf>
    <xf numFmtId="0" fontId="24" fillId="0" borderId="1">
      <alignment horizontal="center" vertical="center"/>
    </xf>
    <xf numFmtId="0" fontId="25" fillId="7" borderId="1"/>
    <xf numFmtId="0" fontId="25" fillId="15" borderId="1"/>
    <xf numFmtId="0" fontId="25" fillId="0" borderId="1">
      <alignment horizontal="center" vertical="center" wrapText="1"/>
    </xf>
    <xf numFmtId="0" fontId="26" fillId="11" borderId="1">
      <alignment horizontal="left" vertical="center" indent="1"/>
    </xf>
    <xf numFmtId="0" fontId="27" fillId="0" borderId="1"/>
    <xf numFmtId="0" fontId="17" fillId="11" borderId="1">
      <alignment horizontal="left" vertical="center"/>
    </xf>
    <xf numFmtId="0" fontId="25" fillId="11" borderId="1">
      <alignment horizontal="center" vertical="center"/>
    </xf>
    <xf numFmtId="0" fontId="18" fillId="7" borderId="1">
      <alignment horizontal="center" vertical="center"/>
    </xf>
    <xf numFmtId="0" fontId="18" fillId="15" borderId="1">
      <alignment horizontal="center" vertical="center"/>
    </xf>
    <xf numFmtId="0" fontId="18" fillId="7" borderId="1">
      <alignment horizontal="left" vertical="center"/>
    </xf>
    <xf numFmtId="0" fontId="18" fillId="15" borderId="1">
      <alignment horizontal="left" vertical="center"/>
    </xf>
    <xf numFmtId="0" fontId="28" fillId="0" borderId="1"/>
    <xf numFmtId="9" fontId="1" fillId="0" borderId="0" applyFont="0" applyFill="0" applyBorder="0" applyAlignment="0" applyProtection="0"/>
  </cellStyleXfs>
  <cellXfs count="204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0" fontId="0" fillId="0" borderId="0" xfId="0" applyAlignment="1">
      <alignment vertical="center"/>
    </xf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6" borderId="4" xfId="0" applyFill="1" applyBorder="1"/>
    <xf numFmtId="0" fontId="14" fillId="0" borderId="0" xfId="0" applyFont="1" applyAlignment="1">
      <alignment wrapText="1"/>
    </xf>
    <xf numFmtId="0" fontId="16" fillId="0" borderId="0" xfId="0" applyFont="1"/>
    <xf numFmtId="0" fontId="13" fillId="0" borderId="0" xfId="0" applyFont="1"/>
    <xf numFmtId="49" fontId="19" fillId="9" borderId="7" xfId="0" applyNumberFormat="1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9" fillId="16" borderId="0" xfId="0" applyNumberFormat="1" applyFont="1" applyFill="1" applyBorder="1" applyAlignment="1" applyProtection="1">
      <alignment horizontal="center" vertical="center"/>
    </xf>
    <xf numFmtId="49" fontId="23" fillId="0" borderId="0" xfId="0" applyNumberFormat="1" applyFont="1" applyFill="1" applyBorder="1" applyAlignment="1">
      <alignment horizontal="left" indent="1"/>
    </xf>
    <xf numFmtId="9" fontId="22" fillId="0" borderId="0" xfId="13" applyFont="1" applyFill="1" applyBorder="1"/>
    <xf numFmtId="0" fontId="29" fillId="0" borderId="0" xfId="0" applyFont="1"/>
    <xf numFmtId="0" fontId="29" fillId="6" borderId="4" xfId="0" applyFont="1" applyFill="1" applyBorder="1"/>
    <xf numFmtId="0" fontId="29" fillId="0" borderId="0" xfId="0" applyFont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49" fontId="31" fillId="5" borderId="1" xfId="0" applyNumberFormat="1" applyFont="1" applyFill="1" applyBorder="1" applyAlignment="1">
      <alignment horizontal="center" vertical="center" wrapText="1"/>
    </xf>
    <xf numFmtId="164" fontId="23" fillId="0" borderId="0" xfId="1" applyNumberFormat="1" applyFont="1" applyFill="1" applyBorder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9" fontId="32" fillId="4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center"/>
    </xf>
    <xf numFmtId="167" fontId="33" fillId="0" borderId="0" xfId="1" applyNumberFormat="1" applyFont="1" applyFill="1" applyBorder="1"/>
    <xf numFmtId="0" fontId="29" fillId="0" borderId="0" xfId="0" applyFont="1" applyAlignment="1">
      <alignment horizontal="center" vertical="center"/>
    </xf>
    <xf numFmtId="0" fontId="29" fillId="0" borderId="0" xfId="0" applyFont="1" applyFill="1" applyBorder="1"/>
    <xf numFmtId="0" fontId="29" fillId="0" borderId="6" xfId="0" applyFont="1" applyBorder="1" applyAlignment="1">
      <alignment horizontal="center"/>
    </xf>
    <xf numFmtId="0" fontId="29" fillId="0" borderId="0" xfId="0" applyFont="1" applyBorder="1"/>
    <xf numFmtId="9" fontId="36" fillId="0" borderId="0" xfId="13" applyFont="1" applyBorder="1"/>
    <xf numFmtId="9" fontId="36" fillId="0" borderId="0" xfId="13" applyFont="1"/>
    <xf numFmtId="0" fontId="33" fillId="0" borderId="0" xfId="0" applyFont="1" applyFill="1" applyBorder="1" applyAlignment="1"/>
    <xf numFmtId="167" fontId="23" fillId="0" borderId="0" xfId="1" applyNumberFormat="1" applyFont="1" applyFill="1" applyBorder="1"/>
    <xf numFmtId="9" fontId="33" fillId="0" borderId="0" xfId="13" applyFont="1" applyFill="1" applyBorder="1"/>
    <xf numFmtId="0" fontId="34" fillId="0" borderId="0" xfId="0" applyFont="1" applyFill="1" applyBorder="1" applyAlignment="1">
      <alignment horizontal="left"/>
    </xf>
    <xf numFmtId="167" fontId="22" fillId="0" borderId="0" xfId="1" applyNumberFormat="1" applyFont="1" applyFill="1" applyBorder="1"/>
    <xf numFmtId="0" fontId="21" fillId="0" borderId="0" xfId="0" applyFont="1" applyAlignment="1">
      <alignment vertical="center"/>
    </xf>
    <xf numFmtId="0" fontId="21" fillId="0" borderId="0" xfId="0" applyFont="1"/>
    <xf numFmtId="169" fontId="29" fillId="0" borderId="0" xfId="0" applyNumberFormat="1" applyFont="1"/>
    <xf numFmtId="0" fontId="35" fillId="0" borderId="0" xfId="0" applyFont="1"/>
    <xf numFmtId="0" fontId="29" fillId="0" borderId="0" xfId="0" applyFont="1" applyAlignment="1"/>
    <xf numFmtId="0" fontId="33" fillId="0" borderId="0" xfId="0" quotePrefix="1" applyFont="1"/>
    <xf numFmtId="0" fontId="33" fillId="0" borderId="0" xfId="0" applyFont="1"/>
    <xf numFmtId="49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37" fillId="4" borderId="0" xfId="0" applyNumberFormat="1" applyFont="1" applyFill="1" applyBorder="1" applyAlignment="1">
      <alignment horizontal="left" vertical="center"/>
    </xf>
    <xf numFmtId="0" fontId="34" fillId="0" borderId="0" xfId="0" applyFont="1" applyBorder="1"/>
    <xf numFmtId="0" fontId="33" fillId="0" borderId="0" xfId="0" applyFont="1" applyBorder="1"/>
    <xf numFmtId="167" fontId="22" fillId="0" borderId="11" xfId="1" applyNumberFormat="1" applyFont="1" applyFill="1" applyBorder="1"/>
    <xf numFmtId="0" fontId="34" fillId="0" borderId="11" xfId="0" applyFont="1" applyBorder="1"/>
    <xf numFmtId="49" fontId="22" fillId="0" borderId="11" xfId="0" applyNumberFormat="1" applyFont="1" applyFill="1" applyBorder="1" applyAlignment="1">
      <alignment horizontal="left" indent="1"/>
    </xf>
    <xf numFmtId="164" fontId="22" fillId="0" borderId="11" xfId="1" applyNumberFormat="1" applyFont="1" applyFill="1" applyBorder="1"/>
    <xf numFmtId="0" fontId="38" fillId="0" borderId="0" xfId="0" applyFont="1"/>
    <xf numFmtId="0" fontId="20" fillId="10" borderId="0" xfId="0" applyFont="1" applyFill="1" applyBorder="1" applyAlignment="1">
      <alignment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39" fillId="0" borderId="0" xfId="0" applyFont="1"/>
    <xf numFmtId="49" fontId="19" fillId="9" borderId="8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40" fillId="0" borderId="4" xfId="0" applyFont="1" applyFill="1" applyBorder="1"/>
    <xf numFmtId="0" fontId="20" fillId="0" borderId="0" xfId="0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37" fontId="42" fillId="0" borderId="0" xfId="0" applyNumberFormat="1" applyFont="1" applyFill="1" applyBorder="1" applyAlignment="1">
      <alignment horizontal="right"/>
    </xf>
    <xf numFmtId="38" fontId="42" fillId="0" borderId="0" xfId="0" applyNumberFormat="1" applyFont="1" applyFill="1" applyBorder="1" applyAlignment="1">
      <alignment horizontal="right"/>
    </xf>
    <xf numFmtId="171" fontId="42" fillId="0" borderId="0" xfId="17" applyNumberFormat="1" applyFont="1" applyFill="1" applyBorder="1"/>
    <xf numFmtId="164" fontId="42" fillId="4" borderId="0" xfId="1" applyNumberFormat="1" applyFont="1" applyFill="1" applyBorder="1"/>
    <xf numFmtId="164" fontId="42" fillId="0" borderId="0" xfId="1" applyNumberFormat="1" applyFont="1" applyFill="1" applyBorder="1"/>
    <xf numFmtId="0" fontId="43" fillId="0" borderId="0" xfId="0" applyFont="1"/>
    <xf numFmtId="37" fontId="19" fillId="0" borderId="11" xfId="0" applyNumberFormat="1" applyFont="1" applyFill="1" applyBorder="1" applyAlignment="1">
      <alignment horizontal="right"/>
    </xf>
    <xf numFmtId="38" fontId="19" fillId="0" borderId="11" xfId="0" applyNumberFormat="1" applyFont="1" applyFill="1" applyBorder="1" applyAlignment="1">
      <alignment horizontal="right"/>
    </xf>
    <xf numFmtId="171" fontId="19" fillId="0" borderId="11" xfId="17" applyNumberFormat="1" applyFont="1" applyFill="1" applyBorder="1"/>
    <xf numFmtId="165" fontId="19" fillId="9" borderId="11" xfId="0" applyNumberFormat="1" applyFont="1" applyFill="1" applyBorder="1" applyAlignment="1">
      <alignment horizontal="left" vertical="center" indent="2"/>
    </xf>
    <xf numFmtId="165" fontId="42" fillId="9" borderId="0" xfId="0" applyNumberFormat="1" applyFont="1" applyFill="1" applyBorder="1" applyAlignment="1">
      <alignment horizontal="left" vertical="center" indent="2"/>
    </xf>
    <xf numFmtId="49" fontId="42" fillId="9" borderId="0" xfId="0" applyNumberFormat="1" applyFont="1" applyFill="1" applyBorder="1" applyAlignment="1">
      <alignment horizontal="left" vertical="center" indent="3"/>
    </xf>
    <xf numFmtId="166" fontId="42" fillId="9" borderId="0" xfId="0" applyNumberFormat="1" applyFont="1" applyFill="1" applyBorder="1" applyAlignment="1">
      <alignment horizontal="left" vertical="center" indent="3"/>
    </xf>
    <xf numFmtId="165" fontId="19" fillId="9" borderId="11" xfId="0" applyNumberFormat="1" applyFont="1" applyFill="1" applyBorder="1" applyAlignment="1">
      <alignment horizontal="left" vertical="center" indent="1"/>
    </xf>
    <xf numFmtId="166" fontId="19" fillId="9" borderId="11" xfId="0" applyNumberFormat="1" applyFont="1" applyFill="1" applyBorder="1" applyAlignment="1">
      <alignment horizontal="left" vertical="center" indent="1"/>
    </xf>
    <xf numFmtId="165" fontId="19" fillId="9" borderId="11" xfId="0" applyNumberFormat="1" applyFont="1" applyFill="1" applyBorder="1" applyAlignment="1">
      <alignment horizontal="left" vertical="center"/>
    </xf>
    <xf numFmtId="165" fontId="19" fillId="9" borderId="0" xfId="0" applyNumberFormat="1" applyFont="1" applyFill="1" applyBorder="1" applyAlignment="1">
      <alignment horizontal="left" vertical="center" indent="2"/>
    </xf>
    <xf numFmtId="37" fontId="19" fillId="0" borderId="0" xfId="0" applyNumberFormat="1" applyFont="1" applyFill="1" applyBorder="1" applyAlignment="1">
      <alignment horizontal="right"/>
    </xf>
    <xf numFmtId="38" fontId="19" fillId="0" borderId="0" xfId="0" applyNumberFormat="1" applyFont="1" applyFill="1" applyBorder="1" applyAlignment="1">
      <alignment horizontal="right"/>
    </xf>
    <xf numFmtId="171" fontId="19" fillId="0" borderId="0" xfId="17" applyNumberFormat="1" applyFont="1" applyFill="1" applyBorder="1"/>
    <xf numFmtId="169" fontId="42" fillId="0" borderId="11" xfId="17" applyNumberFormat="1" applyFont="1" applyFill="1" applyBorder="1" applyAlignment="1">
      <alignment vertical="center"/>
    </xf>
    <xf numFmtId="49" fontId="31" fillId="5" borderId="13" xfId="0" applyNumberFormat="1" applyFont="1" applyFill="1" applyBorder="1" applyAlignment="1">
      <alignment horizontal="center" vertical="center"/>
    </xf>
    <xf numFmtId="49" fontId="19" fillId="6" borderId="13" xfId="0" applyNumberFormat="1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left" indent="1"/>
    </xf>
    <xf numFmtId="164" fontId="42" fillId="0" borderId="0" xfId="17" applyNumberFormat="1" applyFont="1" applyFill="1" applyBorder="1"/>
    <xf numFmtId="167" fontId="42" fillId="0" borderId="0" xfId="17" applyNumberFormat="1" applyFont="1" applyFill="1" applyBorder="1"/>
    <xf numFmtId="9" fontId="42" fillId="0" borderId="0" xfId="44" applyFont="1" applyFill="1" applyBorder="1"/>
    <xf numFmtId="0" fontId="45" fillId="0" borderId="0" xfId="0" applyNumberFormat="1" applyFont="1" applyFill="1" applyBorder="1" applyAlignment="1">
      <alignment horizontal="left" vertical="center" indent="1"/>
    </xf>
    <xf numFmtId="49" fontId="15" fillId="5" borderId="13" xfId="0" applyNumberFormat="1" applyFont="1" applyFill="1" applyBorder="1" applyAlignment="1">
      <alignment horizontal="center" vertical="center" wrapText="1"/>
    </xf>
    <xf numFmtId="169" fontId="19" fillId="0" borderId="11" xfId="1" applyNumberFormat="1" applyFont="1" applyFill="1" applyBorder="1"/>
    <xf numFmtId="169" fontId="19" fillId="0" borderId="11" xfId="1" applyNumberFormat="1" applyFont="1" applyFill="1" applyBorder="1" applyAlignment="1">
      <alignment horizontal="center"/>
    </xf>
    <xf numFmtId="9" fontId="19" fillId="0" borderId="11" xfId="13" applyFont="1" applyFill="1" applyBorder="1"/>
    <xf numFmtId="169" fontId="42" fillId="0" borderId="0" xfId="1" applyNumberFormat="1" applyFont="1" applyFill="1" applyBorder="1"/>
    <xf numFmtId="169" fontId="42" fillId="0" borderId="0" xfId="1" applyNumberFormat="1" applyFont="1" applyFill="1" applyBorder="1" applyAlignment="1">
      <alignment horizontal="center"/>
    </xf>
    <xf numFmtId="9" fontId="42" fillId="0" borderId="0" xfId="13" applyFont="1" applyFill="1" applyBorder="1"/>
    <xf numFmtId="37" fontId="41" fillId="0" borderId="0" xfId="0" applyNumberFormat="1" applyFont="1" applyFill="1" applyBorder="1" applyAlignment="1">
      <alignment horizontal="center" vertical="center"/>
    </xf>
    <xf numFmtId="49" fontId="19" fillId="9" borderId="11" xfId="0" applyNumberFormat="1" applyFont="1" applyFill="1" applyBorder="1" applyAlignment="1">
      <alignment horizontal="left" indent="1"/>
    </xf>
    <xf numFmtId="49" fontId="42" fillId="9" borderId="0" xfId="0" applyNumberFormat="1" applyFont="1" applyFill="1" applyBorder="1" applyAlignment="1">
      <alignment horizontal="left" indent="1"/>
    </xf>
    <xf numFmtId="165" fontId="19" fillId="9" borderId="11" xfId="0" applyNumberFormat="1" applyFont="1" applyFill="1" applyBorder="1" applyAlignment="1">
      <alignment horizontal="left" indent="1"/>
    </xf>
    <xf numFmtId="165" fontId="19" fillId="9" borderId="11" xfId="0" applyNumberFormat="1" applyFont="1" applyFill="1" applyBorder="1" applyAlignment="1">
      <alignment horizontal="left"/>
    </xf>
    <xf numFmtId="49" fontId="42" fillId="9" borderId="0" xfId="0" applyNumberFormat="1" applyFont="1" applyFill="1" applyBorder="1" applyAlignment="1">
      <alignment horizontal="left" indent="2"/>
    </xf>
    <xf numFmtId="49" fontId="31" fillId="5" borderId="13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left" indent="1"/>
    </xf>
    <xf numFmtId="0" fontId="21" fillId="0" borderId="0" xfId="0" applyNumberFormat="1" applyFont="1" applyFill="1" applyBorder="1"/>
    <xf numFmtId="167" fontId="21" fillId="0" borderId="0" xfId="1" applyNumberFormat="1" applyFont="1" applyFill="1" applyBorder="1" applyAlignment="1">
      <alignment horizontal="center"/>
    </xf>
    <xf numFmtId="170" fontId="21" fillId="0" borderId="0" xfId="0" applyNumberFormat="1" applyFont="1" applyFill="1" applyBorder="1"/>
    <xf numFmtId="167" fontId="21" fillId="0" borderId="0" xfId="1" applyNumberFormat="1" applyFont="1" applyFill="1" applyBorder="1"/>
    <xf numFmtId="166" fontId="46" fillId="9" borderId="10" xfId="0" applyNumberFormat="1" applyFont="1" applyFill="1" applyBorder="1" applyAlignment="1">
      <alignment horizontal="left"/>
    </xf>
    <xf numFmtId="0" fontId="47" fillId="9" borderId="10" xfId="0" applyNumberFormat="1" applyFont="1" applyFill="1" applyBorder="1" applyAlignment="1">
      <alignment horizontal="left" indent="1"/>
    </xf>
    <xf numFmtId="0" fontId="47" fillId="9" borderId="10" xfId="0" applyNumberFormat="1" applyFont="1" applyFill="1" applyBorder="1"/>
    <xf numFmtId="167" fontId="47" fillId="9" borderId="10" xfId="1" applyNumberFormat="1" applyFont="1" applyFill="1" applyBorder="1" applyAlignment="1">
      <alignment horizontal="center"/>
    </xf>
    <xf numFmtId="170" fontId="47" fillId="9" borderId="10" xfId="0" applyNumberFormat="1" applyFont="1" applyFill="1" applyBorder="1"/>
    <xf numFmtId="167" fontId="47" fillId="9" borderId="10" xfId="1" applyNumberFormat="1" applyFont="1" applyFill="1" applyBorder="1"/>
    <xf numFmtId="0" fontId="48" fillId="0" borderId="0" xfId="0" applyFont="1" applyFill="1" applyBorder="1"/>
    <xf numFmtId="0" fontId="47" fillId="0" borderId="10" xfId="0" applyFont="1" applyFill="1" applyBorder="1" applyAlignment="1"/>
    <xf numFmtId="49" fontId="47" fillId="0" borderId="10" xfId="0" applyNumberFormat="1" applyFont="1" applyFill="1" applyBorder="1" applyAlignment="1">
      <alignment horizontal="center" vertical="center"/>
    </xf>
    <xf numFmtId="9" fontId="47" fillId="0" borderId="10" xfId="13" applyFont="1" applyFill="1" applyBorder="1" applyAlignment="1">
      <alignment horizontal="center" vertical="center"/>
    </xf>
    <xf numFmtId="0" fontId="47" fillId="0" borderId="11" xfId="0" applyFont="1" applyFill="1" applyBorder="1" applyAlignment="1"/>
    <xf numFmtId="167" fontId="47" fillId="0" borderId="11" xfId="1" applyNumberFormat="1" applyFont="1" applyFill="1" applyBorder="1"/>
    <xf numFmtId="9" fontId="47" fillId="0" borderId="11" xfId="13" applyFont="1" applyFill="1" applyBorder="1"/>
    <xf numFmtId="0" fontId="47" fillId="0" borderId="11" xfId="0" applyFont="1" applyFill="1" applyBorder="1" applyAlignment="1">
      <alignment horizontal="left"/>
    </xf>
    <xf numFmtId="167" fontId="19" fillId="0" borderId="11" xfId="1" applyNumberFormat="1" applyFont="1" applyFill="1" applyBorder="1"/>
    <xf numFmtId="168" fontId="19" fillId="0" borderId="11" xfId="13" applyNumberFormat="1" applyFont="1" applyFill="1" applyBorder="1"/>
    <xf numFmtId="0" fontId="48" fillId="0" borderId="0" xfId="0" applyFont="1"/>
    <xf numFmtId="0" fontId="47" fillId="0" borderId="11" xfId="0" applyFont="1" applyFill="1" applyBorder="1" applyAlignment="1">
      <alignment horizontal="left" vertical="center"/>
    </xf>
    <xf numFmtId="167" fontId="19" fillId="0" borderId="11" xfId="1" applyNumberFormat="1" applyFont="1" applyFill="1" applyBorder="1" applyAlignment="1">
      <alignment vertical="center"/>
    </xf>
    <xf numFmtId="168" fontId="19" fillId="0" borderId="11" xfId="13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167" fontId="42" fillId="0" borderId="0" xfId="1" applyNumberFormat="1" applyFont="1" applyFill="1" applyBorder="1"/>
    <xf numFmtId="168" fontId="42" fillId="0" borderId="0" xfId="13" applyNumberFormat="1" applyFont="1" applyFill="1" applyBorder="1"/>
    <xf numFmtId="167" fontId="43" fillId="0" borderId="0" xfId="0" applyNumberFormat="1" applyFont="1"/>
    <xf numFmtId="0" fontId="47" fillId="9" borderId="10" xfId="0" applyFont="1" applyFill="1" applyBorder="1" applyAlignment="1"/>
    <xf numFmtId="49" fontId="21" fillId="9" borderId="0" xfId="9" applyNumberFormat="1" applyFont="1" applyFill="1" applyBorder="1" applyAlignment="1">
      <alignment horizontal="left" vertical="center" indent="1"/>
    </xf>
    <xf numFmtId="49" fontId="21" fillId="9" borderId="0" xfId="9" applyNumberFormat="1" applyFont="1" applyFill="1" applyBorder="1" applyAlignment="1">
      <alignment horizontal="left" vertical="center" indent="2"/>
    </xf>
    <xf numFmtId="0" fontId="47" fillId="9" borderId="11" xfId="0" applyFont="1" applyFill="1" applyBorder="1" applyAlignment="1"/>
    <xf numFmtId="0" fontId="33" fillId="9" borderId="0" xfId="0" applyFont="1" applyFill="1" applyBorder="1" applyAlignment="1"/>
    <xf numFmtId="49" fontId="47" fillId="9" borderId="11" xfId="9" applyNumberFormat="1" applyFont="1" applyFill="1" applyBorder="1" applyAlignment="1">
      <alignment horizontal="left" vertical="center" indent="1"/>
    </xf>
    <xf numFmtId="49" fontId="34" fillId="9" borderId="0" xfId="9" applyNumberFormat="1" applyFont="1" applyFill="1" applyBorder="1" applyAlignment="1">
      <alignment horizontal="left" vertical="center" indent="1"/>
    </xf>
    <xf numFmtId="49" fontId="47" fillId="9" borderId="11" xfId="9" applyNumberFormat="1" applyFont="1" applyFill="1" applyBorder="1" applyAlignment="1">
      <alignment horizontal="left" vertical="center"/>
    </xf>
    <xf numFmtId="167" fontId="19" fillId="0" borderId="0" xfId="1" applyNumberFormat="1" applyFont="1" applyFill="1" applyBorder="1"/>
    <xf numFmtId="49" fontId="42" fillId="9" borderId="0" xfId="0" applyNumberFormat="1" applyFont="1" applyFill="1" applyBorder="1" applyAlignment="1">
      <alignment horizontal="left" indent="3"/>
    </xf>
    <xf numFmtId="165" fontId="19" fillId="9" borderId="0" xfId="0" applyNumberFormat="1" applyFont="1" applyFill="1" applyBorder="1" applyAlignment="1">
      <alignment horizontal="left" indent="2"/>
    </xf>
    <xf numFmtId="166" fontId="42" fillId="9" borderId="0" xfId="0" applyNumberFormat="1" applyFont="1" applyFill="1" applyBorder="1" applyAlignment="1">
      <alignment horizontal="left" indent="3"/>
    </xf>
    <xf numFmtId="166" fontId="19" fillId="9" borderId="11" xfId="0" applyNumberFormat="1" applyFont="1" applyFill="1" applyBorder="1" applyAlignment="1">
      <alignment horizontal="left" indent="1"/>
    </xf>
    <xf numFmtId="0" fontId="19" fillId="17" borderId="0" xfId="0" applyNumberFormat="1" applyFont="1" applyFill="1" applyBorder="1" applyAlignment="1" applyProtection="1">
      <alignment horizontal="center" vertical="center"/>
    </xf>
    <xf numFmtId="167" fontId="19" fillId="9" borderId="11" xfId="1" applyNumberFormat="1" applyFont="1" applyFill="1" applyBorder="1"/>
    <xf numFmtId="167" fontId="19" fillId="9" borderId="0" xfId="1" applyNumberFormat="1" applyFont="1" applyFill="1" applyBorder="1"/>
    <xf numFmtId="0" fontId="19" fillId="9" borderId="0" xfId="0" applyNumberFormat="1" applyFont="1" applyFill="1" applyBorder="1" applyAlignment="1" applyProtection="1">
      <alignment horizontal="center" vertical="center"/>
    </xf>
    <xf numFmtId="49" fontId="19" fillId="9" borderId="0" xfId="0" applyNumberFormat="1" applyFont="1" applyFill="1" applyBorder="1" applyAlignment="1">
      <alignment horizontal="left" indent="1"/>
    </xf>
    <xf numFmtId="166" fontId="42" fillId="9" borderId="0" xfId="0" applyNumberFormat="1" applyFont="1" applyFill="1" applyBorder="1" applyAlignment="1">
      <alignment horizontal="left" indent="1"/>
    </xf>
    <xf numFmtId="164" fontId="19" fillId="0" borderId="11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center"/>
    </xf>
    <xf numFmtId="164" fontId="42" fillId="0" borderId="0" xfId="1" applyNumberFormat="1" applyFont="1" applyFill="1" applyBorder="1" applyAlignment="1">
      <alignment horizontal="center"/>
    </xf>
    <xf numFmtId="49" fontId="37" fillId="5" borderId="3" xfId="0" applyNumberFormat="1" applyFont="1" applyFill="1" applyBorder="1" applyAlignment="1">
      <alignment horizontal="left" vertical="center" indent="1"/>
    </xf>
    <xf numFmtId="0" fontId="49" fillId="0" borderId="0" xfId="0" applyNumberFormat="1" applyFont="1" applyFill="1" applyBorder="1" applyAlignment="1" applyProtection="1">
      <alignment horizontal="center" vertical="center"/>
    </xf>
    <xf numFmtId="169" fontId="19" fillId="0" borderId="12" xfId="1" applyNumberFormat="1" applyFont="1" applyFill="1" applyBorder="1"/>
    <xf numFmtId="49" fontId="19" fillId="9" borderId="12" xfId="0" applyNumberFormat="1" applyFont="1" applyFill="1" applyBorder="1" applyAlignment="1">
      <alignment horizontal="left" indent="1"/>
    </xf>
    <xf numFmtId="165" fontId="19" fillId="9" borderId="12" xfId="0" applyNumberFormat="1" applyFont="1" applyFill="1" applyBorder="1" applyAlignment="1">
      <alignment horizontal="left"/>
    </xf>
    <xf numFmtId="49" fontId="50" fillId="0" borderId="0" xfId="0" applyNumberFormat="1" applyFont="1" applyFill="1" applyBorder="1" applyAlignment="1">
      <alignment horizontal="left" vertical="center" indent="1"/>
    </xf>
    <xf numFmtId="49" fontId="46" fillId="0" borderId="0" xfId="0" applyNumberFormat="1" applyFont="1" applyFill="1" applyBorder="1" applyAlignment="1">
      <alignment horizontal="left"/>
    </xf>
    <xf numFmtId="49" fontId="46" fillId="0" borderId="0" xfId="0" applyNumberFormat="1" applyFont="1" applyFill="1" applyBorder="1" applyAlignment="1">
      <alignment horizontal="left" indent="1"/>
    </xf>
    <xf numFmtId="49" fontId="46" fillId="9" borderId="9" xfId="0" applyNumberFormat="1" applyFont="1" applyFill="1" applyBorder="1" applyAlignment="1">
      <alignment horizontal="left" indent="1"/>
    </xf>
    <xf numFmtId="0" fontId="46" fillId="9" borderId="9" xfId="0" applyNumberFormat="1" applyFont="1" applyFill="1" applyBorder="1" applyAlignment="1">
      <alignment horizontal="left" indent="1"/>
    </xf>
    <xf numFmtId="164" fontId="19" fillId="9" borderId="9" xfId="17" applyNumberFormat="1" applyFont="1" applyFill="1" applyBorder="1"/>
    <xf numFmtId="167" fontId="19" fillId="9" borderId="9" xfId="17" applyNumberFormat="1" applyFont="1" applyFill="1" applyBorder="1"/>
    <xf numFmtId="9" fontId="19" fillId="9" borderId="9" xfId="44" applyFont="1" applyFill="1" applyBorder="1"/>
    <xf numFmtId="166" fontId="46" fillId="9" borderId="9" xfId="0" applyNumberFormat="1" applyFont="1" applyFill="1" applyBorder="1" applyAlignment="1">
      <alignment horizontal="left"/>
    </xf>
    <xf numFmtId="0" fontId="40" fillId="0" borderId="0" xfId="0" applyFont="1"/>
    <xf numFmtId="166" fontId="52" fillId="0" borderId="0" xfId="0" applyNumberFormat="1" applyFont="1" applyFill="1" applyBorder="1" applyAlignment="1">
      <alignment horizontal="left" vertical="center" indent="3"/>
    </xf>
    <xf numFmtId="37" fontId="52" fillId="0" borderId="0" xfId="0" applyNumberFormat="1" applyFont="1" applyFill="1" applyBorder="1" applyAlignment="1">
      <alignment horizontal="right"/>
    </xf>
    <xf numFmtId="0" fontId="51" fillId="0" borderId="0" xfId="0" applyNumberFormat="1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/>
    <xf numFmtId="0" fontId="20" fillId="1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49" fontId="19" fillId="9" borderId="8" xfId="0" applyNumberFormat="1" applyFont="1" applyFill="1" applyBorder="1" applyAlignment="1">
      <alignment horizontal="center" vertical="center"/>
    </xf>
    <xf numFmtId="49" fontId="19" fillId="9" borderId="7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19" fillId="0" borderId="14" xfId="0" applyNumberFormat="1" applyFont="1" applyFill="1" applyBorder="1" applyAlignment="1" applyProtection="1">
      <alignment horizontal="center" vertical="center" wrapText="1"/>
    </xf>
    <xf numFmtId="0" fontId="35" fillId="0" borderId="14" xfId="0" applyFont="1" applyFill="1" applyBorder="1" applyAlignment="1"/>
  </cellXfs>
  <cellStyles count="45">
    <cellStyle name="Calculated Column - IBM Cognos" xfId="18"/>
    <cellStyle name="Calculated Column Name - IBM Cognos" xfId="19"/>
    <cellStyle name="Calculated Row - IBM Cognos" xfId="20"/>
    <cellStyle name="Calculated Row Name - IBM Cognos" xfId="21"/>
    <cellStyle name="Column Name - IBM Cognos" xfId="22"/>
    <cellStyle name="Column Template - IBM Cognos" xfId="23"/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omma 6" xfId="17"/>
    <cellStyle name="Currency 2" xfId="8"/>
    <cellStyle name="Differs From Base - IBM Cognos" xfId="24"/>
    <cellStyle name="Group Name - IBM Cognos" xfId="25"/>
    <cellStyle name="Hold Values - IBM Cognos" xfId="26"/>
    <cellStyle name="List Name - IBM Cognos" xfId="27"/>
    <cellStyle name="Locked - IBM Cognos" xfId="28"/>
    <cellStyle name="Measure - IBM Cognos" xfId="29"/>
    <cellStyle name="Measure Header - IBM Cognos" xfId="30"/>
    <cellStyle name="Measure Name - IBM Cognos" xfId="31"/>
    <cellStyle name="Measure Summary - IBM Cognos" xfId="32"/>
    <cellStyle name="Measure Summary TM1 - IBM Cognos" xfId="33"/>
    <cellStyle name="Measure Template - IBM Cognos" xfId="34"/>
    <cellStyle name="More - IBM Cognos" xfId="35"/>
    <cellStyle name="Normal" xfId="0" builtinId="0"/>
    <cellStyle name="Normal 2" xfId="9"/>
    <cellStyle name="Normal 3" xfId="10"/>
    <cellStyle name="Normal 4" xfId="11"/>
    <cellStyle name="Normal 5" xfId="12"/>
    <cellStyle name="Pending Change - IBM Cognos" xfId="36"/>
    <cellStyle name="Percent" xfId="13" builtinId="5"/>
    <cellStyle name="Percent 2" xfId="14"/>
    <cellStyle name="Percent 3" xfId="15"/>
    <cellStyle name="Percent 4" xfId="16"/>
    <cellStyle name="Percent 5" xfId="44"/>
    <cellStyle name="Row Name - IBM Cognos" xfId="37"/>
    <cellStyle name="Row Template - IBM Cognos" xfId="38"/>
    <cellStyle name="Summary Column Name - IBM Cognos" xfId="39"/>
    <cellStyle name="Summary Column Name TM1 - IBM Cognos" xfId="40"/>
    <cellStyle name="Summary Row Name - IBM Cognos" xfId="41"/>
    <cellStyle name="Summary Row Name TM1 - IBM Cognos" xfId="42"/>
    <cellStyle name="Unsaved Change - IBM Cognos" xfId="43"/>
  </cellStyles>
  <dxfs count="10">
    <dxf>
      <fill>
        <patternFill patternType="solid">
          <fgColor auto="1"/>
          <bgColor rgb="FFF3AB40"/>
        </patternFill>
      </fill>
    </dxf>
    <dxf>
      <fill>
        <patternFill>
          <bgColor rgb="FF8BC43F"/>
        </patternFill>
      </fill>
    </dxf>
    <dxf>
      <fill>
        <patternFill>
          <bgColor indexed="50"/>
        </patternFill>
      </fill>
    </dxf>
    <dxf>
      <fill>
        <patternFill patternType="solid">
          <fgColor auto="1"/>
          <bgColor rgb="FFF3AB40"/>
        </patternFill>
      </fill>
    </dxf>
    <dxf>
      <fill>
        <patternFill>
          <bgColor rgb="FF8BC43F"/>
        </patternFill>
      </fill>
    </dxf>
    <dxf>
      <fill>
        <patternFill>
          <bgColor indexed="21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FFCC25"/>
      <color rgb="FFF3AB40"/>
      <color rgb="FF8BC43F"/>
      <color rgb="FF7F7F7F"/>
      <color rgb="FF959595"/>
      <color rgb="FFF9F9F9"/>
      <color rgb="FFF2F2F2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PL!$L$63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PL!$M$63:$P$63</c:f>
              <c:numCache>
                <c:formatCode>#,##0_);\(#,##0\)</c:formatCode>
                <c:ptCount val="4"/>
                <c:pt idx="0">
                  <c:v>168832.99857301213</c:v>
                </c:pt>
                <c:pt idx="1">
                  <c:v>160678.39056280127</c:v>
                </c:pt>
                <c:pt idx="2">
                  <c:v>139143.87650999875</c:v>
                </c:pt>
                <c:pt idx="3">
                  <c:v>136937.47650999876</c:v>
                </c:pt>
              </c:numCache>
            </c:numRef>
          </c:val>
        </c:ser>
        <c:ser>
          <c:idx val="1"/>
          <c:order val="1"/>
          <c:tx>
            <c:strRef>
              <c:f>PL!$L$64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8BC43F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PL!$M$64:$P$64</c:f>
              <c:numCache>
                <c:formatCode>#,##0_);\(#,##0\)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PL!$L$65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66CBFD"/>
            </a:solidFill>
            <a:ln>
              <a:noFill/>
            </a:ln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PL!$M$65:$P$65</c:f>
              <c:numCache>
                <c:formatCode>#,##0_);\(#,##0\)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PL!$L$66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B6A1CB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PL!$M$66:$P$66</c:f>
              <c:numCache>
                <c:formatCode>#,##0_);\(#,##0\)</c:formatCode>
                <c:ptCount val="4"/>
                <c:pt idx="0">
                  <c:v>154423.07692307694</c:v>
                </c:pt>
                <c:pt idx="1">
                  <c:v>45961.538461538461</c:v>
                </c:pt>
                <c:pt idx="2">
                  <c:v>45961.538461538461</c:v>
                </c:pt>
                <c:pt idx="3">
                  <c:v>73653.846153846142</c:v>
                </c:pt>
              </c:numCache>
            </c:numRef>
          </c:val>
        </c:ser>
        <c:ser>
          <c:idx val="4"/>
          <c:order val="4"/>
          <c:tx>
            <c:strRef>
              <c:f>PL!$L$67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296DF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PL!$M$67:$P$67</c:f>
              <c:numCache>
                <c:formatCode>#,##0_);\(#,##0\)</c:formatCode>
                <c:ptCount val="4"/>
                <c:pt idx="0">
                  <c:v>37569.801746686142</c:v>
                </c:pt>
                <c:pt idx="1">
                  <c:v>35548.068807420859</c:v>
                </c:pt>
                <c:pt idx="2">
                  <c:v>34219.10073785374</c:v>
                </c:pt>
                <c:pt idx="3">
                  <c:v>34277.828708039262</c:v>
                </c:pt>
              </c:numCache>
            </c:numRef>
          </c:val>
        </c:ser>
        <c:ser>
          <c:idx val="5"/>
          <c:order val="5"/>
          <c:tx>
            <c:strRef>
              <c:f>PL!$L$68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FFCC25"/>
            </a:solidFill>
          </c:spPr>
          <c:invertIfNegative val="0"/>
          <c:cat>
            <c:strRef>
              <c:f>PL!$M$62:$P$62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PL!$M$68:$P$68</c:f>
              <c:numCache>
                <c:formatCode>#,##0_);\(#,##0\)</c:formatCode>
                <c:ptCount val="4"/>
                <c:pt idx="0">
                  <c:v>250</c:v>
                </c:pt>
                <c:pt idx="1">
                  <c:v>10750</c:v>
                </c:pt>
                <c:pt idx="2">
                  <c:v>38250</c:v>
                </c:pt>
                <c:pt idx="3">
                  <c:v>38250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616776"/>
        <c:axId val="709617952"/>
      </c:barChart>
      <c:catAx>
        <c:axId val="709616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09617952"/>
        <c:crosses val="autoZero"/>
        <c:auto val="1"/>
        <c:lblAlgn val="ctr"/>
        <c:lblOffset val="100"/>
        <c:noMultiLvlLbl val="0"/>
      </c:catAx>
      <c:valAx>
        <c:axId val="709617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solidFill>
              <a:srgbClr val="7F7F7F"/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70961677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FcstDetail!$C$11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FcstDetail!$E$11:$P$11</c:f>
              <c:numCache>
                <c:formatCode>_(* #,##0_);_(* \(#,##0\);_(* "-"??_);_(@_)</c:formatCode>
                <c:ptCount val="12"/>
                <c:pt idx="0">
                  <c:v>531437.3442587977</c:v>
                </c:pt>
                <c:pt idx="1">
                  <c:v>541894.44671879767</c:v>
                </c:pt>
                <c:pt idx="2">
                  <c:v>544845.23230309191</c:v>
                </c:pt>
                <c:pt idx="3">
                  <c:v>551155.52251474222</c:v>
                </c:pt>
                <c:pt idx="4">
                  <c:v>540515.03850384825</c:v>
                </c:pt>
                <c:pt idx="5">
                  <c:v>548671.01639837259</c:v>
                </c:pt>
                <c:pt idx="6">
                  <c:v>548218.66164635099</c:v>
                </c:pt>
                <c:pt idx="7">
                  <c:v>575260.815202681</c:v>
                </c:pt>
                <c:pt idx="8">
                  <c:v>543623.46230140422</c:v>
                </c:pt>
                <c:pt idx="9">
                  <c:v>567707.88973742444</c:v>
                </c:pt>
                <c:pt idx="10">
                  <c:v>619584.34911138203</c:v>
                </c:pt>
                <c:pt idx="11">
                  <c:v>708212.97856140463</c:v>
                </c:pt>
              </c:numCache>
            </c:numRef>
          </c:val>
        </c:ser>
        <c:ser>
          <c:idx val="1"/>
          <c:order val="1"/>
          <c:tx>
            <c:strRef>
              <c:f>FcstDetail!$C$12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FcstDetail!$E$12:$P$12</c:f>
              <c:numCache>
                <c:formatCode>_(* #,##0_);_(* \(#,##0\);_(* "-"??_);_(@_)</c:formatCode>
                <c:ptCount val="12"/>
                <c:pt idx="0">
                  <c:v>726148.63770119241</c:v>
                </c:pt>
                <c:pt idx="1">
                  <c:v>895406.69837893033</c:v>
                </c:pt>
                <c:pt idx="2">
                  <c:v>783796.73576040834</c:v>
                </c:pt>
                <c:pt idx="3">
                  <c:v>795693.33285196859</c:v>
                </c:pt>
                <c:pt idx="4">
                  <c:v>845686.9850642751</c:v>
                </c:pt>
                <c:pt idx="5">
                  <c:v>828780.43890613061</c:v>
                </c:pt>
                <c:pt idx="6">
                  <c:v>847480.91340747732</c:v>
                </c:pt>
                <c:pt idx="7">
                  <c:v>856515.64283646457</c:v>
                </c:pt>
                <c:pt idx="8">
                  <c:v>877665.84380563442</c:v>
                </c:pt>
                <c:pt idx="9">
                  <c:v>1001742.0959066264</c:v>
                </c:pt>
                <c:pt idx="10">
                  <c:v>1019524.8719283346</c:v>
                </c:pt>
                <c:pt idx="11">
                  <c:v>1060085.1202257243</c:v>
                </c:pt>
              </c:numCache>
            </c:numRef>
          </c:val>
        </c:ser>
        <c:ser>
          <c:idx val="2"/>
          <c:order val="2"/>
          <c:tx>
            <c:strRef>
              <c:f>FcstDetail!$C$13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FcstDetail!$E$13:$P$13</c:f>
              <c:numCache>
                <c:formatCode>_(* #,##0_);_(* \(#,##0\);_(* "-"??_);_(@_)</c:formatCode>
                <c:ptCount val="12"/>
                <c:pt idx="0">
                  <c:v>531437.3442587977</c:v>
                </c:pt>
                <c:pt idx="1">
                  <c:v>736412.1641377972</c:v>
                </c:pt>
                <c:pt idx="2">
                  <c:v>739347.80648148549</c:v>
                </c:pt>
                <c:pt idx="3">
                  <c:v>741110.94882517355</c:v>
                </c:pt>
                <c:pt idx="4">
                  <c:v>750378.86666090076</c:v>
                </c:pt>
                <c:pt idx="5">
                  <c:v>753760.60900458891</c:v>
                </c:pt>
                <c:pt idx="6">
                  <c:v>760624.2268403162</c:v>
                </c:pt>
                <c:pt idx="7">
                  <c:v>769055.23701973155</c:v>
                </c:pt>
                <c:pt idx="8">
                  <c:v>846980.80485545879</c:v>
                </c:pt>
                <c:pt idx="9">
                  <c:v>857724.70485545893</c:v>
                </c:pt>
                <c:pt idx="10">
                  <c:v>862436.57637505606</c:v>
                </c:pt>
                <c:pt idx="11">
                  <c:v>950697.78731383849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619128"/>
        <c:axId val="709619520"/>
      </c:barChart>
      <c:catAx>
        <c:axId val="70961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rgbClr val="7F7F7F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9619520"/>
        <c:crosses val="autoZero"/>
        <c:auto val="1"/>
        <c:lblAlgn val="ctr"/>
        <c:lblOffset val="100"/>
        <c:noMultiLvlLbl val="0"/>
      </c:catAx>
      <c:valAx>
        <c:axId val="709619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rgbClr val="7F7F7F"/>
            </a:solidFill>
          </a:ln>
        </c:spPr>
        <c:txPr>
          <a:bodyPr/>
          <a:lstStyle/>
          <a:p>
            <a:pPr>
              <a:defRPr sz="800" b="1" i="0" baseline="0">
                <a:solidFill>
                  <a:srgbClr val="7F7F7F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9619128"/>
        <c:crosses val="autoZero"/>
        <c:crossBetween val="between"/>
        <c:majorUnit val="200000"/>
      </c:valAx>
      <c:spPr>
        <a:noFill/>
      </c:spPr>
    </c:plotArea>
    <c:legend>
      <c:legendPos val="r"/>
      <c:layout/>
      <c:overlay val="0"/>
      <c:txPr>
        <a:bodyPr/>
        <a:lstStyle/>
        <a:p>
          <a:pPr algn="ctr">
            <a:defRPr lang="en-US" sz="800" b="1" i="0" u="none" strike="noStrike" kern="1200" baseline="0">
              <a:solidFill>
                <a:srgbClr val="7F7F7F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file:///C:\TM1Models\SmartCo\Reports\Logo\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619124</xdr:colOff>
      <xdr:row>9</xdr:row>
      <xdr:rowOff>19050</xdr:rowOff>
    </xdr:from>
    <xdr:to>
      <xdr:col>9</xdr:col>
      <xdr:colOff>19049</xdr:colOff>
      <xdr:row>10</xdr:row>
      <xdr:rowOff>428625</xdr:rowOff>
    </xdr:to>
    <xdr:sp macro="" textlink="">
      <xdr:nvSpPr>
        <xdr:cNvPr id="3" name="Rectangle 2"/>
        <xdr:cNvSpPr/>
      </xdr:nvSpPr>
      <xdr:spPr>
        <a:xfrm>
          <a:off x="6781799" y="1905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19049</xdr:colOff>
      <xdr:row>9</xdr:row>
      <xdr:rowOff>19050</xdr:rowOff>
    </xdr:from>
    <xdr:to>
      <xdr:col>8</xdr:col>
      <xdr:colOff>625474</xdr:colOff>
      <xdr:row>10</xdr:row>
      <xdr:rowOff>428625</xdr:rowOff>
    </xdr:to>
    <xdr:sp macro="" textlink="">
      <xdr:nvSpPr>
        <xdr:cNvPr id="4" name="Rectangle 3"/>
        <xdr:cNvSpPr/>
      </xdr:nvSpPr>
      <xdr:spPr>
        <a:xfrm>
          <a:off x="114299" y="19050"/>
          <a:ext cx="66738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P&amp;L Variance</a:t>
          </a:r>
          <a:r>
            <a:rPr lang="en-US" sz="24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to Target</a:t>
          </a:r>
          <a:endParaRPr lang="en-US" sz="24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314325</xdr:colOff>
      <xdr:row>1</xdr:row>
      <xdr:rowOff>28575</xdr:rowOff>
    </xdr:from>
    <xdr:to>
      <xdr:col>14</xdr:col>
      <xdr:colOff>0</xdr:colOff>
      <xdr:row>2</xdr:row>
      <xdr:rowOff>361950</xdr:rowOff>
    </xdr:to>
    <xdr:sp macro="" textlink="">
      <xdr:nvSpPr>
        <xdr:cNvPr id="3" name="Rectangle 2"/>
        <xdr:cNvSpPr/>
      </xdr:nvSpPr>
      <xdr:spPr>
        <a:xfrm>
          <a:off x="4105275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47625</xdr:colOff>
      <xdr:row>1</xdr:row>
      <xdr:rowOff>28575</xdr:rowOff>
    </xdr:from>
    <xdr:to>
      <xdr:col>8</xdr:col>
      <xdr:colOff>320675</xdr:colOff>
      <xdr:row>2</xdr:row>
      <xdr:rowOff>361950</xdr:rowOff>
    </xdr:to>
    <xdr:sp macro="" textlink="">
      <xdr:nvSpPr>
        <xdr:cNvPr id="4" name="Rectangle 3"/>
        <xdr:cNvSpPr/>
      </xdr:nvSpPr>
      <xdr:spPr>
        <a:xfrm>
          <a:off x="47625" y="28575"/>
          <a:ext cx="40640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Fx Rates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30</xdr:row>
      <xdr:rowOff>19048</xdr:rowOff>
    </xdr:from>
    <xdr:to>
      <xdr:col>7</xdr:col>
      <xdr:colOff>1266824</xdr:colOff>
      <xdr:row>44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447676</xdr:colOff>
      <xdr:row>9</xdr:row>
      <xdr:rowOff>19050</xdr:rowOff>
    </xdr:from>
    <xdr:to>
      <xdr:col>8</xdr:col>
      <xdr:colOff>2</xdr:colOff>
      <xdr:row>10</xdr:row>
      <xdr:rowOff>428625</xdr:rowOff>
    </xdr:to>
    <xdr:sp macro="" textlink="">
      <xdr:nvSpPr>
        <xdr:cNvPr id="2" name="Rectangle 1"/>
        <xdr:cNvSpPr/>
      </xdr:nvSpPr>
      <xdr:spPr>
        <a:xfrm>
          <a:off x="6343651" y="19050"/>
          <a:ext cx="2143126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</xdr:colOff>
      <xdr:row>9</xdr:row>
      <xdr:rowOff>19050</xdr:rowOff>
    </xdr:from>
    <xdr:to>
      <xdr:col>6</xdr:col>
      <xdr:colOff>454025</xdr:colOff>
      <xdr:row>10</xdr:row>
      <xdr:rowOff>428625</xdr:rowOff>
    </xdr:to>
    <xdr:sp macro="" textlink="">
      <xdr:nvSpPr>
        <xdr:cNvPr id="4" name="Rectangle 3"/>
        <xdr:cNvSpPr/>
      </xdr:nvSpPr>
      <xdr:spPr>
        <a:xfrm>
          <a:off x="85726" y="19050"/>
          <a:ext cx="6264274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P&amp;L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676275</xdr:colOff>
          <xdr:row>12</xdr:row>
          <xdr:rowOff>38101</xdr:rowOff>
        </xdr:from>
        <xdr:to>
          <xdr:col>11</xdr:col>
          <xdr:colOff>1162050</xdr:colOff>
          <xdr:row>13</xdr:row>
          <xdr:rowOff>123826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8F8F8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9</xdr:col>
      <xdr:colOff>600075</xdr:colOff>
      <xdr:row>10</xdr:row>
      <xdr:rowOff>19050</xdr:rowOff>
    </xdr:from>
    <xdr:to>
      <xdr:col>12</xdr:col>
      <xdr:colOff>19050</xdr:colOff>
      <xdr:row>11</xdr:row>
      <xdr:rowOff>133350</xdr:rowOff>
    </xdr:to>
    <xdr:sp macro="" textlink="">
      <xdr:nvSpPr>
        <xdr:cNvPr id="2" name="Rectangle 1"/>
        <xdr:cNvSpPr/>
      </xdr:nvSpPr>
      <xdr:spPr>
        <a:xfrm>
          <a:off x="7410450" y="1905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38100</xdr:colOff>
      <xdr:row>10</xdr:row>
      <xdr:rowOff>19050</xdr:rowOff>
    </xdr:from>
    <xdr:to>
      <xdr:col>9</xdr:col>
      <xdr:colOff>606425</xdr:colOff>
      <xdr:row>11</xdr:row>
      <xdr:rowOff>133350</xdr:rowOff>
    </xdr:to>
    <xdr:sp macro="" textlink="">
      <xdr:nvSpPr>
        <xdr:cNvPr id="4" name="Rectangle 3"/>
        <xdr:cNvSpPr/>
      </xdr:nvSpPr>
      <xdr:spPr>
        <a:xfrm>
          <a:off x="123825" y="19050"/>
          <a:ext cx="72929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 Definition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561975</xdr:colOff>
      <xdr:row>9</xdr:row>
      <xdr:rowOff>19050</xdr:rowOff>
    </xdr:from>
    <xdr:to>
      <xdr:col>9</xdr:col>
      <xdr:colOff>1038225</xdr:colOff>
      <xdr:row>10</xdr:row>
      <xdr:rowOff>428625</xdr:rowOff>
    </xdr:to>
    <xdr:sp macro="" textlink="">
      <xdr:nvSpPr>
        <xdr:cNvPr id="3" name="Rectangle 2"/>
        <xdr:cNvSpPr/>
      </xdr:nvSpPr>
      <xdr:spPr>
        <a:xfrm>
          <a:off x="6419850" y="1905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0</xdr:colOff>
      <xdr:row>9</xdr:row>
      <xdr:rowOff>19050</xdr:rowOff>
    </xdr:from>
    <xdr:to>
      <xdr:col>7</xdr:col>
      <xdr:colOff>568325</xdr:colOff>
      <xdr:row>10</xdr:row>
      <xdr:rowOff>428625</xdr:rowOff>
    </xdr:to>
    <xdr:sp macro="" textlink="">
      <xdr:nvSpPr>
        <xdr:cNvPr id="4" name="Rectangle 3"/>
        <xdr:cNvSpPr/>
      </xdr:nvSpPr>
      <xdr:spPr>
        <a:xfrm>
          <a:off x="85725" y="19050"/>
          <a:ext cx="63404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 Detail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1143000</xdr:colOff>
      <xdr:row>1</xdr:row>
      <xdr:rowOff>28575</xdr:rowOff>
    </xdr:from>
    <xdr:to>
      <xdr:col>9</xdr:col>
      <xdr:colOff>9525</xdr:colOff>
      <xdr:row>2</xdr:row>
      <xdr:rowOff>466725</xdr:rowOff>
    </xdr:to>
    <xdr:sp macro="" textlink="">
      <xdr:nvSpPr>
        <xdr:cNvPr id="3" name="Rectangle 2"/>
        <xdr:cNvSpPr/>
      </xdr:nvSpPr>
      <xdr:spPr>
        <a:xfrm>
          <a:off x="5524500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19050</xdr:colOff>
      <xdr:row>1</xdr:row>
      <xdr:rowOff>28575</xdr:rowOff>
    </xdr:from>
    <xdr:to>
      <xdr:col>5</xdr:col>
      <xdr:colOff>1149350</xdr:colOff>
      <xdr:row>2</xdr:row>
      <xdr:rowOff>466725</xdr:rowOff>
    </xdr:to>
    <xdr:sp macro="" textlink="">
      <xdr:nvSpPr>
        <xdr:cNvPr id="4" name="Rectangle 3"/>
        <xdr:cNvSpPr/>
      </xdr:nvSpPr>
      <xdr:spPr>
        <a:xfrm>
          <a:off x="104775" y="28575"/>
          <a:ext cx="54260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Allocation Summary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1</xdr:row>
      <xdr:rowOff>190500</xdr:rowOff>
    </xdr:to>
    <xdr:pic>
      <xdr:nvPicPr>
        <xdr:cNvPr id="27729" name="Picture 1" descr="C:\TM1Models\SmartCo\Reports\Logo\logo.pn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409575</xdr:colOff>
      <xdr:row>0</xdr:row>
      <xdr:rowOff>0</xdr:rowOff>
    </xdr:from>
    <xdr:to>
      <xdr:col>8</xdr:col>
      <xdr:colOff>9525</xdr:colOff>
      <xdr:row>2</xdr:row>
      <xdr:rowOff>238125</xdr:rowOff>
    </xdr:to>
    <xdr:sp macro="" textlink="">
      <xdr:nvSpPr>
        <xdr:cNvPr id="2" name="Rectangle 1"/>
        <xdr:cNvSpPr/>
      </xdr:nvSpPr>
      <xdr:spPr>
        <a:xfrm>
          <a:off x="375285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5</xdr:col>
      <xdr:colOff>415925</xdr:colOff>
      <xdr:row>2</xdr:row>
      <xdr:rowOff>238125</xdr:rowOff>
    </xdr:to>
    <xdr:sp macro="" textlink="">
      <xdr:nvSpPr>
        <xdr:cNvPr id="4" name="Rectangle 3"/>
        <xdr:cNvSpPr/>
      </xdr:nvSpPr>
      <xdr:spPr>
        <a:xfrm>
          <a:off x="76200" y="0"/>
          <a:ext cx="36830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Summary P&amp;L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161924</xdr:colOff>
      <xdr:row>81</xdr:row>
      <xdr:rowOff>9525</xdr:rowOff>
    </xdr:from>
    <xdr:to>
      <xdr:col>17</xdr:col>
      <xdr:colOff>47624</xdr:colOff>
      <xdr:row>82</xdr:row>
      <xdr:rowOff>247650</xdr:rowOff>
    </xdr:to>
    <xdr:sp macro="" textlink="">
      <xdr:nvSpPr>
        <xdr:cNvPr id="3" name="Rectangle 2"/>
        <xdr:cNvSpPr/>
      </xdr:nvSpPr>
      <xdr:spPr>
        <a:xfrm>
          <a:off x="10801349" y="95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28574</xdr:colOff>
      <xdr:row>81</xdr:row>
      <xdr:rowOff>9525</xdr:rowOff>
    </xdr:from>
    <xdr:to>
      <xdr:col>14</xdr:col>
      <xdr:colOff>168274</xdr:colOff>
      <xdr:row>82</xdr:row>
      <xdr:rowOff>247650</xdr:rowOff>
    </xdr:to>
    <xdr:sp macro="" textlink="">
      <xdr:nvSpPr>
        <xdr:cNvPr id="4" name="Rectangle 3"/>
        <xdr:cNvSpPr/>
      </xdr:nvSpPr>
      <xdr:spPr>
        <a:xfrm>
          <a:off x="114299" y="9525"/>
          <a:ext cx="106934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Forecast P&amp;L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104776</xdr:rowOff>
    </xdr:from>
    <xdr:to>
      <xdr:col>17</xdr:col>
      <xdr:colOff>19050</xdr:colOff>
      <xdr:row>27</xdr:row>
      <xdr:rowOff>95251</xdr:rowOff>
    </xdr:to>
    <xdr:graphicFrame macro="">
      <xdr:nvGraphicFramePr>
        <xdr:cNvPr id="154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523875</xdr:colOff>
      <xdr:row>0</xdr:row>
      <xdr:rowOff>0</xdr:rowOff>
    </xdr:from>
    <xdr:to>
      <xdr:col>17</xdr:col>
      <xdr:colOff>38100</xdr:colOff>
      <xdr:row>2</xdr:row>
      <xdr:rowOff>352425</xdr:rowOff>
    </xdr:to>
    <xdr:sp macro="" textlink="">
      <xdr:nvSpPr>
        <xdr:cNvPr id="2" name="Rectangle 1"/>
        <xdr:cNvSpPr/>
      </xdr:nvSpPr>
      <xdr:spPr>
        <a:xfrm>
          <a:off x="701040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9525</xdr:colOff>
      <xdr:row>0</xdr:row>
      <xdr:rowOff>0</xdr:rowOff>
    </xdr:from>
    <xdr:to>
      <xdr:col>13</xdr:col>
      <xdr:colOff>530225</xdr:colOff>
      <xdr:row>2</xdr:row>
      <xdr:rowOff>352425</xdr:rowOff>
    </xdr:to>
    <xdr:sp macro="" textlink="">
      <xdr:nvSpPr>
        <xdr:cNvPr id="4" name="Rectangle 3"/>
        <xdr:cNvSpPr/>
      </xdr:nvSpPr>
      <xdr:spPr>
        <a:xfrm>
          <a:off x="95250" y="0"/>
          <a:ext cx="69215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Forecast P&amp;L Details (&amp;000)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381000</xdr:colOff>
      <xdr:row>9</xdr:row>
      <xdr:rowOff>28575</xdr:rowOff>
    </xdr:from>
    <xdr:to>
      <xdr:col>8</xdr:col>
      <xdr:colOff>38100</xdr:colOff>
      <xdr:row>10</xdr:row>
      <xdr:rowOff>266700</xdr:rowOff>
    </xdr:to>
    <xdr:sp macro="" textlink="">
      <xdr:nvSpPr>
        <xdr:cNvPr id="3" name="Rectangle 2"/>
        <xdr:cNvSpPr/>
      </xdr:nvSpPr>
      <xdr:spPr>
        <a:xfrm>
          <a:off x="4029075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38100</xdr:colOff>
      <xdr:row>9</xdr:row>
      <xdr:rowOff>28575</xdr:rowOff>
    </xdr:from>
    <xdr:to>
      <xdr:col>5</xdr:col>
      <xdr:colOff>387350</xdr:colOff>
      <xdr:row>10</xdr:row>
      <xdr:rowOff>266700</xdr:rowOff>
    </xdr:to>
    <xdr:sp macro="" textlink="">
      <xdr:nvSpPr>
        <xdr:cNvPr id="4" name="Rectangle 3"/>
        <xdr:cNvSpPr/>
      </xdr:nvSpPr>
      <xdr:spPr>
        <a:xfrm>
          <a:off x="104775" y="28575"/>
          <a:ext cx="39306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 P&amp;L Fx Variance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29"/>
  <sheetViews>
    <sheetView showGridLines="0" showRowColHeaders="0" tabSelected="1" topLeftCell="B10" workbookViewId="0">
      <selection activeCell="F34" sqref="F34"/>
    </sheetView>
  </sheetViews>
  <sheetFormatPr defaultRowHeight="14.25" x14ac:dyDescent="0.2"/>
  <cols>
    <col min="1" max="1" width="2.7109375" style="27" hidden="1" customWidth="1"/>
    <col min="2" max="2" width="1.42578125" style="27" customWidth="1"/>
    <col min="3" max="3" width="28.85546875" style="27" customWidth="1"/>
    <col min="4" max="8" width="12.42578125" style="27" customWidth="1"/>
    <col min="9" max="9" width="41.140625" style="27" customWidth="1"/>
    <col min="10" max="16384" width="9.140625" style="27"/>
  </cols>
  <sheetData>
    <row r="1" spans="1:10" ht="19.5" hidden="1" customHeight="1" x14ac:dyDescent="0.2">
      <c r="A1" s="27" t="s">
        <v>11</v>
      </c>
    </row>
    <row r="2" spans="1:10" hidden="1" x14ac:dyDescent="0.2">
      <c r="A2" s="27">
        <f>0</f>
        <v>0</v>
      </c>
      <c r="C2" s="87"/>
      <c r="D2" s="84"/>
      <c r="E2" s="84"/>
      <c r="F2" s="84"/>
      <c r="G2" s="85"/>
      <c r="H2" s="86"/>
      <c r="I2" s="98"/>
    </row>
    <row r="3" spans="1:10" hidden="1" x14ac:dyDescent="0.2">
      <c r="A3" s="27">
        <f>1</f>
        <v>1</v>
      </c>
      <c r="C3" s="87"/>
      <c r="D3" s="84"/>
      <c r="E3" s="84"/>
      <c r="F3" s="84"/>
      <c r="G3" s="85"/>
      <c r="H3" s="86"/>
      <c r="I3" s="98"/>
    </row>
    <row r="4" spans="1:10" hidden="1" x14ac:dyDescent="0.2">
      <c r="A4" s="27">
        <f>2</f>
        <v>2</v>
      </c>
      <c r="C4" s="94"/>
      <c r="D4" s="95"/>
      <c r="E4" s="95"/>
      <c r="F4" s="95"/>
      <c r="G4" s="96"/>
      <c r="H4" s="97">
        <v>50</v>
      </c>
      <c r="I4" s="81"/>
    </row>
    <row r="5" spans="1:10" hidden="1" x14ac:dyDescent="0.2">
      <c r="A5" s="27">
        <f>3</f>
        <v>3</v>
      </c>
      <c r="C5" s="88"/>
      <c r="D5" s="78"/>
      <c r="E5" s="78"/>
      <c r="F5" s="78"/>
      <c r="G5" s="79"/>
      <c r="H5" s="80"/>
      <c r="I5" s="81"/>
    </row>
    <row r="6" spans="1:10" hidden="1" x14ac:dyDescent="0.2">
      <c r="A6" s="27" t="s">
        <v>9</v>
      </c>
      <c r="C6" s="88"/>
      <c r="D6" s="78"/>
      <c r="E6" s="78"/>
      <c r="F6" s="78"/>
      <c r="G6" s="79"/>
      <c r="H6" s="80"/>
      <c r="I6" s="81"/>
    </row>
    <row r="7" spans="1:10" hidden="1" x14ac:dyDescent="0.2">
      <c r="A7" s="27" t="s">
        <v>10</v>
      </c>
      <c r="C7" s="88"/>
      <c r="D7" s="78"/>
      <c r="E7" s="78"/>
      <c r="F7" s="78"/>
      <c r="G7" s="79"/>
      <c r="H7" s="80"/>
      <c r="I7" s="82"/>
    </row>
    <row r="8" spans="1:10" hidden="1" x14ac:dyDescent="0.2">
      <c r="A8" s="27" t="s">
        <v>12</v>
      </c>
      <c r="D8" s="83"/>
      <c r="E8" s="83"/>
      <c r="F8" s="83"/>
      <c r="G8" s="83">
        <f>VLOOKUP($I$13,Lookup!$D$2:$E$3,2,0)</f>
        <v>0</v>
      </c>
      <c r="H8" s="83"/>
      <c r="I8" s="83"/>
    </row>
    <row r="9" spans="1:10" hidden="1" x14ac:dyDescent="0.2">
      <c r="C9" s="27" t="str">
        <f ca="1">_xll.TM1RPTVIEW("24retail:Income Statement:1", $G$8, _xll.TM1RPTTITLE("24retail:Currency Calc",$D$13), _xll.TM1RPTTITLE("24retail:organization",$C$13), _xll.TM1RPTTITLE("24retail:Year",$F$13), _xll.TM1RPTTITLE("24retail:Month",$H$13),TM1RPTFMTRNG,TM1RPTFMTIDCOL)</f>
        <v>24retail:Income Statement:1</v>
      </c>
    </row>
    <row r="10" spans="1:10" ht="24" customHeight="1" thickBot="1" x14ac:dyDescent="0.25">
      <c r="A10" s="28"/>
      <c r="B10" s="74"/>
      <c r="C10" s="74"/>
      <c r="D10" s="74"/>
      <c r="E10" s="74"/>
      <c r="F10" s="74"/>
      <c r="G10" s="74"/>
      <c r="H10" s="74"/>
      <c r="I10" s="74"/>
    </row>
    <row r="11" spans="1:10" ht="37.5" customHeight="1" x14ac:dyDescent="0.2"/>
    <row r="12" spans="1:10" s="29" customFormat="1" x14ac:dyDescent="0.25">
      <c r="C12" s="21" t="s">
        <v>23</v>
      </c>
      <c r="D12" s="192" t="s">
        <v>114</v>
      </c>
      <c r="E12" s="193"/>
      <c r="F12" s="192" t="s">
        <v>0</v>
      </c>
      <c r="G12" s="193"/>
      <c r="H12" s="21" t="s">
        <v>54</v>
      </c>
      <c r="I12" s="70" t="s">
        <v>27</v>
      </c>
      <c r="J12" s="75"/>
    </row>
    <row r="13" spans="1:10" s="29" customFormat="1" x14ac:dyDescent="0.25">
      <c r="C13" s="77" t="str">
        <f ca="1">_xll.SUBNM("24retail:organization","Workflow","101","Caption_Default")</f>
        <v>Massachusetts</v>
      </c>
      <c r="D13" s="194" t="str">
        <f ca="1">_xll.SUBNM("24retail:Currency Calc","Default","Local")</f>
        <v>Local</v>
      </c>
      <c r="E13" s="194"/>
      <c r="F13" s="194" t="str">
        <f ca="1">_xll.SUBNM("24retail:Year","Default","Y2","Caption_Default")</f>
        <v>2015</v>
      </c>
      <c r="G13" s="194"/>
      <c r="H13" s="77" t="str">
        <f ca="1">_xll.SUBNM("24retail:Month","MY","Year")</f>
        <v>Year</v>
      </c>
      <c r="I13" s="77" t="s">
        <v>55</v>
      </c>
      <c r="J13" s="72"/>
    </row>
    <row r="14" spans="1:10" s="29" customFormat="1" ht="7.5" customHeight="1" x14ac:dyDescent="0.25"/>
    <row r="15" spans="1:10" s="29" customFormat="1" ht="18.75" customHeight="1" thickBot="1" x14ac:dyDescent="0.3">
      <c r="C15" s="201"/>
      <c r="D15" s="201" t="s">
        <v>100</v>
      </c>
      <c r="E15" s="201" t="s">
        <v>57</v>
      </c>
      <c r="F15" s="201" t="str">
        <f ca="1">_xll.SUBNM("24retail:Version","Current",_xll.DBR("24retail:Calendar","Current Version","String"),"Caption_Default")</f>
        <v>Budget</v>
      </c>
      <c r="G15" s="201" t="s">
        <v>58</v>
      </c>
      <c r="H15" s="201" t="s">
        <v>59</v>
      </c>
      <c r="I15" s="201" t="s">
        <v>60</v>
      </c>
    </row>
    <row r="16" spans="1:10" s="29" customFormat="1" ht="15" hidden="1" thickTop="1" x14ac:dyDescent="0.25">
      <c r="D16" s="99" t="s">
        <v>99</v>
      </c>
      <c r="E16" s="99" t="s">
        <v>57</v>
      </c>
      <c r="F16" s="100" t="str">
        <f ca="1">_xll.SUBNM("24retail:Version","Current",_xll.DBR("24retail:Calendar","Current Version","String"),"Caption_Default")</f>
        <v>Budget</v>
      </c>
      <c r="G16" s="99" t="s">
        <v>58</v>
      </c>
      <c r="H16" s="99" t="s">
        <v>59</v>
      </c>
      <c r="I16" s="99" t="s">
        <v>60</v>
      </c>
    </row>
    <row r="17" spans="1:255" ht="15" thickTop="1" x14ac:dyDescent="0.2">
      <c r="A17" s="27" t="str">
        <f ca="1">IF(_xll.TM1RPTELISCONSOLIDATED($C$17,$C17),IF(_xll.TM1RPTELLEV($C$17,$C17)&lt;=3,_xll.TM1RPTELLEV($C$17,$C17),"D"),"N")</f>
        <v>N</v>
      </c>
      <c r="C17" s="89" t="str">
        <f ca="1">_xll.TM1RPTROW($C$9,"24retail:Account","Summary",,"Caption_Default",1)</f>
        <v>4999 Gross Revenue</v>
      </c>
      <c r="D17" s="78">
        <f ca="1">_xll.DBRW($C$9,$D$13,$C$13,$F$13,$H$13,$C17,D$16)</f>
        <v>10592822.336328186</v>
      </c>
      <c r="E17" s="78">
        <f ca="1">_xll.DBRW($C$9,$D$13,$C$13,$F$13,$H$13,$C17,E$16)</f>
        <v>9300</v>
      </c>
      <c r="F17" s="78">
        <f ca="1">_xll.DBRW($C$9,$D$13,$C$13,$F$13,$H$13,$C17,F$16)</f>
        <v>10538527.316773167</v>
      </c>
      <c r="G17" s="79">
        <f ca="1">_xll.DBRW($C$9,$D$13,$C$13,$F$13,$H$13,$C17,G$16)</f>
        <v>-3717400.559514869</v>
      </c>
      <c r="H17" s="80">
        <f ca="1">_xll.DBRW($C$9,$D$13,$C$13,$F$13,$H$13,$C17,H$16)</f>
        <v>-35.274383675964266</v>
      </c>
      <c r="I17" s="82" t="str">
        <f ca="1">_xll.DBRW($C$9,$D$13,$C$13,$F$13,$H$13,$C17,I$16)</f>
        <v/>
      </c>
    </row>
    <row r="18" spans="1:255" customFormat="1" ht="15" x14ac:dyDescent="0.25">
      <c r="A18" s="27" t="str">
        <f ca="1">IF(_xll.TM1RPTELISCONSOLIDATED($C$17,$C18),IF(_xll.TM1RPTELLEV($C$17,$C18)&lt;=3,_xll.TM1RPTELLEV($C$17,$C18),"D"),"N")</f>
        <v>N</v>
      </c>
      <c r="B18" s="27"/>
      <c r="C18" s="89" t="s">
        <v>42</v>
      </c>
      <c r="D18" s="78">
        <f ca="1">_xll.DBRW($C$9,$D$13,$C$13,$F$13,$H$13,$C18,D$16)</f>
        <v>8811382.6706150007</v>
      </c>
      <c r="E18" s="78" t="str">
        <f ca="1">_xll.DBRW($C$9,$D$13,$C$13,$F$13,$H$13,$C18,E$16)</f>
        <v/>
      </c>
      <c r="F18" s="78">
        <f ca="1">_xll.DBRW($C$9,$D$13,$C$13,$F$13,$H$13,$C18,F$16)</f>
        <v>7423039.2445113566</v>
      </c>
      <c r="G18" s="79">
        <f ca="1">_xll.DBRW($C$9,$D$13,$C$13,$F$13,$H$13,$C18,G$16)</f>
        <v>1707458.8171201572</v>
      </c>
      <c r="H18" s="80">
        <f ca="1">_xll.DBRW($C$9,$D$13,$C$13,$F$13,$H$13,$C18,H$16)</f>
        <v>23.002152634214664</v>
      </c>
      <c r="I18" s="82" t="str">
        <f ca="1">_xll.DBRW($C$9,$D$13,$C$13,$F$13,$H$13,$C18,I$16)</f>
        <v/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</row>
    <row r="19" spans="1:255" customFormat="1" ht="15" x14ac:dyDescent="0.25">
      <c r="A19" s="27">
        <f ca="1">IF(_xll.TM1RPTELISCONSOLIDATED($C$17,$C19),IF(_xll.TM1RPTELLEV($C$17,$C19)&lt;=3,_xll.TM1RPTELLEV($C$17,$C19),"D"),"N")</f>
        <v>2</v>
      </c>
      <c r="B19" s="27"/>
      <c r="C19" s="94" t="s">
        <v>43</v>
      </c>
      <c r="D19" s="95">
        <f ca="1">_xll.DBRW($C$9,$D$13,$C$13,$F$13,$H$13,$C19,D$16)</f>
        <v>1781439.6657131873</v>
      </c>
      <c r="E19" s="95">
        <f ca="1">_xll.DBRW($C$9,$D$13,$C$13,$F$13,$H$13,$C19,E$16)</f>
        <v>9300</v>
      </c>
      <c r="F19" s="95">
        <f ca="1">_xll.DBRW($C$9,$D$13,$C$13,$F$13,$H$13,$C19,F$16)</f>
        <v>3115488.0722618103</v>
      </c>
      <c r="G19" s="96">
        <f ca="1">_xll.DBRW($C$9,$D$13,$C$13,$F$13,$H$13,$C19,G$16)</f>
        <v>-2009941.7423947125</v>
      </c>
      <c r="H19" s="97">
        <f ca="1">_xll.DBRW($C$9,$D$13,$C$13,$F$13,$H$13,$C19,H$16)</f>
        <v>-64.514506099056149</v>
      </c>
      <c r="I19" s="81" t="str">
        <f ca="1">_xll.DBRW($C$9,$D$13,$C$13,$F$13,$H$13,$C19,I$16)</f>
        <v/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</row>
    <row r="20" spans="1:255" customFormat="1" ht="15" x14ac:dyDescent="0.25">
      <c r="A20" s="27">
        <f ca="1">IF(_xll.TM1RPTELISCONSOLIDATED($C$17,$C20),IF(_xll.TM1RPTELLEV($C$17,$C20)&lt;=3,_xll.TM1RPTELLEV($C$17,$C20),"D"),"N")</f>
        <v>3</v>
      </c>
      <c r="B20" s="27"/>
      <c r="C20" s="90" t="s">
        <v>44</v>
      </c>
      <c r="D20" s="78">
        <f ca="1">_xll.DBRW($C$9,$D$13,$C$13,$F$13,$H$13,$C20,D$16)</f>
        <v>710411.91797512444</v>
      </c>
      <c r="E20" s="78" t="str">
        <f ca="1">_xll.DBRW($C$9,$D$13,$C$13,$F$13,$H$13,$C20,E$16)</f>
        <v/>
      </c>
      <c r="F20" s="78">
        <f ca="1">_xll.DBRW($C$9,$D$13,$C$13,$F$13,$H$13,$C20,F$16)</f>
        <v>605592.74215581082</v>
      </c>
      <c r="G20" s="79">
        <f ca="1">_xll.DBRW($C$9,$D$13,$C$13,$F$13,$H$13,$C20,G$16)</f>
        <v>-75125.489209061256</v>
      </c>
      <c r="H20" s="80">
        <f ca="1">_xll.DBRW($C$9,$D$13,$C$13,$F$13,$H$13,$C20,H$16)</f>
        <v>-12.405282292787533</v>
      </c>
      <c r="I20" s="81" t="str">
        <f ca="1">_xll.DBRW($C$9,$D$13,$C$13,$F$13,$H$13,$C20,I$16)</f>
        <v/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</row>
    <row r="21" spans="1:255" customFormat="1" ht="15" x14ac:dyDescent="0.25">
      <c r="A21" s="27">
        <f ca="1">IF(_xll.TM1RPTELISCONSOLIDATED($C$17,$C21),IF(_xll.TM1RPTELLEV($C$17,$C21)&lt;=3,_xll.TM1RPTELLEV($C$17,$C21),"D"),"N")</f>
        <v>3</v>
      </c>
      <c r="B21" s="27"/>
      <c r="C21" s="90" t="s">
        <v>45</v>
      </c>
      <c r="D21" s="78">
        <f ca="1">_xll.DBRW($C$9,$D$13,$C$13,$F$13,$H$13,$C21,D$16)</f>
        <v>67120.542625874237</v>
      </c>
      <c r="E21" s="78" t="str">
        <f ca="1">_xll.DBRW($C$9,$D$13,$C$13,$F$13,$H$13,$C21,E$16)</f>
        <v/>
      </c>
      <c r="F21" s="78">
        <f ca="1">_xll.DBRW($C$9,$D$13,$C$13,$F$13,$H$13,$C21,F$16)</f>
        <v>66994.75999999998</v>
      </c>
      <c r="G21" s="79">
        <f ca="1">_xll.DBRW($C$9,$D$13,$C$13,$F$13,$H$13,$C21,G$16)</f>
        <v>1090.7599999999802</v>
      </c>
      <c r="H21" s="80">
        <f ca="1">_xll.DBRW($C$9,$D$13,$C$13,$F$13,$H$13,$C21,H$16)</f>
        <v>1.6281273341377454</v>
      </c>
      <c r="I21" s="81" t="str">
        <f ca="1">_xll.DBRW($C$9,$D$13,$C$13,$F$13,$H$13,$C21,I$16)</f>
        <v/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</row>
    <row r="22" spans="1:255" customFormat="1" ht="15" x14ac:dyDescent="0.25">
      <c r="A22" s="27">
        <f ca="1">IF(_xll.TM1RPTELISCONSOLIDATED($C$17,$C22),IF(_xll.TM1RPTELLEV($C$17,$C22)&lt;=3,_xll.TM1RPTELLEV($C$17,$C22),"D"),"N")</f>
        <v>3</v>
      </c>
      <c r="B22" s="27"/>
      <c r="C22" s="90" t="s">
        <v>46</v>
      </c>
      <c r="D22" s="78">
        <f ca="1">_xll.DBRW($C$9,$D$13,$C$13,$F$13,$H$13,$C22,D$16)</f>
        <v>45415.518284643775</v>
      </c>
      <c r="E22" s="78" t="str">
        <f ca="1">_xll.DBRW($C$9,$D$13,$C$13,$F$13,$H$13,$C22,E$16)</f>
        <v/>
      </c>
      <c r="F22" s="78">
        <f ca="1">_xll.DBRW($C$9,$D$13,$C$13,$F$13,$H$13,$C22,F$16)</f>
        <v>45228</v>
      </c>
      <c r="G22" s="79">
        <f ca="1">_xll.DBRW($C$9,$D$13,$C$13,$F$13,$H$13,$C22,G$16)</f>
        <v>2280</v>
      </c>
      <c r="H22" s="80">
        <f ca="1">_xll.DBRW($C$9,$D$13,$C$13,$F$13,$H$13,$C22,H$16)</f>
        <v>5.0411249668347047</v>
      </c>
      <c r="I22" s="81" t="str">
        <f ca="1">_xll.DBRW($C$9,$D$13,$C$13,$F$13,$H$13,$C22,I$16)</f>
        <v/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</row>
    <row r="23" spans="1:255" customFormat="1" ht="15" x14ac:dyDescent="0.25">
      <c r="A23" s="27">
        <f ca="1">IF(_xll.TM1RPTELISCONSOLIDATED($C$17,$C23),IF(_xll.TM1RPTELLEV($C$17,$C23)&lt;=3,_xll.TM1RPTELLEV($C$17,$C23),"D"),"N")</f>
        <v>3</v>
      </c>
      <c r="B23" s="27"/>
      <c r="C23" s="90" t="s">
        <v>47</v>
      </c>
      <c r="D23" s="78">
        <f ca="1">_xll.DBRW($C$9,$D$13,$C$13,$F$13,$H$13,$C23,D$16)</f>
        <v>536653.70116066164</v>
      </c>
      <c r="E23" s="78" t="str">
        <f ca="1">_xll.DBRW($C$9,$D$13,$C$13,$F$13,$H$13,$C23,E$16)</f>
        <v/>
      </c>
      <c r="F23" s="78">
        <f ca="1">_xll.DBRW($C$9,$D$13,$C$13,$F$13,$H$13,$C23,F$16)</f>
        <v>320000</v>
      </c>
      <c r="G23" s="79">
        <f ca="1">_xll.DBRW($C$9,$D$13,$C$13,$F$13,$H$13,$C23,G$16)</f>
        <v>-185797</v>
      </c>
      <c r="H23" s="80">
        <f ca="1">_xll.DBRW($C$9,$D$13,$C$13,$F$13,$H$13,$C23,H$16)</f>
        <v>-58.061562499999994</v>
      </c>
      <c r="I23" s="81" t="str">
        <f ca="1">_xll.DBRW($C$9,$D$13,$C$13,$F$13,$H$13,$C23,I$16)</f>
        <v/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</row>
    <row r="24" spans="1:255" customFormat="1" ht="15" x14ac:dyDescent="0.25">
      <c r="A24" s="27">
        <f ca="1">IF(_xll.TM1RPTELISCONSOLIDATED($C$17,$C24),IF(_xll.TM1RPTELLEV($C$17,$C24)&lt;=3,_xll.TM1RPTELLEV($C$17,$C24),"D"),"N")</f>
        <v>3</v>
      </c>
      <c r="B24" s="27"/>
      <c r="C24" s="90" t="s">
        <v>48</v>
      </c>
      <c r="D24" s="78">
        <f ca="1">_xll.DBRW($C$9,$D$13,$C$13,$F$13,$H$13,$C24,D$16)</f>
        <v>99851.30396833492</v>
      </c>
      <c r="E24" s="78" t="str">
        <f ca="1">_xll.DBRW($C$9,$D$13,$C$13,$F$13,$H$13,$C24,E$16)</f>
        <v/>
      </c>
      <c r="F24" s="78">
        <f ca="1">_xll.DBRW($C$9,$D$13,$C$13,$F$13,$H$13,$C24,F$16)</f>
        <v>141614.80000000002</v>
      </c>
      <c r="G24" s="79">
        <f ca="1">_xll.DBRW($C$9,$D$13,$C$13,$F$13,$H$13,$C24,G$16)</f>
        <v>41390.800000000017</v>
      </c>
      <c r="H24" s="80">
        <f ca="1">_xll.DBRW($C$9,$D$13,$C$13,$F$13,$H$13,$C24,H$16)</f>
        <v>29.227736084081616</v>
      </c>
      <c r="I24" s="81" t="str">
        <f ca="1">_xll.DBRW($C$9,$D$13,$C$13,$F$13,$H$13,$C24,I$16)</f>
        <v/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</row>
    <row r="25" spans="1:255" customFormat="1" ht="15" x14ac:dyDescent="0.25">
      <c r="A25" s="27">
        <f ca="1">IF(_xll.TM1RPTELISCONSOLIDATED($C$17,$C25),IF(_xll.TM1RPTELLEV($C$17,$C25)&lt;=3,_xll.TM1RPTELLEV($C$17,$C25),"D"),"N")</f>
        <v>3</v>
      </c>
      <c r="B25" s="27"/>
      <c r="C25" s="90" t="s">
        <v>49</v>
      </c>
      <c r="D25" s="78">
        <f ca="1">_xll.DBRW($C$9,$D$13,$C$13,$F$13,$H$13,$C25,D$16)</f>
        <v>134270.06256135003</v>
      </c>
      <c r="E25" s="78" t="str">
        <f ca="1">_xll.DBRW($C$9,$D$13,$C$13,$F$13,$H$13,$C25,E$16)</f>
        <v/>
      </c>
      <c r="F25" s="78">
        <f ca="1">_xll.DBRW($C$9,$D$13,$C$13,$F$13,$H$13,$C25,F$16)</f>
        <v>87500</v>
      </c>
      <c r="G25" s="79">
        <f ca="1">_xll.DBRW($C$9,$D$13,$C$13,$F$13,$H$13,$C25,G$16)</f>
        <v>-56500</v>
      </c>
      <c r="H25" s="80">
        <f ca="1">_xll.DBRW($C$9,$D$13,$C$13,$F$13,$H$13,$C25,H$16)</f>
        <v>-64.571428571428569</v>
      </c>
      <c r="I25" s="81" t="str">
        <f ca="1">_xll.DBRW($C$9,$D$13,$C$13,$F$13,$H$13,$C25,I$16)</f>
        <v/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</row>
    <row r="26" spans="1:255" customFormat="1" ht="15" x14ac:dyDescent="0.25">
      <c r="A26" s="27">
        <f ca="1">IF(_xll.TM1RPTELISCONSOLIDATED($C$17,$C26),IF(_xll.TM1RPTELLEV($C$17,$C26)&lt;=3,_xll.TM1RPTELLEV($C$17,$C26),"D"),"N")</f>
        <v>2</v>
      </c>
      <c r="B26" s="27"/>
      <c r="C26" s="94" t="s">
        <v>50</v>
      </c>
      <c r="D26" s="95">
        <f ca="1">_xll.DBRW($C$9,$D$13,$C$13,$F$13,$H$13,$C26,D$16)</f>
        <v>1593723.0465759889</v>
      </c>
      <c r="E26" s="95" t="str">
        <f ca="1">_xll.DBRW($C$9,$D$13,$C$13,$F$13,$H$13,$C26,E$16)</f>
        <v/>
      </c>
      <c r="F26" s="95">
        <f ca="1">_xll.DBRW($C$9,$D$13,$C$13,$F$13,$H$13,$C26,F$16)</f>
        <v>1266930.3021558109</v>
      </c>
      <c r="G26" s="96">
        <f ca="1">_xll.DBRW($C$9,$D$13,$C$13,$F$13,$H$13,$C26,G$16)</f>
        <v>-272660.9292090612</v>
      </c>
      <c r="H26" s="97">
        <f ca="1">_xll.DBRW($C$9,$D$13,$C$13,$F$13,$H$13,$C26,H$16)</f>
        <v>-21.521383516133515</v>
      </c>
      <c r="I26" s="81" t="str">
        <f ca="1">_xll.DBRW($C$9,$D$13,$C$13,$F$13,$H$13,$C26,I$16)</f>
        <v/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  <row r="27" spans="1:255" customFormat="1" ht="15" x14ac:dyDescent="0.25">
      <c r="A27" s="27">
        <f ca="1">IF(_xll.TM1RPTELISCONSOLIDATED($C$17,$C27),IF(_xll.TM1RPTELLEV($C$17,$C27)&lt;=3,_xll.TM1RPTELLEV($C$17,$C27),"D"),"N")</f>
        <v>1</v>
      </c>
      <c r="B27" s="27"/>
      <c r="C27" s="91" t="s">
        <v>51</v>
      </c>
      <c r="D27" s="84">
        <f ca="1">_xll.DBRW($C$9,$D$13,$C$13,$F$13,$H$13,$C27,D$16)</f>
        <v>187716.61913719832</v>
      </c>
      <c r="E27" s="84">
        <f ca="1">_xll.DBRW($C$9,$D$13,$C$13,$F$13,$H$13,$C27,E$16)</f>
        <v>9300</v>
      </c>
      <c r="F27" s="84">
        <f ca="1">_xll.DBRW($C$9,$D$13,$C$13,$F$13,$H$13,$C27,F$16)</f>
        <v>1848557.7701059999</v>
      </c>
      <c r="G27" s="85">
        <f ca="1">_xll.DBRW($C$9,$D$13,$C$13,$F$13,$H$13,$C27,G$16)</f>
        <v>-2282602.6716037737</v>
      </c>
      <c r="H27" s="86">
        <f ca="1">_xll.DBRW($C$9,$D$13,$C$13,$F$13,$H$13,$C27,H$16)</f>
        <v>-123.48019134251264</v>
      </c>
      <c r="I27" s="98" t="str">
        <f ca="1">_xll.DBRW($C$9,$D$13,$C$13,$F$13,$H$13,$C27,I$16)</f>
        <v/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</row>
    <row r="28" spans="1:255" customFormat="1" ht="15" x14ac:dyDescent="0.25">
      <c r="A28" s="27">
        <f ca="1">IF(_xll.TM1RPTELISCONSOLIDATED($C$17,$C28),IF(_xll.TM1RPTELLEV($C$17,$C28)&lt;=3,_xll.TM1RPTELLEV($C$17,$C28),"D"),"N")</f>
        <v>1</v>
      </c>
      <c r="B28" s="27"/>
      <c r="C28" s="92" t="s">
        <v>52</v>
      </c>
      <c r="D28" s="84">
        <f ca="1">_xll.DBRW($C$9,$D$13,$C$13,$F$13,$H$13,$C28,D$16)</f>
        <v>11965.313357304512</v>
      </c>
      <c r="E28" s="84">
        <f ca="1">_xll.DBRW($C$9,$D$13,$C$13,$F$13,$H$13,$C28,E$16)</f>
        <v>0</v>
      </c>
      <c r="F28" s="84">
        <f ca="1">_xll.DBRW($C$9,$D$13,$C$13,$F$13,$H$13,$C28,F$16)</f>
        <v>324394.1962734363</v>
      </c>
      <c r="G28" s="85">
        <f ca="1">_xll.DBRW($C$9,$D$13,$C$13,$F$13,$H$13,$C28,G$16)</f>
        <v>292665.31084495608</v>
      </c>
      <c r="H28" s="86">
        <f ca="1">_xll.DBRW($C$9,$D$13,$C$13,$F$13,$H$13,$C28,H$16)</f>
        <v>90.219034189583496</v>
      </c>
      <c r="I28" s="98" t="str">
        <f ca="1">_xll.DBRW($C$9,$D$13,$C$13,$F$13,$H$13,$C28,I$16)</f>
        <v/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</row>
    <row r="29" spans="1:255" customFormat="1" ht="15" x14ac:dyDescent="0.25">
      <c r="A29" s="27">
        <f ca="1">IF(_xll.TM1RPTELISCONSOLIDATED($C$17,$C29),IF(_xll.TM1RPTELLEV($C$17,$C29)&lt;=3,_xll.TM1RPTELLEV($C$17,$C29),"D"),"N")</f>
        <v>0</v>
      </c>
      <c r="B29" s="27"/>
      <c r="C29" s="93" t="s">
        <v>53</v>
      </c>
      <c r="D29" s="84">
        <f ca="1">_xll.DBRW($C$9,$D$13,$C$13,$F$13,$H$13,$C29,D$16)</f>
        <v>175751.30577989377</v>
      </c>
      <c r="E29" s="84">
        <f ca="1">_xll.DBRW($C$9,$D$13,$C$13,$F$13,$H$13,$C29,E$16)</f>
        <v>9300</v>
      </c>
      <c r="F29" s="84">
        <f ca="1">_xll.DBRW($C$9,$D$13,$C$13,$F$13,$H$13,$C29,F$16)</f>
        <v>1524163.5738325636</v>
      </c>
      <c r="G29" s="85">
        <f ca="1">_xll.DBRW($C$9,$D$13,$C$13,$F$13,$H$13,$C29,G$16)</f>
        <v>-1989937.3607588178</v>
      </c>
      <c r="H29" s="86">
        <f ca="1">_xll.DBRW($C$9,$D$13,$C$13,$F$13,$H$13,$C29,H$16)</f>
        <v>-130.5593044554299</v>
      </c>
      <c r="I29" s="98" t="str">
        <f ca="1">_xll.DBRW($C$9,$D$13,$C$13,$F$13,$H$13,$C29,I$16)</f>
        <v/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</row>
  </sheetData>
  <mergeCells count="4">
    <mergeCell ref="D12:E12"/>
    <mergeCell ref="F12:G12"/>
    <mergeCell ref="D13:E13"/>
    <mergeCell ref="F13:G13"/>
  </mergeCells>
  <phoneticPr fontId="12" type="noConversion"/>
  <dataValidations count="1">
    <dataValidation type="list" allowBlank="1" showInputMessage="1" showErrorMessage="1" sqref="I13">
      <formula1>SelectYesNo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13"/>
  <sheetViews>
    <sheetView showGridLines="0" showRowColHeaders="0" topLeftCell="A2" workbookViewId="0">
      <selection activeCell="A2" sqref="A2"/>
    </sheetView>
  </sheetViews>
  <sheetFormatPr defaultRowHeight="14.25" x14ac:dyDescent="0.2"/>
  <cols>
    <col min="1" max="1" width="1.28515625" style="27" customWidth="1"/>
    <col min="2" max="2" width="18.7109375" style="27" bestFit="1" customWidth="1"/>
    <col min="3" max="14" width="6.140625" style="27" customWidth="1"/>
    <col min="15" max="16384" width="9.140625" style="27"/>
  </cols>
  <sheetData>
    <row r="1" spans="1:14" ht="27.75" hidden="1" customHeight="1" x14ac:dyDescent="0.2">
      <c r="A1" s="195"/>
      <c r="B1" s="196" t="s">
        <v>61</v>
      </c>
      <c r="C1" s="195" t="str">
        <f ca="1">_xll.VIEW("24retail:Exchange Rates",$C$5,$B$5,"!",$H$1,$F$5,"!")</f>
        <v>24retail:Exchange Rates</v>
      </c>
      <c r="D1" s="196"/>
      <c r="E1" s="195"/>
      <c r="F1" s="196"/>
      <c r="G1" s="190" t="s">
        <v>211</v>
      </c>
      <c r="H1" s="191" t="str">
        <f ca="1">_xll.SUBNM("24retail:Exchange Rate","Default","ExchangeRate")</f>
        <v>ExchangeRate</v>
      </c>
      <c r="I1" s="195"/>
      <c r="J1" s="196"/>
      <c r="K1" s="195"/>
      <c r="L1" s="196"/>
      <c r="M1" s="195"/>
      <c r="N1" s="196"/>
    </row>
    <row r="2" spans="1:14" ht="30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32.25" customHeight="1" x14ac:dyDescent="0.25">
      <c r="G3" s="53"/>
      <c r="H3" s="54"/>
    </row>
    <row r="4" spans="1:14" ht="15" customHeight="1" x14ac:dyDescent="0.2">
      <c r="B4" s="21" t="s">
        <v>0</v>
      </c>
      <c r="C4" s="192" t="s">
        <v>114</v>
      </c>
      <c r="D4" s="197"/>
      <c r="E4" s="193"/>
      <c r="F4" s="192" t="s">
        <v>212</v>
      </c>
      <c r="G4" s="197"/>
      <c r="H4" s="193"/>
    </row>
    <row r="5" spans="1:14" ht="15" customHeight="1" x14ac:dyDescent="0.2">
      <c r="B5" s="77" t="str">
        <f ca="1">_xll.SUBNM("24retail:Year","Default","Y2","Caption_Default")</f>
        <v>2015</v>
      </c>
      <c r="C5" s="194" t="str">
        <f ca="1">_xll.SUBNM("24retail:Currency","Default","USD")</f>
        <v>USD</v>
      </c>
      <c r="D5" s="194"/>
      <c r="E5" s="194"/>
      <c r="F5" s="194" t="str">
        <f ca="1">_xll.SUBNM("24retail:Exchange Rate Type","Default","Average")</f>
        <v>Average</v>
      </c>
      <c r="G5" s="194"/>
      <c r="H5" s="194"/>
    </row>
    <row r="6" spans="1:14" ht="15" customHeight="1" x14ac:dyDescent="0.2">
      <c r="D6" s="54"/>
      <c r="E6" s="54"/>
    </row>
    <row r="7" spans="1:14" ht="15" customHeight="1" thickBot="1" x14ac:dyDescent="0.25">
      <c r="B7" s="202"/>
      <c r="C7" s="202" t="s">
        <v>30</v>
      </c>
      <c r="D7" s="202" t="s">
        <v>31</v>
      </c>
      <c r="E7" s="202" t="s">
        <v>32</v>
      </c>
      <c r="F7" s="202" t="s">
        <v>33</v>
      </c>
      <c r="G7" s="202" t="s">
        <v>34</v>
      </c>
      <c r="H7" s="202" t="s">
        <v>35</v>
      </c>
      <c r="I7" s="202" t="s">
        <v>36</v>
      </c>
      <c r="J7" s="202" t="s">
        <v>37</v>
      </c>
      <c r="K7" s="202" t="s">
        <v>38</v>
      </c>
      <c r="L7" s="202" t="s">
        <v>39</v>
      </c>
      <c r="M7" s="202" t="s">
        <v>40</v>
      </c>
      <c r="N7" s="202" t="s">
        <v>41</v>
      </c>
    </row>
    <row r="8" spans="1:14" ht="15" customHeight="1" thickTop="1" x14ac:dyDescent="0.2">
      <c r="B8" s="166" t="s">
        <v>56</v>
      </c>
      <c r="C8" s="189">
        <f ca="1">_xll.DBRW($C$1,$C$5,$B$5,C$7,$H$1,$F$5,$B8)</f>
        <v>1</v>
      </c>
      <c r="D8" s="189">
        <f ca="1">_xll.DBRW($C$1,$C$5,$B$5,D$7,$H$1,$F$5,$B8)</f>
        <v>1</v>
      </c>
      <c r="E8" s="189">
        <f ca="1">_xll.DBRW($C$1,$C$5,$B$5,E$7,$H$1,$F$5,$B8)</f>
        <v>1</v>
      </c>
      <c r="F8" s="189">
        <f ca="1">_xll.DBRW($C$1,$C$5,$B$5,F$7,$H$1,$F$5,$B8)</f>
        <v>1</v>
      </c>
      <c r="G8" s="189">
        <f ca="1">_xll.DBRW($C$1,$C$5,$B$5,G$7,$H$1,$F$5,$B8)</f>
        <v>1</v>
      </c>
      <c r="H8" s="189">
        <f ca="1">_xll.DBRW($C$1,$C$5,$B$5,H$7,$H$1,$F$5,$B8)</f>
        <v>1</v>
      </c>
      <c r="I8" s="189">
        <f ca="1">_xll.DBRW($C$1,$C$5,$B$5,I$7,$H$1,$F$5,$B8)</f>
        <v>1</v>
      </c>
      <c r="J8" s="189">
        <f ca="1">_xll.DBRW($C$1,$C$5,$B$5,J$7,$H$1,$F$5,$B8)</f>
        <v>1</v>
      </c>
      <c r="K8" s="189">
        <f ca="1">_xll.DBRW($C$1,$C$5,$B$5,K$7,$H$1,$F$5,$B8)</f>
        <v>1</v>
      </c>
      <c r="L8" s="189">
        <f ca="1">_xll.DBRW($C$1,$C$5,$B$5,L$7,$H$1,$F$5,$B8)</f>
        <v>1</v>
      </c>
      <c r="M8" s="189">
        <f ca="1">_xll.DBRW($C$1,$C$5,$B$5,M$7,$H$1,$F$5,$B8)</f>
        <v>1</v>
      </c>
      <c r="N8" s="189">
        <f ca="1">_xll.DBRW($C$1,$C$5,$B$5,N$7,$H$1,$F$5,$B8)</f>
        <v>1</v>
      </c>
    </row>
    <row r="9" spans="1:14" ht="15" customHeight="1" x14ac:dyDescent="0.2">
      <c r="B9" s="166" t="str">
        <f ca="1">_xll.SUBNM("24retail:Version","Current",_xll.DBR("24retail:Calendar","Current Version","String"),"Caption_Default")</f>
        <v>Budget</v>
      </c>
      <c r="C9" s="189">
        <f ca="1">_xll.DBRW($C$1,$C$5,$B$5,C$7,$H$1,$F$5,$B9)</f>
        <v>1</v>
      </c>
      <c r="D9" s="189">
        <f ca="1">_xll.DBRW($C$1,$C$5,$B$5,D$7,$H$1,$F$5,$B9)</f>
        <v>1</v>
      </c>
      <c r="E9" s="189">
        <f ca="1">_xll.DBRW($C$1,$C$5,$B$5,E$7,$H$1,$F$5,$B9)</f>
        <v>1</v>
      </c>
      <c r="F9" s="189">
        <f ca="1">_xll.DBRW($C$1,$C$5,$B$5,F$7,$H$1,$F$5,$B9)</f>
        <v>1</v>
      </c>
      <c r="G9" s="189">
        <f ca="1">_xll.DBRW($C$1,$C$5,$B$5,G$7,$H$1,$F$5,$B9)</f>
        <v>1</v>
      </c>
      <c r="H9" s="189">
        <f ca="1">_xll.DBRW($C$1,$C$5,$B$5,H$7,$H$1,$F$5,$B9)</f>
        <v>1</v>
      </c>
      <c r="I9" s="189">
        <f ca="1">_xll.DBRW($C$1,$C$5,$B$5,I$7,$H$1,$F$5,$B9)</f>
        <v>1</v>
      </c>
      <c r="J9" s="189">
        <f ca="1">_xll.DBRW($C$1,$C$5,$B$5,J$7,$H$1,$F$5,$B9)</f>
        <v>1</v>
      </c>
      <c r="K9" s="189">
        <f ca="1">_xll.DBRW($C$1,$C$5,$B$5,K$7,$H$1,$F$5,$B9)</f>
        <v>1</v>
      </c>
      <c r="L9" s="189">
        <f ca="1">_xll.DBRW($C$1,$C$5,$B$5,L$7,$H$1,$F$5,$B9)</f>
        <v>1</v>
      </c>
      <c r="M9" s="189">
        <f ca="1">_xll.DBRW($C$1,$C$5,$B$5,M$7,$H$1,$F$5,$B9)</f>
        <v>1</v>
      </c>
      <c r="N9" s="189">
        <f ca="1">_xll.DBRW($C$1,$C$5,$B$5,N$7,$H$1,$F$5,$B9)</f>
        <v>1</v>
      </c>
    </row>
    <row r="10" spans="1:14" ht="15" customHeight="1" x14ac:dyDescent="0.2"/>
    <row r="11" spans="1:14" ht="15" customHeight="1" x14ac:dyDescent="0.2"/>
    <row r="12" spans="1:14" ht="15" customHeight="1" x14ac:dyDescent="0.2"/>
    <row r="13" spans="1:14" ht="15" customHeight="1" x14ac:dyDescent="0.2"/>
  </sheetData>
  <mergeCells count="10">
    <mergeCell ref="I1:J1"/>
    <mergeCell ref="K1:L1"/>
    <mergeCell ref="M1:N1"/>
    <mergeCell ref="F4:H4"/>
    <mergeCell ref="F5:H5"/>
    <mergeCell ref="C4:E4"/>
    <mergeCell ref="C5:E5"/>
    <mergeCell ref="A1:B1"/>
    <mergeCell ref="C1:D1"/>
    <mergeCell ref="E1:F1"/>
  </mergeCells>
  <phoneticPr fontId="12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5"/>
  <sheetViews>
    <sheetView workbookViewId="0"/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233</v>
      </c>
    </row>
    <row r="12" spans="1:1" x14ac:dyDescent="0.25">
      <c r="A12" t="s">
        <v>234</v>
      </c>
    </row>
    <row r="13" spans="1:1" x14ac:dyDescent="0.25">
      <c r="A13" t="s">
        <v>235</v>
      </c>
    </row>
    <row r="14" spans="1:1" x14ac:dyDescent="0.25">
      <c r="A14" t="s">
        <v>236</v>
      </c>
    </row>
    <row r="15" spans="1:1" x14ac:dyDescent="0.25">
      <c r="A15" t="s">
        <v>237</v>
      </c>
    </row>
    <row r="16" spans="1:1" x14ac:dyDescent="0.25">
      <c r="A16" t="s">
        <v>238</v>
      </c>
    </row>
    <row r="17" spans="1:1" x14ac:dyDescent="0.25">
      <c r="A17" t="s">
        <v>239</v>
      </c>
    </row>
    <row r="18" spans="1:1" x14ac:dyDescent="0.25">
      <c r="A18" t="s">
        <v>240</v>
      </c>
    </row>
    <row r="19" spans="1:1" x14ac:dyDescent="0.25">
      <c r="A19" t="s">
        <v>241</v>
      </c>
    </row>
    <row r="20" spans="1:1" x14ac:dyDescent="0.25">
      <c r="A20" t="s">
        <v>242</v>
      </c>
    </row>
    <row r="21" spans="1:1" x14ac:dyDescent="0.25">
      <c r="A21" t="s">
        <v>243</v>
      </c>
    </row>
    <row r="22" spans="1:1" x14ac:dyDescent="0.25">
      <c r="A22" t="s">
        <v>244</v>
      </c>
    </row>
    <row r="23" spans="1:1" x14ac:dyDescent="0.25">
      <c r="A23" t="s">
        <v>245</v>
      </c>
    </row>
    <row r="24" spans="1:1" x14ac:dyDescent="0.25">
      <c r="A24" t="s">
        <v>105</v>
      </c>
    </row>
    <row r="25" spans="1:1" x14ac:dyDescent="0.25">
      <c r="A25" t="s">
        <v>106</v>
      </c>
    </row>
    <row r="26" spans="1:1" x14ac:dyDescent="0.25">
      <c r="A26" t="s">
        <v>246</v>
      </c>
    </row>
    <row r="27" spans="1:1" x14ac:dyDescent="0.25">
      <c r="A27" t="s">
        <v>247</v>
      </c>
    </row>
    <row r="28" spans="1:1" x14ac:dyDescent="0.25">
      <c r="A28" t="s">
        <v>248</v>
      </c>
    </row>
    <row r="29" spans="1:1" x14ac:dyDescent="0.25">
      <c r="A29" t="s">
        <v>249</v>
      </c>
    </row>
    <row r="30" spans="1:1" x14ac:dyDescent="0.25">
      <c r="A30" t="s">
        <v>250</v>
      </c>
    </row>
    <row r="31" spans="1:1" x14ac:dyDescent="0.25">
      <c r="A31" t="s">
        <v>251</v>
      </c>
    </row>
    <row r="32" spans="1:1" x14ac:dyDescent="0.25">
      <c r="A32" t="s">
        <v>252</v>
      </c>
    </row>
    <row r="33" spans="1:1" x14ac:dyDescent="0.25">
      <c r="A33" t="s">
        <v>253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254</v>
      </c>
    </row>
    <row r="37" spans="1:1" x14ac:dyDescent="0.25">
      <c r="A37" t="s">
        <v>255</v>
      </c>
    </row>
    <row r="38" spans="1:1" x14ac:dyDescent="0.25">
      <c r="A38" t="s">
        <v>256</v>
      </c>
    </row>
    <row r="39" spans="1:1" x14ac:dyDescent="0.25">
      <c r="A39" t="s">
        <v>257</v>
      </c>
    </row>
    <row r="40" spans="1:1" x14ac:dyDescent="0.25">
      <c r="A40" t="s">
        <v>258</v>
      </c>
    </row>
    <row r="41" spans="1:1" x14ac:dyDescent="0.25">
      <c r="A41" t="s">
        <v>110</v>
      </c>
    </row>
    <row r="42" spans="1:1" x14ac:dyDescent="0.25">
      <c r="A42" t="s">
        <v>111</v>
      </c>
    </row>
    <row r="43" spans="1:1" x14ac:dyDescent="0.25">
      <c r="A43" t="s">
        <v>112</v>
      </c>
    </row>
    <row r="44" spans="1:1" x14ac:dyDescent="0.25">
      <c r="A44" t="s">
        <v>259</v>
      </c>
    </row>
    <row r="45" spans="1:1" x14ac:dyDescent="0.25">
      <c r="A45" t="s">
        <v>260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9" t="s">
        <v>81</v>
      </c>
      <c r="B1" s="19" t="s">
        <v>82</v>
      </c>
      <c r="C1" s="20"/>
      <c r="D1" s="19" t="s">
        <v>83</v>
      </c>
      <c r="E1" s="20"/>
      <c r="F1" s="20"/>
      <c r="G1" s="19" t="s">
        <v>84</v>
      </c>
      <c r="H1" s="20"/>
    </row>
    <row r="2" spans="1:8" x14ac:dyDescent="0.25">
      <c r="A2" s="20" t="s">
        <v>25</v>
      </c>
      <c r="B2" s="20" t="s">
        <v>85</v>
      </c>
      <c r="C2" s="20"/>
      <c r="D2" s="20" t="s">
        <v>28</v>
      </c>
      <c r="E2" s="20">
        <v>1</v>
      </c>
      <c r="F2" s="20"/>
      <c r="G2" s="20" t="s">
        <v>78</v>
      </c>
      <c r="H2" s="20"/>
    </row>
    <row r="3" spans="1:8" x14ac:dyDescent="0.25">
      <c r="A3" s="20" t="s">
        <v>86</v>
      </c>
      <c r="B3" s="20" t="s">
        <v>62</v>
      </c>
      <c r="C3" s="20"/>
      <c r="D3" s="20" t="s">
        <v>55</v>
      </c>
      <c r="E3" s="20">
        <v>0</v>
      </c>
      <c r="F3" s="20"/>
      <c r="G3" s="20" t="s">
        <v>87</v>
      </c>
      <c r="H3" s="20"/>
    </row>
    <row r="4" spans="1:8" x14ac:dyDescent="0.25">
      <c r="A4" s="20" t="s">
        <v>88</v>
      </c>
      <c r="B4" s="20"/>
      <c r="C4" s="20"/>
      <c r="D4" s="20"/>
      <c r="E4" s="20"/>
      <c r="F4" s="20"/>
      <c r="G4" s="20" t="s">
        <v>89</v>
      </c>
      <c r="H4" s="20"/>
    </row>
    <row r="5" spans="1:8" x14ac:dyDescent="0.25">
      <c r="A5" s="20" t="s">
        <v>90</v>
      </c>
      <c r="B5" s="20"/>
      <c r="C5" s="20"/>
      <c r="D5" s="20"/>
      <c r="E5" s="20"/>
      <c r="F5" s="20"/>
      <c r="G5" s="20"/>
      <c r="H5" s="20" t="s">
        <v>91</v>
      </c>
    </row>
    <row r="6" spans="1:8" x14ac:dyDescent="0.25">
      <c r="A6" s="20" t="s">
        <v>73</v>
      </c>
      <c r="B6" s="20"/>
      <c r="C6" s="20"/>
      <c r="D6" s="20"/>
      <c r="E6" s="20"/>
      <c r="F6" s="20"/>
      <c r="G6" s="20"/>
      <c r="H6" s="20"/>
    </row>
    <row r="7" spans="1:8" x14ac:dyDescent="0.25">
      <c r="A7" s="20" t="s">
        <v>92</v>
      </c>
      <c r="B7" s="20"/>
      <c r="C7" s="20"/>
      <c r="D7" s="20"/>
      <c r="E7" s="20"/>
      <c r="F7" s="20"/>
      <c r="G7" s="20"/>
      <c r="H7" s="20" t="s">
        <v>91</v>
      </c>
    </row>
    <row r="8" spans="1:8" x14ac:dyDescent="0.25">
      <c r="A8" s="20" t="s">
        <v>93</v>
      </c>
      <c r="B8" s="20"/>
      <c r="C8" s="20"/>
      <c r="D8" s="20"/>
      <c r="E8" s="20"/>
      <c r="F8" s="20"/>
      <c r="G8" s="20"/>
      <c r="H8" s="20" t="s">
        <v>91</v>
      </c>
    </row>
    <row r="9" spans="1:8" x14ac:dyDescent="0.25">
      <c r="A9" s="20" t="s">
        <v>94</v>
      </c>
      <c r="B9" s="20"/>
      <c r="C9" s="20"/>
      <c r="D9" s="20"/>
      <c r="E9" s="20"/>
      <c r="F9" s="20"/>
      <c r="G9" s="20"/>
      <c r="H9" s="20" t="s">
        <v>91</v>
      </c>
    </row>
    <row r="10" spans="1:8" x14ac:dyDescent="0.25">
      <c r="A10" s="20" t="s">
        <v>95</v>
      </c>
      <c r="B10" s="20"/>
      <c r="C10" s="20"/>
      <c r="D10" s="20"/>
      <c r="E10" s="20"/>
      <c r="F10" s="20"/>
      <c r="G10" s="20"/>
      <c r="H10" s="20" t="s">
        <v>91</v>
      </c>
    </row>
    <row r="11" spans="1:8" x14ac:dyDescent="0.25">
      <c r="H11" t="s">
        <v>91</v>
      </c>
    </row>
    <row r="15" spans="1:8" x14ac:dyDescent="0.25">
      <c r="H15" t="s">
        <v>91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61</v>
      </c>
      <c r="C1" t="str">
        <f ca="1">_xll.VIEW("24retail:Allocation Calculation",$B$6,"!",$F$6,$D$6,$H$6,"!")</f>
        <v>24retail:Allocation Calculation</v>
      </c>
    </row>
    <row r="2" spans="2:17" ht="33.75" customHeight="1" x14ac:dyDescent="0.25">
      <c r="C2" s="3"/>
      <c r="E2" s="4"/>
      <c r="F2" s="5" t="s">
        <v>22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10"/>
      <c r="M3" s="10"/>
      <c r="N3" s="10"/>
      <c r="O3" s="10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198" t="s">
        <v>23</v>
      </c>
      <c r="C5" s="199"/>
      <c r="D5" s="198" t="s">
        <v>54</v>
      </c>
      <c r="E5" s="199"/>
      <c r="F5" s="198" t="s">
        <v>0</v>
      </c>
      <c r="G5" s="199"/>
      <c r="H5" s="198" t="s">
        <v>1</v>
      </c>
      <c r="I5" s="199"/>
      <c r="L5" s="4"/>
      <c r="M5" s="4"/>
      <c r="N5" s="4"/>
      <c r="O5" s="4"/>
      <c r="P5" s="4"/>
    </row>
    <row r="6" spans="2:17" x14ac:dyDescent="0.25">
      <c r="B6" s="200" t="str">
        <f ca="1">_xll.SUBNM("24retail:organization","Default","100","Caption_Base")</f>
        <v>East Region</v>
      </c>
      <c r="C6" s="200"/>
      <c r="D6" s="200" t="str">
        <f ca="1">_xll.SUBNM("24retail:Month","Default","Year")</f>
        <v>Year</v>
      </c>
      <c r="E6" s="200"/>
      <c r="F6" s="200" t="str">
        <f ca="1">_xll.SUBNM("24retail:Year","Default","Y2","Caption_Default")</f>
        <v>2015</v>
      </c>
      <c r="G6" s="200"/>
      <c r="H6" s="200" t="str">
        <f ca="1">_xll.SUBNM("24retail:Version","",_xll.DBR("24retail:Calendar","Current Version","String"),"Caption_Default")</f>
        <v>Budget</v>
      </c>
      <c r="I6" s="200" t="str">
        <f ca="1">_xll.SUBNM("smartco:Version","",_xll.DBR("smartco:Calendar","Current Version","String"),"Caption_Default")</f>
        <v/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1" t="s">
        <v>7</v>
      </c>
      <c r="D8" s="11" t="s">
        <v>62</v>
      </c>
      <c r="E8" s="11" t="s">
        <v>63</v>
      </c>
      <c r="F8" s="11" t="s">
        <v>64</v>
      </c>
      <c r="G8" s="11" t="s">
        <v>65</v>
      </c>
      <c r="H8" s="11" t="s">
        <v>66</v>
      </c>
      <c r="I8" s="11" t="s">
        <v>2</v>
      </c>
      <c r="J8" s="11" t="s">
        <v>4</v>
      </c>
      <c r="K8" s="11" t="s">
        <v>8</v>
      </c>
    </row>
    <row r="9" spans="2:17" x14ac:dyDescent="0.25">
      <c r="B9" s="9" t="s">
        <v>67</v>
      </c>
      <c r="C9" s="1">
        <f ca="1">_xll.DBRW($C$1,$B$6,$B9,$F$6,$D$6,$H$6,C$8)</f>
        <v>0</v>
      </c>
      <c r="D9" s="1">
        <f ca="1">_xll.DBRW($C$1,$B$6,$B9,$F$6,$D$6,$H$6,D$8)</f>
        <v>54784666.710564449</v>
      </c>
      <c r="E9" s="1">
        <f ca="1">_xll.DBRW($C$1,$B$6,$B9,$F$6,$D$6,$H$6,E$8)</f>
        <v>487752600.23868561</v>
      </c>
      <c r="F9" s="12">
        <f ca="1">_xll.DBRW($C$1,$B$6,$B9,$F$6,$D$6,$H$6,F$8)</f>
        <v>0.11232060410083952</v>
      </c>
      <c r="G9" s="1">
        <f ca="1">_xll.DBRW($C$1,$B$6,$B9,$F$6,$D$6,$H$6,G$8)</f>
        <v>745331.82165884972</v>
      </c>
      <c r="H9" s="1">
        <f ca="1">_xll.DBRW($C$1,$B$6,$B9,$F$6,$D$6,$H$6,H$8)</f>
        <v>-2460762.6180535224</v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3" t="s">
        <v>68</v>
      </c>
      <c r="C10" s="2">
        <f ca="1">_xll.DBRW($C$1,$B$6,$B10,$F$6,$D$6,$H$6,C$8)</f>
        <v>42948</v>
      </c>
      <c r="D10" s="2">
        <f ca="1">_xll.DBRW($C$1,$B$6,$B10,$F$6,$D$6,$H$6,D$8)</f>
        <v>9.5</v>
      </c>
      <c r="E10" s="2">
        <f ca="1">_xll.DBRW($C$1,$B$6,$B10,$F$6,$D$6,$H$6,E$8)</f>
        <v>43</v>
      </c>
      <c r="F10" s="14">
        <f ca="1">_xll.DBRW($C$1,$B$6,$B10,$F$6,$D$6,$H$6,F$8)</f>
        <v>0.22093023255813954</v>
      </c>
      <c r="G10" s="2">
        <f ca="1">_xll.DBRW($C$1,$B$6,$B10,$F$6,$D$6,$H$6,G$8)</f>
        <v>9947.2365221987311</v>
      </c>
      <c r="H10" s="2">
        <f ca="1">_xll.DBRW($C$1,$B$6,$B10,$F$6,$D$6,$H$6,H$8)</f>
        <v>-42948</v>
      </c>
      <c r="I10" s="2" t="str">
        <f ca="1">_xll.DBRW($C$1,$B$6,$B10,$F$6,$D$6,$H$6,I$8)</f>
        <v>Maryland</v>
      </c>
      <c r="J10" s="2" t="str">
        <f ca="1">_xll.DBRW($C$1,$B$6,$B10,$F$6,$D$6,$H$6,J$8)</f>
        <v>6299 TRAVEL</v>
      </c>
      <c r="K10" s="2" t="str">
        <f ca="1">_xll.DBRW($C$1,$B$6,$B10,$F$6,$D$6,$H$6,K$8)</f>
        <v>FTE</v>
      </c>
    </row>
    <row r="11" spans="2:17" x14ac:dyDescent="0.25">
      <c r="B11" s="13" t="s">
        <v>13</v>
      </c>
      <c r="C11" s="2">
        <f ca="1">_xll.DBRW($C$1,$B$6,$B11,$F$6,$D$6,$H$6,C$8)</f>
        <v>565209.76611884555</v>
      </c>
      <c r="D11" s="2">
        <f ca="1">_xll.DBRW($C$1,$B$6,$B11,$F$6,$D$6,$H$6,D$8)</f>
        <v>9.5</v>
      </c>
      <c r="E11" s="2">
        <f ca="1">_xll.DBRW($C$1,$B$6,$B11,$F$6,$D$6,$H$6,E$8)</f>
        <v>43</v>
      </c>
      <c r="F11" s="14">
        <f ca="1">_xll.DBRW($C$1,$B$6,$B11,$F$6,$D$6,$H$6,F$8)</f>
        <v>0.22093023255813954</v>
      </c>
      <c r="G11" s="2">
        <f ca="1">_xll.DBRW($C$1,$B$6,$B11,$F$6,$D$6,$H$6,G$8)</f>
        <v>130793.44462068073</v>
      </c>
      <c r="H11" s="2">
        <f ca="1">_xll.DBRW($C$1,$B$6,$B11,$F$6,$D$6,$H$6,H$8)</f>
        <v>-565209.76611884555</v>
      </c>
      <c r="I11" s="2" t="str">
        <f ca="1">_xll.DBRW($C$1,$B$6,$B11,$F$6,$D$6,$H$6,I$8)</f>
        <v>Maryland</v>
      </c>
      <c r="J11" s="2" t="str">
        <f ca="1">_xll.DBRW($C$1,$B$6,$B11,$F$6,$D$6,$H$6,J$8)</f>
        <v>6099 PAYROLL</v>
      </c>
      <c r="K11" s="2" t="str">
        <f ca="1">_xll.DBRW($C$1,$B$6,$B11,$F$6,$D$6,$H$6,K$8)</f>
        <v>FTE</v>
      </c>
    </row>
    <row r="12" spans="2:17" x14ac:dyDescent="0.25">
      <c r="B12" s="13" t="s">
        <v>14</v>
      </c>
      <c r="C12" s="2">
        <f ca="1">_xll.DBRW($C$1,$B$6,$B12,$F$6,$D$6,$H$6,C$8)</f>
        <v>323999.99999999994</v>
      </c>
      <c r="D12" s="2">
        <f ca="1">_xll.DBRW($C$1,$B$6,$B12,$F$6,$D$6,$H$6,D$8)</f>
        <v>1500000</v>
      </c>
      <c r="E12" s="2">
        <f ca="1">_xll.DBRW($C$1,$B$6,$B12,$F$6,$D$6,$H$6,E$8)</f>
        <v>26000000</v>
      </c>
      <c r="F12" s="14">
        <f ca="1">_xll.DBRW($C$1,$B$6,$B12,$F$6,$D$6,$H$6,F$8)</f>
        <v>5.7692307692307696E-2</v>
      </c>
      <c r="G12" s="2">
        <f ca="1">_xll.DBRW($C$1,$B$6,$B12,$F$6,$D$6,$H$6,G$8)</f>
        <v>18692.307692307688</v>
      </c>
      <c r="H12" s="2">
        <f ca="1">_xll.DBRW($C$1,$B$6,$B12,$F$6,$D$6,$H$6,H$8)</f>
        <v>-323999.99999999994</v>
      </c>
      <c r="I12" s="2" t="str">
        <f ca="1">_xll.DBRW($C$1,$B$6,$B12,$F$6,$D$6,$H$6,I$8)</f>
        <v>Florida</v>
      </c>
      <c r="J12" s="2" t="str">
        <f ca="1">_xll.DBRW($C$1,$B$6,$B12,$F$6,$D$6,$H$6,J$8)</f>
        <v>6399 OCCUPANCY</v>
      </c>
      <c r="K12" s="2" t="str">
        <f ca="1">_xll.DBRW($C$1,$B$6,$B12,$F$6,$D$6,$H$6,K$8)</f>
        <v>Square Footage</v>
      </c>
    </row>
    <row r="13" spans="2:17" x14ac:dyDescent="0.25">
      <c r="B13" s="13" t="s">
        <v>15</v>
      </c>
      <c r="C13" s="2">
        <f ca="1">_xll.DBRW($C$1,$B$6,$B13,$F$6,$D$6,$H$6,C$8)</f>
        <v>1399439.0666666669</v>
      </c>
      <c r="D13" s="2">
        <f ca="1">_xll.DBRW($C$1,$B$6,$B13,$F$6,$D$6,$H$6,D$8)</f>
        <v>29095130.985498272</v>
      </c>
      <c r="E13" s="2">
        <f ca="1">_xll.DBRW($C$1,$B$6,$B13,$F$6,$D$6,$H$6,E$8)</f>
        <v>98603620.362597153</v>
      </c>
      <c r="F13" s="14">
        <f ca="1">_xll.DBRW($C$1,$B$6,$B13,$F$6,$D$6,$H$6,F$8)</f>
        <v>0.29507163001222614</v>
      </c>
      <c r="G13" s="2">
        <f ca="1">_xll.DBRW($C$1,$B$6,$B13,$F$6,$D$6,$H$6,G$8)</f>
        <v>439046.26499114797</v>
      </c>
      <c r="H13" s="2">
        <f ca="1">_xll.DBRW($C$1,$B$6,$B13,$F$6,$D$6,$H$6,H$8)</f>
        <v>0</v>
      </c>
      <c r="I13" s="2" t="str">
        <f ca="1">_xll.DBRW($C$1,$B$6,$B13,$F$6,$D$6,$H$6,I$8)</f>
        <v>California</v>
      </c>
      <c r="J13" s="2" t="str">
        <f ca="1">_xll.DBRW($C$1,$B$6,$B13,$F$6,$D$6,$H$6,J$8)</f>
        <v>Total Operating Expense</v>
      </c>
      <c r="K13" s="2" t="str">
        <f ca="1">_xll.DBRW($C$1,$B$6,$B13,$F$6,$D$6,$H$6,K$8)</f>
        <v>4999 Gross Revenue</v>
      </c>
    </row>
    <row r="14" spans="2:17" x14ac:dyDescent="0.25">
      <c r="B14" s="13" t="s">
        <v>16</v>
      </c>
      <c r="C14" s="2">
        <f ca="1">_xll.DBRW($C$1,$B$6,$B14,$F$6,$D$6,$H$6,C$8)</f>
        <v>1528604.8519346768</v>
      </c>
      <c r="D14" s="2">
        <f ca="1">_xll.DBRW($C$1,$B$6,$B14,$F$6,$D$6,$H$6,D$8)</f>
        <v>3001841.8280618107</v>
      </c>
      <c r="E14" s="2">
        <f ca="1">_xll.DBRW($C$1,$B$6,$B14,$F$6,$D$6,$H$6,E$8)</f>
        <v>37730971.403572947</v>
      </c>
      <c r="F14" s="14">
        <f ca="1">_xll.DBRW($C$1,$B$6,$B14,$F$6,$D$6,$H$6,F$8)</f>
        <v>7.9559092077272894E-2</v>
      </c>
      <c r="G14" s="2">
        <f ca="1">_xll.DBRW($C$1,$B$6,$B14,$F$6,$D$6,$H$6,G$8)</f>
        <v>146852.56783251456</v>
      </c>
      <c r="H14" s="2">
        <f ca="1">_xll.DBRW($C$1,$B$6,$B14,$F$6,$D$6,$H$6,H$8)</f>
        <v>-1528604.8519346768</v>
      </c>
      <c r="I14" s="2" t="str">
        <f ca="1">_xll.DBRW($C$1,$B$6,$B14,$F$6,$D$6,$H$6,I$8)</f>
        <v>Florida</v>
      </c>
      <c r="J14" s="2" t="str">
        <f ca="1">_xll.DBRW($C$1,$B$6,$B14,$F$6,$D$6,$H$6,J$8)</f>
        <v>Total Operating Expense</v>
      </c>
      <c r="K14" s="2" t="str">
        <f ca="1">_xll.DBRW($C$1,$B$6,$B14,$F$6,$D$6,$H$6,K$8)</f>
        <v>Net Profit</v>
      </c>
    </row>
    <row r="15" spans="2:17" x14ac:dyDescent="0.25">
      <c r="B15" s="13" t="s">
        <v>17</v>
      </c>
      <c r="C15" s="2">
        <f ca="1">_xll.DBRW($C$1,$B$6,$B15,$F$6,$D$6,$H$6,C$8)</f>
        <v>0</v>
      </c>
      <c r="D15" s="2">
        <f ca="1">_xll.DBRW($C$1,$B$6,$B15,$F$6,$D$6,$H$6,D$8)</f>
        <v>13.5</v>
      </c>
      <c r="E15" s="2">
        <f ca="1">_xll.DBRW($C$1,$B$6,$B15,$F$6,$D$6,$H$6,E$8)</f>
        <v>47</v>
      </c>
      <c r="F15" s="14">
        <f ca="1">_xll.DBRW($C$1,$B$6,$B15,$F$6,$D$6,$H$6,F$8)</f>
        <v>0.28723404255319152</v>
      </c>
      <c r="G15" s="2">
        <f ca="1">_xll.DBRW($C$1,$B$6,$B15,$F$6,$D$6,$H$6,G$8)</f>
        <v>0</v>
      </c>
      <c r="H15" s="2">
        <f ca="1">_xll.DBRW($C$1,$B$6,$B15,$F$6,$D$6,$H$6,H$8)</f>
        <v>0</v>
      </c>
      <c r="I15" s="2" t="str">
        <f ca="1">_xll.DBRW($C$1,$B$6,$B15,$F$6,$D$6,$H$6,I$8)</f>
        <v>Kentucky</v>
      </c>
      <c r="J15" s="2" t="str">
        <f ca="1">_xll.DBRW($C$1,$B$6,$B15,$F$6,$D$6,$H$6,J$8)</f>
        <v>6120 Office Supplies</v>
      </c>
      <c r="K15" s="2" t="str">
        <f ca="1">_xll.DBRW($C$1,$B$6,$B15,$F$6,$D$6,$H$6,K$8)</f>
        <v>FTE</v>
      </c>
    </row>
    <row r="16" spans="2:17" x14ac:dyDescent="0.25">
      <c r="B16" s="13" t="s">
        <v>18</v>
      </c>
      <c r="C16" s="2">
        <f ca="1">_xll.DBRW($C$1,$B$6,$B16,$F$6,$D$6,$H$6,C$8)</f>
        <v>0</v>
      </c>
      <c r="D16" s="2">
        <f ca="1">_xll.DBRW($C$1,$B$6,$B16,$F$6,$D$6,$H$6,D$8)</f>
        <v>4687288.8970043687</v>
      </c>
      <c r="E16" s="2">
        <f ca="1">_xll.DBRW($C$1,$B$6,$B16,$F$6,$D$6,$H$6,E$8)</f>
        <v>39416418.472515509</v>
      </c>
      <c r="F16" s="14">
        <f ca="1">_xll.DBRW($C$1,$B$6,$B16,$F$6,$D$6,$H$6,F$8)</f>
        <v>0.11891716900338742</v>
      </c>
      <c r="G16" s="2">
        <f ca="1">_xll.DBRW($C$1,$B$6,$B16,$F$6,$D$6,$H$6,G$8)</f>
        <v>0</v>
      </c>
      <c r="H16" s="2">
        <f ca="1">_xll.DBRW($C$1,$B$6,$B16,$F$6,$D$6,$H$6,H$8)</f>
        <v>0</v>
      </c>
      <c r="I16" s="2" t="str">
        <f ca="1">_xll.DBRW($C$1,$B$6,$B16,$F$6,$D$6,$H$6,I$8)</f>
        <v>South Carolina</v>
      </c>
      <c r="J16" s="2" t="str">
        <f ca="1">_xll.DBRW($C$1,$B$6,$B16,$F$6,$D$6,$H$6,J$8)</f>
        <v>6000 Salaries</v>
      </c>
      <c r="K16" s="2" t="str">
        <f ca="1">_xll.DBRW($C$1,$B$6,$B16,$F$6,$D$6,$H$6,K$8)</f>
        <v>Net Profit</v>
      </c>
    </row>
    <row r="17" spans="2:11" x14ac:dyDescent="0.25">
      <c r="B17" s="13" t="s">
        <v>19</v>
      </c>
      <c r="C17" s="2">
        <f ca="1">_xll.DBRW($C$1,$B$6,$B17,$F$6,$D$6,$H$6,C$8)</f>
        <v>0</v>
      </c>
      <c r="D17" s="2">
        <f ca="1">_xll.DBRW($C$1,$B$6,$B17,$F$6,$D$6,$H$6,D$8)</f>
        <v>0</v>
      </c>
      <c r="E17" s="2">
        <f ca="1">_xll.DBRW($C$1,$B$6,$B17,$F$6,$D$6,$H$6,E$8)</f>
        <v>0</v>
      </c>
      <c r="F17" s="14">
        <f ca="1">_xll.DBRW($C$1,$B$6,$B17,$F$6,$D$6,$H$6,F$8)</f>
        <v>0</v>
      </c>
      <c r="G17" s="2">
        <f ca="1">_xll.DBRW($C$1,$B$6,$B17,$F$6,$D$6,$H$6,G$8)</f>
        <v>0</v>
      </c>
      <c r="H17" s="2">
        <f ca="1">_xll.DBRW($C$1,$B$6,$B17,$F$6,$D$6,$H$6,H$8)</f>
        <v>0</v>
      </c>
      <c r="I17" s="2" t="str">
        <f ca="1">_xll.DBRW($C$1,$B$6,$B17,$F$6,$D$6,$H$6,I$8)</f>
        <v>Georgia</v>
      </c>
      <c r="J17" s="2" t="str">
        <f ca="1">_xll.DBRW($C$1,$B$6,$B17,$F$6,$D$6,$H$6,J$8)</f>
        <v>Gross Margin</v>
      </c>
      <c r="K17" s="2" t="str">
        <f ca="1">_xll.DBRW($C$1,$B$6,$B17,$F$6,$D$6,$H$6,K$8)</f>
        <v/>
      </c>
    </row>
    <row r="18" spans="2:11" x14ac:dyDescent="0.25">
      <c r="B18" s="13" t="s">
        <v>20</v>
      </c>
      <c r="C18" s="2">
        <f ca="1">_xll.DBRW($C$1,$B$6,$B18,$F$6,$D$6,$H$6,C$8)</f>
        <v>0</v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4">
        <f ca="1">_xll.DBRW($C$1,$B$6,$B18,$F$6,$D$6,$H$6,F$8)</f>
        <v>0</v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3" t="s">
        <v>21</v>
      </c>
      <c r="C19" s="2">
        <f ca="1">_xll.DBRW($C$1,$B$6,$B19,$F$6,$D$6,$H$6,C$8)</f>
        <v>0</v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4">
        <f ca="1">_xll.DBRW($C$1,$B$6,$B19,$F$6,$D$6,$H$6,F$8)</f>
        <v>0</v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8:B31"/>
  <sheetViews>
    <sheetView workbookViewId="0"/>
  </sheetViews>
  <sheetFormatPr defaultRowHeight="15" x14ac:dyDescent="0.25"/>
  <sheetData>
    <row r="18" spans="2:2" x14ac:dyDescent="0.25">
      <c r="B18" t="s">
        <v>218</v>
      </c>
    </row>
    <row r="19" spans="2:2" x14ac:dyDescent="0.25">
      <c r="B19" t="s">
        <v>219</v>
      </c>
    </row>
    <row r="20" spans="2:2" x14ac:dyDescent="0.25">
      <c r="B20" t="s">
        <v>220</v>
      </c>
    </row>
    <row r="21" spans="2:2" x14ac:dyDescent="0.25">
      <c r="B21" t="s">
        <v>221</v>
      </c>
    </row>
    <row r="22" spans="2:2" x14ac:dyDescent="0.25">
      <c r="B22" t="s">
        <v>222</v>
      </c>
    </row>
    <row r="23" spans="2:2" x14ac:dyDescent="0.25">
      <c r="B23" t="s">
        <v>223</v>
      </c>
    </row>
    <row r="24" spans="2:2" x14ac:dyDescent="0.25">
      <c r="B24" t="s">
        <v>224</v>
      </c>
    </row>
    <row r="25" spans="2:2" x14ac:dyDescent="0.25">
      <c r="B25" t="s">
        <v>225</v>
      </c>
    </row>
    <row r="26" spans="2:2" x14ac:dyDescent="0.25">
      <c r="B26" t="s">
        <v>226</v>
      </c>
    </row>
    <row r="27" spans="2:2" x14ac:dyDescent="0.25">
      <c r="B27" t="s">
        <v>227</v>
      </c>
    </row>
    <row r="28" spans="2:2" x14ac:dyDescent="0.25">
      <c r="B28" t="s">
        <v>228</v>
      </c>
    </row>
    <row r="29" spans="2:2" x14ac:dyDescent="0.25">
      <c r="B29" t="s">
        <v>229</v>
      </c>
    </row>
    <row r="30" spans="2:2" x14ac:dyDescent="0.25">
      <c r="B30" t="s">
        <v>230</v>
      </c>
    </row>
    <row r="31" spans="2:2" x14ac:dyDescent="0.25">
      <c r="B31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U70"/>
  <sheetViews>
    <sheetView showGridLines="0" showRowColHeaders="0" topLeftCell="B10" workbookViewId="0">
      <selection activeCell="B10" sqref="B10"/>
    </sheetView>
  </sheetViews>
  <sheetFormatPr defaultRowHeight="10.5" customHeight="1" x14ac:dyDescent="0.2"/>
  <cols>
    <col min="1" max="1" width="2.7109375" style="27" hidden="1" customWidth="1"/>
    <col min="2" max="2" width="1.28515625" style="27" customWidth="1"/>
    <col min="3" max="3" width="28.85546875" style="27" customWidth="1"/>
    <col min="4" max="8" width="19.42578125" style="27" customWidth="1"/>
    <col min="9" max="16384" width="9.140625" style="27"/>
  </cols>
  <sheetData>
    <row r="1" spans="1:8" ht="15" hidden="1" customHeight="1" x14ac:dyDescent="0.2">
      <c r="A1" s="27" t="s">
        <v>11</v>
      </c>
    </row>
    <row r="2" spans="1:8" ht="15" hidden="1" customHeight="1" x14ac:dyDescent="0.2">
      <c r="A2" s="27">
        <f>0</f>
        <v>0</v>
      </c>
      <c r="C2" s="87"/>
      <c r="D2" s="84"/>
      <c r="E2" s="84"/>
      <c r="F2" s="84"/>
      <c r="G2" s="84"/>
      <c r="H2" s="84"/>
    </row>
    <row r="3" spans="1:8" ht="15" hidden="1" customHeight="1" x14ac:dyDescent="0.2">
      <c r="A3" s="27">
        <f>1</f>
        <v>1</v>
      </c>
      <c r="C3" s="87"/>
      <c r="D3" s="84"/>
      <c r="E3" s="84"/>
      <c r="F3" s="84"/>
      <c r="G3" s="84"/>
      <c r="H3" s="84"/>
    </row>
    <row r="4" spans="1:8" ht="15" hidden="1" customHeight="1" x14ac:dyDescent="0.2">
      <c r="A4" s="27">
        <f>2</f>
        <v>2</v>
      </c>
      <c r="C4" s="94"/>
      <c r="D4" s="95"/>
      <c r="E4" s="95"/>
      <c r="F4" s="95"/>
      <c r="G4" s="95"/>
      <c r="H4" s="95"/>
    </row>
    <row r="5" spans="1:8" ht="15" hidden="1" customHeight="1" x14ac:dyDescent="0.2">
      <c r="A5" s="27">
        <f>3</f>
        <v>3</v>
      </c>
      <c r="C5" s="88"/>
      <c r="D5" s="95"/>
      <c r="E5" s="78"/>
      <c r="F5" s="78"/>
      <c r="G5" s="78"/>
      <c r="H5" s="78"/>
    </row>
    <row r="6" spans="1:8" ht="15" hidden="1" customHeight="1" x14ac:dyDescent="0.2">
      <c r="A6" s="27" t="s">
        <v>9</v>
      </c>
      <c r="C6" s="88"/>
      <c r="D6" s="95"/>
      <c r="E6" s="78"/>
      <c r="F6" s="78"/>
      <c r="G6" s="78"/>
      <c r="H6" s="78"/>
    </row>
    <row r="7" spans="1:8" ht="15" hidden="1" customHeight="1" x14ac:dyDescent="0.2">
      <c r="A7" s="27" t="s">
        <v>10</v>
      </c>
      <c r="C7" s="88"/>
      <c r="D7" s="95"/>
      <c r="E7" s="78"/>
      <c r="F7" s="78"/>
      <c r="G7" s="78"/>
      <c r="H7" s="78"/>
    </row>
    <row r="8" spans="1:8" ht="15" hidden="1" customHeight="1" x14ac:dyDescent="0.2">
      <c r="A8" s="27" t="s">
        <v>12</v>
      </c>
      <c r="G8" s="27">
        <f>VLOOKUP($G$13,Lookup!$D$2:$E$3,2,0)</f>
        <v>0</v>
      </c>
      <c r="H8" s="27" t="e">
        <f>IF(#REF!&lt;&gt;"","{TM1FILTERBYPATTERN( {TM1SUBSETALL( [Account] )}, """&amp;#REF!&amp;""")}","")</f>
        <v>#REF!</v>
      </c>
    </row>
    <row r="9" spans="1:8" ht="7.5" hidden="1" customHeight="1" x14ac:dyDescent="0.2">
      <c r="C9" s="27" t="str">
        <f ca="1">_xll.TM1RPTVIEW("24retail:Income Statement:3", $G$8, _xll.TM1RPTTITLE("24retail:Currency Calc",$D$13), _xll.TM1RPTTITLE("24retail:organization",$C$13), _xll.TM1RPTTITLE("24retail:Year",$E$13), _xll.TM1RPTTITLE("24retail:Version",$F$13),TM1RPTFMTRNG,TM1RPTFMTIDCOL)</f>
        <v>24retail:Income Statement:3</v>
      </c>
    </row>
    <row r="10" spans="1:8" ht="24" customHeight="1" thickBot="1" x14ac:dyDescent="0.25">
      <c r="A10" s="73"/>
      <c r="B10" s="74"/>
      <c r="C10" s="74" t="s">
        <v>232</v>
      </c>
      <c r="D10" s="74"/>
      <c r="E10" s="74"/>
      <c r="F10" s="74"/>
      <c r="G10" s="74"/>
      <c r="H10" s="74"/>
    </row>
    <row r="11" spans="1:8" ht="36.75" customHeight="1" x14ac:dyDescent="0.2"/>
    <row r="12" spans="1:8" s="34" customFormat="1" ht="15" customHeight="1" x14ac:dyDescent="0.25">
      <c r="C12" s="71" t="s">
        <v>23</v>
      </c>
      <c r="D12" s="70" t="s">
        <v>114</v>
      </c>
      <c r="E12" s="70" t="s">
        <v>0</v>
      </c>
      <c r="F12" s="70" t="s">
        <v>1</v>
      </c>
      <c r="G12" s="192" t="s">
        <v>27</v>
      </c>
      <c r="H12" s="193"/>
    </row>
    <row r="13" spans="1:8" s="35" customFormat="1" ht="15" customHeight="1" x14ac:dyDescent="0.25">
      <c r="C13" s="77" t="str">
        <f ca="1">_xll.SUBNM("24retail:organization","Workflow",Organization,"Caption_Default")</f>
        <v>Massachusetts</v>
      </c>
      <c r="D13" s="77" t="str">
        <f ca="1">_xll.SUBNM("24retail:Currency Calc","Default","Local")</f>
        <v>Local</v>
      </c>
      <c r="E13" s="77" t="str">
        <f ca="1">_xll.SUBNM("24retail:Year","Default","Y2","Caption_Default")</f>
        <v>2015</v>
      </c>
      <c r="F13" s="77" t="str">
        <f ca="1">_xll.SUBNM("24retail:Version","Current",_xll.DBR("24retail:Calendar","Current Version","String"),"Caption_Default")</f>
        <v>Budget</v>
      </c>
      <c r="G13" s="194" t="s">
        <v>55</v>
      </c>
      <c r="H13" s="194"/>
    </row>
    <row r="14" spans="1:8" s="29" customFormat="1" ht="7.5" customHeight="1" x14ac:dyDescent="0.25"/>
    <row r="15" spans="1:8" s="29" customFormat="1" ht="15" customHeight="1" thickBot="1" x14ac:dyDescent="0.3">
      <c r="C15" s="201"/>
      <c r="D15" s="201" t="s">
        <v>0</v>
      </c>
      <c r="E15" s="201" t="s">
        <v>214</v>
      </c>
      <c r="F15" s="201" t="s">
        <v>215</v>
      </c>
      <c r="G15" s="201" t="s">
        <v>216</v>
      </c>
      <c r="H15" s="201" t="s">
        <v>217</v>
      </c>
    </row>
    <row r="16" spans="1:8" ht="15" customHeight="1" thickTop="1" x14ac:dyDescent="0.2">
      <c r="A16" s="27" t="str">
        <f ca="1">IF(_xll.TM1RPTELISCONSOLIDATED($C$16,$C16),IF(_xll.TM1RPTELLEV($C$16,$C16)&lt;=3,_xll.TM1RPTELLEV($C$16,$C16),"D"),"N")</f>
        <v>N</v>
      </c>
      <c r="C16" s="89" t="str">
        <f ca="1">_xll.TM1RPTROW($C$9,"24retail:Account","Summary",,"Caption_Default",1)</f>
        <v>4999 Gross Revenue</v>
      </c>
      <c r="D16" s="95">
        <f ca="1">_xll.DBRW($C$9,$D$13,$C$13,$E$13,D$15,$C16,$F$13)</f>
        <v>10538527.316773167</v>
      </c>
      <c r="E16" s="78">
        <f ca="1">_xll.DBRW($C$9,$D$13,$C$13,$E$13,E$15,$C16,$F$13)</f>
        <v>2405352.0718405312</v>
      </c>
      <c r="F16" s="78">
        <f ca="1">_xll.DBRW($C$9,$D$13,$C$13,$E$13,F$15,$C16,$F$13)</f>
        <v>2470160.7568223746</v>
      </c>
      <c r="G16" s="78">
        <f ca="1">_xll.DBRW($C$9,$D$13,$C$13,$E$13,G$15,$C16,$F$13)</f>
        <v>2581662.4000495765</v>
      </c>
      <c r="H16" s="78">
        <f ca="1">_xll.DBRW($C$9,$D$13,$C$13,$E$13,H$15,$C16,$F$13)</f>
        <v>3081352.0880606854</v>
      </c>
    </row>
    <row r="17" spans="1:255" customFormat="1" ht="15" customHeight="1" x14ac:dyDescent="0.25">
      <c r="A17" s="27" t="str">
        <f ca="1">IF(_xll.TM1RPTELISCONSOLIDATED($C$16,$C17),IF(_xll.TM1RPTELLEV($C$16,$C17)&lt;=3,_xll.TM1RPTELLEV($C$16,$C17),"D"),"N")</f>
        <v>N</v>
      </c>
      <c r="B17" s="27"/>
      <c r="C17" s="89" t="s">
        <v>42</v>
      </c>
      <c r="D17" s="95">
        <f ca="1">_xll.DBRW($C$9,$D$13,$C$13,$E$13,D$15,$C17,$F$13)</f>
        <v>7423039.2445113566</v>
      </c>
      <c r="E17" s="78">
        <f ca="1">_xll.DBRW($C$9,$D$13,$C$13,$E$13,E$15,$C17,$F$13)</f>
        <v>1668904.9492274064</v>
      </c>
      <c r="F17" s="78">
        <f ca="1">_xll.DBRW($C$9,$D$13,$C$13,$E$13,F$15,$C17,$F$13)</f>
        <v>1757727.2468154267</v>
      </c>
      <c r="G17" s="78">
        <f ca="1">_xll.DBRW($C$9,$D$13,$C$13,$E$13,G$15,$C17,$F$13)</f>
        <v>1830413.0822461785</v>
      </c>
      <c r="H17" s="78">
        <f ca="1">_xll.DBRW($C$9,$D$13,$C$13,$E$13,H$15,$C17,$F$13)</f>
        <v>2165993.9662223449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</row>
    <row r="18" spans="1:255" customFormat="1" ht="15" customHeight="1" x14ac:dyDescent="0.25">
      <c r="A18" s="27">
        <f ca="1">IF(_xll.TM1RPTELISCONSOLIDATED($C$16,$C18),IF(_xll.TM1RPTELLEV($C$16,$C18)&lt;=3,_xll.TM1RPTELLEV($C$16,$C18),"D"),"N")</f>
        <v>2</v>
      </c>
      <c r="B18" s="27"/>
      <c r="C18" s="94" t="s">
        <v>43</v>
      </c>
      <c r="D18" s="95">
        <f ca="1">_xll.DBRW($C$9,$D$13,$C$13,$E$13,D$15,$C18,$F$13)</f>
        <v>3115488.0722618103</v>
      </c>
      <c r="E18" s="95">
        <f ca="1">_xll.DBRW($C$9,$D$13,$C$13,$E$13,E$15,$C18,$F$13)</f>
        <v>736447.12261312455</v>
      </c>
      <c r="F18" s="95">
        <f ca="1">_xll.DBRW($C$9,$D$13,$C$13,$E$13,F$15,$C18,$F$13)</f>
        <v>712433.51000694756</v>
      </c>
      <c r="G18" s="95">
        <f ca="1">_xll.DBRW($C$9,$D$13,$C$13,$E$13,G$15,$C18,$F$13)</f>
        <v>751249.31780339777</v>
      </c>
      <c r="H18" s="95">
        <f ca="1">_xll.DBRW($C$9,$D$13,$C$13,$E$13,H$15,$C18,$F$13)</f>
        <v>915358.12183834077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</row>
    <row r="19" spans="1:255" customFormat="1" ht="15" customHeight="1" x14ac:dyDescent="0.25">
      <c r="A19" s="27">
        <f ca="1">IF(_xll.TM1RPTELISCONSOLIDATED($C$16,$C19),IF(_xll.TM1RPTELLEV($C$16,$C19)&lt;=3,_xll.TM1RPTELLEV($C$16,$C19),"D"),"N")</f>
        <v>3</v>
      </c>
      <c r="B19" s="27"/>
      <c r="C19" s="90" t="s">
        <v>44</v>
      </c>
      <c r="D19" s="95">
        <f ca="1">_xll.DBRW($C$9,$D$13,$C$13,$E$13,D$15,$C19,$F$13)</f>
        <v>605592.74215581082</v>
      </c>
      <c r="E19" s="78">
        <f ca="1">_xll.DBRW($C$9,$D$13,$C$13,$E$13,E$15,$C19,$F$13)</f>
        <v>168832.99857301213</v>
      </c>
      <c r="F19" s="78">
        <f ca="1">_xll.DBRW($C$9,$D$13,$C$13,$E$13,F$15,$C19,$F$13)</f>
        <v>160678.39056280127</v>
      </c>
      <c r="G19" s="78">
        <f ca="1">_xll.DBRW($C$9,$D$13,$C$13,$E$13,G$15,$C19,$F$13)</f>
        <v>139143.87650999875</v>
      </c>
      <c r="H19" s="78">
        <f ca="1">_xll.DBRW($C$9,$D$13,$C$13,$E$13,H$15,$C19,$F$13)</f>
        <v>136937.47650999876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</row>
    <row r="20" spans="1:255" customFormat="1" ht="15" customHeight="1" x14ac:dyDescent="0.25">
      <c r="A20" s="27">
        <f ca="1">IF(_xll.TM1RPTELISCONSOLIDATED($C$16,$C20),IF(_xll.TM1RPTELLEV($C$16,$C20)&lt;=3,_xll.TM1RPTELLEV($C$16,$C20),"D"),"N")</f>
        <v>3</v>
      </c>
      <c r="B20" s="27"/>
      <c r="C20" s="90" t="s">
        <v>45</v>
      </c>
      <c r="D20" s="95">
        <f ca="1">_xll.DBRW($C$9,$D$13,$C$13,$E$13,D$15,$C20,$F$13)</f>
        <v>66994.75999999998</v>
      </c>
      <c r="E20" s="78">
        <f ca="1">_xll.DBRW($C$9,$D$13,$C$13,$E$13,E$15,$C20,$F$13)</f>
        <v>16693.939999999999</v>
      </c>
      <c r="F20" s="78">
        <f ca="1">_xll.DBRW($C$9,$D$13,$C$13,$E$13,F$15,$C20,$F$13)</f>
        <v>16766.939999999999</v>
      </c>
      <c r="G20" s="78">
        <f ca="1">_xll.DBRW($C$9,$D$13,$C$13,$E$13,G$15,$C20,$F$13)</f>
        <v>16766.939999999999</v>
      </c>
      <c r="H20" s="78">
        <f ca="1">_xll.DBRW($C$9,$D$13,$C$13,$E$13,H$15,$C20,$F$13)</f>
        <v>16766.939999999999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</row>
    <row r="21" spans="1:255" customFormat="1" ht="15" customHeight="1" x14ac:dyDescent="0.25">
      <c r="A21" s="27">
        <f ca="1">IF(_xll.TM1RPTELISCONSOLIDATED($C$16,$C21),IF(_xll.TM1RPTELLEV($C$16,$C21)&lt;=3,_xll.TM1RPTELLEV($C$16,$C21),"D"),"N")</f>
        <v>3</v>
      </c>
      <c r="B21" s="27"/>
      <c r="C21" s="90" t="s">
        <v>46</v>
      </c>
      <c r="D21" s="95">
        <f ca="1">_xll.DBRW($C$9,$D$13,$C$13,$E$13,D$15,$C21,$F$13)</f>
        <v>45228</v>
      </c>
      <c r="E21" s="78">
        <f ca="1">_xll.DBRW($C$9,$D$13,$C$13,$E$13,E$15,$C21,$F$13)</f>
        <v>11307</v>
      </c>
      <c r="F21" s="78">
        <f ca="1">_xll.DBRW($C$9,$D$13,$C$13,$E$13,F$15,$C21,$F$13)</f>
        <v>11307</v>
      </c>
      <c r="G21" s="78">
        <f ca="1">_xll.DBRW($C$9,$D$13,$C$13,$E$13,G$15,$C21,$F$13)</f>
        <v>11307</v>
      </c>
      <c r="H21" s="78">
        <f ca="1">_xll.DBRW($C$9,$D$13,$C$13,$E$13,H$15,$C21,$F$13)</f>
        <v>11307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</row>
    <row r="22" spans="1:255" customFormat="1" ht="15" customHeight="1" x14ac:dyDescent="0.25">
      <c r="A22" s="27">
        <f ca="1">IF(_xll.TM1RPTELISCONSOLIDATED($C$16,$C22),IF(_xll.TM1RPTELLEV($C$16,$C22)&lt;=3,_xll.TM1RPTELLEV($C$16,$C22),"D"),"N")</f>
        <v>3</v>
      </c>
      <c r="B22" s="27"/>
      <c r="C22" s="90" t="s">
        <v>47</v>
      </c>
      <c r="D22" s="95">
        <f ca="1">_xll.DBRW($C$9,$D$13,$C$13,$E$13,D$15,$C22,$F$13)</f>
        <v>320000</v>
      </c>
      <c r="E22" s="78">
        <f ca="1">_xll.DBRW($C$9,$D$13,$C$13,$E$13,E$15,$C22,$F$13)</f>
        <v>154423.07692307694</v>
      </c>
      <c r="F22" s="78">
        <f ca="1">_xll.DBRW($C$9,$D$13,$C$13,$E$13,F$15,$C22,$F$13)</f>
        <v>45961.538461538461</v>
      </c>
      <c r="G22" s="78">
        <f ca="1">_xll.DBRW($C$9,$D$13,$C$13,$E$13,G$15,$C22,$F$13)</f>
        <v>45961.538461538461</v>
      </c>
      <c r="H22" s="78">
        <f ca="1">_xll.DBRW($C$9,$D$13,$C$13,$E$13,H$15,$C22,$F$13)</f>
        <v>73653.846153846142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</row>
    <row r="23" spans="1:255" customFormat="1" ht="15" customHeight="1" x14ac:dyDescent="0.25">
      <c r="A23" s="27">
        <f ca="1">IF(_xll.TM1RPTELISCONSOLIDATED($C$16,$C23),IF(_xll.TM1RPTELLEV($C$16,$C23)&lt;=3,_xll.TM1RPTELLEV($C$16,$C23),"D"),"N")</f>
        <v>3</v>
      </c>
      <c r="B23" s="27"/>
      <c r="C23" s="90" t="s">
        <v>48</v>
      </c>
      <c r="D23" s="95">
        <f ca="1">_xll.DBRW($C$9,$D$13,$C$13,$E$13,D$15,$C23,$F$13)</f>
        <v>141614.80000000002</v>
      </c>
      <c r="E23" s="78">
        <f ca="1">_xll.DBRW($C$9,$D$13,$C$13,$E$13,E$15,$C23,$F$13)</f>
        <v>37569.801746686142</v>
      </c>
      <c r="F23" s="78">
        <f ca="1">_xll.DBRW($C$9,$D$13,$C$13,$E$13,F$15,$C23,$F$13)</f>
        <v>35548.068807420859</v>
      </c>
      <c r="G23" s="78">
        <f ca="1">_xll.DBRW($C$9,$D$13,$C$13,$E$13,G$15,$C23,$F$13)</f>
        <v>34219.10073785374</v>
      </c>
      <c r="H23" s="78">
        <f ca="1">_xll.DBRW($C$9,$D$13,$C$13,$E$13,H$15,$C23,$F$13)</f>
        <v>34277.828708039262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</row>
    <row r="24" spans="1:255" customFormat="1" ht="15" customHeight="1" x14ac:dyDescent="0.25">
      <c r="A24" s="27">
        <f ca="1">IF(_xll.TM1RPTELISCONSOLIDATED($C$16,$C24),IF(_xll.TM1RPTELLEV($C$16,$C24)&lt;=3,_xll.TM1RPTELLEV($C$16,$C24),"D"),"N")</f>
        <v>3</v>
      </c>
      <c r="B24" s="27"/>
      <c r="C24" s="90" t="s">
        <v>49</v>
      </c>
      <c r="D24" s="95">
        <f ca="1">_xll.DBRW($C$9,$D$13,$C$13,$E$13,D$15,$C24,$F$13)</f>
        <v>87500</v>
      </c>
      <c r="E24" s="78">
        <f ca="1">_xll.DBRW($C$9,$D$13,$C$13,$E$13,E$15,$C24,$F$13)</f>
        <v>250</v>
      </c>
      <c r="F24" s="78">
        <f ca="1">_xll.DBRW($C$9,$D$13,$C$13,$E$13,F$15,$C24,$F$13)</f>
        <v>10750</v>
      </c>
      <c r="G24" s="78">
        <f ca="1">_xll.DBRW($C$9,$D$13,$C$13,$E$13,G$15,$C24,$F$13)</f>
        <v>38250</v>
      </c>
      <c r="H24" s="78">
        <f ca="1">_xll.DBRW($C$9,$D$13,$C$13,$E$13,H$15,$C24,$F$13)</f>
        <v>38250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</row>
    <row r="25" spans="1:255" customFormat="1" ht="15" customHeight="1" x14ac:dyDescent="0.25">
      <c r="A25" s="27">
        <f ca="1">IF(_xll.TM1RPTELISCONSOLIDATED($C$16,$C25),IF(_xll.TM1RPTELLEV($C$16,$C25)&lt;=3,_xll.TM1RPTELLEV($C$16,$C25),"D"),"N")</f>
        <v>2</v>
      </c>
      <c r="B25" s="27"/>
      <c r="C25" s="94" t="s">
        <v>50</v>
      </c>
      <c r="D25" s="95">
        <f ca="1">_xll.DBRW($C$9,$D$13,$C$13,$E$13,D$15,$C25,$F$13)</f>
        <v>1266930.3021558109</v>
      </c>
      <c r="E25" s="95">
        <f ca="1">_xll.DBRW($C$9,$D$13,$C$13,$E$13,E$15,$C25,$F$13)</f>
        <v>389076.81724277517</v>
      </c>
      <c r="F25" s="95">
        <f ca="1">_xll.DBRW($C$9,$D$13,$C$13,$E$13,F$15,$C25,$F$13)</f>
        <v>281011.93783176062</v>
      </c>
      <c r="G25" s="95">
        <f ca="1">_xll.DBRW($C$9,$D$13,$C$13,$E$13,G$15,$C25,$F$13)</f>
        <v>285648.45570939098</v>
      </c>
      <c r="H25" s="95">
        <f ca="1">_xll.DBRW($C$9,$D$13,$C$13,$E$13,H$15,$C25,$F$13)</f>
        <v>311193.09137188416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</row>
    <row r="26" spans="1:255" customFormat="1" ht="15" customHeight="1" x14ac:dyDescent="0.25">
      <c r="A26" s="27">
        <f ca="1">IF(_xll.TM1RPTELISCONSOLIDATED($C$16,$C26),IF(_xll.TM1RPTELLEV($C$16,$C26)&lt;=3,_xll.TM1RPTELLEV($C$16,$C26),"D"),"N")</f>
        <v>1</v>
      </c>
      <c r="B26" s="27"/>
      <c r="C26" s="91" t="s">
        <v>51</v>
      </c>
      <c r="D26" s="84">
        <f ca="1">_xll.DBRW($C$9,$D$13,$C$13,$E$13,D$15,$C26,$F$13)</f>
        <v>1848557.7701059999</v>
      </c>
      <c r="E26" s="84">
        <f ca="1">_xll.DBRW($C$9,$D$13,$C$13,$E$13,E$15,$C26,$F$13)</f>
        <v>347370.30537034932</v>
      </c>
      <c r="F26" s="84">
        <f ca="1">_xll.DBRW($C$9,$D$13,$C$13,$E$13,F$15,$C26,$F$13)</f>
        <v>431421.57217518706</v>
      </c>
      <c r="G26" s="84">
        <f ca="1">_xll.DBRW($C$9,$D$13,$C$13,$E$13,G$15,$C26,$F$13)</f>
        <v>465600.86209400679</v>
      </c>
      <c r="H26" s="84">
        <f ca="1">_xll.DBRW($C$9,$D$13,$C$13,$E$13,H$15,$C26,$F$13)</f>
        <v>604165.03046645666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  <row r="27" spans="1:255" customFormat="1" ht="15" customHeight="1" x14ac:dyDescent="0.25">
      <c r="A27" s="27">
        <f ca="1">IF(_xll.TM1RPTELISCONSOLIDATED($C$16,$C27),IF(_xll.TM1RPTELLEV($C$16,$C27)&lt;=3,_xll.TM1RPTELLEV($C$16,$C27),"D"),"N")</f>
        <v>1</v>
      </c>
      <c r="B27" s="27"/>
      <c r="C27" s="92" t="s">
        <v>52</v>
      </c>
      <c r="D27" s="84">
        <f ca="1">_xll.DBRW($C$9,$D$13,$C$13,$E$13,D$15,$C27,$F$13)</f>
        <v>324394.1962734363</v>
      </c>
      <c r="E27" s="84">
        <f ca="1">_xll.DBRW($C$9,$D$13,$C$13,$E$13,E$15,$C27,$F$13)</f>
        <v>63289.275738578101</v>
      </c>
      <c r="F27" s="84">
        <f ca="1">_xll.DBRW($C$9,$D$13,$C$13,$E$13,F$15,$C27,$F$13)</f>
        <v>81728.266616717287</v>
      </c>
      <c r="G27" s="84">
        <f ca="1">_xll.DBRW($C$9,$D$13,$C$13,$E$13,G$15,$C27,$F$13)</f>
        <v>81543.825057765789</v>
      </c>
      <c r="H27" s="84">
        <f ca="1">_xll.DBRW($C$9,$D$13,$C$13,$E$13,H$15,$C27,$F$13)</f>
        <v>97832.828860375128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</row>
    <row r="28" spans="1:255" customFormat="1" ht="15" customHeight="1" x14ac:dyDescent="0.25">
      <c r="A28" s="27">
        <f ca="1">IF(_xll.TM1RPTELISCONSOLIDATED($C$16,$C28),IF(_xll.TM1RPTELLEV($C$16,$C28)&lt;=3,_xll.TM1RPTELLEV($C$16,$C28),"D"),"N")</f>
        <v>0</v>
      </c>
      <c r="B28" s="27"/>
      <c r="C28" s="93" t="s">
        <v>53</v>
      </c>
      <c r="D28" s="84">
        <f ca="1">_xll.DBRW($C$9,$D$13,$C$13,$E$13,D$15,$C28,$F$13)</f>
        <v>1524163.5738325636</v>
      </c>
      <c r="E28" s="84">
        <f ca="1">_xll.DBRW($C$9,$D$13,$C$13,$E$13,E$15,$C28,$F$13)</f>
        <v>284081.02963177121</v>
      </c>
      <c r="F28" s="84">
        <f ca="1">_xll.DBRW($C$9,$D$13,$C$13,$E$13,F$15,$C28,$F$13)</f>
        <v>349693.30555846973</v>
      </c>
      <c r="G28" s="84">
        <f ca="1">_xll.DBRW($C$9,$D$13,$C$13,$E$13,G$15,$C28,$F$13)</f>
        <v>384057.03703624103</v>
      </c>
      <c r="H28" s="84">
        <f ca="1">_xll.DBRW($C$9,$D$13,$C$13,$E$13,H$15,$C28,$F$13)</f>
        <v>506332.20160608151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</row>
    <row r="61" spans="12:17" ht="10.5" customHeight="1" x14ac:dyDescent="0.2">
      <c r="L61" s="185"/>
      <c r="M61" s="185"/>
      <c r="N61" s="185"/>
      <c r="O61" s="185"/>
      <c r="P61" s="185"/>
      <c r="Q61" s="185"/>
    </row>
    <row r="62" spans="12:17" ht="10.5" customHeight="1" x14ac:dyDescent="0.2">
      <c r="L62" s="185"/>
      <c r="M62" s="188" t="s">
        <v>214</v>
      </c>
      <c r="N62" s="188" t="s">
        <v>215</v>
      </c>
      <c r="O62" s="188" t="s">
        <v>216</v>
      </c>
      <c r="P62" s="188" t="s">
        <v>217</v>
      </c>
      <c r="Q62" s="185"/>
    </row>
    <row r="63" spans="12:17" ht="10.5" customHeight="1" x14ac:dyDescent="0.2">
      <c r="L63" s="186" t="s">
        <v>44</v>
      </c>
      <c r="M63" s="187">
        <f ca="1">_xll.DBRW($C$9,$D$13,$C$13,$E$13,E$15,$L63,$F$13)</f>
        <v>168832.99857301213</v>
      </c>
      <c r="N63" s="187">
        <f ca="1">_xll.DBRW($C$9,$D$13,$C$13,$E$13,F$15,$L63,$F$13)</f>
        <v>160678.39056280127</v>
      </c>
      <c r="O63" s="187">
        <f ca="1">_xll.DBRW($C$9,$D$13,$C$13,$E$13,G$15,$L63,$F$13)</f>
        <v>139143.87650999875</v>
      </c>
      <c r="P63" s="187">
        <f ca="1">_xll.DBRW($C$9,$D$13,$C$13,$E$13,H$15,$L63,$F$13)</f>
        <v>136937.47650999876</v>
      </c>
      <c r="Q63" s="185"/>
    </row>
    <row r="64" spans="12:17" ht="10.5" customHeight="1" x14ac:dyDescent="0.2">
      <c r="L64" s="186" t="s">
        <v>45</v>
      </c>
      <c r="M64" s="187">
        <f ca="1">_xll.DBRW($C$9,$D$13,$C$13,$E$13,E$15,$L64,$F$13)</f>
        <v>16693.939999999999</v>
      </c>
      <c r="N64" s="187">
        <f ca="1">_xll.DBRW($C$9,$D$13,$C$13,$E$13,F$15,$L64,$F$13)</f>
        <v>16766.939999999999</v>
      </c>
      <c r="O64" s="187">
        <f ca="1">_xll.DBRW($C$9,$D$13,$C$13,$E$13,G$15,$L64,$F$13)</f>
        <v>16766.939999999999</v>
      </c>
      <c r="P64" s="187">
        <f ca="1">_xll.DBRW($C$9,$D$13,$C$13,$E$13,H$15,$L64,$F$13)</f>
        <v>16766.939999999999</v>
      </c>
      <c r="Q64" s="185"/>
    </row>
    <row r="65" spans="12:17" ht="10.5" customHeight="1" x14ac:dyDescent="0.2">
      <c r="L65" s="186" t="s">
        <v>46</v>
      </c>
      <c r="M65" s="187">
        <f ca="1">_xll.DBRW($C$9,$D$13,$C$13,$E$13,E$15,$L65,$F$13)</f>
        <v>11307</v>
      </c>
      <c r="N65" s="187">
        <f ca="1">_xll.DBRW($C$9,$D$13,$C$13,$E$13,F$15,$L65,$F$13)</f>
        <v>11307</v>
      </c>
      <c r="O65" s="187">
        <f ca="1">_xll.DBRW($C$9,$D$13,$C$13,$E$13,G$15,$L65,$F$13)</f>
        <v>11307</v>
      </c>
      <c r="P65" s="187">
        <f ca="1">_xll.DBRW($C$9,$D$13,$C$13,$E$13,H$15,$L65,$F$13)</f>
        <v>11307</v>
      </c>
      <c r="Q65" s="185"/>
    </row>
    <row r="66" spans="12:17" ht="10.5" customHeight="1" x14ac:dyDescent="0.2">
      <c r="L66" s="186" t="s">
        <v>47</v>
      </c>
      <c r="M66" s="187">
        <f ca="1">_xll.DBRW($C$9,$D$13,$C$13,$E$13,E$15,$L66,$F$13)</f>
        <v>154423.07692307694</v>
      </c>
      <c r="N66" s="187">
        <f ca="1">_xll.DBRW($C$9,$D$13,$C$13,$E$13,F$15,$L66,$F$13)</f>
        <v>45961.538461538461</v>
      </c>
      <c r="O66" s="187">
        <f ca="1">_xll.DBRW($C$9,$D$13,$C$13,$E$13,G$15,$L66,$F$13)</f>
        <v>45961.538461538461</v>
      </c>
      <c r="P66" s="187">
        <f ca="1">_xll.DBRW($C$9,$D$13,$C$13,$E$13,H$15,$L66,$F$13)</f>
        <v>73653.846153846142</v>
      </c>
      <c r="Q66" s="185"/>
    </row>
    <row r="67" spans="12:17" ht="10.5" customHeight="1" x14ac:dyDescent="0.2">
      <c r="L67" s="186" t="s">
        <v>48</v>
      </c>
      <c r="M67" s="187">
        <f ca="1">_xll.DBRW($C$9,$D$13,$C$13,$E$13,E$15,$L67,$F$13)</f>
        <v>37569.801746686142</v>
      </c>
      <c r="N67" s="187">
        <f ca="1">_xll.DBRW($C$9,$D$13,$C$13,$E$13,F$15,$L67,$F$13)</f>
        <v>35548.068807420859</v>
      </c>
      <c r="O67" s="187">
        <f ca="1">_xll.DBRW($C$9,$D$13,$C$13,$E$13,G$15,$L67,$F$13)</f>
        <v>34219.10073785374</v>
      </c>
      <c r="P67" s="187">
        <f ca="1">_xll.DBRW($C$9,$D$13,$C$13,$E$13,H$15,$L67,$F$13)</f>
        <v>34277.828708039262</v>
      </c>
      <c r="Q67" s="185"/>
    </row>
    <row r="68" spans="12:17" ht="10.5" customHeight="1" x14ac:dyDescent="0.2">
      <c r="L68" s="186" t="s">
        <v>49</v>
      </c>
      <c r="M68" s="187">
        <f ca="1">_xll.DBRW($C$9,$D$13,$C$13,$E$13,E$15,$L68,$F$13)</f>
        <v>250</v>
      </c>
      <c r="N68" s="187">
        <f ca="1">_xll.DBRW($C$9,$D$13,$C$13,$E$13,F$15,$L68,$F$13)</f>
        <v>10750</v>
      </c>
      <c r="O68" s="187">
        <f ca="1">_xll.DBRW($C$9,$D$13,$C$13,$E$13,G$15,$L68,$F$13)</f>
        <v>38250</v>
      </c>
      <c r="P68" s="187">
        <f ca="1">_xll.DBRW($C$9,$D$13,$C$13,$E$13,H$15,$L68,$F$13)</f>
        <v>38250</v>
      </c>
      <c r="Q68" s="185"/>
    </row>
    <row r="69" spans="12:17" ht="10.5" customHeight="1" x14ac:dyDescent="0.2">
      <c r="L69" s="185"/>
      <c r="M69" s="185"/>
      <c r="N69" s="185"/>
      <c r="O69" s="185"/>
      <c r="P69" s="185"/>
      <c r="Q69" s="185"/>
    </row>
    <row r="70" spans="12:17" ht="10.5" customHeight="1" x14ac:dyDescent="0.2">
      <c r="L70" s="185"/>
      <c r="M70" s="185"/>
      <c r="N70" s="185"/>
      <c r="O70" s="185"/>
      <c r="P70" s="185"/>
      <c r="Q70" s="185"/>
    </row>
  </sheetData>
  <mergeCells count="2">
    <mergeCell ref="G12:H12"/>
    <mergeCell ref="G13:H13"/>
  </mergeCells>
  <phoneticPr fontId="12" type="noConversion"/>
  <dataValidations count="1">
    <dataValidation type="list" allowBlank="1" showInputMessage="1" showErrorMessage="1" sqref="G13:H13">
      <formula1>SelectYesNo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L28"/>
  <sheetViews>
    <sheetView showGridLines="0" showRowColHeaders="0" topLeftCell="B11" workbookViewId="0">
      <selection activeCell="B11" sqref="B11"/>
    </sheetView>
  </sheetViews>
  <sheetFormatPr defaultRowHeight="15.75" customHeight="1" x14ac:dyDescent="0.25"/>
  <cols>
    <col min="1" max="1" width="2.7109375" hidden="1" customWidth="1"/>
    <col min="2" max="2" width="1.28515625" customWidth="1"/>
    <col min="3" max="3" width="14.5703125" hidden="1" customWidth="1"/>
    <col min="4" max="4" width="15.5703125" customWidth="1"/>
    <col min="5" max="5" width="7.28515625" customWidth="1"/>
    <col min="6" max="6" width="19.42578125" customWidth="1"/>
    <col min="7" max="7" width="24.5703125" customWidth="1"/>
    <col min="8" max="8" width="21.28515625" customWidth="1"/>
    <col min="9" max="9" width="12.7109375" customWidth="1"/>
    <col min="10" max="10" width="10.28515625" customWidth="1"/>
    <col min="11" max="11" width="12.7109375" customWidth="1"/>
    <col min="12" max="12" width="17.85546875" customWidth="1"/>
  </cols>
  <sheetData>
    <row r="1" spans="1:12" ht="15.75" hidden="1" customHeight="1" x14ac:dyDescent="0.25">
      <c r="A1" t="s">
        <v>11</v>
      </c>
      <c r="E1" s="69"/>
    </row>
    <row r="2" spans="1:12" ht="15.75" hidden="1" customHeight="1" x14ac:dyDescent="0.25">
      <c r="A2">
        <f>0</f>
        <v>0</v>
      </c>
      <c r="D2" s="178"/>
      <c r="E2" s="105"/>
      <c r="F2" s="102"/>
      <c r="G2" s="102"/>
      <c r="H2" s="102"/>
      <c r="I2" s="103"/>
      <c r="J2" s="104"/>
      <c r="K2" s="103"/>
      <c r="L2" s="102"/>
    </row>
    <row r="3" spans="1:12" ht="15.75" hidden="1" customHeight="1" x14ac:dyDescent="0.25">
      <c r="A3">
        <f>1</f>
        <v>1</v>
      </c>
      <c r="D3" s="178"/>
      <c r="E3" s="105"/>
      <c r="F3" s="102"/>
      <c r="G3" s="102"/>
      <c r="H3" s="102"/>
      <c r="I3" s="103"/>
      <c r="J3" s="104"/>
      <c r="K3" s="103"/>
      <c r="L3" s="102"/>
    </row>
    <row r="4" spans="1:12" ht="15.75" hidden="1" customHeight="1" x14ac:dyDescent="0.25">
      <c r="A4">
        <f>2</f>
        <v>2</v>
      </c>
      <c r="D4" s="178"/>
      <c r="E4" s="105"/>
      <c r="F4" s="102"/>
      <c r="G4" s="102"/>
      <c r="H4" s="102"/>
      <c r="I4" s="103"/>
      <c r="J4" s="104"/>
      <c r="K4" s="103"/>
      <c r="L4" s="102"/>
    </row>
    <row r="5" spans="1:12" ht="15.75" hidden="1" customHeight="1" x14ac:dyDescent="0.25">
      <c r="A5">
        <f>3</f>
        <v>3</v>
      </c>
      <c r="D5" s="178"/>
      <c r="E5" s="105"/>
      <c r="F5" s="102"/>
      <c r="G5" s="102"/>
      <c r="H5" s="102"/>
      <c r="I5" s="103"/>
      <c r="J5" s="104"/>
      <c r="K5" s="103"/>
      <c r="L5" s="102"/>
    </row>
    <row r="6" spans="1:12" ht="15.75" hidden="1" customHeight="1" x14ac:dyDescent="0.25">
      <c r="A6" t="s">
        <v>9</v>
      </c>
      <c r="D6" s="178"/>
      <c r="E6" s="105"/>
      <c r="F6" s="102"/>
      <c r="G6" s="102"/>
      <c r="H6" s="102"/>
      <c r="I6" s="103"/>
      <c r="J6" s="104"/>
      <c r="K6" s="103"/>
      <c r="L6" s="102"/>
    </row>
    <row r="7" spans="1:12" ht="15.75" hidden="1" customHeight="1" x14ac:dyDescent="0.25">
      <c r="A7" t="s">
        <v>10</v>
      </c>
      <c r="D7" s="178"/>
      <c r="E7" s="105"/>
      <c r="F7" s="102"/>
      <c r="G7" s="102"/>
      <c r="H7" s="102"/>
      <c r="I7" s="103"/>
      <c r="J7" s="104"/>
      <c r="K7" s="103"/>
      <c r="L7" s="102"/>
    </row>
    <row r="8" spans="1:12" ht="15.75" hidden="1" customHeight="1" x14ac:dyDescent="0.25">
      <c r="A8" t="s">
        <v>213</v>
      </c>
      <c r="D8" s="179"/>
      <c r="E8" s="180"/>
      <c r="F8" s="181"/>
      <c r="G8" s="181"/>
      <c r="H8" s="181"/>
      <c r="I8" s="182"/>
      <c r="J8" s="183"/>
      <c r="K8" s="182"/>
      <c r="L8" s="181"/>
    </row>
    <row r="9" spans="1:12" ht="15.75" hidden="1" customHeight="1" x14ac:dyDescent="0.25">
      <c r="A9" t="s">
        <v>12</v>
      </c>
    </row>
    <row r="10" spans="1:12" ht="15.75" hidden="1" customHeight="1" x14ac:dyDescent="0.25">
      <c r="D10" t="str">
        <f ca="1">_xll.TM1RPTVIEW("24retail:Allocation Source Definition:1", 0, _xll.TM1RPTTITLE("24retail:Year",$D$14), _xll.TM1RPTTITLE("24retail:Version",$F$14),TM1RPTFMTRNG,TM1RPTFMTIDCOL)</f>
        <v>24retail:Allocation Source Definition:1</v>
      </c>
    </row>
    <row r="11" spans="1:12" ht="47.25" customHeight="1" thickBot="1" x14ac:dyDescent="0.3">
      <c r="A11" s="17"/>
      <c r="B11" s="74"/>
      <c r="C11" s="67"/>
      <c r="D11" s="74"/>
      <c r="E11" s="74"/>
      <c r="F11" s="74"/>
      <c r="G11" s="74"/>
      <c r="H11" s="74"/>
      <c r="I11" s="74"/>
      <c r="J11" s="74"/>
      <c r="K11" s="74"/>
      <c r="L11" s="74"/>
    </row>
    <row r="13" spans="1:12" s="8" customFormat="1" ht="15.75" customHeight="1" x14ac:dyDescent="0.25">
      <c r="D13" s="21" t="s">
        <v>0</v>
      </c>
      <c r="E13" s="68"/>
      <c r="F13" s="21" t="s">
        <v>1</v>
      </c>
    </row>
    <row r="14" spans="1:12" s="8" customFormat="1" ht="15.75" customHeight="1" x14ac:dyDescent="0.25">
      <c r="D14" s="77" t="str">
        <f ca="1">_xll.SUBNM("24retail:Year","Default","Y2","Caption_Default")</f>
        <v>2015</v>
      </c>
      <c r="E14" s="77"/>
      <c r="F14" s="77" t="str">
        <f ca="1">_xll.SUBNM("24retail:Version","Current",_xll.DBR("24retail:Calendar","Current Version","String"),"Caption_Default")</f>
        <v>Budget</v>
      </c>
    </row>
    <row r="15" spans="1:12" s="8" customFormat="1" ht="15.75" customHeight="1" x14ac:dyDescent="0.25"/>
    <row r="16" spans="1:12" s="16" customFormat="1" ht="26.25" customHeight="1" thickBot="1" x14ac:dyDescent="0.3">
      <c r="D16" s="202"/>
      <c r="E16" s="202"/>
      <c r="F16" s="202" t="s">
        <v>2</v>
      </c>
      <c r="G16" s="202" t="s">
        <v>3</v>
      </c>
      <c r="H16" s="202" t="s">
        <v>4</v>
      </c>
      <c r="I16" s="202" t="s">
        <v>5</v>
      </c>
      <c r="J16" s="202" t="s">
        <v>6</v>
      </c>
      <c r="K16" s="202" t="s">
        <v>7</v>
      </c>
      <c r="L16" s="202" t="s">
        <v>8</v>
      </c>
    </row>
    <row r="17" spans="1:12" s="15" customFormat="1" ht="15.75" hidden="1" customHeight="1" thickTop="1" x14ac:dyDescent="0.25">
      <c r="D17" s="18"/>
      <c r="E17" s="18"/>
      <c r="F17" s="106" t="s">
        <v>2</v>
      </c>
      <c r="G17" s="106" t="s">
        <v>3</v>
      </c>
      <c r="H17" s="106" t="s">
        <v>4</v>
      </c>
      <c r="I17" s="106" t="s">
        <v>5</v>
      </c>
      <c r="J17" s="106" t="s">
        <v>6</v>
      </c>
      <c r="K17" s="106" t="s">
        <v>7</v>
      </c>
      <c r="L17" s="106" t="s">
        <v>8</v>
      </c>
    </row>
    <row r="18" spans="1:12" ht="15.75" customHeight="1" thickTop="1" x14ac:dyDescent="0.25">
      <c r="A18">
        <f ca="1">IF(D18="All Allocations","1_All",IF(OR(_xll.DBR($D$10,$D18,$D$14,$F$14,"zSource")=PL!$C$13,_xll.DBR($D$10,$D18,$D$14,$F$14,"zSource")=""),1,0))</f>
        <v>0</v>
      </c>
      <c r="C18" t="str">
        <f>IF(MOD(ROW(),2)=1,"G","W")</f>
        <v>W</v>
      </c>
      <c r="D18" s="177" t="str">
        <f ca="1">_xll.TM1RPTROW($D$10,"24retail:Allocation List","L0 Allocations")</f>
        <v>Allocation 1</v>
      </c>
      <c r="E18" s="105" t="str">
        <f ca="1">IF(F18="","",IF(A18=1,"→",IF(A18=0,"←","")))</f>
        <v>←</v>
      </c>
      <c r="F18" s="102" t="str">
        <f ca="1">_xll.DBRW($D$10,$D18,$D$14,$F$14,F$17)</f>
        <v>Maryland</v>
      </c>
      <c r="G18" s="102" t="str">
        <f ca="1">_xll.DBRW($D$10,$D18,$D$14,$F$14,G$17)</f>
        <v>Travel Allocation</v>
      </c>
      <c r="H18" s="102" t="str">
        <f ca="1">_xll.DBRW($D$10,$D18,$D$14,$F$14,H$17)</f>
        <v>6299 TRAVEL</v>
      </c>
      <c r="I18" s="103">
        <f ca="1">_xll.DBRW($D$10,$D18,$D$14,$F$14,I$17)</f>
        <v>42948</v>
      </c>
      <c r="J18" s="104">
        <f ca="1">_xll.DBRW($D$10,$D18,$D$14,$F$14,J$17)</f>
        <v>1</v>
      </c>
      <c r="K18" s="103">
        <f ca="1">_xll.DBRW($D$10,$D18,$D$14,$F$14,K$17)</f>
        <v>42948</v>
      </c>
      <c r="L18" s="102" t="str">
        <f ca="1">_xll.DBRW($D$10,$D18,$D$14,$F$14,L$17)</f>
        <v>FTE</v>
      </c>
    </row>
    <row r="19" spans="1:12" ht="15.75" customHeight="1" x14ac:dyDescent="0.25">
      <c r="A19">
        <f ca="1">IF(D19="All Allocations","1_All",IF(OR(_xll.DBR($D$10,$D19,$D$14,$F$14,"zSource")=PL!$C$13,_xll.DBR($D$10,$D19,$D$14,$F$14,"zSource")=""),1,0))</f>
        <v>0</v>
      </c>
      <c r="C19" t="str">
        <f t="shared" ref="C19:C28" si="0">IF(MOD(ROW(),2)=1,"G","W")</f>
        <v>G</v>
      </c>
      <c r="D19" s="177" t="s">
        <v>13</v>
      </c>
      <c r="E19" s="105" t="str">
        <f t="shared" ref="E19:E28" ca="1" si="1">IF(F19="","",IF(A19=1,"→",IF(A19=0,"←","")))</f>
        <v>←</v>
      </c>
      <c r="F19" s="102" t="str">
        <f ca="1">_xll.DBRW($D$10,$D19,$D$14,$F$14,F$17)</f>
        <v>Maryland</v>
      </c>
      <c r="G19" s="102" t="str">
        <f ca="1">_xll.DBRW($D$10,$D19,$D$14,$F$14,G$17)</f>
        <v>Payroll Allocation</v>
      </c>
      <c r="H19" s="102" t="str">
        <f ca="1">_xll.DBRW($D$10,$D19,$D$14,$F$14,H$17)</f>
        <v>6099 PAYROLL</v>
      </c>
      <c r="I19" s="103">
        <f ca="1">_xll.DBRW($D$10,$D19,$D$14,$F$14,I$17)</f>
        <v>565209.76611884555</v>
      </c>
      <c r="J19" s="104">
        <f ca="1">_xll.DBRW($D$10,$D19,$D$14,$F$14,J$17)</f>
        <v>1</v>
      </c>
      <c r="K19" s="103">
        <f ca="1">_xll.DBRW($D$10,$D19,$D$14,$F$14,K$17)</f>
        <v>565209.76611884555</v>
      </c>
      <c r="L19" s="102" t="str">
        <f ca="1">_xll.DBRW($D$10,$D19,$D$14,$F$14,L$17)</f>
        <v>FTE</v>
      </c>
    </row>
    <row r="20" spans="1:12" ht="15.75" customHeight="1" x14ac:dyDescent="0.25">
      <c r="A20">
        <f ca="1">IF(D20="All Allocations","1_All",IF(OR(_xll.DBR($D$10,$D20,$D$14,$F$14,"zSource")=PL!$C$13,_xll.DBR($D$10,$D20,$D$14,$F$14,"zSource")=""),1,0))</f>
        <v>0</v>
      </c>
      <c r="C20" t="str">
        <f t="shared" si="0"/>
        <v>W</v>
      </c>
      <c r="D20" s="177" t="s">
        <v>14</v>
      </c>
      <c r="E20" s="105" t="str">
        <f t="shared" ca="1" si="1"/>
        <v>←</v>
      </c>
      <c r="F20" s="102" t="str">
        <f ca="1">_xll.DBRW($D$10,$D20,$D$14,$F$14,F$17)</f>
        <v>Florida</v>
      </c>
      <c r="G20" s="102" t="str">
        <f ca="1">_xll.DBRW($D$10,$D20,$D$14,$F$14,G$17)</f>
        <v>Occupancy Allocation</v>
      </c>
      <c r="H20" s="102" t="str">
        <f ca="1">_xll.DBRW($D$10,$D20,$D$14,$F$14,H$17)</f>
        <v>6399 OCCUPANCY</v>
      </c>
      <c r="I20" s="103">
        <f ca="1">_xll.DBRW($D$10,$D20,$D$14,$F$14,I$17)</f>
        <v>323999.99999999994</v>
      </c>
      <c r="J20" s="104">
        <f ca="1">_xll.DBRW($D$10,$D20,$D$14,$F$14,J$17)</f>
        <v>1</v>
      </c>
      <c r="K20" s="103">
        <f ca="1">_xll.DBRW($D$10,$D20,$D$14,$F$14,K$17)</f>
        <v>323999.99999999994</v>
      </c>
      <c r="L20" s="102" t="str">
        <f ca="1">_xll.DBRW($D$10,$D20,$D$14,$F$14,L$17)</f>
        <v>Square Footage</v>
      </c>
    </row>
    <row r="21" spans="1:12" ht="15.75" customHeight="1" x14ac:dyDescent="0.25">
      <c r="A21">
        <f ca="1">IF(D21="All Allocations","1_All",IF(OR(_xll.DBR($D$10,$D21,$D$14,$F$14,"zSource")=PL!$C$13,_xll.DBR($D$10,$D21,$D$14,$F$14,"zSource")=""),1,0))</f>
        <v>0</v>
      </c>
      <c r="C21" t="str">
        <f t="shared" si="0"/>
        <v>G</v>
      </c>
      <c r="D21" s="177" t="s">
        <v>15</v>
      </c>
      <c r="E21" s="105" t="str">
        <f t="shared" ca="1" si="1"/>
        <v>←</v>
      </c>
      <c r="F21" s="102" t="str">
        <f ca="1">_xll.DBRW($D$10,$D21,$D$14,$F$14,F$17)</f>
        <v>California</v>
      </c>
      <c r="G21" s="102" t="str">
        <f ca="1">_xll.DBRW($D$10,$D21,$D$14,$F$14,G$17)</f>
        <v>Expense Handoff</v>
      </c>
      <c r="H21" s="102" t="str">
        <f ca="1">_xll.DBRW($D$10,$D21,$D$14,$F$14,H$17)</f>
        <v>Total Operating Expense</v>
      </c>
      <c r="I21" s="103">
        <f ca="1">_xll.DBRW($D$10,$D21,$D$14,$F$14,I$17)</f>
        <v>1399439.0666666669</v>
      </c>
      <c r="J21" s="104">
        <f ca="1">_xll.DBRW($D$10,$D21,$D$14,$F$14,J$17)</f>
        <v>1</v>
      </c>
      <c r="K21" s="103">
        <f ca="1">_xll.DBRW($D$10,$D21,$D$14,$F$14,K$17)</f>
        <v>1399439.0666666669</v>
      </c>
      <c r="L21" s="102" t="str">
        <f ca="1">_xll.DBRW($D$10,$D21,$D$14,$F$14,L$17)</f>
        <v>4999 Gross Revenue</v>
      </c>
    </row>
    <row r="22" spans="1:12" ht="15.75" customHeight="1" x14ac:dyDescent="0.25">
      <c r="A22">
        <f ca="1">IF(D22="All Allocations","1_All",IF(OR(_xll.DBR($D$10,$D22,$D$14,$F$14,"zSource")=PL!$C$13,_xll.DBR($D$10,$D22,$D$14,$F$14,"zSource")=""),1,0))</f>
        <v>0</v>
      </c>
      <c r="C22" t="str">
        <f t="shared" si="0"/>
        <v>W</v>
      </c>
      <c r="D22" s="177" t="s">
        <v>16</v>
      </c>
      <c r="E22" s="105" t="str">
        <f t="shared" ca="1" si="1"/>
        <v>←</v>
      </c>
      <c r="F22" s="102" t="str">
        <f ca="1">_xll.DBRW($D$10,$D22,$D$14,$F$14,F$17)</f>
        <v>Florida</v>
      </c>
      <c r="G22" s="102" t="str">
        <f ca="1">_xll.DBRW($D$10,$D22,$D$14,$F$14,G$17)</f>
        <v>Expense Handoff</v>
      </c>
      <c r="H22" s="102" t="str">
        <f ca="1">_xll.DBRW($D$10,$D22,$D$14,$F$14,H$17)</f>
        <v>Total Operating Expense</v>
      </c>
      <c r="I22" s="103">
        <f ca="1">_xll.DBRW($D$10,$D22,$D$14,$F$14,I$17)</f>
        <v>1528604.8519346768</v>
      </c>
      <c r="J22" s="104">
        <f ca="1">_xll.DBRW($D$10,$D22,$D$14,$F$14,J$17)</f>
        <v>1</v>
      </c>
      <c r="K22" s="103">
        <f ca="1">_xll.DBRW($D$10,$D22,$D$14,$F$14,K$17)</f>
        <v>1528604.8519346768</v>
      </c>
      <c r="L22" s="102" t="str">
        <f ca="1">_xll.DBRW($D$10,$D22,$D$14,$F$14,L$17)</f>
        <v>Net Profit</v>
      </c>
    </row>
    <row r="23" spans="1:12" ht="15.75" customHeight="1" x14ac:dyDescent="0.25">
      <c r="A23">
        <f ca="1">IF(D23="All Allocations","1_All",IF(OR(_xll.DBR($D$10,$D23,$D$14,$F$14,"zSource")=PL!$C$13,_xll.DBR($D$10,$D23,$D$14,$F$14,"zSource")=""),1,0))</f>
        <v>0</v>
      </c>
      <c r="C23" t="str">
        <f t="shared" si="0"/>
        <v>G</v>
      </c>
      <c r="D23" s="177" t="s">
        <v>17</v>
      </c>
      <c r="E23" s="105" t="str">
        <f t="shared" ca="1" si="1"/>
        <v>←</v>
      </c>
      <c r="F23" s="102" t="str">
        <f ca="1">_xll.DBRW($D$10,$D23,$D$14,$F$14,F$17)</f>
        <v>Kentucky</v>
      </c>
      <c r="G23" s="102" t="str">
        <f ca="1">_xll.DBRW($D$10,$D23,$D$14,$F$14,G$17)</f>
        <v>Cost Allocation</v>
      </c>
      <c r="H23" s="102" t="str">
        <f ca="1">_xll.DBRW($D$10,$D23,$D$14,$F$14,H$17)</f>
        <v>6120 Office Supplies</v>
      </c>
      <c r="I23" s="103">
        <f ca="1">_xll.DBRW($D$10,$D23,$D$14,$F$14,I$17)</f>
        <v>0</v>
      </c>
      <c r="J23" s="104">
        <f ca="1">_xll.DBRW($D$10,$D23,$D$14,$F$14,J$17)</f>
        <v>1</v>
      </c>
      <c r="K23" s="103">
        <f ca="1">_xll.DBRW($D$10,$D23,$D$14,$F$14,K$17)</f>
        <v>0</v>
      </c>
      <c r="L23" s="102" t="str">
        <f ca="1">_xll.DBRW($D$10,$D23,$D$14,$F$14,L$17)</f>
        <v>FTE</v>
      </c>
    </row>
    <row r="24" spans="1:12" ht="15.75" customHeight="1" x14ac:dyDescent="0.25">
      <c r="A24">
        <f ca="1">IF(D24="All Allocations","1_All",IF(OR(_xll.DBR($D$10,$D24,$D$14,$F$14,"zSource")=PL!$C$13,_xll.DBR($D$10,$D24,$D$14,$F$14,"zSource")=""),1,0))</f>
        <v>0</v>
      </c>
      <c r="C24" t="str">
        <f t="shared" si="0"/>
        <v>W</v>
      </c>
      <c r="D24" s="177" t="s">
        <v>18</v>
      </c>
      <c r="E24" s="105" t="str">
        <f t="shared" ca="1" si="1"/>
        <v>←</v>
      </c>
      <c r="F24" s="102" t="str">
        <f ca="1">_xll.DBRW($D$10,$D24,$D$14,$F$14,F$17)</f>
        <v>South Carolina</v>
      </c>
      <c r="G24" s="102" t="str">
        <f ca="1">_xll.DBRW($D$10,$D24,$D$14,$F$14,G$17)</f>
        <v>Salary Allocation</v>
      </c>
      <c r="H24" s="102" t="str">
        <f ca="1">_xll.DBRW($D$10,$D24,$D$14,$F$14,H$17)</f>
        <v>6000 Salaries</v>
      </c>
      <c r="I24" s="103">
        <f ca="1">_xll.DBRW($D$10,$D24,$D$14,$F$14,I$17)</f>
        <v>0</v>
      </c>
      <c r="J24" s="104">
        <f ca="1">_xll.DBRW($D$10,$D24,$D$14,$F$14,J$17)</f>
        <v>0.5</v>
      </c>
      <c r="K24" s="103">
        <f ca="1">_xll.DBRW($D$10,$D24,$D$14,$F$14,K$17)</f>
        <v>0</v>
      </c>
      <c r="L24" s="102" t="str">
        <f ca="1">_xll.DBRW($D$10,$D24,$D$14,$F$14,L$17)</f>
        <v>Net Profit</v>
      </c>
    </row>
    <row r="25" spans="1:12" ht="15.75" customHeight="1" x14ac:dyDescent="0.25">
      <c r="A25">
        <f ca="1">IF(D25="All Allocations","1_All",IF(OR(_xll.DBR($D$10,$D25,$D$14,$F$14,"zSource")=PL!$C$13,_xll.DBR($D$10,$D25,$D$14,$F$14,"zSource")=""),1,0))</f>
        <v>0</v>
      </c>
      <c r="C25" t="str">
        <f t="shared" si="0"/>
        <v>G</v>
      </c>
      <c r="D25" s="177" t="s">
        <v>19</v>
      </c>
      <c r="E25" s="105" t="str">
        <f t="shared" ca="1" si="1"/>
        <v>←</v>
      </c>
      <c r="F25" s="102" t="str">
        <f ca="1">_xll.DBRW($D$10,$D25,$D$14,$F$14,F$17)</f>
        <v>Georgia</v>
      </c>
      <c r="G25" s="102" t="str">
        <f ca="1">_xll.DBRW($D$10,$D25,$D$14,$F$14,G$17)</f>
        <v>My Best Friend Needs money</v>
      </c>
      <c r="H25" s="102" t="str">
        <f ca="1">_xll.DBRW($D$10,$D25,$D$14,$F$14,H$17)</f>
        <v>Gross Margin</v>
      </c>
      <c r="I25" s="103">
        <f ca="1">_xll.DBRW($D$10,$D25,$D$14,$F$14,I$17)</f>
        <v>0</v>
      </c>
      <c r="J25" s="104">
        <f ca="1">_xll.DBRW($D$10,$D25,$D$14,$F$14,J$17)</f>
        <v>0.1</v>
      </c>
      <c r="K25" s="103">
        <f ca="1">_xll.DBRW($D$10,$D25,$D$14,$F$14,K$17)</f>
        <v>0</v>
      </c>
      <c r="L25" s="102" t="str">
        <f ca="1">_xll.DBRW($D$10,$D25,$D$14,$F$14,L$17)</f>
        <v/>
      </c>
    </row>
    <row r="26" spans="1:12" ht="15.75" customHeight="1" x14ac:dyDescent="0.25">
      <c r="A26">
        <f ca="1">IF(D26="All Allocations","1_All",IF(OR(_xll.DBR($D$10,$D26,$D$14,$F$14,"zSource")=PL!$C$13,_xll.DBR($D$10,$D26,$D$14,$F$14,"zSource")=""),1,0))</f>
        <v>1</v>
      </c>
      <c r="C26" t="str">
        <f t="shared" si="0"/>
        <v>W</v>
      </c>
      <c r="D26" s="177" t="s">
        <v>20</v>
      </c>
      <c r="E26" s="105" t="str">
        <f t="shared" ca="1" si="1"/>
        <v/>
      </c>
      <c r="F26" s="102" t="str">
        <f ca="1">_xll.DBRW($D$10,$D26,$D$14,$F$14,F$17)</f>
        <v/>
      </c>
      <c r="G26" s="102" t="str">
        <f ca="1">_xll.DBRW($D$10,$D26,$D$14,$F$14,G$17)</f>
        <v/>
      </c>
      <c r="H26" s="102" t="str">
        <f ca="1">_xll.DBRW($D$10,$D26,$D$14,$F$14,H$17)</f>
        <v/>
      </c>
      <c r="I26" s="103">
        <f ca="1">_xll.DBRW($D$10,$D26,$D$14,$F$14,I$17)</f>
        <v>0</v>
      </c>
      <c r="J26" s="104" t="str">
        <f ca="1">_xll.DBRW($D$10,$D26,$D$14,$F$14,J$17)</f>
        <v/>
      </c>
      <c r="K26" s="103">
        <f ca="1">_xll.DBRW($D$10,$D26,$D$14,$F$14,K$17)</f>
        <v>0</v>
      </c>
      <c r="L26" s="102" t="str">
        <f ca="1">_xll.DBRW($D$10,$D26,$D$14,$F$14,L$17)</f>
        <v/>
      </c>
    </row>
    <row r="27" spans="1:12" ht="15.75" customHeight="1" x14ac:dyDescent="0.25">
      <c r="A27">
        <f ca="1">IF(D27="All Allocations","1_All",IF(OR(_xll.DBR($D$10,$D27,$D$14,$F$14,"zSource")=PL!$C$13,_xll.DBR($D$10,$D27,$D$14,$F$14,"zSource")=""),1,0))</f>
        <v>1</v>
      </c>
      <c r="C27" t="str">
        <f t="shared" si="0"/>
        <v>G</v>
      </c>
      <c r="D27" s="177" t="s">
        <v>21</v>
      </c>
      <c r="E27" s="105" t="str">
        <f t="shared" ca="1" si="1"/>
        <v/>
      </c>
      <c r="F27" s="102" t="str">
        <f ca="1">_xll.DBRW($D$10,$D27,$D$14,$F$14,F$17)</f>
        <v/>
      </c>
      <c r="G27" s="102" t="str">
        <f ca="1">_xll.DBRW($D$10,$D27,$D$14,$F$14,G$17)</f>
        <v/>
      </c>
      <c r="H27" s="102" t="str">
        <f ca="1">_xll.DBRW($D$10,$D27,$D$14,$F$14,H$17)</f>
        <v/>
      </c>
      <c r="I27" s="103">
        <f ca="1">_xll.DBRW($D$10,$D27,$D$14,$F$14,I$17)</f>
        <v>0</v>
      </c>
      <c r="J27" s="104" t="str">
        <f ca="1">_xll.DBRW($D$10,$D27,$D$14,$F$14,J$17)</f>
        <v/>
      </c>
      <c r="K27" s="103">
        <f ca="1">_xll.DBRW($D$10,$D27,$D$14,$F$14,K$17)</f>
        <v>0</v>
      </c>
      <c r="L27" s="102" t="str">
        <f ca="1">_xll.DBRW($D$10,$D27,$D$14,$F$14,L$17)</f>
        <v/>
      </c>
    </row>
    <row r="28" spans="1:12" ht="15.75" customHeight="1" x14ac:dyDescent="0.25">
      <c r="A28" t="str">
        <f>IF(D28="All Allocations","1_All",IF(OR(_xll.DBR($D$10,$D28,$D$14,$F$14,"zSource")=PL!$C$13,_xll.DBR($D$10,$D28,$D$14,$F$14,"zSource")=""),1,0))</f>
        <v>1_All</v>
      </c>
      <c r="C28" t="str">
        <f t="shared" si="0"/>
        <v>W</v>
      </c>
      <c r="D28" s="184" t="s">
        <v>67</v>
      </c>
      <c r="E28" s="180" t="str">
        <f t="shared" ca="1" si="1"/>
        <v/>
      </c>
      <c r="F28" s="181" t="str">
        <f ca="1">_xll.DBRW($D$10,$D28,$D$14,$F$14,F$17)</f>
        <v/>
      </c>
      <c r="G28" s="181" t="str">
        <f ca="1">_xll.DBRW($D$10,$D28,$D$14,$F$14,G$17)</f>
        <v/>
      </c>
      <c r="H28" s="181" t="str">
        <f ca="1">_xll.DBRW($D$10,$D28,$D$14,$F$14,H$17)</f>
        <v/>
      </c>
      <c r="I28" s="182">
        <f ca="1">_xll.DBRW($D$10,$D28,$D$14,$F$14,I$17)</f>
        <v>3860201.6847201893</v>
      </c>
      <c r="J28" s="183">
        <f ca="1">_xll.DBRW($D$10,$D28,$D$14,$F$14,J$17)</f>
        <v>0</v>
      </c>
      <c r="K28" s="182">
        <f ca="1">_xll.DBRW($D$10,$D28,$D$14,$F$14,K$17)</f>
        <v>3860201.6847201893</v>
      </c>
      <c r="L28" s="181" t="str">
        <f ca="1">_xll.DBRW($D$10,$D28,$D$14,$F$14,L$17)</f>
        <v/>
      </c>
    </row>
  </sheetData>
  <conditionalFormatting sqref="D2:L3">
    <cfRule type="expression" dxfId="9" priority="222">
      <formula>$C2="G"</formula>
    </cfRule>
  </conditionalFormatting>
  <conditionalFormatting sqref="D18:L25">
    <cfRule type="expression" dxfId="8" priority="2">
      <formula>$C18="G"</formula>
    </cfRule>
  </conditionalFormatting>
  <conditionalFormatting sqref="D26:L27">
    <cfRule type="expression" dxfId="7" priority="1">
      <formula>$C26="G"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TIButton1">
          <controlPr defaultSize="0" print="0" autoLine="0" autoPict="0" r:id="rId5">
            <anchor moveWithCells="1">
              <from>
                <xdr:col>10</xdr:col>
                <xdr:colOff>676275</xdr:colOff>
                <xdr:row>12</xdr:row>
                <xdr:rowOff>38100</xdr:rowOff>
              </from>
              <to>
                <xdr:col>11</xdr:col>
                <xdr:colOff>1162050</xdr:colOff>
                <xdr:row>13</xdr:row>
                <xdr:rowOff>123825</xdr:rowOff>
              </to>
            </anchor>
          </controlPr>
        </control>
      </mc:Choice>
      <mc:Fallback>
        <control shapeId="5121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U39"/>
  <sheetViews>
    <sheetView showGridLines="0" showRowColHeaders="0" topLeftCell="B10" workbookViewId="0">
      <selection activeCell="B10" sqref="B10"/>
    </sheetView>
  </sheetViews>
  <sheetFormatPr defaultRowHeight="14.25" x14ac:dyDescent="0.2"/>
  <cols>
    <col min="1" max="1" width="2.7109375" style="27" hidden="1" customWidth="1"/>
    <col min="2" max="2" width="1.28515625" style="27" customWidth="1"/>
    <col min="3" max="3" width="30.140625" style="27" bestFit="1" customWidth="1"/>
    <col min="4" max="4" width="15.7109375" style="27" customWidth="1"/>
    <col min="5" max="5" width="9.28515625" style="27" customWidth="1"/>
    <col min="6" max="7" width="15.7109375" style="27" customWidth="1"/>
    <col min="8" max="8" width="9.28515625" style="27" customWidth="1"/>
    <col min="9" max="10" width="15.7109375" style="27" customWidth="1"/>
    <col min="11" max="16384" width="9.140625" style="27"/>
  </cols>
  <sheetData>
    <row r="1" spans="1:10" hidden="1" x14ac:dyDescent="0.2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hidden="1" x14ac:dyDescent="0.2">
      <c r="A2" s="66">
        <f>0</f>
        <v>0</v>
      </c>
      <c r="B2" s="66"/>
      <c r="C2" s="114"/>
      <c r="D2" s="107"/>
      <c r="E2" s="108"/>
      <c r="F2" s="107"/>
      <c r="G2" s="107"/>
      <c r="H2" s="109"/>
      <c r="I2" s="107"/>
      <c r="J2" s="107"/>
    </row>
    <row r="3" spans="1:10" hidden="1" x14ac:dyDescent="0.2">
      <c r="A3" s="66">
        <f>1</f>
        <v>1</v>
      </c>
      <c r="B3" s="66"/>
      <c r="C3" s="114"/>
      <c r="D3" s="107"/>
      <c r="E3" s="108"/>
      <c r="F3" s="107"/>
      <c r="G3" s="107"/>
      <c r="H3" s="109"/>
      <c r="I3" s="107"/>
      <c r="J3" s="107"/>
    </row>
    <row r="4" spans="1:10" hidden="1" x14ac:dyDescent="0.2">
      <c r="A4" s="66">
        <f>2</f>
        <v>2</v>
      </c>
      <c r="B4" s="66"/>
      <c r="C4" s="115"/>
      <c r="D4" s="110"/>
      <c r="E4" s="111"/>
      <c r="F4" s="110"/>
      <c r="G4" s="110"/>
      <c r="H4" s="112"/>
      <c r="I4" s="110"/>
      <c r="J4" s="110"/>
    </row>
    <row r="5" spans="1:10" hidden="1" x14ac:dyDescent="0.2">
      <c r="A5" s="66">
        <f>3</f>
        <v>3</v>
      </c>
      <c r="B5" s="66"/>
      <c r="C5" s="115"/>
      <c r="D5" s="110"/>
      <c r="E5" s="111"/>
      <c r="F5" s="110"/>
      <c r="G5" s="110"/>
      <c r="H5" s="112"/>
      <c r="I5" s="110"/>
      <c r="J5" s="110"/>
    </row>
    <row r="6" spans="1:10" hidden="1" x14ac:dyDescent="0.2">
      <c r="A6" s="66" t="s">
        <v>9</v>
      </c>
      <c r="B6" s="66"/>
      <c r="C6" s="115"/>
      <c r="D6" s="110"/>
      <c r="E6" s="111"/>
      <c r="F6" s="110"/>
      <c r="G6" s="110"/>
      <c r="H6" s="112"/>
      <c r="I6" s="110"/>
      <c r="J6" s="110"/>
    </row>
    <row r="7" spans="1:10" hidden="1" x14ac:dyDescent="0.2">
      <c r="A7" s="66" t="s">
        <v>10</v>
      </c>
      <c r="B7" s="66"/>
      <c r="C7" s="115"/>
      <c r="D7" s="110"/>
      <c r="E7" s="111"/>
      <c r="F7" s="110"/>
      <c r="G7" s="110"/>
      <c r="H7" s="112"/>
      <c r="I7" s="110"/>
      <c r="J7" s="110"/>
    </row>
    <row r="8" spans="1:10" hidden="1" x14ac:dyDescent="0.2">
      <c r="A8" s="66" t="s">
        <v>12</v>
      </c>
      <c r="B8" s="66"/>
      <c r="C8" s="66"/>
      <c r="D8" s="66"/>
      <c r="E8" s="66"/>
      <c r="F8" s="66"/>
      <c r="G8" s="66"/>
      <c r="H8" s="66"/>
      <c r="I8" s="66"/>
      <c r="J8" s="66"/>
    </row>
    <row r="9" spans="1:10" ht="20.25" hidden="1" customHeight="1" x14ac:dyDescent="0.2">
      <c r="C9" s="27" t="str">
        <f ca="1">_xll.TM1RPTVIEW("24retail:Allocation Calculation:2", 0, _xll.TM1RPTTITLE("24retail:Allocation List",$C$13), _xll.TM1RPTTITLE("24retail:Year",$E$13), _xll.TM1RPTTITLE("24retail:Month",$D$13), _xll.TM1RPTTITLE("24retail:Version",$F$13),TM1RPTFMTRNG,TM1RPTFMTIDCOL)</f>
        <v>24retail:Allocation Calculation:2</v>
      </c>
    </row>
    <row r="10" spans="1:10" ht="24" customHeight="1" thickBot="1" x14ac:dyDescent="0.25">
      <c r="A10" s="28"/>
      <c r="B10" s="74"/>
      <c r="C10" s="74"/>
      <c r="D10" s="74"/>
      <c r="E10" s="74"/>
      <c r="F10" s="74"/>
      <c r="G10" s="74"/>
      <c r="H10" s="74"/>
      <c r="I10" s="74"/>
      <c r="J10" s="74"/>
    </row>
    <row r="11" spans="1:10" ht="39.75" customHeight="1" x14ac:dyDescent="0.2"/>
    <row r="12" spans="1:10" s="29" customFormat="1" x14ac:dyDescent="0.25">
      <c r="C12" s="21" t="s">
        <v>96</v>
      </c>
      <c r="D12" s="21" t="s">
        <v>54</v>
      </c>
      <c r="E12" s="21" t="s">
        <v>0</v>
      </c>
      <c r="F12" s="192" t="s">
        <v>1</v>
      </c>
      <c r="G12" s="193"/>
    </row>
    <row r="13" spans="1:10" s="29" customFormat="1" x14ac:dyDescent="0.25">
      <c r="C13" s="77" t="str">
        <f ca="1">_xll.SUBNM("24retail:Allocation List","Default","Allocation 1")</f>
        <v>Allocation 1</v>
      </c>
      <c r="D13" s="77" t="str">
        <f ca="1">_xll.SUBNM("24retail:Month","MQY","Year")</f>
        <v>Year</v>
      </c>
      <c r="E13" s="77" t="str">
        <f ca="1">_xll.SUBNM("24retail:Year","Default","Y2","Caption_Default")</f>
        <v>2015</v>
      </c>
      <c r="F13" s="194" t="str">
        <f ca="1">_xll.SUBNM("24retail:Version","Current",_xll.DBR("24retail:Calendar","Current Version","String"),"Caption_Default")</f>
        <v>Budget</v>
      </c>
      <c r="G13" s="194"/>
    </row>
    <row r="14" spans="1:10" s="29" customFormat="1" ht="7.5" customHeight="1" x14ac:dyDescent="0.25">
      <c r="C14" s="30"/>
      <c r="D14" s="30"/>
      <c r="E14" s="30"/>
    </row>
    <row r="15" spans="1:10" s="29" customFormat="1" ht="18.75" customHeight="1" x14ac:dyDescent="0.25">
      <c r="C15" s="21" t="s">
        <v>98</v>
      </c>
      <c r="D15" s="192" t="s">
        <v>2</v>
      </c>
      <c r="E15" s="193"/>
      <c r="F15" s="192" t="s">
        <v>4</v>
      </c>
      <c r="G15" s="193"/>
      <c r="H15" s="192" t="s">
        <v>8</v>
      </c>
      <c r="I15" s="193"/>
      <c r="J15" s="21" t="s">
        <v>193</v>
      </c>
    </row>
    <row r="16" spans="1:10" s="29" customFormat="1" x14ac:dyDescent="0.25">
      <c r="C16" s="77" t="str">
        <f ca="1">_xll.DBRW("24retail:Allocation Source Definition",$C$13,$E$13,$F$13,"Desc")</f>
        <v>Travel Allocation</v>
      </c>
      <c r="D16" s="194" t="str">
        <f ca="1">_xll.DBRW("24retail:Allocation Source Definition",$C$13,$E$13,$F$13,"zSource")</f>
        <v>Maryland</v>
      </c>
      <c r="E16" s="194"/>
      <c r="F16" s="194" t="str">
        <f ca="1">_xll.DBRW("24retail:Allocation Source Definition",$C$13,$E$13,$F$13,$F$15)</f>
        <v>6299 TRAVEL</v>
      </c>
      <c r="G16" s="194"/>
      <c r="H16" s="194" t="str">
        <f ca="1">_xll.DBRW("24retail:Allocation Source Definition",$C$13,$E$13,$F$13,$H$15)</f>
        <v>FTE</v>
      </c>
      <c r="I16" s="194"/>
      <c r="J16" s="113">
        <f ca="1">_xll.DBRW("24retail:Allocation Source Definition",$C$13,$E$13,$F$13,"Allocation Amount")</f>
        <v>42948</v>
      </c>
    </row>
    <row r="17" spans="1:255" s="29" customFormat="1" ht="7.5" customHeight="1" x14ac:dyDescent="0.25"/>
    <row r="18" spans="1:255" s="29" customFormat="1" ht="12.75" customHeight="1" x14ac:dyDescent="0.25">
      <c r="D18" s="23" t="s">
        <v>197</v>
      </c>
      <c r="E18" s="23" t="s">
        <v>200</v>
      </c>
      <c r="F18" s="23" t="s">
        <v>62</v>
      </c>
      <c r="G18" s="23" t="s">
        <v>201</v>
      </c>
      <c r="H18" s="23" t="s">
        <v>64</v>
      </c>
      <c r="I18" s="23" t="s">
        <v>197</v>
      </c>
      <c r="J18" s="23" t="s">
        <v>197</v>
      </c>
    </row>
    <row r="19" spans="1:255" s="29" customFormat="1" ht="12.75" customHeight="1" thickBot="1" x14ac:dyDescent="0.3">
      <c r="C19" s="201"/>
      <c r="D19" s="201" t="s">
        <v>198</v>
      </c>
      <c r="E19" s="201" t="s">
        <v>199</v>
      </c>
      <c r="F19" s="201"/>
      <c r="G19" s="201" t="s">
        <v>62</v>
      </c>
      <c r="H19" s="201"/>
      <c r="I19" s="201" t="s">
        <v>202</v>
      </c>
      <c r="J19" s="201" t="s">
        <v>203</v>
      </c>
    </row>
    <row r="20" spans="1:255" s="31" customFormat="1" ht="15" hidden="1" customHeight="1" thickTop="1" x14ac:dyDescent="0.25">
      <c r="D20" s="119" t="s">
        <v>7</v>
      </c>
      <c r="E20" s="119" t="s">
        <v>97</v>
      </c>
      <c r="F20" s="119" t="s">
        <v>62</v>
      </c>
      <c r="G20" s="119" t="s">
        <v>63</v>
      </c>
      <c r="H20" s="119" t="s">
        <v>64</v>
      </c>
      <c r="I20" s="119" t="s">
        <v>194</v>
      </c>
      <c r="J20" s="119" t="s">
        <v>193</v>
      </c>
    </row>
    <row r="21" spans="1:255" s="31" customFormat="1" ht="15" hidden="1" customHeight="1" x14ac:dyDescent="0.25">
      <c r="D21" s="32" t="s">
        <v>7</v>
      </c>
      <c r="E21" s="32" t="s">
        <v>97</v>
      </c>
      <c r="F21" s="32" t="s">
        <v>62</v>
      </c>
      <c r="G21" s="32" t="s">
        <v>63</v>
      </c>
      <c r="H21" s="32" t="s">
        <v>64</v>
      </c>
      <c r="I21" s="32" t="s">
        <v>65</v>
      </c>
      <c r="J21" s="32" t="s">
        <v>66</v>
      </c>
    </row>
    <row r="22" spans="1:255" ht="15" customHeight="1" thickTop="1" x14ac:dyDescent="0.2">
      <c r="A22" s="66">
        <f ca="1">IF(_xll.TM1RPTELISCONSOLIDATED($C$22,$C22),IF(_xll.TM1RPTELLEV($C$22,$C22)&lt;=3,_xll.TM1RPTELLEV($C$22,$C22),"D"),"N")</f>
        <v>0</v>
      </c>
      <c r="B22" s="66"/>
      <c r="C22" s="117" t="str">
        <f ca="1">_xll.TM1RPTROW($C$9,"24retail:organization","Workflow")</f>
        <v>Total Company</v>
      </c>
      <c r="D22" s="107">
        <f ca="1">_xll.DBRW($C$9,$C22,$C$13,$E$13,$D$13,$F$13,D$21)</f>
        <v>42948</v>
      </c>
      <c r="E22" s="108" t="str">
        <f ca="1">_xll.DBRW($C$9,$C22,$C$13,$E$13,$D$13,$F$13,E$21)</f>
        <v/>
      </c>
      <c r="F22" s="107">
        <f ca="1">_xll.DBRW($C$9,$C22,$C$13,$E$13,$D$13,$F$13,F$21)</f>
        <v>43</v>
      </c>
      <c r="G22" s="107">
        <f ca="1">_xll.DBRW($C$9,$C22,$C$13,$E$13,$D$13,$F$13,G$21)</f>
        <v>43</v>
      </c>
      <c r="H22" s="109">
        <f ca="1">_xll.DBRW($C$9,$C22,$C$13,$E$13,$D$13,$F$13,H$21)</f>
        <v>1</v>
      </c>
      <c r="I22" s="107">
        <f ca="1">_xll.DBRW($C$9,$C22,$C$13,$E$13,$D$13,$F$13,I$21)</f>
        <v>42948.000000000007</v>
      </c>
      <c r="J22" s="107">
        <f ca="1">_xll.DBRW($C$9,$C22,$C$13,$E$13,$D$13,$F$13,J$21)</f>
        <v>-42948</v>
      </c>
    </row>
    <row r="23" spans="1:255" customFormat="1" ht="15" customHeight="1" x14ac:dyDescent="0.25">
      <c r="A23" s="66">
        <f ca="1">IF(_xll.TM1RPTELISCONSOLIDATED($C$22,$C23),IF(_xll.TM1RPTELLEV($C$22,$C23)&lt;=3,_xll.TM1RPTELLEV($C$22,$C23),"D"),"N")</f>
        <v>1</v>
      </c>
      <c r="B23" s="66"/>
      <c r="C23" s="116" t="s">
        <v>261</v>
      </c>
      <c r="D23" s="107">
        <f ca="1">_xll.DBRW($C$9,$C23,$C$13,$E$13,$D$13,$F$13,D$21)</f>
        <v>42948</v>
      </c>
      <c r="E23" s="108" t="str">
        <f ca="1">_xll.DBRW($C$9,$C23,$C$13,$E$13,$D$13,$F$13,E$21)</f>
        <v/>
      </c>
      <c r="F23" s="107">
        <f ca="1">_xll.DBRW($C$9,$C23,$C$13,$E$13,$D$13,$F$13,F$21)</f>
        <v>9.5</v>
      </c>
      <c r="G23" s="107">
        <f ca="1">_xll.DBRW($C$9,$C23,$C$13,$E$13,$D$13,$F$13,G$21)</f>
        <v>43</v>
      </c>
      <c r="H23" s="109">
        <f ca="1">_xll.DBRW($C$9,$C23,$C$13,$E$13,$D$13,$F$13,H$21)</f>
        <v>0.22093023255813954</v>
      </c>
      <c r="I23" s="107">
        <f ca="1">_xll.DBRW($C$9,$C23,$C$13,$E$13,$D$13,$F$13,I$21)</f>
        <v>9947.2365221987311</v>
      </c>
      <c r="J23" s="107">
        <f ca="1">_xll.DBRW($C$9,$C23,$C$13,$E$13,$D$13,$F$13,J$21)</f>
        <v>-42948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</row>
    <row r="24" spans="1:255" customFormat="1" ht="15" customHeight="1" x14ac:dyDescent="0.25">
      <c r="A24" s="66" t="str">
        <f ca="1">IF(_xll.TM1RPTELISCONSOLIDATED($C$22,$C24),IF(_xll.TM1RPTELLEV($C$22,$C24)&lt;=3,_xll.TM1RPTELLEV($C$22,$C24),"D"),"N")</f>
        <v>N</v>
      </c>
      <c r="B24" s="66"/>
      <c r="C24" s="118" t="s">
        <v>101</v>
      </c>
      <c r="D24" s="110">
        <f ca="1">_xll.DBRW($C$9,$C24,$C$13,$E$13,$D$13,$F$13,D$21)</f>
        <v>42948</v>
      </c>
      <c r="E24" s="111" t="str">
        <f ca="1">_xll.DBRW($C$9,$C24,$C$13,$E$13,$D$13,$F$13,E$21)</f>
        <v/>
      </c>
      <c r="F24" s="110">
        <f ca="1">_xll.DBRW($C$9,$C24,$C$13,$E$13,$D$13,$F$13,F$21)</f>
        <v>4</v>
      </c>
      <c r="G24" s="110">
        <f ca="1">_xll.DBRW($C$9,$C24,$C$13,$E$13,$D$13,$F$13,G$21)</f>
        <v>43</v>
      </c>
      <c r="H24" s="112">
        <f ca="1">_xll.DBRW($C$9,$C24,$C$13,$E$13,$D$13,$F$13,H$21)</f>
        <v>9.3023255813953487E-2</v>
      </c>
      <c r="I24" s="110">
        <f ca="1">_xll.DBRW($C$9,$C24,$C$13,$E$13,$D$13,$F$13,I$21)</f>
        <v>4431.5932497734811</v>
      </c>
      <c r="J24" s="110">
        <f ca="1">_xll.DBRW($C$9,$C24,$C$13,$E$13,$D$13,$F$13,J$21)</f>
        <v>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</row>
    <row r="25" spans="1:255" customFormat="1" ht="15" customHeight="1" x14ac:dyDescent="0.25">
      <c r="A25" s="66" t="str">
        <f ca="1">IF(_xll.TM1RPTELISCONSOLIDATED($C$22,$C25),IF(_xll.TM1RPTELLEV($C$22,$C25)&lt;=3,_xll.TM1RPTELLEV($C$22,$C25),"D"),"N")</f>
        <v>N</v>
      </c>
      <c r="B25" s="66"/>
      <c r="C25" s="118" t="s">
        <v>102</v>
      </c>
      <c r="D25" s="110">
        <f ca="1">_xll.DBRW($C$9,$C25,$C$13,$E$13,$D$13,$F$13,D$21)</f>
        <v>42948</v>
      </c>
      <c r="E25" s="111" t="str">
        <f ca="1">_xll.DBRW($C$9,$C25,$C$13,$E$13,$D$13,$F$13,E$21)</f>
        <v>Y</v>
      </c>
      <c r="F25" s="110">
        <f ca="1">_xll.DBRW($C$9,$C25,$C$13,$E$13,$D$13,$F$13,F$21)</f>
        <v>0</v>
      </c>
      <c r="G25" s="110">
        <f ca="1">_xll.DBRW($C$9,$C25,$C$13,$E$13,$D$13,$F$13,G$21)</f>
        <v>43</v>
      </c>
      <c r="H25" s="112">
        <f ca="1">_xll.DBRW($C$9,$C25,$C$13,$E$13,$D$13,$F$13,H$21)</f>
        <v>0</v>
      </c>
      <c r="I25" s="110">
        <f ca="1">_xll.DBRW($C$9,$C25,$C$13,$E$13,$D$13,$F$13,I$21)</f>
        <v>0</v>
      </c>
      <c r="J25" s="110">
        <f ca="1">_xll.DBRW($C$9,$C25,$C$13,$E$13,$D$13,$F$13,J$21)</f>
        <v>-42948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</row>
    <row r="26" spans="1:255" customFormat="1" ht="15" customHeight="1" x14ac:dyDescent="0.25">
      <c r="A26" s="66" t="str">
        <f ca="1">IF(_xll.TM1RPTELISCONSOLIDATED($C$22,$C26),IF(_xll.TM1RPTELLEV($C$22,$C26)&lt;=3,_xll.TM1RPTELLEV($C$22,$C26),"D"),"N")</f>
        <v>N</v>
      </c>
      <c r="B26" s="66"/>
      <c r="C26" s="118" t="s">
        <v>262</v>
      </c>
      <c r="D26" s="110">
        <f ca="1">_xll.DBRW($C$9,$C26,$C$13,$E$13,$D$13,$F$13,D$21)</f>
        <v>42948</v>
      </c>
      <c r="E26" s="111" t="str">
        <f ca="1">_xll.DBRW($C$9,$C26,$C$13,$E$13,$D$13,$F$13,E$21)</f>
        <v/>
      </c>
      <c r="F26" s="110">
        <f ca="1">_xll.DBRW($C$9,$C26,$C$13,$E$13,$D$13,$F$13,F$21)</f>
        <v>5.5</v>
      </c>
      <c r="G26" s="110">
        <f ca="1">_xll.DBRW($C$9,$C26,$C$13,$E$13,$D$13,$F$13,G$21)</f>
        <v>43</v>
      </c>
      <c r="H26" s="112">
        <f ca="1">_xll.DBRW($C$9,$C26,$C$13,$E$13,$D$13,$F$13,H$21)</f>
        <v>0.12790697674418605</v>
      </c>
      <c r="I26" s="110">
        <f ca="1">_xll.DBRW($C$9,$C26,$C$13,$E$13,$D$13,$F$13,I$21)</f>
        <v>5515.6432724252491</v>
      </c>
      <c r="J26" s="110">
        <f ca="1">_xll.DBRW($C$9,$C26,$C$13,$E$13,$D$13,$F$13,J$21)</f>
        <v>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  <row r="27" spans="1:255" customFormat="1" ht="15" customHeight="1" x14ac:dyDescent="0.25">
      <c r="A27" s="66">
        <f ca="1">IF(_xll.TM1RPTELISCONSOLIDATED($C$22,$C27),IF(_xll.TM1RPTELLEV($C$22,$C27)&lt;=3,_xll.TM1RPTELLEV($C$22,$C27),"D"),"N")</f>
        <v>1</v>
      </c>
      <c r="B27" s="66"/>
      <c r="C27" s="116" t="s">
        <v>104</v>
      </c>
      <c r="D27" s="107">
        <f ca="1">_xll.DBRW($C$9,$C27,$C$13,$E$13,$D$13,$F$13,D$21)</f>
        <v>42948</v>
      </c>
      <c r="E27" s="108" t="str">
        <f ca="1">_xll.DBRW($C$9,$C27,$C$13,$E$13,$D$13,$F$13,E$21)</f>
        <v/>
      </c>
      <c r="F27" s="107">
        <f ca="1">_xll.DBRW($C$9,$C27,$C$13,$E$13,$D$13,$F$13,F$21)</f>
        <v>9</v>
      </c>
      <c r="G27" s="107">
        <f ca="1">_xll.DBRW($C$9,$C27,$C$13,$E$13,$D$13,$F$13,G$21)</f>
        <v>43</v>
      </c>
      <c r="H27" s="109">
        <f ca="1">_xll.DBRW($C$9,$C27,$C$13,$E$13,$D$13,$F$13,H$21)</f>
        <v>0.20930232558139536</v>
      </c>
      <c r="I27" s="107">
        <f ca="1">_xll.DBRW($C$9,$C27,$C$13,$E$13,$D$13,$F$13,I$21)</f>
        <v>9025.5980821504072</v>
      </c>
      <c r="J27" s="107">
        <f ca="1">_xll.DBRW($C$9,$C27,$C$13,$E$13,$D$13,$F$13,J$21)</f>
        <v>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</row>
    <row r="28" spans="1:255" customFormat="1" ht="15" customHeight="1" x14ac:dyDescent="0.25">
      <c r="A28" s="66" t="str">
        <f ca="1">IF(_xll.TM1RPTELISCONSOLIDATED($C$22,$C28),IF(_xll.TM1RPTELLEV($C$22,$C28)&lt;=3,_xll.TM1RPTELLEV($C$22,$C28),"D"),"N")</f>
        <v>N</v>
      </c>
      <c r="B28" s="66"/>
      <c r="C28" s="118" t="s">
        <v>105</v>
      </c>
      <c r="D28" s="110">
        <f ca="1">_xll.DBRW($C$9,$C28,$C$13,$E$13,$D$13,$F$13,D$21)</f>
        <v>42948</v>
      </c>
      <c r="E28" s="111" t="str">
        <f ca="1">_xll.DBRW($C$9,$C28,$C$13,$E$13,$D$13,$F$13,E$21)</f>
        <v/>
      </c>
      <c r="F28" s="110">
        <f ca="1">_xll.DBRW($C$9,$C28,$C$13,$E$13,$D$13,$F$13,F$21)</f>
        <v>5</v>
      </c>
      <c r="G28" s="110">
        <f ca="1">_xll.DBRW($C$9,$C28,$C$13,$E$13,$D$13,$F$13,G$21)</f>
        <v>43</v>
      </c>
      <c r="H28" s="112">
        <f ca="1">_xll.DBRW($C$9,$C28,$C$13,$E$13,$D$13,$F$13,H$21)</f>
        <v>0.11627906976744186</v>
      </c>
      <c r="I28" s="110">
        <f ca="1">_xll.DBRW($C$9,$C28,$C$13,$E$13,$D$13,$F$13,I$21)</f>
        <v>5014.2211567502272</v>
      </c>
      <c r="J28" s="110">
        <f ca="1">_xll.DBRW($C$9,$C28,$C$13,$E$13,$D$13,$F$13,J$21)</f>
        <v>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</row>
    <row r="29" spans="1:255" customFormat="1" ht="15" customHeight="1" x14ac:dyDescent="0.25">
      <c r="A29" s="66" t="str">
        <f ca="1">IF(_xll.TM1RPTELISCONSOLIDATED($C$22,$C29),IF(_xll.TM1RPTELLEV($C$22,$C29)&lt;=3,_xll.TM1RPTELLEV($C$22,$C29),"D"),"N")</f>
        <v>N</v>
      </c>
      <c r="B29" s="66"/>
      <c r="C29" s="118" t="s">
        <v>106</v>
      </c>
      <c r="D29" s="110">
        <f ca="1">_xll.DBRW($C$9,$C29,$C$13,$E$13,$D$13,$F$13,D$21)</f>
        <v>42948</v>
      </c>
      <c r="E29" s="111" t="str">
        <f ca="1">_xll.DBRW($C$9,$C29,$C$13,$E$13,$D$13,$F$13,E$21)</f>
        <v/>
      </c>
      <c r="F29" s="110">
        <f ca="1">_xll.DBRW($C$9,$C29,$C$13,$E$13,$D$13,$F$13,F$21)</f>
        <v>4</v>
      </c>
      <c r="G29" s="110">
        <f ca="1">_xll.DBRW($C$9,$C29,$C$13,$E$13,$D$13,$F$13,G$21)</f>
        <v>43</v>
      </c>
      <c r="H29" s="112">
        <f ca="1">_xll.DBRW($C$9,$C29,$C$13,$E$13,$D$13,$F$13,H$21)</f>
        <v>9.3023255813953487E-2</v>
      </c>
      <c r="I29" s="110">
        <f ca="1">_xll.DBRW($C$9,$C29,$C$13,$E$13,$D$13,$F$13,I$21)</f>
        <v>4011.37692540018</v>
      </c>
      <c r="J29" s="110">
        <f ca="1">_xll.DBRW($C$9,$C29,$C$13,$E$13,$D$13,$F$13,J$21)</f>
        <v>0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</row>
    <row r="30" spans="1:255" customFormat="1" ht="15" customHeight="1" x14ac:dyDescent="0.25">
      <c r="A30" s="66">
        <f ca="1">IF(_xll.TM1RPTELISCONSOLIDATED($C$22,$C30),IF(_xll.TM1RPTELLEV($C$22,$C30)&lt;=3,_xll.TM1RPTELLEV($C$22,$C30),"D"),"N")</f>
        <v>1</v>
      </c>
      <c r="B30" s="66"/>
      <c r="C30" s="116" t="s">
        <v>263</v>
      </c>
      <c r="D30" s="107">
        <f ca="1">_xll.DBRW($C$9,$C30,$C$13,$E$13,$D$13,$F$13,D$21)</f>
        <v>42948</v>
      </c>
      <c r="E30" s="108" t="str">
        <f ca="1">_xll.DBRW($C$9,$C30,$C$13,$E$13,$D$13,$F$13,E$21)</f>
        <v/>
      </c>
      <c r="F30" s="107">
        <f ca="1">_xll.DBRW($C$9,$C30,$C$13,$E$13,$D$13,$F$13,F$21)</f>
        <v>9.5</v>
      </c>
      <c r="G30" s="107">
        <f ca="1">_xll.DBRW($C$9,$C30,$C$13,$E$13,$D$13,$F$13,G$21)</f>
        <v>43</v>
      </c>
      <c r="H30" s="109">
        <f ca="1">_xll.DBRW($C$9,$C30,$C$13,$E$13,$D$13,$F$13,H$21)</f>
        <v>0.22093023255813954</v>
      </c>
      <c r="I30" s="107">
        <f ca="1">_xll.DBRW($C$9,$C30,$C$13,$E$13,$D$13,$F$13,I$21)</f>
        <v>8932.5019254001818</v>
      </c>
      <c r="J30" s="107">
        <f ca="1">_xll.DBRW($C$9,$C30,$C$13,$E$13,$D$13,$F$13,J$21)</f>
        <v>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</row>
    <row r="31" spans="1:255" customFormat="1" ht="15" customHeight="1" x14ac:dyDescent="0.25">
      <c r="A31" s="66" t="str">
        <f ca="1">IF(_xll.TM1RPTELISCONSOLIDATED($C$22,$C31),IF(_xll.TM1RPTELLEV($C$22,$C31)&lt;=3,_xll.TM1RPTELLEV($C$22,$C31),"D"),"N")</f>
        <v>N</v>
      </c>
      <c r="B31" s="66"/>
      <c r="C31" s="118" t="s">
        <v>107</v>
      </c>
      <c r="D31" s="110">
        <f ca="1">_xll.DBRW($C$9,$C31,$C$13,$E$13,$D$13,$F$13,D$21)</f>
        <v>42948</v>
      </c>
      <c r="E31" s="111" t="str">
        <f ca="1">_xll.DBRW($C$9,$C31,$C$13,$E$13,$D$13,$F$13,E$21)</f>
        <v/>
      </c>
      <c r="F31" s="110">
        <f ca="1">_xll.DBRW($C$9,$C31,$C$13,$E$13,$D$13,$F$13,F$21)</f>
        <v>4.5</v>
      </c>
      <c r="G31" s="110">
        <f ca="1">_xll.DBRW($C$9,$C31,$C$13,$E$13,$D$13,$F$13,G$21)</f>
        <v>43</v>
      </c>
      <c r="H31" s="112">
        <f ca="1">_xll.DBRW($C$9,$C31,$C$13,$E$13,$D$13,$F$13,H$21)</f>
        <v>0.10465116279069768</v>
      </c>
      <c r="I31" s="110">
        <f ca="1">_xll.DBRW($C$9,$C31,$C$13,$E$13,$D$13,$F$13,I$21)</f>
        <v>4512.7990410752045</v>
      </c>
      <c r="J31" s="110">
        <f ca="1">_xll.DBRW($C$9,$C31,$C$13,$E$13,$D$13,$F$13,J$21)</f>
        <v>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</row>
    <row r="32" spans="1:255" customFormat="1" ht="15" customHeight="1" x14ac:dyDescent="0.25">
      <c r="A32" s="66" t="str">
        <f ca="1">IF(_xll.TM1RPTELISCONSOLIDATED($C$22,$C32),IF(_xll.TM1RPTELLEV($C$22,$C32)&lt;=3,_xll.TM1RPTELLEV($C$22,$C32),"D"),"N")</f>
        <v>N</v>
      </c>
      <c r="B32" s="66"/>
      <c r="C32" s="118" t="s">
        <v>108</v>
      </c>
      <c r="D32" s="110">
        <f ca="1">_xll.DBRW($C$9,$C32,$C$13,$E$13,$D$13,$F$13,D$21)</f>
        <v>42948</v>
      </c>
      <c r="E32" s="111" t="str">
        <f ca="1">_xll.DBRW($C$9,$C32,$C$13,$E$13,$D$13,$F$13,E$21)</f>
        <v/>
      </c>
      <c r="F32" s="110">
        <f ca="1">_xll.DBRW($C$9,$C32,$C$13,$E$13,$D$13,$F$13,F$21)</f>
        <v>5</v>
      </c>
      <c r="G32" s="110">
        <f ca="1">_xll.DBRW($C$9,$C32,$C$13,$E$13,$D$13,$F$13,G$21)</f>
        <v>43</v>
      </c>
      <c r="H32" s="112">
        <f ca="1">_xll.DBRW($C$9,$C32,$C$13,$E$13,$D$13,$F$13,H$21)</f>
        <v>0.11627906976744186</v>
      </c>
      <c r="I32" s="110">
        <f ca="1">_xll.DBRW($C$9,$C32,$C$13,$E$13,$D$13,$F$13,I$21)</f>
        <v>4419.7028843249782</v>
      </c>
      <c r="J32" s="110">
        <f ca="1">_xll.DBRW($C$9,$C32,$C$13,$E$13,$D$13,$F$13,J$21)</f>
        <v>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</row>
    <row r="33" spans="1:255" customFormat="1" ht="15" customHeight="1" x14ac:dyDescent="0.25">
      <c r="A33" s="66">
        <f ca="1">IF(_xll.TM1RPTELISCONSOLIDATED($C$22,$C33),IF(_xll.TM1RPTELLEV($C$22,$C33)&lt;=3,_xll.TM1RPTELLEV($C$22,$C33),"D"),"N")</f>
        <v>1</v>
      </c>
      <c r="B33" s="66"/>
      <c r="C33" s="116" t="s">
        <v>109</v>
      </c>
      <c r="D33" s="107">
        <f ca="1">_xll.DBRW($C$9,$C33,$C$13,$E$13,$D$13,$F$13,D$21)</f>
        <v>42948</v>
      </c>
      <c r="E33" s="108" t="str">
        <f ca="1">_xll.DBRW($C$9,$C33,$C$13,$E$13,$D$13,$F$13,E$21)</f>
        <v/>
      </c>
      <c r="F33" s="107">
        <f ca="1">_xll.DBRW($C$9,$C33,$C$13,$E$13,$D$13,$F$13,F$21)</f>
        <v>15</v>
      </c>
      <c r="G33" s="107">
        <f ca="1">_xll.DBRW($C$9,$C33,$C$13,$E$13,$D$13,$F$13,G$21)</f>
        <v>43</v>
      </c>
      <c r="H33" s="109">
        <f ca="1">_xll.DBRW($C$9,$C33,$C$13,$E$13,$D$13,$F$13,H$21)</f>
        <v>0.34883720930232559</v>
      </c>
      <c r="I33" s="107">
        <f ca="1">_xll.DBRW($C$9,$C33,$C$13,$E$13,$D$13,$F$13,I$21)</f>
        <v>15042.663470250682</v>
      </c>
      <c r="J33" s="107">
        <f ca="1">_xll.DBRW($C$9,$C33,$C$13,$E$13,$D$13,$F$13,J$21)</f>
        <v>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</row>
    <row r="34" spans="1:255" customFormat="1" ht="15" customHeight="1" x14ac:dyDescent="0.25">
      <c r="A34" s="66" t="str">
        <f ca="1">IF(_xll.TM1RPTELISCONSOLIDATED($C$22,$C34),IF(_xll.TM1RPTELLEV($C$22,$C34)&lt;=3,_xll.TM1RPTELLEV($C$22,$C34),"D"),"N")</f>
        <v>N</v>
      </c>
      <c r="B34" s="66"/>
      <c r="C34" s="118" t="s">
        <v>264</v>
      </c>
      <c r="D34" s="110">
        <f ca="1">_xll.DBRW($C$9,$C34,$C$13,$E$13,$D$13,$F$13,D$21)</f>
        <v>42948</v>
      </c>
      <c r="E34" s="111" t="str">
        <f ca="1">_xll.DBRW($C$9,$C34,$C$13,$E$13,$D$13,$F$13,E$21)</f>
        <v/>
      </c>
      <c r="F34" s="110">
        <f ca="1">_xll.DBRW($C$9,$C34,$C$13,$E$13,$D$13,$F$13,F$21)</f>
        <v>5</v>
      </c>
      <c r="G34" s="110">
        <f ca="1">_xll.DBRW($C$9,$C34,$C$13,$E$13,$D$13,$F$13,G$21)</f>
        <v>43</v>
      </c>
      <c r="H34" s="112">
        <f ca="1">_xll.DBRW($C$9,$C34,$C$13,$E$13,$D$13,$F$13,H$21)</f>
        <v>0.11627906976744186</v>
      </c>
      <c r="I34" s="110">
        <f ca="1">_xll.DBRW($C$9,$C34,$C$13,$E$13,$D$13,$F$13,I$21)</f>
        <v>5014.2211567502272</v>
      </c>
      <c r="J34" s="110">
        <f ca="1">_xll.DBRW($C$9,$C34,$C$13,$E$13,$D$13,$F$13,J$21)</f>
        <v>0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</row>
    <row r="35" spans="1:255" customFormat="1" ht="15" customHeight="1" x14ac:dyDescent="0.25">
      <c r="A35" s="66" t="str">
        <f ca="1">IF(_xll.TM1RPTELISCONSOLIDATED($C$22,$C35),IF(_xll.TM1RPTELLEV($C$22,$C35)&lt;=3,_xll.TM1RPTELLEV($C$22,$C35),"D"),"N")</f>
        <v>N</v>
      </c>
      <c r="B35" s="66"/>
      <c r="C35" s="118" t="s">
        <v>265</v>
      </c>
      <c r="D35" s="110">
        <f ca="1">_xll.DBRW($C$9,$C35,$C$13,$E$13,$D$13,$F$13,D$21)</f>
        <v>42948</v>
      </c>
      <c r="E35" s="111" t="str">
        <f ca="1">_xll.DBRW($C$9,$C35,$C$13,$E$13,$D$13,$F$13,E$21)</f>
        <v/>
      </c>
      <c r="F35" s="110">
        <f ca="1">_xll.DBRW($C$9,$C35,$C$13,$E$13,$D$13,$F$13,F$21)</f>
        <v>4.5</v>
      </c>
      <c r="G35" s="110">
        <f ca="1">_xll.DBRW($C$9,$C35,$C$13,$E$13,$D$13,$F$13,G$21)</f>
        <v>43</v>
      </c>
      <c r="H35" s="112">
        <f ca="1">_xll.DBRW($C$9,$C35,$C$13,$E$13,$D$13,$F$13,H$21)</f>
        <v>0.10465116279069768</v>
      </c>
      <c r="I35" s="110">
        <f ca="1">_xll.DBRW($C$9,$C35,$C$13,$E$13,$D$13,$F$13,I$21)</f>
        <v>4512.7990410752045</v>
      </c>
      <c r="J35" s="110">
        <f ca="1">_xll.DBRW($C$9,$C35,$C$13,$E$13,$D$13,$F$13,J$21)</f>
        <v>0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</row>
    <row r="36" spans="1:255" customFormat="1" ht="15" customHeight="1" x14ac:dyDescent="0.25">
      <c r="A36" s="66" t="str">
        <f ca="1">IF(_xll.TM1RPTELISCONSOLIDATED($C$22,$C36),IF(_xll.TM1RPTELLEV($C$22,$C36)&lt;=3,_xll.TM1RPTELLEV($C$22,$C36),"D"),"N")</f>
        <v>N</v>
      </c>
      <c r="B36" s="66"/>
      <c r="C36" s="118" t="s">
        <v>266</v>
      </c>
      <c r="D36" s="110">
        <f ca="1">_xll.DBRW($C$9,$C36,$C$13,$E$13,$D$13,$F$13,D$21)</f>
        <v>42948</v>
      </c>
      <c r="E36" s="111" t="str">
        <f ca="1">_xll.DBRW($C$9,$C36,$C$13,$E$13,$D$13,$F$13,E$21)</f>
        <v/>
      </c>
      <c r="F36" s="110">
        <f ca="1">_xll.DBRW($C$9,$C36,$C$13,$E$13,$D$13,$F$13,F$21)</f>
        <v>5.5</v>
      </c>
      <c r="G36" s="110">
        <f ca="1">_xll.DBRW($C$9,$C36,$C$13,$E$13,$D$13,$F$13,G$21)</f>
        <v>43</v>
      </c>
      <c r="H36" s="112">
        <f ca="1">_xll.DBRW($C$9,$C36,$C$13,$E$13,$D$13,$F$13,H$21)</f>
        <v>0.12790697674418605</v>
      </c>
      <c r="I36" s="110">
        <f ca="1">_xll.DBRW($C$9,$C36,$C$13,$E$13,$D$13,$F$13,I$21)</f>
        <v>5515.6432724252491</v>
      </c>
      <c r="J36" s="110">
        <f ca="1">_xll.DBRW($C$9,$C36,$C$13,$E$13,$D$13,$F$13,J$21)</f>
        <v>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</row>
    <row r="37" spans="1:255" ht="15" customHeight="1" x14ac:dyDescent="0.2"/>
    <row r="38" spans="1:255" ht="15" customHeight="1" x14ac:dyDescent="0.2"/>
    <row r="39" spans="1:255" ht="15" customHeight="1" x14ac:dyDescent="0.2"/>
  </sheetData>
  <mergeCells count="8">
    <mergeCell ref="H16:I16"/>
    <mergeCell ref="D15:E15"/>
    <mergeCell ref="D16:E16"/>
    <mergeCell ref="F16:G16"/>
    <mergeCell ref="F12:G12"/>
    <mergeCell ref="F13:G13"/>
    <mergeCell ref="F15:G15"/>
    <mergeCell ref="H15:I15"/>
  </mergeCells>
  <phoneticPr fontId="12" type="noConversion"/>
  <dataValidations count="1">
    <dataValidation allowBlank="1" showInputMessage="1" showErrorMessage="1" error="The value you entered is not valid._x000a_A user has restricted values that can be entered into this cell." sqref="J16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3"/>
  <sheetViews>
    <sheetView showGridLines="0" showRowColHeaders="0" topLeftCell="A2" workbookViewId="0">
      <selection activeCell="A2" sqref="A2"/>
    </sheetView>
  </sheetViews>
  <sheetFormatPr defaultRowHeight="14.25" x14ac:dyDescent="0.2"/>
  <cols>
    <col min="1" max="1" width="1.28515625" style="27" customWidth="1"/>
    <col min="2" max="2" width="14.28515625" style="27" bestFit="1" customWidth="1"/>
    <col min="3" max="3" width="17.5703125" style="27" customWidth="1"/>
    <col min="4" max="4" width="16.5703125" style="27" bestFit="1" customWidth="1"/>
    <col min="5" max="5" width="16" style="27" bestFit="1" customWidth="1"/>
    <col min="6" max="6" width="17.28515625" style="27" bestFit="1" customWidth="1"/>
    <col min="7" max="7" width="7.28515625" style="27" customWidth="1"/>
    <col min="8" max="8" width="12.5703125" style="27" customWidth="1"/>
    <col min="9" max="9" width="12" style="27" customWidth="1"/>
    <col min="10" max="16384" width="9.140625" style="27"/>
  </cols>
  <sheetData>
    <row r="1" spans="1:9" ht="15.75" hidden="1" x14ac:dyDescent="0.2">
      <c r="A1" s="195"/>
      <c r="B1" s="196" t="s">
        <v>61</v>
      </c>
      <c r="C1" s="195" t="str">
        <f ca="1">_xll.VIEW("24retail:Allocation Calculation",$B$5,"!",$E$5,$D$5,$F$5,"!")</f>
        <v>24retail:Allocation Calculation</v>
      </c>
      <c r="D1" s="196"/>
      <c r="E1" s="195"/>
      <c r="F1" s="196"/>
      <c r="G1" s="195"/>
      <c r="H1" s="196"/>
      <c r="I1" s="22"/>
    </row>
    <row r="2" spans="1:9" ht="21.75" customHeight="1" x14ac:dyDescent="0.2">
      <c r="A2" s="74"/>
      <c r="B2" s="74"/>
      <c r="C2" s="74"/>
      <c r="D2" s="74"/>
      <c r="E2" s="74"/>
      <c r="F2" s="74"/>
      <c r="G2" s="74"/>
      <c r="H2" s="74"/>
      <c r="I2" s="74"/>
    </row>
    <row r="3" spans="1:9" ht="40.5" customHeight="1" x14ac:dyDescent="0.2"/>
    <row r="4" spans="1:9" ht="15" customHeight="1" x14ac:dyDescent="0.2">
      <c r="B4" s="197" t="s">
        <v>23</v>
      </c>
      <c r="C4" s="193"/>
      <c r="D4" s="21" t="s">
        <v>54</v>
      </c>
      <c r="E4" s="21" t="s">
        <v>0</v>
      </c>
      <c r="F4" s="21" t="s">
        <v>1</v>
      </c>
    </row>
    <row r="5" spans="1:9" ht="15" customHeight="1" x14ac:dyDescent="0.2">
      <c r="B5" s="194" t="str">
        <f ca="1">_xll.SUBNM("24retail:organization","Default",Organization,"Caption_Base")</f>
        <v>Massachusetts</v>
      </c>
      <c r="C5" s="194"/>
      <c r="D5" s="77" t="str">
        <f ca="1">_xll.SUBNM("24retail:Month","Default","Year")</f>
        <v>Year</v>
      </c>
      <c r="E5" s="77" t="str">
        <f ca="1">_xll.SUBNM("24retail:Year","Default","Y2","Caption_Default")</f>
        <v>2015</v>
      </c>
      <c r="F5" s="77" t="str">
        <f ca="1">_xll.SUBNM("24retail:Version","Current",_xll.DBR("24retail:Calendar","Current Version","String"),"Caption_Default")</f>
        <v>Budget</v>
      </c>
    </row>
    <row r="6" spans="1:9" x14ac:dyDescent="0.2">
      <c r="B6" s="37"/>
      <c r="C6" s="37"/>
    </row>
    <row r="7" spans="1:9" ht="13.5" customHeight="1" x14ac:dyDescent="0.2">
      <c r="B7" s="37"/>
      <c r="C7" s="23" t="s">
        <v>204</v>
      </c>
      <c r="D7" s="23" t="s">
        <v>204</v>
      </c>
      <c r="E7" s="23" t="s">
        <v>197</v>
      </c>
      <c r="F7" s="23" t="s">
        <v>197</v>
      </c>
      <c r="G7" s="23" t="s">
        <v>64</v>
      </c>
      <c r="H7" s="23" t="s">
        <v>206</v>
      </c>
      <c r="I7" s="23" t="s">
        <v>197</v>
      </c>
    </row>
    <row r="8" spans="1:9" ht="13.5" customHeight="1" thickBot="1" x14ac:dyDescent="0.25">
      <c r="B8" s="201"/>
      <c r="C8" s="201" t="s">
        <v>199</v>
      </c>
      <c r="D8" s="201" t="s">
        <v>71</v>
      </c>
      <c r="E8" s="201" t="s">
        <v>205</v>
      </c>
      <c r="F8" s="201" t="s">
        <v>198</v>
      </c>
      <c r="G8" s="201"/>
      <c r="H8" s="201" t="s">
        <v>198</v>
      </c>
      <c r="I8" s="201" t="s">
        <v>201</v>
      </c>
    </row>
    <row r="9" spans="1:9" ht="15" hidden="1" thickTop="1" x14ac:dyDescent="0.2">
      <c r="C9" s="27" t="s">
        <v>2</v>
      </c>
      <c r="D9" s="27" t="s">
        <v>4</v>
      </c>
      <c r="E9" s="27" t="s">
        <v>8</v>
      </c>
      <c r="F9" s="27" t="s">
        <v>65</v>
      </c>
      <c r="G9" s="27" t="s">
        <v>64</v>
      </c>
      <c r="H9" s="27" t="s">
        <v>66</v>
      </c>
      <c r="I9" s="27" t="s">
        <v>66</v>
      </c>
    </row>
    <row r="10" spans="1:9" ht="15" customHeight="1" thickTop="1" x14ac:dyDescent="0.2">
      <c r="B10" s="101" t="s">
        <v>68</v>
      </c>
      <c r="C10" s="120" t="str">
        <f ca="1">_xll.DBRW($C$1,$B$5,$B10,$E$5,$D$5,$F$5,C$9)</f>
        <v>Maryland</v>
      </c>
      <c r="D10" s="121" t="str">
        <f ca="1">_xll.DBRW($C$1,$B$5,$B10,$E$5,$D$5,$F$5,D$9)</f>
        <v>6299 TRAVEL</v>
      </c>
      <c r="E10" s="121" t="str">
        <f ca="1">_xll.DBRW($C$1,$B$5,$B10,$E$5,$D$5,$F$5,E$9)</f>
        <v>FTE</v>
      </c>
      <c r="F10" s="122">
        <f ca="1">_xll.DBRW($C$1,$B$5,$B10,$E$5,$D$5,$F$5,F$9)</f>
        <v>4431.5932497734811</v>
      </c>
      <c r="G10" s="123">
        <f ca="1">_xll.DBRW($C$1,$B$5,$B10,$E$5,$D$5,$F$5,G$9)</f>
        <v>9.3023255813953487E-2</v>
      </c>
      <c r="H10" s="124">
        <f ca="1">_xll.DBRW($C$1,$B$5,$B10,$E$5,$D$5,$F$5,H$9)</f>
        <v>0</v>
      </c>
      <c r="I10" s="124">
        <f ca="1">IF(ISERR(F10+H10),0,F10+H10)</f>
        <v>4431.5932497734811</v>
      </c>
    </row>
    <row r="11" spans="1:9" ht="15" customHeight="1" x14ac:dyDescent="0.2">
      <c r="B11" s="101" t="s">
        <v>13</v>
      </c>
      <c r="C11" s="120" t="str">
        <f ca="1">_xll.DBRW($C$1,$B$5,$B11,$E$5,$D$5,$F$5,C$9)</f>
        <v>Maryland</v>
      </c>
      <c r="D11" s="121" t="str">
        <f ca="1">_xll.DBRW($C$1,$B$5,$B11,$E$5,$D$5,$F$5,D$9)</f>
        <v>6099 PAYROLL</v>
      </c>
      <c r="E11" s="121" t="str">
        <f ca="1">_xll.DBRW($C$1,$B$5,$B11,$E$5,$D$5,$F$5,E$9)</f>
        <v>FTE</v>
      </c>
      <c r="F11" s="122">
        <f ca="1">_xll.DBRW($C$1,$B$5,$B11,$E$5,$D$5,$F$5,F$9)</f>
        <v>58219.837303951092</v>
      </c>
      <c r="G11" s="123">
        <f ca="1">_xll.DBRW($C$1,$B$5,$B11,$E$5,$D$5,$F$5,G$9)</f>
        <v>9.3023255813953487E-2</v>
      </c>
      <c r="H11" s="124">
        <f ca="1">_xll.DBRW($C$1,$B$5,$B11,$E$5,$D$5,$F$5,H$9)</f>
        <v>0</v>
      </c>
      <c r="I11" s="124">
        <f ca="1">IF(ISERR(F11+H11),0,F11+H11)</f>
        <v>58219.837303951092</v>
      </c>
    </row>
    <row r="12" spans="1:9" ht="15" customHeight="1" x14ac:dyDescent="0.2">
      <c r="B12" s="101" t="s">
        <v>14</v>
      </c>
      <c r="C12" s="120" t="str">
        <f ca="1">_xll.DBRW($C$1,$B$5,$B12,$E$5,$D$5,$F$5,C$9)</f>
        <v>Florida</v>
      </c>
      <c r="D12" s="121" t="str">
        <f ca="1">_xll.DBRW($C$1,$B$5,$B12,$E$5,$D$5,$F$5,D$9)</f>
        <v>6399 OCCUPANCY</v>
      </c>
      <c r="E12" s="121" t="str">
        <f ca="1">_xll.DBRW($C$1,$B$5,$B12,$E$5,$D$5,$F$5,E$9)</f>
        <v>Square Footage</v>
      </c>
      <c r="F12" s="122">
        <f ca="1">_xll.DBRW($C$1,$B$5,$B12,$E$5,$D$5,$F$5,F$9)</f>
        <v>6230.7692307692296</v>
      </c>
      <c r="G12" s="123">
        <f ca="1">_xll.DBRW($C$1,$B$5,$B12,$E$5,$D$5,$F$5,G$9)</f>
        <v>1.9230769230769232E-2</v>
      </c>
      <c r="H12" s="124">
        <f ca="1">_xll.DBRW($C$1,$B$5,$B12,$E$5,$D$5,$F$5,H$9)</f>
        <v>0</v>
      </c>
      <c r="I12" s="124">
        <f ca="1">IF(ISERR(F12+H12),0,F12+H12)</f>
        <v>6230.7692307692296</v>
      </c>
    </row>
    <row r="13" spans="1:9" ht="15" customHeight="1" x14ac:dyDescent="0.2">
      <c r="B13" s="101" t="s">
        <v>15</v>
      </c>
      <c r="C13" s="120" t="str">
        <f ca="1">_xll.DBRW($C$1,$B$5,$B13,$E$5,$D$5,$F$5,C$9)</f>
        <v>California</v>
      </c>
      <c r="D13" s="121" t="str">
        <f ca="1">_xll.DBRW($C$1,$B$5,$B13,$E$5,$D$5,$F$5,D$9)</f>
        <v>Total Operating Expense</v>
      </c>
      <c r="E13" s="121" t="str">
        <f ca="1">_xll.DBRW($C$1,$B$5,$B13,$E$5,$D$5,$F$5,E$9)</f>
        <v>4999 Gross Revenue</v>
      </c>
      <c r="F13" s="122">
        <f ca="1">_xll.DBRW($C$1,$B$5,$B13,$E$5,$D$5,$F$5,F$9)</f>
        <v>164627.70543083336</v>
      </c>
      <c r="G13" s="123">
        <f ca="1">_xll.DBRW($C$1,$B$5,$B13,$E$5,$D$5,$F$5,G$9)</f>
        <v>0.10687769148860478</v>
      </c>
      <c r="H13" s="124">
        <f ca="1">_xll.DBRW($C$1,$B$5,$B13,$E$5,$D$5,$F$5,H$9)</f>
        <v>0</v>
      </c>
      <c r="I13" s="124">
        <f ca="1">IF(ISERR(F13+H13),0,F13+H13)</f>
        <v>164627.70543083336</v>
      </c>
    </row>
    <row r="14" spans="1:9" ht="15" customHeight="1" x14ac:dyDescent="0.2">
      <c r="B14" s="101" t="s">
        <v>16</v>
      </c>
      <c r="C14" s="120" t="str">
        <f ca="1">_xll.DBRW($C$1,$B$5,$B14,$E$5,$D$5,$F$5,C$9)</f>
        <v>Florida</v>
      </c>
      <c r="D14" s="121" t="str">
        <f ca="1">_xll.DBRW($C$1,$B$5,$B14,$E$5,$D$5,$F$5,D$9)</f>
        <v>Total Operating Expense</v>
      </c>
      <c r="E14" s="121" t="str">
        <f ca="1">_xll.DBRW($C$1,$B$5,$B14,$E$5,$D$5,$F$5,E$9)</f>
        <v>Net Profit</v>
      </c>
      <c r="F14" s="122">
        <f ca="1">_xll.DBRW($C$1,$B$5,$B14,$E$5,$D$5,$F$5,F$9)</f>
        <v>90884.291058109127</v>
      </c>
      <c r="G14" s="123">
        <f ca="1">_xll.DBRW($C$1,$B$5,$B14,$E$5,$D$5,$F$5,G$9)</f>
        <v>4.899311365015506E-2</v>
      </c>
      <c r="H14" s="124">
        <f ca="1">_xll.DBRW($C$1,$B$5,$B14,$E$5,$D$5,$F$5,H$9)</f>
        <v>0</v>
      </c>
      <c r="I14" s="124">
        <f t="shared" ref="I14:I19" ca="1" si="0">IF(ISERR(F14+H14),0,F14+H14)</f>
        <v>90884.291058109127</v>
      </c>
    </row>
    <row r="15" spans="1:9" ht="15" customHeight="1" x14ac:dyDescent="0.2">
      <c r="B15" s="101" t="s">
        <v>17</v>
      </c>
      <c r="C15" s="120" t="str">
        <f ca="1">_xll.DBRW($C$1,$B$5,$B15,$E$5,$D$5,$F$5,C$9)</f>
        <v>Kentucky</v>
      </c>
      <c r="D15" s="121" t="str">
        <f ca="1">_xll.DBRW($C$1,$B$5,$B15,$E$5,$D$5,$F$5,D$9)</f>
        <v>6120 Office Supplies</v>
      </c>
      <c r="E15" s="121" t="str">
        <f ca="1">_xll.DBRW($C$1,$B$5,$B15,$E$5,$D$5,$F$5,E$9)</f>
        <v>FTE</v>
      </c>
      <c r="F15" s="122">
        <f ca="1">_xll.DBRW($C$1,$B$5,$B15,$E$5,$D$5,$F$5,F$9)</f>
        <v>0</v>
      </c>
      <c r="G15" s="123">
        <f ca="1">_xll.DBRW($C$1,$B$5,$B15,$E$5,$D$5,$F$5,G$9)</f>
        <v>8.5106382978723402E-2</v>
      </c>
      <c r="H15" s="124">
        <f ca="1">_xll.DBRW($C$1,$B$5,$B15,$E$5,$D$5,$F$5,H$9)</f>
        <v>0</v>
      </c>
      <c r="I15" s="124">
        <f t="shared" ca="1" si="0"/>
        <v>0</v>
      </c>
    </row>
    <row r="16" spans="1:9" ht="15" customHeight="1" x14ac:dyDescent="0.2">
      <c r="B16" s="101" t="s">
        <v>18</v>
      </c>
      <c r="C16" s="120" t="str">
        <f ca="1">_xll.DBRW($C$1,$B$5,$B16,$E$5,$D$5,$F$5,C$9)</f>
        <v>South Carolina</v>
      </c>
      <c r="D16" s="121" t="str">
        <f ca="1">_xll.DBRW($C$1,$B$5,$B16,$E$5,$D$5,$F$5,D$9)</f>
        <v>6000 Salaries</v>
      </c>
      <c r="E16" s="121" t="str">
        <f ca="1">_xll.DBRW($C$1,$B$5,$B16,$E$5,$D$5,$F$5,E$9)</f>
        <v>Net Profit</v>
      </c>
      <c r="F16" s="122">
        <f ca="1">_xll.DBRW($C$1,$B$5,$B16,$E$5,$D$5,$F$5,F$9)</f>
        <v>0</v>
      </c>
      <c r="G16" s="123">
        <f ca="1">_xll.DBRW($C$1,$B$5,$B16,$E$5,$D$5,$F$5,G$9)</f>
        <v>4.6898166848796073E-2</v>
      </c>
      <c r="H16" s="124">
        <f ca="1">_xll.DBRW($C$1,$B$5,$B16,$E$5,$D$5,$F$5,H$9)</f>
        <v>0</v>
      </c>
      <c r="I16" s="124">
        <f t="shared" ca="1" si="0"/>
        <v>0</v>
      </c>
    </row>
    <row r="17" spans="2:9" ht="15" customHeight="1" x14ac:dyDescent="0.2">
      <c r="B17" s="101" t="s">
        <v>19</v>
      </c>
      <c r="C17" s="120" t="str">
        <f ca="1">_xll.DBRW($C$1,$B$5,$B17,$E$5,$D$5,$F$5,C$9)</f>
        <v>Georgia</v>
      </c>
      <c r="D17" s="121" t="str">
        <f ca="1">_xll.DBRW($C$1,$B$5,$B17,$E$5,$D$5,$F$5,D$9)</f>
        <v>Gross Margin</v>
      </c>
      <c r="E17" s="121" t="str">
        <f ca="1">_xll.DBRW($C$1,$B$5,$B17,$E$5,$D$5,$F$5,E$9)</f>
        <v/>
      </c>
      <c r="F17" s="122">
        <f ca="1">_xll.DBRW($C$1,$B$5,$B17,$E$5,$D$5,$F$5,F$9)</f>
        <v>0</v>
      </c>
      <c r="G17" s="123">
        <f ca="1">_xll.DBRW($C$1,$B$5,$B17,$E$5,$D$5,$F$5,G$9)</f>
        <v>0</v>
      </c>
      <c r="H17" s="124">
        <f ca="1">_xll.DBRW($C$1,$B$5,$B17,$E$5,$D$5,$F$5,H$9)</f>
        <v>0</v>
      </c>
      <c r="I17" s="124">
        <f t="shared" ca="1" si="0"/>
        <v>0</v>
      </c>
    </row>
    <row r="18" spans="2:9" ht="15" customHeight="1" x14ac:dyDescent="0.2">
      <c r="B18" s="101" t="s">
        <v>20</v>
      </c>
      <c r="C18" s="120" t="str">
        <f ca="1">_xll.DBRW($C$1,$B$5,$B18,$E$5,$D$5,$F$5,C$9)</f>
        <v/>
      </c>
      <c r="D18" s="121" t="str">
        <f ca="1">_xll.DBRW($C$1,$B$5,$B18,$E$5,$D$5,$F$5,D$9)</f>
        <v/>
      </c>
      <c r="E18" s="121" t="str">
        <f ca="1">_xll.DBRW($C$1,$B$5,$B18,$E$5,$D$5,$F$5,E$9)</f>
        <v/>
      </c>
      <c r="F18" s="122" t="str">
        <f ca="1">_xll.DBRW($C$1,$B$5,$B18,$E$5,$D$5,$F$5,F$9)</f>
        <v/>
      </c>
      <c r="G18" s="123">
        <f ca="1">_xll.DBRW($C$1,$B$5,$B18,$E$5,$D$5,$F$5,G$9)</f>
        <v>0</v>
      </c>
      <c r="H18" s="124" t="str">
        <f ca="1">_xll.DBRW($C$1,$B$5,$B18,$E$5,$D$5,$F$5,H$9)</f>
        <v/>
      </c>
      <c r="I18" s="124">
        <f t="shared" ca="1" si="0"/>
        <v>0</v>
      </c>
    </row>
    <row r="19" spans="2:9" ht="15" customHeight="1" x14ac:dyDescent="0.2">
      <c r="B19" s="101" t="s">
        <v>21</v>
      </c>
      <c r="C19" s="120" t="str">
        <f ca="1">_xll.DBRW($C$1,$B$5,$B19,$E$5,$D$5,$F$5,C$9)</f>
        <v/>
      </c>
      <c r="D19" s="121" t="str">
        <f ca="1">_xll.DBRW($C$1,$B$5,$B19,$E$5,$D$5,$F$5,D$9)</f>
        <v/>
      </c>
      <c r="E19" s="121" t="str">
        <f ca="1">_xll.DBRW($C$1,$B$5,$B19,$E$5,$D$5,$F$5,E$9)</f>
        <v/>
      </c>
      <c r="F19" s="122" t="str">
        <f ca="1">_xll.DBRW($C$1,$B$5,$B19,$E$5,$D$5,$F$5,F$9)</f>
        <v/>
      </c>
      <c r="G19" s="123">
        <f ca="1">_xll.DBRW($C$1,$B$5,$B19,$E$5,$D$5,$F$5,G$9)</f>
        <v>0</v>
      </c>
      <c r="H19" s="124" t="str">
        <f ca="1">_xll.DBRW($C$1,$B$5,$B19,$E$5,$D$5,$F$5,H$9)</f>
        <v/>
      </c>
      <c r="I19" s="124">
        <f t="shared" ca="1" si="0"/>
        <v>0</v>
      </c>
    </row>
    <row r="20" spans="2:9" ht="15" customHeight="1" x14ac:dyDescent="0.2">
      <c r="B20" s="125" t="s">
        <v>67</v>
      </c>
      <c r="C20" s="126"/>
      <c r="D20" s="127"/>
      <c r="E20" s="127"/>
      <c r="F20" s="128">
        <f ca="1">_xll.DBRW($C$1,$B$5,$B20,$E$5,$D$5,$F$5,F$9)</f>
        <v>324394.1962734363</v>
      </c>
      <c r="G20" s="129"/>
      <c r="H20" s="130">
        <f ca="1">_xll.DBRW($C$1,$B$5,$B20,$E$5,$D$5,$F$5,H$9)</f>
        <v>0</v>
      </c>
      <c r="I20" s="130">
        <f ca="1">IF(ISERR(F20+H20),0,F20+H20)</f>
        <v>324394.1962734363</v>
      </c>
    </row>
    <row r="21" spans="2:9" ht="15" customHeight="1" x14ac:dyDescent="0.2"/>
    <row r="22" spans="2:9" ht="15" customHeight="1" x14ac:dyDescent="0.2"/>
    <row r="23" spans="2:9" ht="15" customHeight="1" x14ac:dyDescent="0.2"/>
  </sheetData>
  <mergeCells count="6">
    <mergeCell ref="G1:H1"/>
    <mergeCell ref="B4:C4"/>
    <mergeCell ref="B5:C5"/>
    <mergeCell ref="A1:B1"/>
    <mergeCell ref="C1:D1"/>
    <mergeCell ref="E1:F1"/>
  </mergeCells>
  <phoneticPr fontId="12" type="noConversion"/>
  <conditionalFormatting sqref="B10:I19">
    <cfRule type="expression" dxfId="6" priority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8"/>
  <sheetViews>
    <sheetView showGridLines="0" showRowColHeaders="0" topLeftCell="A2" workbookViewId="0">
      <selection activeCell="A2" sqref="A2"/>
    </sheetView>
  </sheetViews>
  <sheetFormatPr defaultRowHeight="14.25" x14ac:dyDescent="0.2"/>
  <cols>
    <col min="1" max="1" width="1.28515625" style="27" customWidth="1"/>
    <col min="2" max="2" width="23.42578125" style="27" customWidth="1"/>
    <col min="3" max="3" width="9.28515625" style="27" hidden="1" customWidth="1"/>
    <col min="4" max="8" width="12.7109375" style="27" customWidth="1"/>
    <col min="9" max="9" width="10.5703125" style="27" bestFit="1" customWidth="1"/>
    <col min="10" max="16384" width="9.140625" style="27"/>
  </cols>
  <sheetData>
    <row r="1" spans="1:9" ht="49.5" hidden="1" customHeight="1" x14ac:dyDescent="0.2">
      <c r="A1" s="195"/>
      <c r="B1" s="196" t="s">
        <v>61</v>
      </c>
      <c r="C1" s="190"/>
      <c r="D1" s="191" t="str">
        <f ca="1">_xll.VIEW("24retail:Income Statement",$D$5,$B$5,$G$5,$E$5,"!","!")</f>
        <v>24retail:Income Statement</v>
      </c>
      <c r="E1" s="195"/>
      <c r="F1" s="196"/>
      <c r="G1" s="195"/>
      <c r="H1" s="196"/>
    </row>
    <row r="2" spans="1:9" ht="37.5" customHeight="1" x14ac:dyDescent="0.2">
      <c r="A2" s="74"/>
      <c r="B2" s="74"/>
      <c r="C2" s="74" t="s">
        <v>113</v>
      </c>
      <c r="D2" s="74"/>
      <c r="E2" s="74"/>
      <c r="F2" s="74"/>
      <c r="G2" s="74"/>
      <c r="H2" s="74"/>
    </row>
    <row r="3" spans="1:9" ht="24" customHeight="1" x14ac:dyDescent="0.2"/>
    <row r="4" spans="1:9" s="39" customFormat="1" x14ac:dyDescent="0.25">
      <c r="B4" s="21" t="s">
        <v>23</v>
      </c>
      <c r="C4" s="21"/>
      <c r="D4" s="21" t="s">
        <v>114</v>
      </c>
      <c r="E4" s="192" t="s">
        <v>54</v>
      </c>
      <c r="F4" s="193"/>
      <c r="G4" s="192" t="s">
        <v>0</v>
      </c>
      <c r="H4" s="193"/>
    </row>
    <row r="5" spans="1:9" s="39" customFormat="1" x14ac:dyDescent="0.25">
      <c r="B5" s="77" t="str">
        <f ca="1">_xll.SUBNM("24retail:organization","Workflow",Organization,"Caption_Default")</f>
        <v>Massachusetts</v>
      </c>
      <c r="C5" s="77"/>
      <c r="D5" s="77" t="str">
        <f ca="1">_xll.SUBNM("24retail:Currency Calc","Default","Local")</f>
        <v>Local</v>
      </c>
      <c r="E5" s="194" t="str">
        <f ca="1">_xll.SUBNM("24retail:Month","MY","Year")</f>
        <v>Year</v>
      </c>
      <c r="F5" s="194"/>
      <c r="G5" s="194" t="str">
        <f ca="1">_xll.SUBNM("24retail:Year","Default","Y2","Caption_Default")</f>
        <v>2015</v>
      </c>
      <c r="H5" s="194"/>
    </row>
    <row r="6" spans="1:9" ht="6" customHeight="1" x14ac:dyDescent="0.2"/>
    <row r="7" spans="1:9" s="40" customFormat="1" ht="21" customHeight="1" thickBot="1" x14ac:dyDescent="0.3">
      <c r="B7" s="201"/>
      <c r="C7" s="203"/>
      <c r="D7" s="201" t="s">
        <v>115</v>
      </c>
      <c r="E7" s="201" t="s">
        <v>57</v>
      </c>
      <c r="F7" s="201" t="str">
        <f ca="1">F8</f>
        <v>Budget</v>
      </c>
      <c r="G7" s="201" t="s">
        <v>116</v>
      </c>
      <c r="H7" s="201" t="s">
        <v>77</v>
      </c>
    </row>
    <row r="8" spans="1:9" ht="15" hidden="1" thickBot="1" x14ac:dyDescent="0.25">
      <c r="D8" s="41" t="s">
        <v>99</v>
      </c>
      <c r="E8" s="41" t="s">
        <v>57</v>
      </c>
      <c r="F8" s="41" t="str">
        <f ca="1">_xll.SUBNM("24retail:Version","Current",_xll.DBR("24retail:Calendar","Current Version","String"),"Caption_Default")</f>
        <v>Budget</v>
      </c>
      <c r="G8" s="41" t="s">
        <v>58</v>
      </c>
      <c r="H8" s="41" t="s">
        <v>59</v>
      </c>
    </row>
    <row r="9" spans="1:9" s="131" customFormat="1" ht="15" customHeight="1" thickTop="1" x14ac:dyDescent="0.2">
      <c r="B9" s="149" t="s">
        <v>43</v>
      </c>
      <c r="C9" s="132"/>
      <c r="D9" s="133"/>
      <c r="E9" s="133"/>
      <c r="F9" s="133"/>
      <c r="G9" s="133"/>
      <c r="H9" s="134"/>
    </row>
    <row r="10" spans="1:9" s="83" customFormat="1" ht="15" customHeight="1" x14ac:dyDescent="0.2">
      <c r="B10" s="150" t="s">
        <v>117</v>
      </c>
      <c r="C10" s="145">
        <v>4999</v>
      </c>
      <c r="D10" s="146">
        <f ca="1">_xll.DBRW($D$1,$D$5,$B$5,$G$5,$E$5,$C10,D$8)</f>
        <v>10592822.336328186</v>
      </c>
      <c r="E10" s="146">
        <f ca="1">_xll.DBRW($D$1,$D$5,$B$5,$G$5,$E$5,$C10,E$8)</f>
        <v>9300</v>
      </c>
      <c r="F10" s="146">
        <f ca="1">_xll.DBRW($D$1,$D$5,$B$5,$G$5,$E$5,$C10,F$8)</f>
        <v>10538527.316773167</v>
      </c>
      <c r="G10" s="146">
        <f ca="1">_xll.DBRW($D$1,$D$5,$B$5,$G$5,$E$5,$C10,G$8)</f>
        <v>-3717400.559514869</v>
      </c>
      <c r="H10" s="147">
        <f ca="1">_xll.DBRW($D$1,$D$5,$B$5,$G$5,$E$5,$C10,H$8)</f>
        <v>-35.274383675964266</v>
      </c>
      <c r="I10" s="148"/>
    </row>
    <row r="11" spans="1:9" s="83" customFormat="1" ht="15" customHeight="1" x14ac:dyDescent="0.2">
      <c r="B11" s="150" t="s">
        <v>118</v>
      </c>
      <c r="C11" s="145">
        <v>5999</v>
      </c>
      <c r="D11" s="146">
        <f ca="1">_xll.DBRW($D$1,$D$5,$B$5,$G$5,$E$5,$C11,D$8)</f>
        <v>8811382.6706150007</v>
      </c>
      <c r="E11" s="146" t="str">
        <f ca="1">_xll.DBRW($D$1,$D$5,$B$5,$G$5,$E$5,$C11,E$8)</f>
        <v/>
      </c>
      <c r="F11" s="146">
        <f ca="1">_xll.DBRW($D$1,$D$5,$B$5,$G$5,$E$5,$C11,F$8)</f>
        <v>7423039.2445113566</v>
      </c>
      <c r="G11" s="146">
        <f ca="1">_xll.DBRW($D$1,$D$5,$B$5,$G$5,$E$5,$C11,G$8)</f>
        <v>1707458.8171201572</v>
      </c>
      <c r="H11" s="147">
        <f ca="1">_xll.DBRW($D$1,$D$5,$B$5,$G$5,$E$5,$C11,H$8)</f>
        <v>23.002152634214664</v>
      </c>
    </row>
    <row r="12" spans="1:9" s="83" customFormat="1" ht="15" customHeight="1" x14ac:dyDescent="0.2">
      <c r="B12" s="151" t="s">
        <v>43</v>
      </c>
      <c r="C12" s="145" t="s">
        <v>220</v>
      </c>
      <c r="D12" s="146">
        <f ca="1">_xll.DBRW($D$1,$D$5,$B$5,$G$5,$E$5,$C12,D$8)</f>
        <v>1781439.6657131873</v>
      </c>
      <c r="E12" s="146">
        <f ca="1">_xll.DBRW($D$1,$D$5,$B$5,$G$5,$E$5,$C12,E$8)</f>
        <v>9300</v>
      </c>
      <c r="F12" s="146">
        <f ca="1">_xll.DBRW($D$1,$D$5,$B$5,$G$5,$E$5,$C12,F$8)</f>
        <v>3115488.0722618103</v>
      </c>
      <c r="G12" s="146">
        <f ca="1">_xll.DBRW($D$1,$D$5,$B$5,$G$5,$E$5,$C12,G$8)</f>
        <v>-2009941.7423947125</v>
      </c>
      <c r="H12" s="147">
        <f ca="1">_xll.DBRW($D$1,$D$5,$B$5,$G$5,$E$5,$C12,H$8)</f>
        <v>-64.514506099056149</v>
      </c>
    </row>
    <row r="13" spans="1:9" s="131" customFormat="1" ht="15" customHeight="1" x14ac:dyDescent="0.2">
      <c r="B13" s="152" t="s">
        <v>119</v>
      </c>
      <c r="C13" s="135"/>
      <c r="D13" s="136"/>
      <c r="E13" s="136"/>
      <c r="F13" s="136"/>
      <c r="G13" s="136"/>
      <c r="H13" s="137"/>
    </row>
    <row r="14" spans="1:9" s="83" customFormat="1" ht="15" customHeight="1" x14ac:dyDescent="0.2">
      <c r="B14" s="150" t="s">
        <v>90</v>
      </c>
      <c r="C14" s="145">
        <v>6099</v>
      </c>
      <c r="D14" s="146">
        <f ca="1">_xll.DBRW($D$1,$D$5,$B$5,$G$5,$E$5,$C14,D$8)</f>
        <v>710411.91797512444</v>
      </c>
      <c r="E14" s="146" t="str">
        <f ca="1">_xll.DBRW($D$1,$D$5,$B$5,$G$5,$E$5,$C14,E$8)</f>
        <v/>
      </c>
      <c r="F14" s="146">
        <f ca="1">_xll.DBRW($D$1,$D$5,$B$5,$G$5,$E$5,$C14,F$8)</f>
        <v>605592.74215581082</v>
      </c>
      <c r="G14" s="146">
        <f ca="1">_xll.DBRW($D$1,$D$5,$B$5,$G$5,$E$5,$C14,G$8)</f>
        <v>-75125.489209061256</v>
      </c>
      <c r="H14" s="147">
        <f ca="1">_xll.DBRW($D$1,$D$5,$B$5,$G$5,$E$5,$C14,H$8)</f>
        <v>-12.405282292787533</v>
      </c>
    </row>
    <row r="15" spans="1:9" s="83" customFormat="1" ht="15" customHeight="1" x14ac:dyDescent="0.2">
      <c r="B15" s="150" t="s">
        <v>73</v>
      </c>
      <c r="C15" s="145">
        <v>6199</v>
      </c>
      <c r="D15" s="146">
        <f ca="1">_xll.DBRW($D$1,$D$5,$B$5,$G$5,$E$5,$C15,D$8)</f>
        <v>67120.542625874237</v>
      </c>
      <c r="E15" s="146" t="str">
        <f ca="1">_xll.DBRW($D$1,$D$5,$B$5,$G$5,$E$5,$C15,E$8)</f>
        <v/>
      </c>
      <c r="F15" s="146">
        <f ca="1">_xll.DBRW($D$1,$D$5,$B$5,$G$5,$E$5,$C15,F$8)</f>
        <v>66994.75999999998</v>
      </c>
      <c r="G15" s="146">
        <f ca="1">_xll.DBRW($D$1,$D$5,$B$5,$G$5,$E$5,$C15,G$8)</f>
        <v>1090.7599999999802</v>
      </c>
      <c r="H15" s="147">
        <f ca="1">_xll.DBRW($D$1,$D$5,$B$5,$G$5,$E$5,$C15,H$8)</f>
        <v>1.6281273341377454</v>
      </c>
    </row>
    <row r="16" spans="1:9" s="83" customFormat="1" ht="15" customHeight="1" x14ac:dyDescent="0.2">
      <c r="B16" s="150" t="s">
        <v>92</v>
      </c>
      <c r="C16" s="145">
        <v>6299</v>
      </c>
      <c r="D16" s="146">
        <f ca="1">_xll.DBRW($D$1,$D$5,$B$5,$G$5,$E$5,$C16,D$8)</f>
        <v>45415.518284643775</v>
      </c>
      <c r="E16" s="146" t="str">
        <f ca="1">_xll.DBRW($D$1,$D$5,$B$5,$G$5,$E$5,$C16,E$8)</f>
        <v/>
      </c>
      <c r="F16" s="146">
        <f ca="1">_xll.DBRW($D$1,$D$5,$B$5,$G$5,$E$5,$C16,F$8)</f>
        <v>45228</v>
      </c>
      <c r="G16" s="146">
        <f ca="1">_xll.DBRW($D$1,$D$5,$B$5,$G$5,$E$5,$C16,G$8)</f>
        <v>2280</v>
      </c>
      <c r="H16" s="147">
        <f ca="1">_xll.DBRW($D$1,$D$5,$B$5,$G$5,$E$5,$C16,H$8)</f>
        <v>5.0411249668347047</v>
      </c>
    </row>
    <row r="17" spans="2:13" s="83" customFormat="1" ht="15" customHeight="1" x14ac:dyDescent="0.2">
      <c r="B17" s="150" t="s">
        <v>93</v>
      </c>
      <c r="C17" s="145">
        <v>6399</v>
      </c>
      <c r="D17" s="146">
        <f ca="1">_xll.DBRW($D$1,$D$5,$B$5,$G$5,$E$5,$C17,D$8)</f>
        <v>536653.70116066164</v>
      </c>
      <c r="E17" s="146" t="str">
        <f ca="1">_xll.DBRW($D$1,$D$5,$B$5,$G$5,$E$5,$C17,E$8)</f>
        <v/>
      </c>
      <c r="F17" s="146">
        <f ca="1">_xll.DBRW($D$1,$D$5,$B$5,$G$5,$E$5,$C17,F$8)</f>
        <v>320000</v>
      </c>
      <c r="G17" s="146">
        <f ca="1">_xll.DBRW($D$1,$D$5,$B$5,$G$5,$E$5,$C17,G$8)</f>
        <v>-185797</v>
      </c>
      <c r="H17" s="147">
        <f ca="1">_xll.DBRW($D$1,$D$5,$B$5,$G$5,$E$5,$C17,H$8)</f>
        <v>-58.061562499999994</v>
      </c>
    </row>
    <row r="18" spans="2:13" s="83" customFormat="1" ht="15" customHeight="1" x14ac:dyDescent="0.2">
      <c r="B18" s="150" t="s">
        <v>94</v>
      </c>
      <c r="C18" s="145">
        <v>6499</v>
      </c>
      <c r="D18" s="146">
        <f ca="1">_xll.DBRW($D$1,$D$5,$B$5,$G$5,$E$5,$C18,D$8)</f>
        <v>99851.30396833492</v>
      </c>
      <c r="E18" s="146" t="str">
        <f ca="1">_xll.DBRW($D$1,$D$5,$B$5,$G$5,$E$5,$C18,E$8)</f>
        <v/>
      </c>
      <c r="F18" s="146">
        <f ca="1">_xll.DBRW($D$1,$D$5,$B$5,$G$5,$E$5,$C18,F$8)</f>
        <v>141614.80000000002</v>
      </c>
      <c r="G18" s="146">
        <f ca="1">_xll.DBRW($D$1,$D$5,$B$5,$G$5,$E$5,$C18,G$8)</f>
        <v>41390.800000000017</v>
      </c>
      <c r="H18" s="147">
        <f ca="1">_xll.DBRW($D$1,$D$5,$B$5,$G$5,$E$5,$C18,H$8)</f>
        <v>29.227736084081616</v>
      </c>
    </row>
    <row r="19" spans="2:13" s="83" customFormat="1" ht="15" customHeight="1" x14ac:dyDescent="0.2">
      <c r="B19" s="150" t="s">
        <v>95</v>
      </c>
      <c r="C19" s="145">
        <v>6599</v>
      </c>
      <c r="D19" s="146">
        <f ca="1">_xll.DBRW($D$1,$D$5,$B$5,$G$5,$E$5,$C19,D$8)</f>
        <v>134270.06256135003</v>
      </c>
      <c r="E19" s="146" t="str">
        <f ca="1">_xll.DBRW($D$1,$D$5,$B$5,$G$5,$E$5,$C19,E$8)</f>
        <v/>
      </c>
      <c r="F19" s="146">
        <f ca="1">_xll.DBRW($D$1,$D$5,$B$5,$G$5,$E$5,$C19,F$8)</f>
        <v>87500</v>
      </c>
      <c r="G19" s="146">
        <f ca="1">_xll.DBRW($D$1,$D$5,$B$5,$G$5,$E$5,$C19,G$8)</f>
        <v>-56500</v>
      </c>
      <c r="H19" s="147">
        <f ca="1">_xll.DBRW($D$1,$D$5,$B$5,$G$5,$E$5,$C19,H$8)</f>
        <v>-64.571428571428569</v>
      </c>
    </row>
    <row r="20" spans="2:13" s="83" customFormat="1" ht="15" customHeight="1" x14ac:dyDescent="0.2">
      <c r="B20" s="151" t="s">
        <v>50</v>
      </c>
      <c r="C20" s="145" t="s">
        <v>227</v>
      </c>
      <c r="D20" s="146">
        <f ca="1">_xll.DBRW($D$1,$D$5,$B$5,$G$5,$E$5,$C20,D$8)</f>
        <v>1593723.0465759889</v>
      </c>
      <c r="E20" s="146" t="str">
        <f ca="1">_xll.DBRW($D$1,$D$5,$B$5,$G$5,$E$5,$C20,E$8)</f>
        <v/>
      </c>
      <c r="F20" s="146">
        <f ca="1">_xll.DBRW($D$1,$D$5,$B$5,$G$5,$E$5,$C20,F$8)</f>
        <v>1266930.3021558109</v>
      </c>
      <c r="G20" s="146">
        <f ca="1">_xll.DBRW($D$1,$D$5,$B$5,$G$5,$E$5,$C20,G$8)</f>
        <v>-272660.9292090612</v>
      </c>
      <c r="H20" s="147">
        <f ca="1">_xll.DBRW($D$1,$D$5,$B$5,$G$5,$E$5,$C20,H$8)</f>
        <v>-21.521383516133515</v>
      </c>
    </row>
    <row r="21" spans="2:13" s="40" customFormat="1" ht="15" customHeight="1" x14ac:dyDescent="0.2">
      <c r="B21" s="153"/>
      <c r="C21" s="45"/>
      <c r="D21" s="38"/>
      <c r="E21" s="38"/>
      <c r="F21" s="38"/>
      <c r="G21" s="38"/>
      <c r="H21" s="47"/>
    </row>
    <row r="22" spans="2:13" s="141" customFormat="1" ht="15" customHeight="1" x14ac:dyDescent="0.2">
      <c r="B22" s="154" t="s">
        <v>51</v>
      </c>
      <c r="C22" s="138" t="s">
        <v>228</v>
      </c>
      <c r="D22" s="139">
        <f ca="1">_xll.DBRW($D$1,$D$5,$B$5,$G$5,$E$5,$C22,D$8)</f>
        <v>187716.61913719832</v>
      </c>
      <c r="E22" s="139">
        <f ca="1">_xll.DBRW($D$1,$D$5,$B$5,$G$5,$E$5,$C22,E$8)</f>
        <v>9300</v>
      </c>
      <c r="F22" s="139">
        <f ca="1">_xll.DBRW($D$1,$D$5,$B$5,$G$5,$E$5,$C22,F$8)</f>
        <v>1848557.7701059999</v>
      </c>
      <c r="G22" s="139">
        <f ca="1">_xll.DBRW($D$1,$D$5,$B$5,$G$5,$E$5,$C22,G$8)</f>
        <v>-2282602.6716037737</v>
      </c>
      <c r="H22" s="140">
        <f ca="1">_xll.DBRW($D$1,$D$5,$B$5,$G$5,$E$5,$C22,H$8)</f>
        <v>-123.48019134251264</v>
      </c>
    </row>
    <row r="23" spans="2:13" ht="15" customHeight="1" x14ac:dyDescent="0.2">
      <c r="B23" s="155"/>
      <c r="C23" s="48"/>
      <c r="D23" s="49"/>
      <c r="E23" s="49"/>
      <c r="F23" s="49"/>
      <c r="G23" s="49"/>
      <c r="H23" s="26"/>
    </row>
    <row r="24" spans="2:13" s="141" customFormat="1" ht="15" customHeight="1" x14ac:dyDescent="0.2">
      <c r="B24" s="154" t="s">
        <v>120</v>
      </c>
      <c r="C24" s="138">
        <v>6699</v>
      </c>
      <c r="D24" s="139">
        <f ca="1">_xll.DBRW($D$1,$D$5,$B$5,$G$5,$E$5,$C24,D$8)</f>
        <v>11965.313357304512</v>
      </c>
      <c r="E24" s="139">
        <f ca="1">_xll.DBRW($D$1,$D$5,$B$5,$G$5,$E$5,$C24,E$8)</f>
        <v>0</v>
      </c>
      <c r="F24" s="139">
        <f ca="1">_xll.DBRW($D$1,$D$5,$B$5,$G$5,$E$5,$C24,F$8)</f>
        <v>324394.1962734363</v>
      </c>
      <c r="G24" s="139">
        <f ca="1">_xll.DBRW($D$1,$D$5,$B$5,$G$5,$E$5,$C24,G$8)</f>
        <v>292665.31084495608</v>
      </c>
      <c r="H24" s="140">
        <f ca="1">_xll.DBRW($D$1,$D$5,$B$5,$G$5,$E$5,$C24,H$8)</f>
        <v>90.219034189583496</v>
      </c>
    </row>
    <row r="25" spans="2:13" s="40" customFormat="1" ht="15" customHeight="1" x14ac:dyDescent="0.2">
      <c r="B25" s="153"/>
      <c r="C25" s="45"/>
      <c r="D25" s="38"/>
      <c r="E25" s="38"/>
      <c r="F25" s="38"/>
      <c r="G25" s="38"/>
      <c r="H25" s="47"/>
      <c r="M25" s="27"/>
    </row>
    <row r="26" spans="2:13" s="141" customFormat="1" ht="15" customHeight="1" x14ac:dyDescent="0.2">
      <c r="B26" s="156" t="s">
        <v>53</v>
      </c>
      <c r="C26" s="142" t="s">
        <v>230</v>
      </c>
      <c r="D26" s="143">
        <f ca="1">_xll.DBRW($D$1,$D$5,$B$5,$G$5,$E$5,$C26,D$8)</f>
        <v>175751.30577989377</v>
      </c>
      <c r="E26" s="143">
        <f ca="1">_xll.DBRW($D$1,$D$5,$B$5,$G$5,$E$5,$C26,E$8)</f>
        <v>9300</v>
      </c>
      <c r="F26" s="143">
        <f ca="1">_xll.DBRW($D$1,$D$5,$B$5,$G$5,$E$5,$C26,F$8)</f>
        <v>1524163.5738325636</v>
      </c>
      <c r="G26" s="143">
        <f ca="1">_xll.DBRW($D$1,$D$5,$B$5,$G$5,$E$5,$C26,G$8)</f>
        <v>-1989937.3607588178</v>
      </c>
      <c r="H26" s="144">
        <f ca="1">_xll.DBRW($D$1,$D$5,$B$5,$G$5,$E$5,$C26,H$8)</f>
        <v>-130.5593044554299</v>
      </c>
    </row>
    <row r="27" spans="2:13" ht="15" customHeight="1" x14ac:dyDescent="0.2">
      <c r="D27" s="42"/>
      <c r="E27" s="42"/>
      <c r="F27" s="42"/>
      <c r="G27" s="42"/>
      <c r="H27" s="43"/>
    </row>
    <row r="28" spans="2:13" ht="15" customHeight="1" x14ac:dyDescent="0.2">
      <c r="H28" s="44"/>
    </row>
  </sheetData>
  <mergeCells count="7">
    <mergeCell ref="E4:F4"/>
    <mergeCell ref="G4:H4"/>
    <mergeCell ref="E5:F5"/>
    <mergeCell ref="G5:H5"/>
    <mergeCell ref="A1:B1"/>
    <mergeCell ref="E1:F1"/>
    <mergeCell ref="G1:H1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103"/>
  <sheetViews>
    <sheetView showGridLines="0" showRowColHeaders="0" topLeftCell="B82" zoomScaleNormal="100" workbookViewId="0">
      <selection activeCell="B82" sqref="B82"/>
    </sheetView>
  </sheetViews>
  <sheetFormatPr defaultRowHeight="14.25" x14ac:dyDescent="0.2"/>
  <cols>
    <col min="1" max="1" width="2.7109375" style="27" hidden="1" customWidth="1"/>
    <col min="2" max="2" width="1.28515625" style="27" customWidth="1"/>
    <col min="3" max="3" width="28.85546875" style="27" customWidth="1"/>
    <col min="4" max="4" width="19.85546875" style="27" customWidth="1"/>
    <col min="5" max="8" width="10.85546875" style="27" customWidth="1"/>
    <col min="9" max="9" width="11.85546875" style="27" customWidth="1"/>
    <col min="10" max="16" width="10.85546875" style="27" customWidth="1"/>
    <col min="17" max="17" width="12.140625" style="27" customWidth="1"/>
    <col min="18" max="16384" width="9.140625" style="27"/>
  </cols>
  <sheetData>
    <row r="1" spans="1:18" hidden="1" x14ac:dyDescent="0.2">
      <c r="A1" s="27" t="s">
        <v>11</v>
      </c>
    </row>
    <row r="2" spans="1:18" s="56" customFormat="1" ht="12" hidden="1" x14ac:dyDescent="0.2">
      <c r="A2" s="55" t="s">
        <v>207</v>
      </c>
      <c r="B2" s="63"/>
      <c r="C2" s="114"/>
      <c r="D2" s="168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63"/>
      <c r="R2" s="60"/>
    </row>
    <row r="3" spans="1:18" s="56" customFormat="1" ht="12" hidden="1" x14ac:dyDescent="0.2">
      <c r="A3" s="55" t="s">
        <v>208</v>
      </c>
      <c r="B3" s="63"/>
      <c r="C3" s="114"/>
      <c r="D3" s="168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63"/>
      <c r="R3" s="60"/>
    </row>
    <row r="4" spans="1:18" s="56" customFormat="1" ht="12" hidden="1" x14ac:dyDescent="0.2">
      <c r="A4" s="55" t="s">
        <v>209</v>
      </c>
      <c r="B4" s="61"/>
      <c r="C4" s="166"/>
      <c r="D4" s="169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64"/>
      <c r="R4" s="61"/>
    </row>
    <row r="5" spans="1:18" s="56" customFormat="1" ht="12" hidden="1" x14ac:dyDescent="0.2">
      <c r="A5" s="55" t="s">
        <v>210</v>
      </c>
      <c r="B5" s="61"/>
      <c r="C5" s="115"/>
      <c r="D5" s="170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64"/>
      <c r="R5" s="61"/>
    </row>
    <row r="6" spans="1:18" s="56" customFormat="1" ht="12" hidden="1" x14ac:dyDescent="0.2">
      <c r="A6" s="56" t="s">
        <v>9</v>
      </c>
      <c r="B6" s="61"/>
      <c r="C6" s="115"/>
      <c r="D6" s="170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64"/>
      <c r="R6" s="61"/>
    </row>
    <row r="7" spans="1:18" s="56" customFormat="1" ht="12" hidden="1" x14ac:dyDescent="0.2">
      <c r="A7" s="56" t="s">
        <v>10</v>
      </c>
      <c r="B7" s="61"/>
      <c r="C7" s="115"/>
      <c r="D7" s="170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64"/>
      <c r="R7" s="61"/>
    </row>
    <row r="8" spans="1:18" s="56" customFormat="1" ht="12" hidden="1" x14ac:dyDescent="0.2">
      <c r="A8" s="56" t="s">
        <v>121</v>
      </c>
      <c r="B8" s="63"/>
      <c r="C8" s="64"/>
      <c r="D8" s="65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163"/>
      <c r="R8" s="60"/>
    </row>
    <row r="9" spans="1:18" s="56" customFormat="1" ht="12" hidden="1" x14ac:dyDescent="0.2">
      <c r="A9" s="56" t="s">
        <v>122</v>
      </c>
      <c r="B9" s="63"/>
      <c r="C9" s="64"/>
      <c r="D9" s="65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163"/>
      <c r="R9" s="60"/>
    </row>
    <row r="10" spans="1:18" s="56" customFormat="1" ht="12" hidden="1" x14ac:dyDescent="0.2">
      <c r="A10" s="56" t="s">
        <v>123</v>
      </c>
      <c r="B10" s="61"/>
      <c r="C10" s="25"/>
      <c r="D10" s="33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64"/>
      <c r="R10" s="61"/>
    </row>
    <row r="11" spans="1:18" s="56" customFormat="1" ht="12" hidden="1" x14ac:dyDescent="0.2">
      <c r="A11" s="56" t="s">
        <v>124</v>
      </c>
      <c r="B11" s="61"/>
      <c r="C11" s="25"/>
      <c r="D11" s="3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164"/>
      <c r="R11" s="61"/>
    </row>
    <row r="12" spans="1:18" s="56" customFormat="1" ht="12" hidden="1" x14ac:dyDescent="0.2">
      <c r="A12" s="56" t="s">
        <v>125</v>
      </c>
      <c r="B12" s="61"/>
      <c r="C12" s="25"/>
      <c r="D12" s="33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64"/>
      <c r="R12" s="61"/>
    </row>
    <row r="13" spans="1:18" s="56" customFormat="1" ht="12" hidden="1" x14ac:dyDescent="0.2">
      <c r="A13" s="56" t="s">
        <v>126</v>
      </c>
      <c r="B13" s="61"/>
      <c r="C13" s="25"/>
      <c r="D13" s="33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64"/>
      <c r="R13" s="61"/>
    </row>
    <row r="14" spans="1:18" s="56" customFormat="1" ht="12" hidden="1" x14ac:dyDescent="0.2">
      <c r="A14" s="56" t="s">
        <v>127</v>
      </c>
      <c r="B14" s="63"/>
      <c r="C14" s="64"/>
      <c r="D14" s="65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163"/>
      <c r="R14" s="60"/>
    </row>
    <row r="15" spans="1:18" s="56" customFormat="1" ht="12" hidden="1" x14ac:dyDescent="0.2">
      <c r="A15" s="56" t="s">
        <v>128</v>
      </c>
      <c r="B15" s="63"/>
      <c r="C15" s="64"/>
      <c r="D15" s="65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63"/>
      <c r="R15" s="60"/>
    </row>
    <row r="16" spans="1:18" s="56" customFormat="1" ht="12" hidden="1" x14ac:dyDescent="0.2">
      <c r="A16" s="56" t="s">
        <v>129</v>
      </c>
      <c r="B16" s="61"/>
      <c r="C16" s="25"/>
      <c r="D16" s="33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164"/>
      <c r="R16" s="61"/>
    </row>
    <row r="17" spans="1:18" s="56" customFormat="1" ht="12" hidden="1" x14ac:dyDescent="0.2">
      <c r="A17" s="56" t="s">
        <v>130</v>
      </c>
      <c r="B17" s="61"/>
      <c r="C17" s="25"/>
      <c r="D17" s="33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164"/>
      <c r="R17" s="61"/>
    </row>
    <row r="18" spans="1:18" s="56" customFormat="1" ht="12" hidden="1" x14ac:dyDescent="0.2">
      <c r="A18" s="56" t="s">
        <v>131</v>
      </c>
      <c r="B18" s="61"/>
      <c r="C18" s="25"/>
      <c r="D18" s="33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64"/>
      <c r="R18" s="61"/>
    </row>
    <row r="19" spans="1:18" s="56" customFormat="1" ht="12" hidden="1" x14ac:dyDescent="0.2">
      <c r="A19" s="56" t="s">
        <v>132</v>
      </c>
      <c r="B19" s="61"/>
      <c r="C19" s="25"/>
      <c r="D19" s="33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64"/>
      <c r="R19" s="61"/>
    </row>
    <row r="20" spans="1:18" s="56" customFormat="1" ht="12" hidden="1" x14ac:dyDescent="0.2">
      <c r="A20" s="56" t="s">
        <v>133</v>
      </c>
      <c r="B20" s="63"/>
      <c r="C20" s="64"/>
      <c r="D20" s="65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63"/>
      <c r="R20" s="60"/>
    </row>
    <row r="21" spans="1:18" s="56" customFormat="1" ht="12" hidden="1" x14ac:dyDescent="0.2">
      <c r="A21" s="56" t="s">
        <v>134</v>
      </c>
      <c r="B21" s="63"/>
      <c r="C21" s="64"/>
      <c r="D21" s="65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163"/>
      <c r="R21" s="60"/>
    </row>
    <row r="22" spans="1:18" s="56" customFormat="1" ht="12" hidden="1" x14ac:dyDescent="0.2">
      <c r="A22" s="56" t="s">
        <v>135</v>
      </c>
      <c r="B22" s="61"/>
      <c r="C22" s="25"/>
      <c r="D22" s="3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164"/>
      <c r="R22" s="61"/>
    </row>
    <row r="23" spans="1:18" s="56" customFormat="1" ht="12" hidden="1" x14ac:dyDescent="0.2">
      <c r="A23" s="56" t="s">
        <v>136</v>
      </c>
      <c r="B23" s="61"/>
      <c r="C23" s="25"/>
      <c r="D23" s="3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164"/>
      <c r="R23" s="61"/>
    </row>
    <row r="24" spans="1:18" s="56" customFormat="1" ht="12" hidden="1" x14ac:dyDescent="0.2">
      <c r="A24" s="56" t="s">
        <v>137</v>
      </c>
      <c r="B24" s="61"/>
      <c r="C24" s="25"/>
      <c r="D24" s="33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64"/>
      <c r="R24" s="61"/>
    </row>
    <row r="25" spans="1:18" s="56" customFormat="1" ht="12" hidden="1" x14ac:dyDescent="0.2">
      <c r="A25" s="56" t="s">
        <v>138</v>
      </c>
      <c r="B25" s="61"/>
      <c r="C25" s="25"/>
      <c r="D25" s="33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64"/>
      <c r="R25" s="61"/>
    </row>
    <row r="26" spans="1:18" s="56" customFormat="1" ht="12" hidden="1" x14ac:dyDescent="0.2">
      <c r="A26" s="56" t="s">
        <v>139</v>
      </c>
      <c r="B26" s="63"/>
      <c r="C26" s="64"/>
      <c r="D26" s="65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163"/>
      <c r="R26" s="60"/>
    </row>
    <row r="27" spans="1:18" s="56" customFormat="1" ht="12" hidden="1" x14ac:dyDescent="0.2">
      <c r="A27" s="56" t="s">
        <v>140</v>
      </c>
      <c r="B27" s="63"/>
      <c r="C27" s="64"/>
      <c r="D27" s="65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163"/>
      <c r="R27" s="60"/>
    </row>
    <row r="28" spans="1:18" s="56" customFormat="1" ht="12" hidden="1" x14ac:dyDescent="0.2">
      <c r="A28" s="56" t="s">
        <v>141</v>
      </c>
      <c r="B28" s="61"/>
      <c r="C28" s="25"/>
      <c r="D28" s="3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64"/>
      <c r="R28" s="61"/>
    </row>
    <row r="29" spans="1:18" s="56" customFormat="1" ht="12" hidden="1" x14ac:dyDescent="0.2">
      <c r="A29" s="56" t="s">
        <v>142</v>
      </c>
      <c r="B29" s="61"/>
      <c r="C29" s="25"/>
      <c r="D29" s="3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164"/>
      <c r="R29" s="61"/>
    </row>
    <row r="30" spans="1:18" s="56" customFormat="1" ht="12" hidden="1" x14ac:dyDescent="0.2">
      <c r="A30" s="56" t="s">
        <v>143</v>
      </c>
      <c r="B30" s="61"/>
      <c r="C30" s="25"/>
      <c r="D30" s="33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164"/>
      <c r="R30" s="61"/>
    </row>
    <row r="31" spans="1:18" s="56" customFormat="1" ht="12" hidden="1" x14ac:dyDescent="0.2">
      <c r="A31" s="56" t="s">
        <v>144</v>
      </c>
      <c r="B31" s="61"/>
      <c r="C31" s="25"/>
      <c r="D31" s="33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164"/>
      <c r="R31" s="61"/>
    </row>
    <row r="32" spans="1:18" s="56" customFormat="1" ht="12" hidden="1" x14ac:dyDescent="0.2">
      <c r="A32" s="56" t="s">
        <v>145</v>
      </c>
      <c r="B32" s="63"/>
      <c r="C32" s="64"/>
      <c r="D32" s="65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63"/>
      <c r="R32" s="60"/>
    </row>
    <row r="33" spans="1:18" s="56" customFormat="1" ht="12" hidden="1" x14ac:dyDescent="0.2">
      <c r="A33" s="56" t="s">
        <v>146</v>
      </c>
      <c r="B33" s="63"/>
      <c r="C33" s="64"/>
      <c r="D33" s="6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163"/>
      <c r="R33" s="60"/>
    </row>
    <row r="34" spans="1:18" s="56" customFormat="1" ht="12" hidden="1" x14ac:dyDescent="0.2">
      <c r="A34" s="56" t="s">
        <v>147</v>
      </c>
      <c r="B34" s="61"/>
      <c r="C34" s="25"/>
      <c r="D34" s="33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164"/>
      <c r="R34" s="61"/>
    </row>
    <row r="35" spans="1:18" s="56" customFormat="1" ht="12" hidden="1" x14ac:dyDescent="0.2">
      <c r="A35" s="56" t="s">
        <v>148</v>
      </c>
      <c r="B35" s="61"/>
      <c r="C35" s="25"/>
      <c r="D35" s="33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164"/>
      <c r="R35" s="61"/>
    </row>
    <row r="36" spans="1:18" s="56" customFormat="1" ht="12" hidden="1" x14ac:dyDescent="0.2">
      <c r="A36" s="56" t="s">
        <v>149</v>
      </c>
      <c r="B36" s="61"/>
      <c r="C36" s="25"/>
      <c r="D36" s="3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164"/>
      <c r="R36" s="61"/>
    </row>
    <row r="37" spans="1:18" s="56" customFormat="1" ht="12" hidden="1" x14ac:dyDescent="0.2">
      <c r="A37" s="56" t="s">
        <v>150</v>
      </c>
      <c r="B37" s="61"/>
      <c r="C37" s="25"/>
      <c r="D37" s="3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164"/>
      <c r="R37" s="61"/>
    </row>
    <row r="38" spans="1:18" s="56" customFormat="1" ht="12" hidden="1" x14ac:dyDescent="0.2">
      <c r="A38" s="56" t="s">
        <v>151</v>
      </c>
      <c r="B38" s="63"/>
      <c r="C38" s="64"/>
      <c r="D38" s="65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163"/>
      <c r="R38" s="60"/>
    </row>
    <row r="39" spans="1:18" s="56" customFormat="1" ht="12" hidden="1" x14ac:dyDescent="0.2">
      <c r="A39" s="56" t="s">
        <v>152</v>
      </c>
      <c r="B39" s="63"/>
      <c r="C39" s="64"/>
      <c r="D39" s="65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63"/>
      <c r="R39" s="60"/>
    </row>
    <row r="40" spans="1:18" s="56" customFormat="1" ht="12" hidden="1" x14ac:dyDescent="0.2">
      <c r="A40" s="56" t="s">
        <v>153</v>
      </c>
      <c r="B40" s="61"/>
      <c r="C40" s="25"/>
      <c r="D40" s="33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64"/>
      <c r="R40" s="61"/>
    </row>
    <row r="41" spans="1:18" s="56" customFormat="1" ht="12" hidden="1" x14ac:dyDescent="0.2">
      <c r="A41" s="56" t="s">
        <v>154</v>
      </c>
      <c r="B41" s="61"/>
      <c r="C41" s="25"/>
      <c r="D41" s="33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64"/>
      <c r="R41" s="61"/>
    </row>
    <row r="42" spans="1:18" s="56" customFormat="1" ht="12" hidden="1" x14ac:dyDescent="0.2">
      <c r="A42" s="56" t="s">
        <v>155</v>
      </c>
      <c r="B42" s="61"/>
      <c r="C42" s="25"/>
      <c r="D42" s="33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164"/>
      <c r="R42" s="61"/>
    </row>
    <row r="43" spans="1:18" s="56" customFormat="1" ht="12" hidden="1" x14ac:dyDescent="0.2">
      <c r="A43" s="56" t="s">
        <v>156</v>
      </c>
      <c r="B43" s="61"/>
      <c r="C43" s="25"/>
      <c r="D43" s="33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64"/>
      <c r="R43" s="61"/>
    </row>
    <row r="44" spans="1:18" s="56" customFormat="1" ht="12" hidden="1" x14ac:dyDescent="0.2">
      <c r="A44" s="56" t="s">
        <v>157</v>
      </c>
      <c r="B44" s="63"/>
      <c r="C44" s="64"/>
      <c r="D44" s="65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63"/>
      <c r="R44" s="60"/>
    </row>
    <row r="45" spans="1:18" s="56" customFormat="1" ht="12" hidden="1" x14ac:dyDescent="0.2">
      <c r="A45" s="56" t="s">
        <v>158</v>
      </c>
      <c r="B45" s="63"/>
      <c r="C45" s="64"/>
      <c r="D45" s="65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63"/>
      <c r="R45" s="60"/>
    </row>
    <row r="46" spans="1:18" s="56" customFormat="1" ht="12" hidden="1" x14ac:dyDescent="0.2">
      <c r="A46" s="56" t="s">
        <v>159</v>
      </c>
      <c r="B46" s="61"/>
      <c r="C46" s="25"/>
      <c r="D46" s="33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64"/>
      <c r="R46" s="61"/>
    </row>
    <row r="47" spans="1:18" s="56" customFormat="1" ht="12" hidden="1" x14ac:dyDescent="0.2">
      <c r="A47" s="56" t="s">
        <v>160</v>
      </c>
      <c r="B47" s="61"/>
      <c r="C47" s="25"/>
      <c r="D47" s="33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64"/>
      <c r="R47" s="61"/>
    </row>
    <row r="48" spans="1:18" s="56" customFormat="1" ht="12" hidden="1" x14ac:dyDescent="0.2">
      <c r="A48" s="56" t="s">
        <v>161</v>
      </c>
      <c r="B48" s="61"/>
      <c r="C48" s="25"/>
      <c r="D48" s="33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164"/>
      <c r="R48" s="61"/>
    </row>
    <row r="49" spans="1:18" s="56" customFormat="1" ht="12" hidden="1" x14ac:dyDescent="0.2">
      <c r="A49" s="56" t="s">
        <v>162</v>
      </c>
      <c r="B49" s="61"/>
      <c r="C49" s="25"/>
      <c r="D49" s="33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164"/>
      <c r="R49" s="61"/>
    </row>
    <row r="50" spans="1:18" s="56" customFormat="1" ht="12" hidden="1" x14ac:dyDescent="0.2">
      <c r="A50" s="56" t="s">
        <v>163</v>
      </c>
      <c r="B50" s="63"/>
      <c r="C50" s="64"/>
      <c r="D50" s="65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63"/>
      <c r="R50" s="60"/>
    </row>
    <row r="51" spans="1:18" s="56" customFormat="1" ht="12" hidden="1" x14ac:dyDescent="0.2">
      <c r="A51" s="56" t="s">
        <v>164</v>
      </c>
      <c r="B51" s="63"/>
      <c r="C51" s="64"/>
      <c r="D51" s="65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63"/>
      <c r="R51" s="60"/>
    </row>
    <row r="52" spans="1:18" s="56" customFormat="1" ht="12" hidden="1" x14ac:dyDescent="0.2">
      <c r="A52" s="56" t="s">
        <v>165</v>
      </c>
      <c r="B52" s="61"/>
      <c r="C52" s="25"/>
      <c r="D52" s="33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64"/>
      <c r="R52" s="61"/>
    </row>
    <row r="53" spans="1:18" s="56" customFormat="1" ht="12" hidden="1" x14ac:dyDescent="0.2">
      <c r="A53" s="56" t="s">
        <v>166</v>
      </c>
      <c r="B53" s="61"/>
      <c r="C53" s="25"/>
      <c r="D53" s="33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64"/>
      <c r="R53" s="61"/>
    </row>
    <row r="54" spans="1:18" s="56" customFormat="1" ht="12" hidden="1" x14ac:dyDescent="0.2">
      <c r="A54" s="56" t="s">
        <v>167</v>
      </c>
      <c r="B54" s="61"/>
      <c r="C54" s="25"/>
      <c r="D54" s="33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164"/>
      <c r="R54" s="61"/>
    </row>
    <row r="55" spans="1:18" s="56" customFormat="1" ht="12" hidden="1" x14ac:dyDescent="0.2">
      <c r="A55" s="56" t="s">
        <v>168</v>
      </c>
      <c r="B55" s="61"/>
      <c r="C55" s="25"/>
      <c r="D55" s="33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164"/>
      <c r="R55" s="61"/>
    </row>
    <row r="56" spans="1:18" s="56" customFormat="1" ht="12" hidden="1" x14ac:dyDescent="0.2">
      <c r="A56" s="56" t="s">
        <v>169</v>
      </c>
      <c r="B56" s="63"/>
      <c r="C56" s="64"/>
      <c r="D56" s="65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63"/>
      <c r="R56" s="60"/>
    </row>
    <row r="57" spans="1:18" s="56" customFormat="1" ht="12" hidden="1" x14ac:dyDescent="0.2">
      <c r="A57" s="56" t="s">
        <v>170</v>
      </c>
      <c r="B57" s="63"/>
      <c r="C57" s="64"/>
      <c r="D57" s="65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63"/>
      <c r="R57" s="60"/>
    </row>
    <row r="58" spans="1:18" s="56" customFormat="1" ht="12" hidden="1" x14ac:dyDescent="0.2">
      <c r="A58" s="56" t="s">
        <v>171</v>
      </c>
      <c r="B58" s="61"/>
      <c r="C58" s="25"/>
      <c r="D58" s="33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64"/>
      <c r="R58" s="61"/>
    </row>
    <row r="59" spans="1:18" s="56" customFormat="1" ht="12" hidden="1" x14ac:dyDescent="0.2">
      <c r="A59" s="56" t="s">
        <v>172</v>
      </c>
      <c r="B59" s="61"/>
      <c r="C59" s="25"/>
      <c r="D59" s="33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64"/>
      <c r="R59" s="61"/>
    </row>
    <row r="60" spans="1:18" s="56" customFormat="1" ht="12" hidden="1" x14ac:dyDescent="0.2">
      <c r="A60" s="56" t="s">
        <v>173</v>
      </c>
      <c r="B60" s="61"/>
      <c r="C60" s="25"/>
      <c r="D60" s="33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64"/>
      <c r="R60" s="61"/>
    </row>
    <row r="61" spans="1:18" s="56" customFormat="1" ht="12" hidden="1" x14ac:dyDescent="0.2">
      <c r="A61" s="56" t="s">
        <v>174</v>
      </c>
      <c r="B61" s="61"/>
      <c r="C61" s="25"/>
      <c r="D61" s="33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64"/>
      <c r="R61" s="61"/>
    </row>
    <row r="62" spans="1:18" s="56" customFormat="1" ht="12" hidden="1" x14ac:dyDescent="0.2">
      <c r="A62" s="56" t="s">
        <v>175</v>
      </c>
      <c r="B62" s="63"/>
      <c r="C62" s="64"/>
      <c r="D62" s="65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63"/>
      <c r="R62" s="60"/>
    </row>
    <row r="63" spans="1:18" s="56" customFormat="1" ht="12" hidden="1" x14ac:dyDescent="0.2">
      <c r="A63" s="56" t="s">
        <v>176</v>
      </c>
      <c r="B63" s="63"/>
      <c r="C63" s="64"/>
      <c r="D63" s="65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63"/>
      <c r="R63" s="60"/>
    </row>
    <row r="64" spans="1:18" s="56" customFormat="1" ht="12" hidden="1" x14ac:dyDescent="0.2">
      <c r="A64" s="56" t="s">
        <v>177</v>
      </c>
      <c r="B64" s="61"/>
      <c r="C64" s="25"/>
      <c r="D64" s="33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64"/>
      <c r="R64" s="61"/>
    </row>
    <row r="65" spans="1:18" s="56" customFormat="1" ht="12" hidden="1" x14ac:dyDescent="0.2">
      <c r="A65" s="56" t="s">
        <v>178</v>
      </c>
      <c r="B65" s="61"/>
      <c r="C65" s="25"/>
      <c r="D65" s="33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64"/>
      <c r="R65" s="61"/>
    </row>
    <row r="66" spans="1:18" s="56" customFormat="1" ht="12" hidden="1" x14ac:dyDescent="0.2">
      <c r="A66" s="56" t="s">
        <v>179</v>
      </c>
      <c r="B66" s="61"/>
      <c r="C66" s="25"/>
      <c r="D66" s="33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64"/>
      <c r="R66" s="61"/>
    </row>
    <row r="67" spans="1:18" s="56" customFormat="1" ht="12" hidden="1" x14ac:dyDescent="0.2">
      <c r="A67" s="56" t="s">
        <v>180</v>
      </c>
      <c r="B67" s="61"/>
      <c r="C67" s="25"/>
      <c r="D67" s="33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64"/>
      <c r="R67" s="61"/>
    </row>
    <row r="68" spans="1:18" s="56" customFormat="1" ht="12" hidden="1" x14ac:dyDescent="0.2">
      <c r="A68" s="56" t="s">
        <v>181</v>
      </c>
      <c r="B68" s="63"/>
      <c r="C68" s="64"/>
      <c r="D68" s="65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63"/>
      <c r="R68" s="60"/>
    </row>
    <row r="69" spans="1:18" s="56" customFormat="1" ht="12" hidden="1" x14ac:dyDescent="0.2">
      <c r="A69" s="56" t="s">
        <v>182</v>
      </c>
      <c r="B69" s="63"/>
      <c r="C69" s="64"/>
      <c r="D69" s="65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63"/>
      <c r="R69" s="60"/>
    </row>
    <row r="70" spans="1:18" s="56" customFormat="1" ht="12" hidden="1" x14ac:dyDescent="0.2">
      <c r="A70" s="56" t="s">
        <v>183</v>
      </c>
      <c r="B70" s="61"/>
      <c r="C70" s="25"/>
      <c r="D70" s="33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64"/>
      <c r="R70" s="61"/>
    </row>
    <row r="71" spans="1:18" s="56" customFormat="1" ht="12" hidden="1" x14ac:dyDescent="0.2">
      <c r="A71" s="56" t="s">
        <v>184</v>
      </c>
      <c r="B71" s="61"/>
      <c r="C71" s="25"/>
      <c r="D71" s="33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64"/>
      <c r="R71" s="61"/>
    </row>
    <row r="72" spans="1:18" s="56" customFormat="1" ht="12" hidden="1" x14ac:dyDescent="0.2">
      <c r="A72" s="56" t="s">
        <v>185</v>
      </c>
      <c r="B72" s="61"/>
      <c r="C72" s="25"/>
      <c r="D72" s="33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64"/>
      <c r="R72" s="61"/>
    </row>
    <row r="73" spans="1:18" s="56" customFormat="1" ht="12" hidden="1" x14ac:dyDescent="0.2">
      <c r="A73" s="56" t="s">
        <v>186</v>
      </c>
      <c r="B73" s="61"/>
      <c r="C73" s="25"/>
      <c r="D73" s="33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64"/>
      <c r="R73" s="61"/>
    </row>
    <row r="74" spans="1:18" s="56" customFormat="1" ht="12" hidden="1" x14ac:dyDescent="0.2">
      <c r="A74" s="56" t="s">
        <v>187</v>
      </c>
      <c r="B74" s="63"/>
      <c r="C74" s="64"/>
      <c r="D74" s="65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63"/>
      <c r="R74" s="60"/>
    </row>
    <row r="75" spans="1:18" s="56" customFormat="1" ht="12" hidden="1" x14ac:dyDescent="0.2">
      <c r="A75" s="56" t="s">
        <v>188</v>
      </c>
      <c r="B75" s="63"/>
      <c r="C75" s="64"/>
      <c r="D75" s="65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63"/>
      <c r="R75" s="60"/>
    </row>
    <row r="76" spans="1:18" s="56" customFormat="1" ht="12" hidden="1" x14ac:dyDescent="0.2">
      <c r="A76" s="56" t="s">
        <v>189</v>
      </c>
      <c r="B76" s="61"/>
      <c r="C76" s="25"/>
      <c r="D76" s="33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64"/>
      <c r="R76" s="61"/>
    </row>
    <row r="77" spans="1:18" s="56" customFormat="1" ht="12" hidden="1" x14ac:dyDescent="0.2">
      <c r="A77" s="56" t="s">
        <v>190</v>
      </c>
      <c r="B77" s="61"/>
      <c r="C77" s="25"/>
      <c r="D77" s="33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64"/>
      <c r="R77" s="61"/>
    </row>
    <row r="78" spans="1:18" s="56" customFormat="1" ht="12" hidden="1" x14ac:dyDescent="0.2">
      <c r="A78" s="56" t="s">
        <v>191</v>
      </c>
      <c r="B78" s="61"/>
      <c r="C78" s="25"/>
      <c r="D78" s="33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64"/>
      <c r="R78" s="61"/>
    </row>
    <row r="79" spans="1:18" s="56" customFormat="1" ht="36" hidden="1" customHeight="1" x14ac:dyDescent="0.2">
      <c r="A79" s="56" t="s">
        <v>192</v>
      </c>
      <c r="B79" s="61"/>
      <c r="C79" s="25"/>
      <c r="D79" s="33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64"/>
      <c r="R79" s="61"/>
    </row>
    <row r="80" spans="1:18" ht="36" hidden="1" customHeight="1" x14ac:dyDescent="0.2">
      <c r="A80" s="27" t="s">
        <v>12</v>
      </c>
      <c r="H80" s="27">
        <f>VLOOKUP($I$85,Lookup!$D$2:$E$3,2,0)</f>
        <v>0</v>
      </c>
      <c r="I80" s="27" t="e">
        <f>IF(#REF!&lt;&gt;"","{TM1FILTERBYPATTERN( {TM1SUBSETALL( [Account] )}, """&amp;#REF!&amp;""")}","")</f>
        <v>#REF!</v>
      </c>
    </row>
    <row r="81" spans="1:255" ht="48.75" hidden="1" customHeight="1" x14ac:dyDescent="0.2">
      <c r="C81" s="27" t="str">
        <f ca="1">_xll.TM1RPTVIEW("24retail:Income Statement:3", $H$80, _xll.TM1RPTTITLE("24retail:Currency Calc",$D$85), _xll.TM1RPTTITLE("24retail:organization",$C$85), _xll.TM1RPTTITLE("24retail:Year",$E$85), _xll.TM1RPTTITLE("24retail:Version",$F$85),TM1RPTFMTRNG,TM1RPTFMTIDCOL)</f>
        <v>24retail:Income Statement:3</v>
      </c>
    </row>
    <row r="82" spans="1:255" ht="37.5" customHeight="1" thickBot="1" x14ac:dyDescent="0.25">
      <c r="A82" s="28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1:255" ht="24" customHeight="1" x14ac:dyDescent="0.2"/>
    <row r="84" spans="1:255" s="34" customFormat="1" ht="15" customHeight="1" x14ac:dyDescent="0.25">
      <c r="C84" s="76" t="s">
        <v>23</v>
      </c>
      <c r="D84" s="76" t="s">
        <v>114</v>
      </c>
      <c r="E84" s="76" t="s">
        <v>0</v>
      </c>
      <c r="F84" s="192" t="s">
        <v>1</v>
      </c>
      <c r="G84" s="193"/>
      <c r="H84" s="76" t="s">
        <v>196</v>
      </c>
      <c r="I84" s="76" t="s">
        <v>27</v>
      </c>
      <c r="J84" s="57"/>
    </row>
    <row r="85" spans="1:255" s="35" customFormat="1" ht="15" customHeight="1" x14ac:dyDescent="0.25">
      <c r="C85" s="77" t="str">
        <f ca="1">_xll.SUBNM("24retail:organization","Workflow",Organization,"Caption_Default")</f>
        <v>Massachusetts</v>
      </c>
      <c r="D85" s="77" t="str">
        <f ca="1">_xll.SUBNM("24retail:Currency Calc","Default","Local")</f>
        <v>Local</v>
      </c>
      <c r="E85" s="77" t="str">
        <f ca="1">_xll.SUBNM("24retail:Year","Default","Y2","Caption_Default")</f>
        <v>2015</v>
      </c>
      <c r="F85" s="194" t="s">
        <v>72</v>
      </c>
      <c r="G85" s="194"/>
      <c r="H85" s="77" t="str">
        <f ca="1">_xll.DBRW("24retail:calendar","Fcst Month","String")</f>
        <v>Feb</v>
      </c>
      <c r="I85" s="77" t="s">
        <v>55</v>
      </c>
      <c r="J85" s="58"/>
    </row>
    <row r="86" spans="1:255" s="29" customFormat="1" ht="7.5" customHeight="1" x14ac:dyDescent="0.25">
      <c r="C86" s="50"/>
      <c r="D86" s="50"/>
      <c r="E86" s="58"/>
      <c r="F86" s="50"/>
      <c r="G86" s="50"/>
      <c r="H86" s="50"/>
      <c r="I86" s="50"/>
      <c r="J86" s="50"/>
    </row>
    <row r="87" spans="1:255" s="29" customFormat="1" ht="15" customHeight="1" x14ac:dyDescent="0.25">
      <c r="C87" s="36"/>
      <c r="D87" s="23" t="s">
        <v>69</v>
      </c>
      <c r="E87" s="23" t="str">
        <f ca="1">E88</f>
        <v>A</v>
      </c>
      <c r="F87" s="23" t="str">
        <f t="shared" ref="F87:P87" ca="1" si="0">F88</f>
        <v>F</v>
      </c>
      <c r="G87" s="23" t="str">
        <f t="shared" ca="1" si="0"/>
        <v>F</v>
      </c>
      <c r="H87" s="23" t="str">
        <f t="shared" ca="1" si="0"/>
        <v>F</v>
      </c>
      <c r="I87" s="24" t="str">
        <f t="shared" ca="1" si="0"/>
        <v>F</v>
      </c>
      <c r="J87" s="23" t="str">
        <f t="shared" ca="1" si="0"/>
        <v>F</v>
      </c>
      <c r="K87" s="23" t="str">
        <f t="shared" ca="1" si="0"/>
        <v>F</v>
      </c>
      <c r="L87" s="23" t="str">
        <f t="shared" ca="1" si="0"/>
        <v>F</v>
      </c>
      <c r="M87" s="23" t="str">
        <f t="shared" ca="1" si="0"/>
        <v>F</v>
      </c>
      <c r="N87" s="23" t="str">
        <f t="shared" ca="1" si="0"/>
        <v>F</v>
      </c>
      <c r="O87" s="23" t="str">
        <f t="shared" ca="1" si="0"/>
        <v>F</v>
      </c>
      <c r="P87" s="23" t="str">
        <f t="shared" ca="1" si="0"/>
        <v>F</v>
      </c>
      <c r="Q87" s="23"/>
    </row>
    <row r="88" spans="1:255" s="50" customFormat="1" ht="36" hidden="1" customHeight="1" x14ac:dyDescent="0.25">
      <c r="C88" s="59"/>
      <c r="D88" s="23" t="s">
        <v>69</v>
      </c>
      <c r="E88" s="23" t="str">
        <f ca="1">_xll.DBRW("24retail:Relative Time",$E$85,E$89,"ActFor")</f>
        <v>A</v>
      </c>
      <c r="F88" s="23" t="str">
        <f ca="1">_xll.DBRW("24retail:Relative Time",$E$85,F$89,"ActFor")</f>
        <v>F</v>
      </c>
      <c r="G88" s="23" t="str">
        <f ca="1">_xll.DBRW("24retail:Relative Time",$E$85,G$89,"ActFor")</f>
        <v>F</v>
      </c>
      <c r="H88" s="23" t="str">
        <f ca="1">_xll.DBRW("24retail:Relative Time",$E$85,H$89,"ActFor")</f>
        <v>F</v>
      </c>
      <c r="I88" s="23" t="str">
        <f ca="1">_xll.DBRW("24retail:Relative Time",$E$85,I$89,"ActFor")</f>
        <v>F</v>
      </c>
      <c r="J88" s="23" t="str">
        <f ca="1">_xll.DBRW("24retail:Relative Time",$E$85,J$89,"ActFor")</f>
        <v>F</v>
      </c>
      <c r="K88" s="23" t="str">
        <f ca="1">_xll.DBRW("24retail:Relative Time",$E$85,K$89,"ActFor")</f>
        <v>F</v>
      </c>
      <c r="L88" s="23" t="str">
        <f ca="1">_xll.DBRW("24retail:Relative Time",$E$85,L$89,"ActFor")</f>
        <v>F</v>
      </c>
      <c r="M88" s="23" t="str">
        <f ca="1">_xll.DBRW("24retail:Relative Time",$E$85,M$89,"ActFor")</f>
        <v>F</v>
      </c>
      <c r="N88" s="23" t="str">
        <f ca="1">_xll.DBRW("24retail:Relative Time",$E$85,N$89,"ActFor")</f>
        <v>F</v>
      </c>
      <c r="O88" s="23" t="str">
        <f ca="1">_xll.DBRW("24retail:Relative Time",$E$85,O$89,"ActFor")</f>
        <v>F</v>
      </c>
      <c r="P88" s="23" t="str">
        <f ca="1">_xll.DBRW("24retail:Relative Time",$E$85,P$89,"ActFor")</f>
        <v>F</v>
      </c>
      <c r="Q88" s="23"/>
    </row>
    <row r="89" spans="1:255" s="50" customFormat="1" ht="12" x14ac:dyDescent="0.25">
      <c r="C89" s="23"/>
      <c r="D89" s="23" t="s">
        <v>70</v>
      </c>
      <c r="E89" s="23" t="s">
        <v>30</v>
      </c>
      <c r="F89" s="23" t="s">
        <v>31</v>
      </c>
      <c r="G89" s="23" t="s">
        <v>32</v>
      </c>
      <c r="H89" s="23" t="s">
        <v>33</v>
      </c>
      <c r="I89" s="23" t="s">
        <v>34</v>
      </c>
      <c r="J89" s="23" t="s">
        <v>35</v>
      </c>
      <c r="K89" s="23" t="s">
        <v>36</v>
      </c>
      <c r="L89" s="23" t="s">
        <v>37</v>
      </c>
      <c r="M89" s="23" t="s">
        <v>38</v>
      </c>
      <c r="N89" s="23" t="s">
        <v>39</v>
      </c>
      <c r="O89" s="23" t="s">
        <v>40</v>
      </c>
      <c r="P89" s="23" t="s">
        <v>41</v>
      </c>
      <c r="Q89" s="165" t="s">
        <v>0</v>
      </c>
    </row>
    <row r="90" spans="1:255" s="50" customFormat="1" ht="2.4500000000000002" customHeight="1" x14ac:dyDescent="0.25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162"/>
    </row>
    <row r="91" spans="1:255" ht="15" customHeight="1" x14ac:dyDescent="0.2">
      <c r="A91" s="56" t="str">
        <f ca="1">IF(_xll.TM1RPTELISCONSOLIDATED($C$91,$C91),IF(_xll.TM1RPTELLEV($C$91,$C91)&lt;=3,_xll.TM1RPTELLEV($C$91,$C91),"D"),"N")</f>
        <v>N</v>
      </c>
      <c r="B91" s="61"/>
      <c r="C91" s="158" t="str">
        <f ca="1">_xll.TM1RPTROW($C$81,"24retail:Account","Summary",,"Caption_Default",1)</f>
        <v>4999 Gross Revenue</v>
      </c>
      <c r="D91" s="170" t="str">
        <f ca="1">_xll.DBRW("24retail:FcstMethod",$C91,"FcstMethod")</f>
        <v>Last Year Actual</v>
      </c>
      <c r="E91" s="146">
        <f ca="1">_xll.DBRW($C$81,$D$85,$C$85,$E$85,E$89,$C91,$F$85)</f>
        <v>531437.3442587977</v>
      </c>
      <c r="F91" s="146">
        <f ca="1">_xll.DBRW($C$81,$D$85,$C$85,$E$85,F$89,$C91,$F$85)</f>
        <v>736412.1641377972</v>
      </c>
      <c r="G91" s="146">
        <f ca="1">_xll.DBRW($C$81,$D$85,$C$85,$E$85,G$89,$C91,$F$85)</f>
        <v>739347.80648148549</v>
      </c>
      <c r="H91" s="146">
        <f ca="1">_xll.DBRW($C$81,$D$85,$C$85,$E$85,H$89,$C91,$F$85)</f>
        <v>741110.94882517355</v>
      </c>
      <c r="I91" s="146">
        <f ca="1">_xll.DBRW($C$81,$D$85,$C$85,$E$85,I$89,$C91,$F$85)</f>
        <v>750378.86666090076</v>
      </c>
      <c r="J91" s="146">
        <f ca="1">_xll.DBRW($C$81,$D$85,$C$85,$E$85,J$89,$C91,$F$85)</f>
        <v>753760.60900458891</v>
      </c>
      <c r="K91" s="146">
        <f ca="1">_xll.DBRW($C$81,$D$85,$C$85,$E$85,K$89,$C91,$F$85)</f>
        <v>760624.2268403162</v>
      </c>
      <c r="L91" s="146">
        <f ca="1">_xll.DBRW($C$81,$D$85,$C$85,$E$85,L$89,$C91,$F$85)</f>
        <v>769055.23701973155</v>
      </c>
      <c r="M91" s="146">
        <f ca="1">_xll.DBRW($C$81,$D$85,$C$85,$E$85,M$89,$C91,$F$85)</f>
        <v>846980.80485545879</v>
      </c>
      <c r="N91" s="146">
        <f ca="1">_xll.DBRW($C$81,$D$85,$C$85,$E$85,N$89,$C91,$F$85)</f>
        <v>857724.70485545893</v>
      </c>
      <c r="O91" s="146">
        <f ca="1">_xll.DBRW($C$81,$D$85,$C$85,$E$85,O$89,$C91,$F$85)</f>
        <v>862436.57637505606</v>
      </c>
      <c r="P91" s="146">
        <f ca="1">_xll.DBRW($C$81,$D$85,$C$85,$E$85,P$89,$C91,$F$85)</f>
        <v>950697.78731383849</v>
      </c>
      <c r="Q91" s="164">
        <f ca="1">_xll.DBRW($C$81,$D$85,$C$85,$E$85,Q$89,$C91,$F$85)</f>
        <v>9299967.076628603</v>
      </c>
    </row>
    <row r="92" spans="1:255" customFormat="1" ht="15" customHeight="1" x14ac:dyDescent="0.25">
      <c r="A92" s="56" t="str">
        <f ca="1">IF(_xll.TM1RPTELISCONSOLIDATED($C$91,$C92),IF(_xll.TM1RPTELLEV($C$91,$C92)&lt;=3,_xll.TM1RPTELLEV($C$91,$C92),"D"),"N")</f>
        <v>N</v>
      </c>
      <c r="B92" s="61"/>
      <c r="C92" s="158" t="s">
        <v>42</v>
      </c>
      <c r="D92" s="170" t="str">
        <f ca="1">_xll.DBRW("24retail:FcstMethod",$C92,"FcstMethod")</f>
        <v>Last Year Actual</v>
      </c>
      <c r="E92" s="146">
        <f ca="1">_xll.DBRW($C$81,$D$85,$C$85,$E$85,E$89,$C92,$F$85)</f>
        <v>432742.79874679993</v>
      </c>
      <c r="F92" s="146">
        <f ca="1">_xll.DBRW($C$81,$D$85,$C$85,$E$85,F$89,$C92,$F$85)</f>
        <v>602346.24338959996</v>
      </c>
      <c r="G92" s="146">
        <f ca="1">_xll.DBRW($C$81,$D$85,$C$85,$E$85,G$89,$C92,$F$85)</f>
        <v>604886.67940660007</v>
      </c>
      <c r="H92" s="146">
        <f ca="1">_xll.DBRW($C$81,$D$85,$C$85,$E$85,H$89,$C92,$F$85)</f>
        <v>606337.37735259999</v>
      </c>
      <c r="I92" s="146">
        <f ca="1">_xll.DBRW($C$81,$D$85,$C$85,$E$85,I$89,$C92,$F$85)</f>
        <v>613817.89432160009</v>
      </c>
      <c r="J92" s="146">
        <f ca="1">_xll.DBRW($C$81,$D$85,$C$85,$E$85,J$89,$C92,$F$85)</f>
        <v>616825.23062060005</v>
      </c>
      <c r="K92" s="146">
        <f ca="1">_xll.DBRW($C$81,$D$85,$C$85,$E$85,K$89,$C92,$F$85)</f>
        <v>617201.31238980009</v>
      </c>
      <c r="L92" s="146">
        <f ca="1">_xll.DBRW($C$81,$D$85,$C$85,$E$85,L$89,$C92,$F$85)</f>
        <v>624191.49250280007</v>
      </c>
      <c r="M92" s="146">
        <f ca="1">_xll.DBRW($C$81,$D$85,$C$85,$E$85,M$89,$C92,$F$85)</f>
        <v>678385.50010479998</v>
      </c>
      <c r="N92" s="146">
        <f ca="1">_xll.DBRW($C$81,$D$85,$C$85,$E$85,N$89,$C92,$F$85)</f>
        <v>686482.95964680007</v>
      </c>
      <c r="O92" s="146">
        <f ca="1">_xll.DBRW($C$81,$D$85,$C$85,$E$85,O$89,$C92,$F$85)</f>
        <v>690102.62554179993</v>
      </c>
      <c r="P92" s="146">
        <f ca="1">_xll.DBRW($C$81,$D$85,$C$85,$E$85,P$89,$C92,$F$85)</f>
        <v>759385.07466340007</v>
      </c>
      <c r="Q92" s="164">
        <f ca="1">_xll.DBRW($C$81,$D$85,$C$85,$E$85,Q$89,$C92,$F$85)</f>
        <v>7532705.1886871997</v>
      </c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</row>
    <row r="93" spans="1:255" customFormat="1" ht="15" customHeight="1" x14ac:dyDescent="0.25">
      <c r="A93" s="55">
        <f ca="1">IF(_xll.TM1RPTELISCONSOLIDATED($C$91,$C93),IF(_xll.TM1RPTELLEV($C$91,$C93)&lt;=3,_xll.TM1RPTELLEV($C$91,$C93),"D"),"N")</f>
        <v>2</v>
      </c>
      <c r="B93" s="61"/>
      <c r="C93" s="159" t="s">
        <v>43</v>
      </c>
      <c r="D93" s="169" t="str">
        <f ca="1">_xll.DBRW("24retail:FcstMethod",$C93,"FcstMethod")</f>
        <v/>
      </c>
      <c r="E93" s="157">
        <f ca="1">_xll.DBRW($C$81,$D$85,$C$85,$E$85,E$89,$C93,$F$85)</f>
        <v>98694.545511997771</v>
      </c>
      <c r="F93" s="157">
        <f ca="1">_xll.DBRW($C$81,$D$85,$C$85,$E$85,F$89,$C93,$F$85)</f>
        <v>134065.92074819724</v>
      </c>
      <c r="G93" s="157">
        <f ca="1">_xll.DBRW($C$81,$D$85,$C$85,$E$85,G$89,$C93,$F$85)</f>
        <v>134461.12707488541</v>
      </c>
      <c r="H93" s="157">
        <f ca="1">_xll.DBRW($C$81,$D$85,$C$85,$E$85,H$89,$C93,$F$85)</f>
        <v>134773.57147257356</v>
      </c>
      <c r="I93" s="157">
        <f ca="1">_xll.DBRW($C$81,$D$85,$C$85,$E$85,I$89,$C93,$F$85)</f>
        <v>136560.97233930067</v>
      </c>
      <c r="J93" s="157">
        <f ca="1">_xll.DBRW($C$81,$D$85,$C$85,$E$85,J$89,$C93,$F$85)</f>
        <v>136935.37838398886</v>
      </c>
      <c r="K93" s="157">
        <f ca="1">_xll.DBRW($C$81,$D$85,$C$85,$E$85,K$89,$C93,$F$85)</f>
        <v>143422.91445051611</v>
      </c>
      <c r="L93" s="157">
        <f ca="1">_xll.DBRW($C$81,$D$85,$C$85,$E$85,L$89,$C93,$F$85)</f>
        <v>144863.74451693147</v>
      </c>
      <c r="M93" s="157">
        <f ca="1">_xll.DBRW($C$81,$D$85,$C$85,$E$85,M$89,$C93,$F$85)</f>
        <v>168595.3047506588</v>
      </c>
      <c r="N93" s="157">
        <f ca="1">_xll.DBRW($C$81,$D$85,$C$85,$E$85,N$89,$C93,$F$85)</f>
        <v>171241.74520865886</v>
      </c>
      <c r="O93" s="157">
        <f ca="1">_xll.DBRW($C$81,$D$85,$C$85,$E$85,O$89,$C93,$F$85)</f>
        <v>172333.95083325612</v>
      </c>
      <c r="P93" s="157">
        <f ca="1">_xll.DBRW($C$81,$D$85,$C$85,$E$85,P$89,$C93,$F$85)</f>
        <v>191312.71265043842</v>
      </c>
      <c r="Q93" s="164">
        <f ca="1">_xll.DBRW($C$81,$D$85,$C$85,$E$85,Q$89,$C93,$F$85)</f>
        <v>1767261.8879414033</v>
      </c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</row>
    <row r="94" spans="1:255" customFormat="1" ht="15" customHeight="1" x14ac:dyDescent="0.25">
      <c r="A94" s="55">
        <f ca="1">IF(_xll.TM1RPTELISCONSOLIDATED($C$91,$C94),IF(_xll.TM1RPTELLEV($C$91,$C94)&lt;=3,_xll.TM1RPTELLEV($C$91,$C94),"D"),"N")</f>
        <v>3</v>
      </c>
      <c r="B94" s="61"/>
      <c r="C94" s="160" t="s">
        <v>44</v>
      </c>
      <c r="D94" s="170" t="str">
        <f ca="1">_xll.DBRW("24retail:FcstMethod",$C94,"FcstMethod")</f>
        <v>Budget</v>
      </c>
      <c r="E94" s="146">
        <f ca="1">_xll.DBRW($C$81,$D$85,$C$85,$E$85,E$89,$C94,$F$85)</f>
        <v>34664.374411418918</v>
      </c>
      <c r="F94" s="146">
        <f ca="1">_xll.DBRW($C$81,$D$85,$C$85,$E$85,F$89,$C94,$F$85)</f>
        <v>29273.464466427798</v>
      </c>
      <c r="G94" s="146">
        <f ca="1">_xll.DBRW($C$81,$D$85,$C$85,$E$85,G$89,$C94,$F$85)</f>
        <v>30961.178041275656</v>
      </c>
      <c r="H94" s="146">
        <f ca="1">_xll.DBRW($C$81,$D$85,$C$85,$E$85,H$89,$C94,$F$85)</f>
        <v>33335.309811280262</v>
      </c>
      <c r="I94" s="146">
        <f ca="1">_xll.DBRW($C$81,$D$85,$C$85,$E$85,I$89,$C94,$F$85)</f>
        <v>31746.549833374658</v>
      </c>
      <c r="J94" s="146">
        <f ca="1">_xll.DBRW($C$81,$D$85,$C$85,$E$85,J$89,$C94,$F$85)</f>
        <v>32067.169483103389</v>
      </c>
      <c r="K94" s="146">
        <f ca="1">_xll.DBRW($C$81,$D$85,$C$85,$E$85,K$89,$C94,$F$85)</f>
        <v>32175.914709961398</v>
      </c>
      <c r="L94" s="146">
        <f ca="1">_xll.DBRW($C$81,$D$85,$C$85,$E$85,L$89,$C94,$F$85)</f>
        <v>31212.754648149741</v>
      </c>
      <c r="M94" s="146">
        <f ca="1">_xll.DBRW($C$81,$D$85,$C$85,$E$85,M$89,$C94,$F$85)</f>
        <v>31255.029066271138</v>
      </c>
      <c r="N94" s="146">
        <f ca="1">_xll.DBRW($C$81,$D$85,$C$85,$E$85,N$89,$C94,$F$85)</f>
        <v>31305.042756581341</v>
      </c>
      <c r="O94" s="146">
        <f ca="1">_xll.DBRW($C$81,$D$85,$C$85,$E$85,O$89,$C94,$F$85)</f>
        <v>30451.85555204242</v>
      </c>
      <c r="P94" s="146">
        <f ca="1">_xll.DBRW($C$81,$D$85,$C$85,$E$85,P$89,$C94,$F$85)</f>
        <v>29991.919534994944</v>
      </c>
      <c r="Q94" s="164">
        <f ca="1">_xll.DBRW($C$81,$D$85,$C$85,$E$85,Q$89,$C94,$F$85)</f>
        <v>378440.56231488159</v>
      </c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</row>
    <row r="95" spans="1:255" customFormat="1" ht="15" customHeight="1" x14ac:dyDescent="0.25">
      <c r="A95" s="55">
        <f ca="1">IF(_xll.TM1RPTELISCONSOLIDATED($C$91,$C95),IF(_xll.TM1RPTELLEV($C$91,$C95)&lt;=3,_xll.TM1RPTELLEV($C$91,$C95),"D"),"N")</f>
        <v>3</v>
      </c>
      <c r="B95" s="61"/>
      <c r="C95" s="160" t="s">
        <v>45</v>
      </c>
      <c r="D95" s="170" t="str">
        <f ca="1">_xll.DBRW("24retail:FcstMethod",$C95,"FcstMethod")</f>
        <v/>
      </c>
      <c r="E95" s="146">
        <f ca="1">_xll.DBRW($C$81,$D$85,$C$85,$E$85,E$89,$C95,$F$85)</f>
        <v>5492</v>
      </c>
      <c r="F95" s="146">
        <f ca="1">_xll.DBRW($C$81,$D$85,$C$85,$E$85,F$89,$C95,$F$85)</f>
        <v>5583.0709090909095</v>
      </c>
      <c r="G95" s="146">
        <f ca="1">_xll.DBRW($C$81,$D$85,$C$85,$E$85,G$89,$C95,$F$85)</f>
        <v>5583.0709090909095</v>
      </c>
      <c r="H95" s="146">
        <f ca="1">_xll.DBRW($C$81,$D$85,$C$85,$E$85,H$89,$C95,$F$85)</f>
        <v>5583.0709090909095</v>
      </c>
      <c r="I95" s="146">
        <f ca="1">_xll.DBRW($C$81,$D$85,$C$85,$E$85,I$89,$C95,$F$85)</f>
        <v>5583.0709090909095</v>
      </c>
      <c r="J95" s="146">
        <f ca="1">_xll.DBRW($C$81,$D$85,$C$85,$E$85,J$89,$C95,$F$85)</f>
        <v>5583.0709090909095</v>
      </c>
      <c r="K95" s="146">
        <f ca="1">_xll.DBRW($C$81,$D$85,$C$85,$E$85,K$89,$C95,$F$85)</f>
        <v>5583.0709090909095</v>
      </c>
      <c r="L95" s="146">
        <f ca="1">_xll.DBRW($C$81,$D$85,$C$85,$E$85,L$89,$C95,$F$85)</f>
        <v>5583.0709090909095</v>
      </c>
      <c r="M95" s="146">
        <f ca="1">_xll.DBRW($C$81,$D$85,$C$85,$E$85,M$89,$C95,$F$85)</f>
        <v>5583.0709090909095</v>
      </c>
      <c r="N95" s="146">
        <f ca="1">_xll.DBRW($C$81,$D$85,$C$85,$E$85,N$89,$C95,$F$85)</f>
        <v>5583.0709090909095</v>
      </c>
      <c r="O95" s="146">
        <f ca="1">_xll.DBRW($C$81,$D$85,$C$85,$E$85,O$89,$C95,$F$85)</f>
        <v>5583.0709090909095</v>
      </c>
      <c r="P95" s="146">
        <f ca="1">_xll.DBRW($C$81,$D$85,$C$85,$E$85,P$89,$C95,$F$85)</f>
        <v>5583.0709090909077</v>
      </c>
      <c r="Q95" s="164">
        <f ca="1">_xll.DBRW($C$81,$D$85,$C$85,$E$85,Q$89,$C95,$F$85)</f>
        <v>66905.78</v>
      </c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</row>
    <row r="96" spans="1:255" customFormat="1" ht="15" customHeight="1" x14ac:dyDescent="0.25">
      <c r="A96" s="55">
        <f ca="1">IF(_xll.TM1RPTELISCONSOLIDATED($C$91,$C96),IF(_xll.TM1RPTELLEV($C$91,$C96)&lt;=3,_xll.TM1RPTELLEV($C$91,$C96),"D"),"N")</f>
        <v>3</v>
      </c>
      <c r="B96" s="61"/>
      <c r="C96" s="160" t="s">
        <v>46</v>
      </c>
      <c r="D96" s="170" t="str">
        <f ca="1">_xll.DBRW("24retail:FcstMethod",$C96,"FcstMethod")</f>
        <v/>
      </c>
      <c r="E96" s="146">
        <f ca="1">_xll.DBRW($C$81,$D$85,$C$85,$E$85,E$89,$C96,$F$85)</f>
        <v>3579</v>
      </c>
      <c r="F96" s="146">
        <f ca="1">_xll.DBRW($C$81,$D$85,$C$85,$E$85,F$89,$C96,$F$85)</f>
        <v>3773.5454545454545</v>
      </c>
      <c r="G96" s="146">
        <f ca="1">_xll.DBRW($C$81,$D$85,$C$85,$E$85,G$89,$C96,$F$85)</f>
        <v>3773.5454545454545</v>
      </c>
      <c r="H96" s="146">
        <f ca="1">_xll.DBRW($C$81,$D$85,$C$85,$E$85,H$89,$C96,$F$85)</f>
        <v>3773.5454545454545</v>
      </c>
      <c r="I96" s="146">
        <f ca="1">_xll.DBRW($C$81,$D$85,$C$85,$E$85,I$89,$C96,$F$85)</f>
        <v>3773.5454545454545</v>
      </c>
      <c r="J96" s="146">
        <f ca="1">_xll.DBRW($C$81,$D$85,$C$85,$E$85,J$89,$C96,$F$85)</f>
        <v>3773.5454545454545</v>
      </c>
      <c r="K96" s="146">
        <f ca="1">_xll.DBRW($C$81,$D$85,$C$85,$E$85,K$89,$C96,$F$85)</f>
        <v>3773.545454545455</v>
      </c>
      <c r="L96" s="146">
        <f ca="1">_xll.DBRW($C$81,$D$85,$C$85,$E$85,L$89,$C96,$F$85)</f>
        <v>3773.545454545455</v>
      </c>
      <c r="M96" s="146">
        <f ca="1">_xll.DBRW($C$81,$D$85,$C$85,$E$85,M$89,$C96,$F$85)</f>
        <v>3773.545454545455</v>
      </c>
      <c r="N96" s="146">
        <f ca="1">_xll.DBRW($C$81,$D$85,$C$85,$E$85,N$89,$C96,$F$85)</f>
        <v>3773.545454545455</v>
      </c>
      <c r="O96" s="146">
        <f ca="1">_xll.DBRW($C$81,$D$85,$C$85,$E$85,O$89,$C96,$F$85)</f>
        <v>3773.545454545455</v>
      </c>
      <c r="P96" s="146">
        <f ca="1">_xll.DBRW($C$81,$D$85,$C$85,$E$85,P$89,$C96,$F$85)</f>
        <v>3773.5454545454559</v>
      </c>
      <c r="Q96" s="164">
        <f ca="1">_xll.DBRW($C$81,$D$85,$C$85,$E$85,Q$89,$C96,$F$85)</f>
        <v>45088.000000000007</v>
      </c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</row>
    <row r="97" spans="1:255" customFormat="1" ht="15" customHeight="1" x14ac:dyDescent="0.25">
      <c r="A97" s="55">
        <f ca="1">IF(_xll.TM1RPTELISCONSOLIDATED($C$91,$C97),IF(_xll.TM1RPTELLEV($C$91,$C97)&lt;=3,_xll.TM1RPTELLEV($C$91,$C97),"D"),"N")</f>
        <v>3</v>
      </c>
      <c r="B97" s="61"/>
      <c r="C97" s="160" t="s">
        <v>47</v>
      </c>
      <c r="D97" s="170" t="str">
        <f ca="1">_xll.DBRW("24retail:FcstMethod",$C97,"FcstMethod")</f>
        <v/>
      </c>
      <c r="E97" s="146">
        <f ca="1">_xll.DBRW($C$81,$D$85,$C$85,$E$85,E$89,$C97,$F$85)</f>
        <v>46816.333333333328</v>
      </c>
      <c r="F97" s="146">
        <f ca="1">_xll.DBRW($C$81,$D$85,$C$85,$E$85,F$89,$C97,$F$85)</f>
        <v>42307.692307692312</v>
      </c>
      <c r="G97" s="146">
        <f ca="1">_xll.DBRW($C$81,$D$85,$C$85,$E$85,G$89,$C97,$F$85)</f>
        <v>66730.769230769234</v>
      </c>
      <c r="H97" s="146">
        <f ca="1">_xll.DBRW($C$81,$D$85,$C$85,$E$85,H$89,$C97,$F$85)</f>
        <v>6153.8461538461534</v>
      </c>
      <c r="I97" s="146">
        <f ca="1">_xll.DBRW($C$81,$D$85,$C$85,$E$85,I$89,$C97,$F$85)</f>
        <v>6153.8461538461534</v>
      </c>
      <c r="J97" s="146">
        <f ca="1">_xll.DBRW($C$81,$D$85,$C$85,$E$85,J$89,$C97,$F$85)</f>
        <v>33653.846153846156</v>
      </c>
      <c r="K97" s="146">
        <f ca="1">_xll.DBRW($C$81,$D$85,$C$85,$E$85,K$89,$C97,$F$85)</f>
        <v>6153.8461538461534</v>
      </c>
      <c r="L97" s="146">
        <f ca="1">_xll.DBRW($C$81,$D$85,$C$85,$E$85,L$89,$C97,$F$85)</f>
        <v>6153.8461538461534</v>
      </c>
      <c r="M97" s="146">
        <f ca="1">_xll.DBRW($C$81,$D$85,$C$85,$E$85,M$89,$C97,$F$85)</f>
        <v>33653.846153846156</v>
      </c>
      <c r="N97" s="146">
        <f ca="1">_xll.DBRW($C$81,$D$85,$C$85,$E$85,N$89,$C97,$F$85)</f>
        <v>9230.7692307692305</v>
      </c>
      <c r="O97" s="146">
        <f ca="1">_xll.DBRW($C$81,$D$85,$C$85,$E$85,O$89,$C97,$F$85)</f>
        <v>15384.615384615377</v>
      </c>
      <c r="P97" s="146">
        <f ca="1">_xll.DBRW($C$81,$D$85,$C$85,$E$85,P$89,$C97,$F$85)</f>
        <v>49038.461538461532</v>
      </c>
      <c r="Q97" s="164">
        <f ca="1">_xll.DBRW($C$81,$D$85,$C$85,$E$85,Q$89,$C97,$F$85)</f>
        <v>321431.717948718</v>
      </c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</row>
    <row r="98" spans="1:255" customFormat="1" ht="15" customHeight="1" x14ac:dyDescent="0.25">
      <c r="A98" s="55">
        <f ca="1">IF(_xll.TM1RPTELISCONSOLIDATED($C$91,$C98),IF(_xll.TM1RPTELLEV($C$91,$C98)&lt;=3,_xll.TM1RPTELLEV($C$91,$C98),"D"),"N")</f>
        <v>3</v>
      </c>
      <c r="B98" s="61"/>
      <c r="C98" s="160" t="s">
        <v>48</v>
      </c>
      <c r="D98" s="170" t="str">
        <f ca="1">_xll.DBRW("24retail:FcstMethod",$C98,"FcstMethod")</f>
        <v>Budget</v>
      </c>
      <c r="E98" s="146">
        <f ca="1">_xll.DBRW($C$81,$D$85,$C$85,$E$85,E$89,$C98,$F$85)</f>
        <v>8352</v>
      </c>
      <c r="F98" s="146">
        <f ca="1">_xll.DBRW($C$81,$D$85,$C$85,$E$85,F$89,$C98,$F$85)</f>
        <v>11237.056072106261</v>
      </c>
      <c r="G98" s="146">
        <f ca="1">_xll.DBRW($C$81,$D$85,$C$85,$E$85,G$89,$C98,$F$85)</f>
        <v>11321.68960247362</v>
      </c>
      <c r="H98" s="146">
        <f ca="1">_xll.DBRW($C$81,$D$85,$C$85,$E$85,H$89,$C98,$F$85)</f>
        <v>12841.68960247362</v>
      </c>
      <c r="I98" s="146">
        <f ca="1">_xll.DBRW($C$81,$D$85,$C$85,$E$85,I$89,$C98,$F$85)</f>
        <v>11345.68960247362</v>
      </c>
      <c r="J98" s="146">
        <f ca="1">_xll.DBRW($C$81,$D$85,$C$85,$E$85,J$89,$C98,$F$85)</f>
        <v>11360.68960247362</v>
      </c>
      <c r="K98" s="146">
        <f ca="1">_xll.DBRW($C$81,$D$85,$C$85,$E$85,K$89,$C98,$F$85)</f>
        <v>11406.366912617914</v>
      </c>
      <c r="L98" s="146">
        <f ca="1">_xll.DBRW($C$81,$D$85,$C$85,$E$85,L$89,$C98,$F$85)</f>
        <v>11406.366912617914</v>
      </c>
      <c r="M98" s="146">
        <f ca="1">_xll.DBRW($C$81,$D$85,$C$85,$E$85,M$89,$C98,$F$85)</f>
        <v>11406.366912617914</v>
      </c>
      <c r="N98" s="146">
        <f ca="1">_xll.DBRW($C$81,$D$85,$C$85,$E$85,N$89,$C98,$F$85)</f>
        <v>11425.942902679753</v>
      </c>
      <c r="O98" s="146">
        <f ca="1">_xll.DBRW($C$81,$D$85,$C$85,$E$85,O$89,$C98,$F$85)</f>
        <v>11425.942902679753</v>
      </c>
      <c r="P98" s="146">
        <f ca="1">_xll.DBRW($C$81,$D$85,$C$85,$E$85,P$89,$C98,$F$85)</f>
        <v>11425.942902679753</v>
      </c>
      <c r="Q98" s="164">
        <f ca="1">_xll.DBRW($C$81,$D$85,$C$85,$E$85,Q$89,$C98,$F$85)</f>
        <v>134955.74392789375</v>
      </c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</row>
    <row r="99" spans="1:255" customFormat="1" ht="15" customHeight="1" x14ac:dyDescent="0.25">
      <c r="A99" s="55">
        <f ca="1">IF(_xll.TM1RPTELISCONSOLIDATED($C$91,$C99),IF(_xll.TM1RPTELLEV($C$91,$C99)&lt;=3,_xll.TM1RPTELLEV($C$91,$C99),"D"),"N")</f>
        <v>3</v>
      </c>
      <c r="B99" s="61"/>
      <c r="C99" s="160" t="s">
        <v>49</v>
      </c>
      <c r="D99" s="170" t="str">
        <f ca="1">_xll.DBRW("24retail:FcstMethod",$C99,"FcstMethod")</f>
        <v/>
      </c>
      <c r="E99" s="146">
        <f ca="1">_xll.DBRW($C$81,$D$85,$C$85,$E$85,E$89,$C99,$F$85)</f>
        <v>12000</v>
      </c>
      <c r="F99" s="146">
        <f ca="1">_xll.DBRW($C$81,$D$85,$C$85,$E$85,F$89,$C99,$F$85)</f>
        <v>4332.8384524340418</v>
      </c>
      <c r="G99" s="146">
        <f ca="1">_xll.DBRW($C$81,$D$85,$C$85,$E$85,G$89,$C99,$F$85)</f>
        <v>5611.1314959390284</v>
      </c>
      <c r="H99" s="146">
        <f ca="1">_xll.DBRW($C$81,$D$85,$C$85,$E$85,H$89,$C99,$F$85)</f>
        <v>7314.6566494576891</v>
      </c>
      <c r="I99" s="146">
        <f ca="1">_xll.DBRW($C$81,$D$85,$C$85,$E$85,I$89,$C99,$F$85)</f>
        <v>5752.8755326102528</v>
      </c>
      <c r="J99" s="146">
        <f ca="1">_xll.DBRW($C$81,$D$85,$C$85,$E$85,J$89,$C99,$F$85)</f>
        <v>6226.2212260023243</v>
      </c>
      <c r="K99" s="146">
        <f ca="1">_xll.DBRW($C$81,$D$85,$C$85,$E$85,K$89,$C99,$F$85)</f>
        <v>6431.2511360234221</v>
      </c>
      <c r="L99" s="146">
        <f ca="1">_xll.DBRW($C$81,$D$85,$C$85,$E$85,L$89,$C99,$F$85)</f>
        <v>6136.782631545334</v>
      </c>
      <c r="M99" s="146">
        <f ca="1">_xll.DBRW($C$81,$D$85,$C$85,$E$85,M$89,$C99,$F$85)</f>
        <v>6264.7516645236929</v>
      </c>
      <c r="N99" s="146">
        <f ca="1">_xll.DBRW($C$81,$D$85,$C$85,$E$85,N$89,$C99,$F$85)</f>
        <v>6277.5951440308163</v>
      </c>
      <c r="O99" s="146">
        <f ca="1">_xll.DBRW($C$81,$D$85,$C$85,$E$85,O$89,$C99,$F$85)</f>
        <v>6226.3764800332801</v>
      </c>
      <c r="P99" s="146">
        <f ca="1">_xll.DBRW($C$81,$D$85,$C$85,$E$85,P$89,$C99,$F$85)</f>
        <v>6256.2410961959295</v>
      </c>
      <c r="Q99" s="164">
        <f ca="1">_xll.DBRW($C$81,$D$85,$C$85,$E$85,Q$89,$C99,$F$85)</f>
        <v>78830.721508795803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</row>
    <row r="100" spans="1:255" customFormat="1" ht="15" customHeight="1" x14ac:dyDescent="0.25">
      <c r="A100" s="55">
        <f ca="1">IF(_xll.TM1RPTELISCONSOLIDATED($C$91,$C100),IF(_xll.TM1RPTELLEV($C$91,$C100)&lt;=3,_xll.TM1RPTELLEV($C$91,$C100),"D"),"N")</f>
        <v>2</v>
      </c>
      <c r="B100" s="61"/>
      <c r="C100" s="159" t="s">
        <v>50</v>
      </c>
      <c r="D100" s="169" t="str">
        <f ca="1">_xll.DBRW("24retail:FcstMethod",$C100,"FcstMethod")</f>
        <v/>
      </c>
      <c r="E100" s="157">
        <f ca="1">_xll.DBRW($C$81,$D$85,$C$85,$E$85,E$89,$C100,$F$85)</f>
        <v>110903.70774475226</v>
      </c>
      <c r="F100" s="157">
        <f ca="1">_xll.DBRW($C$81,$D$85,$C$85,$E$85,F$89,$C100,$F$85)</f>
        <v>96507.667662296793</v>
      </c>
      <c r="G100" s="157">
        <f ca="1">_xll.DBRW($C$81,$D$85,$C$85,$E$85,G$89,$C100,$F$85)</f>
        <v>123981.38473409391</v>
      </c>
      <c r="H100" s="157">
        <f ca="1">_xll.DBRW($C$81,$D$85,$C$85,$E$85,H$89,$C100,$F$85)</f>
        <v>69002.118580694107</v>
      </c>
      <c r="I100" s="157">
        <f ca="1">_xll.DBRW($C$81,$D$85,$C$85,$E$85,I$89,$C100,$F$85)</f>
        <v>64355.577485941052</v>
      </c>
      <c r="J100" s="157">
        <f ca="1">_xll.DBRW($C$81,$D$85,$C$85,$E$85,J$89,$C100,$F$85)</f>
        <v>92664.542829061858</v>
      </c>
      <c r="K100" s="157">
        <f ca="1">_xll.DBRW($C$81,$D$85,$C$85,$E$85,K$89,$C100,$F$85)</f>
        <v>65523.995276085268</v>
      </c>
      <c r="L100" s="157">
        <f ca="1">_xll.DBRW($C$81,$D$85,$C$85,$E$85,L$89,$C100,$F$85)</f>
        <v>64266.366709795511</v>
      </c>
      <c r="M100" s="157">
        <f ca="1">_xll.DBRW($C$81,$D$85,$C$85,$E$85,M$89,$C100,$F$85)</f>
        <v>91936.610160895259</v>
      </c>
      <c r="N100" s="157">
        <f ca="1">_xll.DBRW($C$81,$D$85,$C$85,$E$85,N$89,$C100,$F$85)</f>
        <v>67595.966397697499</v>
      </c>
      <c r="O100" s="157">
        <f ca="1">_xll.DBRW($C$81,$D$85,$C$85,$E$85,O$89,$C100,$F$85)</f>
        <v>72845.406683007182</v>
      </c>
      <c r="P100" s="157">
        <f ca="1">_xll.DBRW($C$81,$D$85,$C$85,$E$85,P$89,$C100,$F$85)</f>
        <v>106069.18143596852</v>
      </c>
      <c r="Q100" s="164">
        <f ca="1">_xll.DBRW($C$81,$D$85,$C$85,$E$85,Q$89,$C100,$F$85)</f>
        <v>1025652.5257002891</v>
      </c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</row>
    <row r="101" spans="1:255" customFormat="1" ht="15" customHeight="1" x14ac:dyDescent="0.25">
      <c r="A101" s="55">
        <f ca="1">IF(_xll.TM1RPTELISCONSOLIDATED($C$91,$C101),IF(_xll.TM1RPTELLEV($C$91,$C101)&lt;=3,_xll.TM1RPTELLEV($C$91,$C101),"D"),"N")</f>
        <v>1</v>
      </c>
      <c r="B101" s="63"/>
      <c r="C101" s="116" t="s">
        <v>51</v>
      </c>
      <c r="D101" s="168" t="str">
        <f ca="1">_xll.DBRW("24retail:FcstMethod",$C101,"FcstMethod")</f>
        <v/>
      </c>
      <c r="E101" s="139">
        <f ca="1">_xll.DBRW($C$81,$D$85,$C$85,$E$85,E$89,$C101,$F$85)</f>
        <v>-12209.162232754479</v>
      </c>
      <c r="F101" s="139">
        <f ca="1">_xll.DBRW($C$81,$D$85,$C$85,$E$85,F$89,$C101,$F$85)</f>
        <v>37558.253085900462</v>
      </c>
      <c r="G101" s="139">
        <f ca="1">_xll.DBRW($C$81,$D$85,$C$85,$E$85,G$89,$C101,$F$85)</f>
        <v>10479.742340791512</v>
      </c>
      <c r="H101" s="139">
        <f ca="1">_xll.DBRW($C$81,$D$85,$C$85,$E$85,H$89,$C101,$F$85)</f>
        <v>65771.452891879468</v>
      </c>
      <c r="I101" s="139">
        <f ca="1">_xll.DBRW($C$81,$D$85,$C$85,$E$85,I$89,$C101,$F$85)</f>
        <v>72205.394853359612</v>
      </c>
      <c r="J101" s="139">
        <f ca="1">_xll.DBRW($C$81,$D$85,$C$85,$E$85,J$89,$C101,$F$85)</f>
        <v>44270.83555492702</v>
      </c>
      <c r="K101" s="139">
        <f ca="1">_xll.DBRW($C$81,$D$85,$C$85,$E$85,K$89,$C101,$F$85)</f>
        <v>77898.919174430863</v>
      </c>
      <c r="L101" s="139">
        <f ca="1">_xll.DBRW($C$81,$D$85,$C$85,$E$85,L$89,$C101,$F$85)</f>
        <v>80597.37780713597</v>
      </c>
      <c r="M101" s="139">
        <f ca="1">_xll.DBRW($C$81,$D$85,$C$85,$E$85,M$89,$C101,$F$85)</f>
        <v>76658.69458976356</v>
      </c>
      <c r="N101" s="139">
        <f ca="1">_xll.DBRW($C$81,$D$85,$C$85,$E$85,N$89,$C101,$F$85)</f>
        <v>103645.77881096136</v>
      </c>
      <c r="O101" s="139">
        <f ca="1">_xll.DBRW($C$81,$D$85,$C$85,$E$85,O$89,$C101,$F$85)</f>
        <v>99488.544150248956</v>
      </c>
      <c r="P101" s="139">
        <f ca="1">_xll.DBRW($C$81,$D$85,$C$85,$E$85,P$89,$C101,$F$85)</f>
        <v>85243.531214469869</v>
      </c>
      <c r="Q101" s="163">
        <f ca="1">_xll.DBRW($C$81,$D$85,$C$85,$E$85,Q$89,$C101,$F$85)</f>
        <v>741609.36224111426</v>
      </c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</row>
    <row r="102" spans="1:255" customFormat="1" ht="15" customHeight="1" x14ac:dyDescent="0.25">
      <c r="A102" s="55">
        <f ca="1">IF(_xll.TM1RPTELISCONSOLIDATED($C$91,$C102),IF(_xll.TM1RPTELLEV($C$91,$C102)&lt;=3,_xll.TM1RPTELLEV($C$91,$C102),"D"),"N")</f>
        <v>1</v>
      </c>
      <c r="B102" s="63"/>
      <c r="C102" s="161" t="s">
        <v>52</v>
      </c>
      <c r="D102" s="168" t="str">
        <f ca="1">_xll.DBRW("24retail:FcstMethod",$C102,"FcstMethod")</f>
        <v/>
      </c>
      <c r="E102" s="139">
        <f ca="1">_xll.DBRW($C$81,$D$85,$C$85,$E$85,E$89,$C102,$F$85)</f>
        <v>172.00380686655762</v>
      </c>
      <c r="F102" s="139">
        <f ca="1">_xll.DBRW($C$81,$D$85,$C$85,$E$85,F$89,$C102,$F$85)</f>
        <v>28160.550203799521</v>
      </c>
      <c r="G102" s="139">
        <f ca="1">_xll.DBRW($C$81,$D$85,$C$85,$E$85,G$89,$C102,$F$85)</f>
        <v>23565.399238493057</v>
      </c>
      <c r="H102" s="139">
        <f ca="1">_xll.DBRW($C$81,$D$85,$C$85,$E$85,H$89,$C102,$F$85)</f>
        <v>26790.50035121178</v>
      </c>
      <c r="I102" s="139">
        <f ca="1">_xll.DBRW($C$81,$D$85,$C$85,$E$85,I$89,$C102,$F$85)</f>
        <v>28459.126335036068</v>
      </c>
      <c r="J102" s="139">
        <f ca="1">_xll.DBRW($C$81,$D$85,$C$85,$E$85,J$89,$C102,$F$85)</f>
        <v>26478.639930469439</v>
      </c>
      <c r="K102" s="139">
        <f ca="1">_xll.DBRW($C$81,$D$85,$C$85,$E$85,K$89,$C102,$F$85)</f>
        <v>27317.60579357035</v>
      </c>
      <c r="L102" s="139">
        <f ca="1">_xll.DBRW($C$81,$D$85,$C$85,$E$85,L$89,$C102,$F$85)</f>
        <v>26891.586495406529</v>
      </c>
      <c r="M102" s="139">
        <f ca="1">_xll.DBRW($C$81,$D$85,$C$85,$E$85,M$89,$C102,$F$85)</f>
        <v>27334.632768788913</v>
      </c>
      <c r="N102" s="139">
        <f ca="1">_xll.DBRW($C$81,$D$85,$C$85,$E$85,N$89,$C102,$F$85)</f>
        <v>32181.862948218182</v>
      </c>
      <c r="O102" s="139">
        <f ca="1">_xll.DBRW($C$81,$D$85,$C$85,$E$85,O$89,$C102,$F$85)</f>
        <v>32406.224252382824</v>
      </c>
      <c r="P102" s="139">
        <f ca="1">_xll.DBRW($C$81,$D$85,$C$85,$E$85,P$89,$C102,$F$85)</f>
        <v>33244.741659774125</v>
      </c>
      <c r="Q102" s="163">
        <f ca="1">_xll.DBRW($C$81,$D$85,$C$85,$E$85,Q$89,$C102,$F$85)</f>
        <v>313002.87378401728</v>
      </c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</row>
    <row r="103" spans="1:255" customFormat="1" ht="15" customHeight="1" x14ac:dyDescent="0.25">
      <c r="A103" s="55">
        <f ca="1">IF(_xll.TM1RPTELISCONSOLIDATED($C$91,$C103),IF(_xll.TM1RPTELLEV($C$91,$C103)&lt;=3,_xll.TM1RPTELLEV($C$91,$C103),"D"),"N")</f>
        <v>0</v>
      </c>
      <c r="B103" s="63"/>
      <c r="C103" s="117" t="s">
        <v>53</v>
      </c>
      <c r="D103" s="168" t="str">
        <f ca="1">_xll.DBRW("24retail:FcstMethod",$C103,"FcstMethod")</f>
        <v/>
      </c>
      <c r="E103" s="139">
        <f ca="1">_xll.DBRW($C$81,$D$85,$C$85,$E$85,E$89,$C103,$F$85)</f>
        <v>-12381.166039621039</v>
      </c>
      <c r="F103" s="139">
        <f ca="1">_xll.DBRW($C$81,$D$85,$C$85,$E$85,F$89,$C103,$F$85)</f>
        <v>9397.7028821009353</v>
      </c>
      <c r="G103" s="139">
        <f ca="1">_xll.DBRW($C$81,$D$85,$C$85,$E$85,G$89,$C103,$F$85)</f>
        <v>-13085.656897701543</v>
      </c>
      <c r="H103" s="139">
        <f ca="1">_xll.DBRW($C$81,$D$85,$C$85,$E$85,H$89,$C103,$F$85)</f>
        <v>38980.952540667691</v>
      </c>
      <c r="I103" s="139">
        <f ca="1">_xll.DBRW($C$81,$D$85,$C$85,$E$85,I$89,$C103,$F$85)</f>
        <v>43746.268518323544</v>
      </c>
      <c r="J103" s="139">
        <f ca="1">_xll.DBRW($C$81,$D$85,$C$85,$E$85,J$89,$C103,$F$85)</f>
        <v>17792.195624457578</v>
      </c>
      <c r="K103" s="139">
        <f ca="1">_xll.DBRW($C$81,$D$85,$C$85,$E$85,K$89,$C103,$F$85)</f>
        <v>50581.313380860498</v>
      </c>
      <c r="L103" s="139">
        <f ca="1">_xll.DBRW($C$81,$D$85,$C$85,$E$85,L$89,$C103,$F$85)</f>
        <v>53705.79131172943</v>
      </c>
      <c r="M103" s="139">
        <f ca="1">_xll.DBRW($C$81,$D$85,$C$85,$E$85,M$89,$C103,$F$85)</f>
        <v>49324.061820974632</v>
      </c>
      <c r="N103" s="139">
        <f ca="1">_xll.DBRW($C$81,$D$85,$C$85,$E$85,N$89,$C103,$F$85)</f>
        <v>71463.915862743175</v>
      </c>
      <c r="O103" s="139">
        <f ca="1">_xll.DBRW($C$81,$D$85,$C$85,$E$85,O$89,$C103,$F$85)</f>
        <v>67082.319897866138</v>
      </c>
      <c r="P103" s="139">
        <f ca="1">_xll.DBRW($C$81,$D$85,$C$85,$E$85,P$89,$C103,$F$85)</f>
        <v>51998.78955469573</v>
      </c>
      <c r="Q103" s="163">
        <f ca="1">_xll.DBRW($C$81,$D$85,$C$85,$E$85,Q$89,$C103,$F$85)</f>
        <v>428606.48845709674</v>
      </c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</row>
  </sheetData>
  <mergeCells count="2">
    <mergeCell ref="F85:G85"/>
    <mergeCell ref="F84:G84"/>
  </mergeCells>
  <phoneticPr fontId="12" type="noConversion"/>
  <conditionalFormatting sqref="E89:H89 E87:H87">
    <cfRule type="expression" dxfId="5" priority="5" stopIfTrue="1">
      <formula>E$88="F"</formula>
    </cfRule>
  </conditionalFormatting>
  <conditionalFormatting sqref="E90:P90">
    <cfRule type="expression" dxfId="4" priority="1">
      <formula>E87="F"</formula>
    </cfRule>
    <cfRule type="expression" dxfId="3" priority="2">
      <formula>E87="A"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8:Q88"/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14"/>
  <sheetViews>
    <sheetView showGridLines="0" showRowColHeaders="0" topLeftCell="A2" workbookViewId="0">
      <selection activeCell="A2" sqref="A2"/>
    </sheetView>
  </sheetViews>
  <sheetFormatPr defaultRowHeight="14.25" x14ac:dyDescent="0.2"/>
  <cols>
    <col min="1" max="1" width="1.28515625" style="27" customWidth="1"/>
    <col min="2" max="2" width="16.5703125" style="27" hidden="1" customWidth="1"/>
    <col min="3" max="3" width="9.5703125" style="27" hidden="1" customWidth="1"/>
    <col min="4" max="4" width="13.7109375" style="27" customWidth="1"/>
    <col min="5" max="16" width="9.140625" style="27"/>
    <col min="17" max="17" width="12" style="27" customWidth="1"/>
    <col min="18" max="16384" width="9.140625" style="27"/>
  </cols>
  <sheetData>
    <row r="1" spans="1:17" hidden="1" x14ac:dyDescent="0.2">
      <c r="D1" s="27" t="s">
        <v>61</v>
      </c>
      <c r="E1" s="27" t="str">
        <f ca="1">_xll.VIEW("24retail:Income Statement",$K$5,$D$5,$M$5,"!",$F$5,"!")</f>
        <v>24retail:Income Statement</v>
      </c>
    </row>
    <row r="2" spans="1:17" ht="28.5" customHeight="1" x14ac:dyDescent="0.2">
      <c r="A2" s="74"/>
      <c r="B2" s="22"/>
      <c r="C2" s="22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ht="30.75" customHeight="1" x14ac:dyDescent="0.2">
      <c r="N3" s="42"/>
      <c r="O3" s="42"/>
      <c r="P3" s="42"/>
      <c r="Q3" s="42"/>
    </row>
    <row r="4" spans="1:17" s="29" customFormat="1" ht="15" customHeight="1" x14ac:dyDescent="0.25">
      <c r="D4" s="197" t="s">
        <v>23</v>
      </c>
      <c r="E4" s="193"/>
      <c r="F4" s="192" t="s">
        <v>71</v>
      </c>
      <c r="G4" s="197"/>
      <c r="H4" s="193"/>
      <c r="I4" s="192" t="s">
        <v>70</v>
      </c>
      <c r="J4" s="193"/>
      <c r="K4" s="192" t="s">
        <v>114</v>
      </c>
      <c r="L4" s="193"/>
      <c r="M4" s="192" t="s">
        <v>0</v>
      </c>
      <c r="N4" s="193"/>
      <c r="O4" s="192" t="s">
        <v>196</v>
      </c>
      <c r="P4" s="193"/>
    </row>
    <row r="5" spans="1:17" s="29" customFormat="1" ht="15" customHeight="1" x14ac:dyDescent="0.25">
      <c r="D5" s="194" t="str">
        <f ca="1">_xll.SUBNM("24retail:organization","Workflow",Organization,"Caption_Default")</f>
        <v>Massachusetts</v>
      </c>
      <c r="E5" s="194"/>
      <c r="F5" s="194" t="str">
        <f ca="1">_xll.SUBNM("24retail:Account","","4999","Caption_Default")</f>
        <v>4999 Gross Revenue</v>
      </c>
      <c r="G5" s="194"/>
      <c r="H5" s="194"/>
      <c r="I5" s="194" t="str">
        <f ca="1">_xll.DBRW("24retail:FcstMethod",$F5,"FcstMethod")</f>
        <v>Last Year Actual</v>
      </c>
      <c r="J5" s="194"/>
      <c r="K5" s="194" t="str">
        <f ca="1">_xll.SUBNM("24retail:Currency Calc","Default","Local")</f>
        <v>Local</v>
      </c>
      <c r="L5" s="194"/>
      <c r="M5" s="194" t="str">
        <f ca="1">_xll.SUBNM("24retail:Year","Default","Y2","Caption_Default")</f>
        <v>2015</v>
      </c>
      <c r="N5" s="194"/>
      <c r="O5" s="194" t="str">
        <f ca="1">_xll.DBRW("24retail:calendar","Fcst Month","String")</f>
        <v>Feb</v>
      </c>
      <c r="P5" s="194"/>
    </row>
    <row r="6" spans="1:17" s="29" customFormat="1" ht="6.75" customHeight="1" x14ac:dyDescent="0.25"/>
    <row r="7" spans="1:17" s="29" customFormat="1" ht="15" customHeight="1" x14ac:dyDescent="0.25">
      <c r="C7" s="36"/>
      <c r="D7" s="23"/>
      <c r="E7" s="23" t="str">
        <f ca="1">E8</f>
        <v>A</v>
      </c>
      <c r="F7" s="23" t="str">
        <f t="shared" ref="F7:P7" ca="1" si="0">F8</f>
        <v>F</v>
      </c>
      <c r="G7" s="23" t="str">
        <f t="shared" ca="1" si="0"/>
        <v>F</v>
      </c>
      <c r="H7" s="23" t="str">
        <f t="shared" ca="1" si="0"/>
        <v>F</v>
      </c>
      <c r="I7" s="23" t="str">
        <f t="shared" ca="1" si="0"/>
        <v>F</v>
      </c>
      <c r="J7" s="23" t="str">
        <f t="shared" ca="1" si="0"/>
        <v>F</v>
      </c>
      <c r="K7" s="23" t="str">
        <f t="shared" ca="1" si="0"/>
        <v>F</v>
      </c>
      <c r="L7" s="23" t="str">
        <f t="shared" ca="1" si="0"/>
        <v>F</v>
      </c>
      <c r="M7" s="23" t="str">
        <f t="shared" ca="1" si="0"/>
        <v>F</v>
      </c>
      <c r="N7" s="23" t="str">
        <f t="shared" ca="1" si="0"/>
        <v>F</v>
      </c>
      <c r="O7" s="23" t="str">
        <f t="shared" ca="1" si="0"/>
        <v>F</v>
      </c>
      <c r="P7" s="23" t="str">
        <f t="shared" ca="1" si="0"/>
        <v>F</v>
      </c>
      <c r="Q7" s="23"/>
    </row>
    <row r="8" spans="1:17" s="29" customFormat="1" hidden="1" x14ac:dyDescent="0.25">
      <c r="D8" s="23"/>
      <c r="E8" s="23" t="str">
        <f ca="1">_xll.DBRW("24retail:Relative Time",$M$5,E$9,"ActFor")</f>
        <v>A</v>
      </c>
      <c r="F8" s="23" t="str">
        <f ca="1">_xll.DBRW("24retail:Relative Time",$M$5,F$9,"ActFor")</f>
        <v>F</v>
      </c>
      <c r="G8" s="23" t="str">
        <f ca="1">_xll.DBRW("24retail:Relative Time",$M$5,G$9,"ActFor")</f>
        <v>F</v>
      </c>
      <c r="H8" s="23" t="str">
        <f ca="1">_xll.DBRW("24retail:Relative Time",$M$5,H$9,"ActFor")</f>
        <v>F</v>
      </c>
      <c r="I8" s="23" t="str">
        <f ca="1">_xll.DBRW("24retail:Relative Time",$M$5,I$9,"ActFor")</f>
        <v>F</v>
      </c>
      <c r="J8" s="23" t="str">
        <f ca="1">_xll.DBRW("24retail:Relative Time",$M$5,J$9,"ActFor")</f>
        <v>F</v>
      </c>
      <c r="K8" s="23" t="str">
        <f ca="1">_xll.DBRW("24retail:Relative Time",$M$5,K$9,"ActFor")</f>
        <v>F</v>
      </c>
      <c r="L8" s="23" t="str">
        <f ca="1">_xll.DBRW("24retail:Relative Time",$M$5,L$9,"ActFor")</f>
        <v>F</v>
      </c>
      <c r="M8" s="23" t="str">
        <f ca="1">_xll.DBRW("24retail:Relative Time",$M$5,M$9,"ActFor")</f>
        <v>F</v>
      </c>
      <c r="N8" s="23" t="str">
        <f ca="1">_xll.DBRW("24retail:Relative Time",$M$5,N$9,"ActFor")</f>
        <v>F</v>
      </c>
      <c r="O8" s="23" t="str">
        <f ca="1">_xll.DBRW("24retail:Relative Time",$M$5,O$9,"ActFor")</f>
        <v>F</v>
      </c>
      <c r="P8" s="23" t="str">
        <f ca="1">_xll.DBRW("24retail:Relative Time",$M$5,P$9,"ActFor")</f>
        <v>F</v>
      </c>
      <c r="Q8" s="23"/>
    </row>
    <row r="9" spans="1:17" s="29" customFormat="1" x14ac:dyDescent="0.25">
      <c r="D9" s="172" t="s">
        <v>29</v>
      </c>
      <c r="E9" s="23" t="s">
        <v>30</v>
      </c>
      <c r="F9" s="23" t="s">
        <v>31</v>
      </c>
      <c r="G9" s="23" t="s">
        <v>32</v>
      </c>
      <c r="H9" s="23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3" t="s">
        <v>40</v>
      </c>
      <c r="P9" s="23" t="s">
        <v>41</v>
      </c>
      <c r="Q9" s="23" t="s">
        <v>0</v>
      </c>
    </row>
    <row r="10" spans="1:17" s="29" customFormat="1" ht="2.4500000000000002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s="83" customFormat="1" ht="15" customHeight="1" x14ac:dyDescent="0.2">
      <c r="B11" s="171" t="s">
        <v>99</v>
      </c>
      <c r="C11" s="171" t="s">
        <v>56</v>
      </c>
      <c r="D11" s="176" t="s">
        <v>56</v>
      </c>
      <c r="E11" s="146">
        <f ca="1">_xll.DBRW($E$1,$K$5,$D$5,$M$5,E$9,$F$5,$C11)</f>
        <v>531437.3442587977</v>
      </c>
      <c r="F11" s="146">
        <f ca="1">_xll.DBRW($E$1,$K$5,$D$5,$M$5,F$9,$F$5,$C11)</f>
        <v>541894.44671879767</v>
      </c>
      <c r="G11" s="146">
        <f ca="1">_xll.DBRW($E$1,$K$5,$D$5,$M$5,G$9,$F$5,$C11)</f>
        <v>544845.23230309191</v>
      </c>
      <c r="H11" s="146">
        <f ca="1">_xll.DBRW($E$1,$K$5,$D$5,$M$5,H$9,$F$5,$C11)</f>
        <v>551155.52251474222</v>
      </c>
      <c r="I11" s="146">
        <f ca="1">_xll.DBRW($E$1,$K$5,$D$5,$M$5,I$9,$F$5,$C11)</f>
        <v>540515.03850384825</v>
      </c>
      <c r="J11" s="146">
        <f ca="1">_xll.DBRW($E$1,$K$5,$D$5,$M$5,J$9,$F$5,$C11)</f>
        <v>548671.01639837259</v>
      </c>
      <c r="K11" s="146">
        <f ca="1">_xll.DBRW($E$1,$K$5,$D$5,$M$5,K$9,$F$5,$C11)</f>
        <v>548218.66164635099</v>
      </c>
      <c r="L11" s="146">
        <f ca="1">_xll.DBRW($E$1,$K$5,$D$5,$M$5,L$9,$F$5,$C11)</f>
        <v>575260.815202681</v>
      </c>
      <c r="M11" s="146">
        <f ca="1">_xll.DBRW($E$1,$K$5,$D$5,$M$5,M$9,$F$5,$C11)</f>
        <v>543623.46230140422</v>
      </c>
      <c r="N11" s="146">
        <f ca="1">_xll.DBRW($E$1,$K$5,$D$5,$M$5,N$9,$F$5,$C11)</f>
        <v>567707.88973742444</v>
      </c>
      <c r="O11" s="146">
        <f ca="1">_xll.DBRW($E$1,$K$5,$D$5,$M$5,O$9,$F$5,$C11)</f>
        <v>619584.34911138203</v>
      </c>
      <c r="P11" s="146">
        <f ca="1">_xll.DBRW($E$1,$K$5,$D$5,$M$5,P$9,$F$5,$C11)</f>
        <v>708212.97856140463</v>
      </c>
      <c r="Q11" s="157">
        <f ca="1">_xll.DBRW($E$1,$K$5,$D$5,$M$5,Q$9,$F$5,$C11)</f>
        <v>6821126.7572582979</v>
      </c>
    </row>
    <row r="12" spans="1:17" s="83" customFormat="1" ht="15" customHeight="1" x14ac:dyDescent="0.2">
      <c r="B12" s="171" t="str">
        <f ca="1">_xll.SUBNM("24retail:Version","Current",_xll.DBR("24retail:Calendar","Current Version","String"),"Caption_Default")</f>
        <v>Budget</v>
      </c>
      <c r="C12" s="171" t="s">
        <v>78</v>
      </c>
      <c r="D12" s="176" t="str">
        <f ca="1">_xll.SUBNM("24retail:Version","Current",_xll.DBR("24retail:Calendar","Current Version","String"),"Caption_Default")</f>
        <v>Budget</v>
      </c>
      <c r="E12" s="146">
        <f ca="1">_xll.DBRW($E$1,$K$5,$D$5,$M$5,E$9,$F$5,$B12)</f>
        <v>726148.63770119241</v>
      </c>
      <c r="F12" s="146">
        <f ca="1">_xll.DBRW($E$1,$K$5,$D$5,$M$5,F$9,$F$5,$B12)</f>
        <v>895406.69837893033</v>
      </c>
      <c r="G12" s="146">
        <f ca="1">_xll.DBRW($E$1,$K$5,$D$5,$M$5,G$9,$F$5,$B12)</f>
        <v>783796.73576040834</v>
      </c>
      <c r="H12" s="146">
        <f ca="1">_xll.DBRW($E$1,$K$5,$D$5,$M$5,H$9,$F$5,$B12)</f>
        <v>795693.33285196859</v>
      </c>
      <c r="I12" s="146">
        <f ca="1">_xll.DBRW($E$1,$K$5,$D$5,$M$5,I$9,$F$5,$B12)</f>
        <v>845686.9850642751</v>
      </c>
      <c r="J12" s="146">
        <f ca="1">_xll.DBRW($E$1,$K$5,$D$5,$M$5,J$9,$F$5,$B12)</f>
        <v>828780.43890613061</v>
      </c>
      <c r="K12" s="146">
        <f ca="1">_xll.DBRW($E$1,$K$5,$D$5,$M$5,K$9,$F$5,$B12)</f>
        <v>847480.91340747732</v>
      </c>
      <c r="L12" s="146">
        <f ca="1">_xll.DBRW($E$1,$K$5,$D$5,$M$5,L$9,$F$5,$B12)</f>
        <v>856515.64283646457</v>
      </c>
      <c r="M12" s="146">
        <f ca="1">_xll.DBRW($E$1,$K$5,$D$5,$M$5,M$9,$F$5,$B12)</f>
        <v>877665.84380563442</v>
      </c>
      <c r="N12" s="146">
        <f ca="1">_xll.DBRW($E$1,$K$5,$D$5,$M$5,N$9,$F$5,$B12)</f>
        <v>1001742.0959066264</v>
      </c>
      <c r="O12" s="146">
        <f ca="1">_xll.DBRW($E$1,$K$5,$D$5,$M$5,O$9,$F$5,$B12)</f>
        <v>1019524.8719283346</v>
      </c>
      <c r="P12" s="146">
        <f ca="1">_xll.DBRW($E$1,$K$5,$D$5,$M$5,P$9,$F$5,$B12)</f>
        <v>1060085.1202257243</v>
      </c>
      <c r="Q12" s="157">
        <f ca="1">_xll.DBRW($E$1,$K$5,$D$5,$M$5,Q$9,$F$5,$B12)</f>
        <v>10538527.316773167</v>
      </c>
    </row>
    <row r="13" spans="1:17" s="83" customFormat="1" ht="15" customHeight="1" x14ac:dyDescent="0.2">
      <c r="B13" s="171" t="s">
        <v>72</v>
      </c>
      <c r="C13" s="171" t="s">
        <v>72</v>
      </c>
      <c r="D13" s="176" t="s">
        <v>72</v>
      </c>
      <c r="E13" s="146">
        <f ca="1">_xll.DBRW($E$1,$K$5,$D$5,$M$5,E$9,$F$5,$C13)</f>
        <v>531437.3442587977</v>
      </c>
      <c r="F13" s="146">
        <f ca="1">_xll.DBRW($E$1,$K$5,$D$5,$M$5,F$9,$F$5,$C13)</f>
        <v>736412.1641377972</v>
      </c>
      <c r="G13" s="146">
        <f ca="1">_xll.DBRW($E$1,$K$5,$D$5,$M$5,G$9,$F$5,$C13)</f>
        <v>739347.80648148549</v>
      </c>
      <c r="H13" s="146">
        <f ca="1">_xll.DBRW($E$1,$K$5,$D$5,$M$5,H$9,$F$5,$C13)</f>
        <v>741110.94882517355</v>
      </c>
      <c r="I13" s="146">
        <f ca="1">_xll.DBRW($E$1,$K$5,$D$5,$M$5,I$9,$F$5,$C13)</f>
        <v>750378.86666090076</v>
      </c>
      <c r="J13" s="146">
        <f ca="1">_xll.DBRW($E$1,$K$5,$D$5,$M$5,J$9,$F$5,$C13)</f>
        <v>753760.60900458891</v>
      </c>
      <c r="K13" s="146">
        <f ca="1">_xll.DBRW($E$1,$K$5,$D$5,$M$5,K$9,$F$5,$C13)</f>
        <v>760624.2268403162</v>
      </c>
      <c r="L13" s="146">
        <f ca="1">_xll.DBRW($E$1,$K$5,$D$5,$M$5,L$9,$F$5,$C13)</f>
        <v>769055.23701973155</v>
      </c>
      <c r="M13" s="146">
        <f ca="1">_xll.DBRW($E$1,$K$5,$D$5,$M$5,M$9,$F$5,$C13)</f>
        <v>846980.80485545879</v>
      </c>
      <c r="N13" s="146">
        <f ca="1">_xll.DBRW($E$1,$K$5,$D$5,$M$5,N$9,$F$5,$C13)</f>
        <v>857724.70485545893</v>
      </c>
      <c r="O13" s="146">
        <f ca="1">_xll.DBRW($E$1,$K$5,$D$5,$M$5,O$9,$F$5,$C13)</f>
        <v>862436.57637505606</v>
      </c>
      <c r="P13" s="146">
        <f ca="1">_xll.DBRW($E$1,$K$5,$D$5,$M$5,P$9,$F$5,$C13)</f>
        <v>950697.78731383849</v>
      </c>
      <c r="Q13" s="157">
        <f ca="1">_xll.DBRW($E$1,$K$5,$D$5,$M$5,Q$9,$F$5,$C13)</f>
        <v>9299967.076628603</v>
      </c>
    </row>
    <row r="14" spans="1:17" s="83" customFormat="1" ht="15" customHeight="1" x14ac:dyDescent="0.2">
      <c r="D14" s="176" t="s">
        <v>195</v>
      </c>
      <c r="E14" s="146">
        <f ca="1">E13-E12</f>
        <v>-194711.2934423947</v>
      </c>
      <c r="F14" s="146">
        <f t="shared" ref="F14:Q14" ca="1" si="1">F13-F12</f>
        <v>-158994.53424113314</v>
      </c>
      <c r="G14" s="146">
        <f t="shared" ca="1" si="1"/>
        <v>-44448.929278922849</v>
      </c>
      <c r="H14" s="146">
        <f t="shared" ca="1" si="1"/>
        <v>-54582.384026795044</v>
      </c>
      <c r="I14" s="146">
        <f t="shared" ca="1" si="1"/>
        <v>-95308.118403374334</v>
      </c>
      <c r="J14" s="146">
        <f t="shared" ca="1" si="1"/>
        <v>-75019.8299015417</v>
      </c>
      <c r="K14" s="146">
        <f t="shared" ca="1" si="1"/>
        <v>-86856.686567161116</v>
      </c>
      <c r="L14" s="146">
        <f t="shared" ca="1" si="1"/>
        <v>-87460.405816733022</v>
      </c>
      <c r="M14" s="146">
        <f t="shared" ca="1" si="1"/>
        <v>-30685.038950175629</v>
      </c>
      <c r="N14" s="146">
        <f t="shared" ca="1" si="1"/>
        <v>-144017.39105116751</v>
      </c>
      <c r="O14" s="146">
        <f t="shared" ca="1" si="1"/>
        <v>-157088.29555327853</v>
      </c>
      <c r="P14" s="146">
        <f t="shared" ca="1" si="1"/>
        <v>-109387.33291188581</v>
      </c>
      <c r="Q14" s="157">
        <f t="shared" ca="1" si="1"/>
        <v>-1238560.2401445638</v>
      </c>
    </row>
  </sheetData>
  <mergeCells count="12">
    <mergeCell ref="D5:E5"/>
    <mergeCell ref="F5:H5"/>
    <mergeCell ref="D4:E4"/>
    <mergeCell ref="F4:H4"/>
    <mergeCell ref="O4:P4"/>
    <mergeCell ref="O5:P5"/>
    <mergeCell ref="M5:N5"/>
    <mergeCell ref="M4:N4"/>
    <mergeCell ref="I4:J4"/>
    <mergeCell ref="K4:L4"/>
    <mergeCell ref="I5:J5"/>
    <mergeCell ref="K5:L5"/>
  </mergeCells>
  <phoneticPr fontId="12" type="noConversion"/>
  <conditionalFormatting sqref="Q11:Q13">
    <cfRule type="expression" dxfId="2" priority="10" stopIfTrue="1">
      <formula>Q$8="A"</formula>
    </cfRule>
  </conditionalFormatting>
  <conditionalFormatting sqref="E10:P10">
    <cfRule type="expression" dxfId="1" priority="1">
      <formula>E7="F"</formula>
    </cfRule>
    <cfRule type="expression" dxfId="0" priority="2">
      <formula>E7="A"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:P8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U41"/>
  <sheetViews>
    <sheetView showGridLines="0" showRowColHeaders="0" topLeftCell="B10" workbookViewId="0">
      <selection activeCell="B10" sqref="B10"/>
    </sheetView>
  </sheetViews>
  <sheetFormatPr defaultRowHeight="14.25" x14ac:dyDescent="0.2"/>
  <cols>
    <col min="1" max="1" width="2.42578125" style="27" hidden="1" customWidth="1"/>
    <col min="2" max="2" width="1" style="27" customWidth="1"/>
    <col min="3" max="3" width="28.85546875" style="27" customWidth="1"/>
    <col min="4" max="8" width="12.42578125" style="27" customWidth="1"/>
    <col min="9" max="16384" width="9.140625" style="27"/>
  </cols>
  <sheetData>
    <row r="1" spans="1:8" ht="26.25" hidden="1" customHeight="1" x14ac:dyDescent="0.2">
      <c r="A1" s="27" t="s">
        <v>11</v>
      </c>
    </row>
    <row r="2" spans="1:8" hidden="1" x14ac:dyDescent="0.2">
      <c r="A2" s="27">
        <f>0</f>
        <v>0</v>
      </c>
      <c r="C2" s="174"/>
      <c r="D2" s="173"/>
      <c r="E2" s="173"/>
      <c r="F2" s="173"/>
      <c r="G2" s="173"/>
      <c r="H2" s="173"/>
    </row>
    <row r="3" spans="1:8" hidden="1" x14ac:dyDescent="0.2">
      <c r="A3" s="27">
        <f>1</f>
        <v>1</v>
      </c>
      <c r="C3" s="115"/>
      <c r="D3" s="110"/>
      <c r="E3" s="110"/>
      <c r="F3" s="110"/>
      <c r="G3" s="110"/>
      <c r="H3" s="110"/>
    </row>
    <row r="4" spans="1:8" hidden="1" x14ac:dyDescent="0.2">
      <c r="A4" s="27">
        <f>2</f>
        <v>2</v>
      </c>
      <c r="C4" s="115"/>
      <c r="D4" s="110"/>
      <c r="E4" s="110"/>
      <c r="F4" s="110"/>
      <c r="G4" s="110"/>
      <c r="H4" s="110"/>
    </row>
    <row r="5" spans="1:8" hidden="1" x14ac:dyDescent="0.2">
      <c r="A5" s="27">
        <f>3</f>
        <v>3</v>
      </c>
      <c r="C5" s="115"/>
      <c r="D5" s="110"/>
      <c r="E5" s="110"/>
      <c r="F5" s="110"/>
      <c r="G5" s="110"/>
      <c r="H5" s="110"/>
    </row>
    <row r="6" spans="1:8" hidden="1" x14ac:dyDescent="0.2">
      <c r="A6" s="27" t="s">
        <v>9</v>
      </c>
      <c r="C6" s="115"/>
      <c r="D6" s="146"/>
      <c r="E6" s="146"/>
      <c r="F6" s="146"/>
      <c r="G6" s="146"/>
      <c r="H6" s="146"/>
    </row>
    <row r="7" spans="1:8" hidden="1" x14ac:dyDescent="0.2">
      <c r="A7" s="27" t="s">
        <v>10</v>
      </c>
      <c r="C7" s="115"/>
      <c r="D7" s="146"/>
      <c r="E7" s="146"/>
      <c r="F7" s="146"/>
      <c r="G7" s="146"/>
      <c r="H7" s="146"/>
    </row>
    <row r="8" spans="1:8" hidden="1" x14ac:dyDescent="0.2">
      <c r="A8" s="27" t="s">
        <v>12</v>
      </c>
      <c r="G8" s="27">
        <f>VLOOKUP($D$16,Lookup!$D$2:$E$3,2,0)</f>
        <v>0</v>
      </c>
      <c r="H8" s="27" t="str">
        <f>IF(C16&lt;&gt;"","{TM1FILTERBYPATTERN( {TM1SUBSETALL( [Account] )}, """&amp;$C$16&amp;""")}","")</f>
        <v/>
      </c>
    </row>
    <row r="9" spans="1:8" ht="21.75" hidden="1" customHeight="1" x14ac:dyDescent="0.2">
      <c r="C9" s="27" t="str">
        <f ca="1">_xll.TM1RPTVIEW("24retail:Income Statement:1", $G$8, _xll.TM1RPTTITLE("24retail:Currency Calc",$D$13), _xll.TM1RPTTITLE("24retail:organization",$C$13), _xll.TM1RPTTITLE("24retail:Year",$F$13), _xll.TM1RPTTITLE("24retail:Month",$G$13),TM1RPTFMTRNG,TM1RPTFMTIDCOL)</f>
        <v>24retail:Income Statement:1</v>
      </c>
    </row>
    <row r="10" spans="1:8" ht="37.5" customHeight="1" thickBot="1" x14ac:dyDescent="0.25">
      <c r="A10" s="28"/>
      <c r="B10" s="74"/>
      <c r="C10" s="74"/>
      <c r="D10" s="74"/>
      <c r="E10" s="74"/>
      <c r="F10" s="74"/>
      <c r="G10" s="74"/>
      <c r="H10" s="74"/>
    </row>
    <row r="11" spans="1:8" ht="26.25" customHeight="1" x14ac:dyDescent="0.2"/>
    <row r="12" spans="1:8" s="29" customFormat="1" ht="15" customHeight="1" x14ac:dyDescent="0.25">
      <c r="C12" s="21" t="s">
        <v>23</v>
      </c>
      <c r="D12" s="192" t="s">
        <v>114</v>
      </c>
      <c r="E12" s="193"/>
      <c r="F12" s="21" t="s">
        <v>0</v>
      </c>
      <c r="G12" s="21" t="s">
        <v>54</v>
      </c>
      <c r="H12" s="21" t="s">
        <v>24</v>
      </c>
    </row>
    <row r="13" spans="1:8" s="29" customFormat="1" ht="15" customHeight="1" x14ac:dyDescent="0.25">
      <c r="C13" s="77" t="str">
        <f ca="1">_xll.SUBNM("24retail:organization","Workflow",Organization,"Caption_Default")</f>
        <v>Massachusetts</v>
      </c>
      <c r="D13" s="194" t="str">
        <f ca="1">_xll.SUBNM("24retail:Currency Calc","Default","Base")</f>
        <v>Base</v>
      </c>
      <c r="E13" s="194"/>
      <c r="F13" s="77" t="str">
        <f ca="1">_xll.SUBNM("24retail:Year","Default","Y2","Caption_Default")</f>
        <v>2015</v>
      </c>
      <c r="G13" s="77" t="str">
        <f ca="1">_xll.SUBNM("24retail:Month","MY","Year")</f>
        <v>Year</v>
      </c>
      <c r="H13" s="77" t="str">
        <f ca="1">_xll.SUBNM("24retail:OpExSubset_Picklist","Default","OpEx")</f>
        <v>OpEx</v>
      </c>
    </row>
    <row r="14" spans="1:8" s="29" customFormat="1" ht="7.5" customHeight="1" x14ac:dyDescent="0.25">
      <c r="C14" s="50"/>
      <c r="D14" s="50"/>
      <c r="E14" s="50"/>
      <c r="F14" s="50"/>
      <c r="G14" s="50"/>
      <c r="H14" s="50"/>
    </row>
    <row r="15" spans="1:8" s="29" customFormat="1" ht="15" customHeight="1" x14ac:dyDescent="0.25">
      <c r="C15" s="21" t="s">
        <v>26</v>
      </c>
      <c r="D15" s="192" t="s">
        <v>27</v>
      </c>
      <c r="E15" s="193"/>
      <c r="F15" s="21" t="s">
        <v>114</v>
      </c>
      <c r="G15" s="50"/>
      <c r="H15" s="50"/>
    </row>
    <row r="16" spans="1:8" s="29" customFormat="1" ht="15" customHeight="1" x14ac:dyDescent="0.25">
      <c r="C16" s="77"/>
      <c r="D16" s="194" t="s">
        <v>55</v>
      </c>
      <c r="E16" s="194"/>
      <c r="F16" s="77" t="str">
        <f ca="1">_xll.DBRW("24retail:}ElementAttributes_organization",$C$13,"Currency")</f>
        <v>USD</v>
      </c>
      <c r="G16" s="50"/>
      <c r="H16" s="50"/>
    </row>
    <row r="17" spans="1:255" ht="7.5" customHeight="1" x14ac:dyDescent="0.2">
      <c r="C17" s="51"/>
      <c r="D17" s="51"/>
      <c r="E17" s="51"/>
      <c r="F17" s="51"/>
      <c r="G17" s="51"/>
      <c r="H17" s="51"/>
    </row>
    <row r="18" spans="1:255" ht="15" thickBot="1" x14ac:dyDescent="0.25">
      <c r="C18" s="201"/>
      <c r="D18" s="201" t="s">
        <v>56</v>
      </c>
      <c r="E18" s="201" t="str">
        <f ca="1">_xll.SUBNM("24retail:Version","Current",_xll.DBR("24retail:Calendar","Current Version","String"),"Caption_Default")</f>
        <v>Budget</v>
      </c>
      <c r="F18" s="201" t="s">
        <v>74</v>
      </c>
      <c r="G18" s="201" t="s">
        <v>75</v>
      </c>
      <c r="H18" s="201" t="s">
        <v>76</v>
      </c>
    </row>
    <row r="19" spans="1:255" hidden="1" x14ac:dyDescent="0.2">
      <c r="D19" s="99" t="s">
        <v>56</v>
      </c>
      <c r="E19" s="99" t="str">
        <f ca="1">_xll.SUBNM("24retail:Version","Current",_xll.DBR("24retail:Calendar","Current Version","String"),"Caption_Default")</f>
        <v>Budget</v>
      </c>
      <c r="F19" s="99" t="s">
        <v>79</v>
      </c>
      <c r="G19" s="99" t="s">
        <v>80</v>
      </c>
      <c r="H19" s="99" t="s">
        <v>58</v>
      </c>
    </row>
    <row r="20" spans="1:255" ht="15" customHeight="1" thickTop="1" x14ac:dyDescent="0.2">
      <c r="A20" s="27" t="str">
        <f ca="1">IF(_xll.TM1RPTELISCONSOLIDATED($C$20,$C20),IF(_xll.TM1RPTELLEV($C$20,$C20)&lt;=3,_xll.TM1RPTELLEV($C$20,$C20),"D"),"N")</f>
        <v>N</v>
      </c>
      <c r="C20" s="167" t="str">
        <f ca="1">_xll.TM1RPTROW($C$9,"24retail:Account",$H$13,,"Caption_Default",1,$G$8)</f>
        <v>6099 PAYROLL</v>
      </c>
      <c r="D20" s="110">
        <f ca="1">_xll.DBRW($C$9,$D$13,$C$13,$F$13,$G$13,$C20,D$19)</f>
        <v>680718.23136487207</v>
      </c>
      <c r="E20" s="110">
        <f ca="1">_xll.DBRW($C$9,$D$13,$C$13,$F$13,$G$13,$C20,E$19)</f>
        <v>605592.74215581082</v>
      </c>
      <c r="F20" s="110">
        <f ca="1">_xll.DBRW($C$9,$D$13,$C$13,$F$13,$G$13,$C20,$F$19)</f>
        <v>-75125.489209061256</v>
      </c>
      <c r="G20" s="110">
        <f ca="1">_xll.DBRW($C$9,$D$13,$C$13,$F$13,$G$13,$C20,$G$19)</f>
        <v>0</v>
      </c>
      <c r="H20" s="110">
        <f ca="1">F20+G20</f>
        <v>-75125.489209061256</v>
      </c>
      <c r="J20" s="52"/>
    </row>
    <row r="21" spans="1:255" customFormat="1" ht="15" customHeight="1" x14ac:dyDescent="0.25">
      <c r="A21" s="27" t="str">
        <f ca="1">IF(_xll.TM1RPTELISCONSOLIDATED($C$20,$C21),IF(_xll.TM1RPTELLEV($C$20,$C21)&lt;=3,_xll.TM1RPTELLEV($C$20,$C21),"D"),"N")</f>
        <v>N</v>
      </c>
      <c r="B21" s="27"/>
      <c r="C21" s="167" t="s">
        <v>45</v>
      </c>
      <c r="D21" s="110">
        <f ca="1">_xll.DBRW($C$9,$D$13,$C$13,$F$13,$G$13,$C21,D$19)</f>
        <v>65904</v>
      </c>
      <c r="E21" s="110">
        <f ca="1">_xll.DBRW($C$9,$D$13,$C$13,$F$13,$G$13,$C21,E$19)</f>
        <v>66994.75999999998</v>
      </c>
      <c r="F21" s="110">
        <f ca="1">_xll.DBRW($C$9,$D$13,$C$13,$F$13,$G$13,$C21,$F$19)</f>
        <v>1090.7599999999802</v>
      </c>
      <c r="G21" s="110">
        <f ca="1">_xll.DBRW($C$9,$D$13,$C$13,$F$13,$G$13,$C21,$G$19)</f>
        <v>0</v>
      </c>
      <c r="H21" s="110">
        <f t="shared" ref="H21:H26" ca="1" si="0">F21+G21</f>
        <v>1090.7599999999802</v>
      </c>
      <c r="I21" s="27"/>
      <c r="J21" s="5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</row>
    <row r="22" spans="1:255" customFormat="1" ht="15" customHeight="1" x14ac:dyDescent="0.25">
      <c r="A22" s="27" t="str">
        <f ca="1">IF(_xll.TM1RPTELISCONSOLIDATED($C$20,$C22),IF(_xll.TM1RPTELLEV($C$20,$C22)&lt;=3,_xll.TM1RPTELLEV($C$20,$C22),"D"),"N")</f>
        <v>N</v>
      </c>
      <c r="B22" s="27"/>
      <c r="C22" s="167" t="s">
        <v>46</v>
      </c>
      <c r="D22" s="110">
        <f ca="1">_xll.DBRW($C$9,$D$13,$C$13,$F$13,$G$13,$C22,D$19)</f>
        <v>42948</v>
      </c>
      <c r="E22" s="110">
        <f ca="1">_xll.DBRW($C$9,$D$13,$C$13,$F$13,$G$13,$C22,E$19)</f>
        <v>45228</v>
      </c>
      <c r="F22" s="110">
        <f ca="1">_xll.DBRW($C$9,$D$13,$C$13,$F$13,$G$13,$C22,$F$19)</f>
        <v>2280</v>
      </c>
      <c r="G22" s="110">
        <f ca="1">_xll.DBRW($C$9,$D$13,$C$13,$F$13,$G$13,$C22,$G$19)</f>
        <v>0</v>
      </c>
      <c r="H22" s="110">
        <f t="shared" ca="1" si="0"/>
        <v>2280</v>
      </c>
      <c r="I22" s="27"/>
      <c r="J22" s="5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</row>
    <row r="23" spans="1:255" customFormat="1" ht="15" customHeight="1" x14ac:dyDescent="0.25">
      <c r="A23" s="27" t="str">
        <f ca="1">IF(_xll.TM1RPTELISCONSOLIDATED($C$20,$C23),IF(_xll.TM1RPTELLEV($C$20,$C23)&lt;=3,_xll.TM1RPTELLEV($C$20,$C23),"D"),"N")</f>
        <v>N</v>
      </c>
      <c r="B23" s="27"/>
      <c r="C23" s="167" t="s">
        <v>47</v>
      </c>
      <c r="D23" s="110">
        <f ca="1">_xll.DBRW($C$9,$D$13,$C$13,$F$13,$G$13,$C23,D$19)</f>
        <v>505797</v>
      </c>
      <c r="E23" s="110">
        <f ca="1">_xll.DBRW($C$9,$D$13,$C$13,$F$13,$G$13,$C23,E$19)</f>
        <v>320000</v>
      </c>
      <c r="F23" s="110">
        <f ca="1">_xll.DBRW($C$9,$D$13,$C$13,$F$13,$G$13,$C23,$F$19)</f>
        <v>-185797</v>
      </c>
      <c r="G23" s="110">
        <f ca="1">_xll.DBRW($C$9,$D$13,$C$13,$F$13,$G$13,$C23,$G$19)</f>
        <v>0</v>
      </c>
      <c r="H23" s="110">
        <f t="shared" ca="1" si="0"/>
        <v>-185797</v>
      </c>
      <c r="I23" s="27"/>
      <c r="J23" s="5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</row>
    <row r="24" spans="1:255" customFormat="1" ht="15" customHeight="1" x14ac:dyDescent="0.25">
      <c r="A24" s="27" t="str">
        <f ca="1">IF(_xll.TM1RPTELISCONSOLIDATED($C$20,$C24),IF(_xll.TM1RPTELLEV($C$20,$C24)&lt;=3,_xll.TM1RPTELLEV($C$20,$C24),"D"),"N")</f>
        <v>N</v>
      </c>
      <c r="B24" s="27"/>
      <c r="C24" s="167" t="s">
        <v>48</v>
      </c>
      <c r="D24" s="110">
        <f ca="1">_xll.DBRW($C$9,$D$13,$C$13,$F$13,$G$13,$C24,D$19)</f>
        <v>100224</v>
      </c>
      <c r="E24" s="110">
        <f ca="1">_xll.DBRW($C$9,$D$13,$C$13,$F$13,$G$13,$C24,E$19)</f>
        <v>141614.80000000002</v>
      </c>
      <c r="F24" s="110">
        <f ca="1">_xll.DBRW($C$9,$D$13,$C$13,$F$13,$G$13,$C24,$F$19)</f>
        <v>41390.800000000017</v>
      </c>
      <c r="G24" s="110">
        <f ca="1">_xll.DBRW($C$9,$D$13,$C$13,$F$13,$G$13,$C24,$G$19)</f>
        <v>0</v>
      </c>
      <c r="H24" s="110">
        <f t="shared" ca="1" si="0"/>
        <v>41390.800000000017</v>
      </c>
      <c r="I24" s="27"/>
      <c r="J24" s="5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</row>
    <row r="25" spans="1:255" customFormat="1" ht="15" customHeight="1" x14ac:dyDescent="0.25">
      <c r="A25" s="27" t="str">
        <f ca="1">IF(_xll.TM1RPTELISCONSOLIDATED($C$20,$C25),IF(_xll.TM1RPTELLEV($C$20,$C25)&lt;=3,_xll.TM1RPTELLEV($C$20,$C25),"D"),"N")</f>
        <v>N</v>
      </c>
      <c r="B25" s="27"/>
      <c r="C25" s="167" t="s">
        <v>49</v>
      </c>
      <c r="D25" s="110">
        <f ca="1">_xll.DBRW($C$9,$D$13,$C$13,$F$13,$G$13,$C25,D$19)</f>
        <v>144000</v>
      </c>
      <c r="E25" s="110">
        <f ca="1">_xll.DBRW($C$9,$D$13,$C$13,$F$13,$G$13,$C25,E$19)</f>
        <v>87500</v>
      </c>
      <c r="F25" s="110">
        <f ca="1">_xll.DBRW($C$9,$D$13,$C$13,$F$13,$G$13,$C25,$F$19)</f>
        <v>-56500</v>
      </c>
      <c r="G25" s="110">
        <f ca="1">_xll.DBRW($C$9,$D$13,$C$13,$F$13,$G$13,$C25,$G$19)</f>
        <v>0</v>
      </c>
      <c r="H25" s="110">
        <f t="shared" ca="1" si="0"/>
        <v>-56500</v>
      </c>
      <c r="I25" s="27"/>
      <c r="J25" s="5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</row>
    <row r="26" spans="1:255" customFormat="1" ht="15" customHeight="1" x14ac:dyDescent="0.25">
      <c r="A26" s="27" t="str">
        <f ca="1">IF(_xll.TM1RPTELISCONSOLIDATED($C$20,$C26),IF(_xll.TM1RPTELLEV($C$20,$C26)&lt;=3,_xll.TM1RPTELLEV($C$20,$C26),"D"),"N")</f>
        <v>N</v>
      </c>
      <c r="B26" s="27"/>
      <c r="C26" s="175" t="s">
        <v>50</v>
      </c>
      <c r="D26" s="173">
        <f ca="1">_xll.DBRW($C$9,$D$13,$C$13,$F$13,$G$13,$C26,D$19)</f>
        <v>1539591.2313648721</v>
      </c>
      <c r="E26" s="173">
        <f ca="1">_xll.DBRW($C$9,$D$13,$C$13,$F$13,$G$13,$C26,E$19)</f>
        <v>1266930.3021558109</v>
      </c>
      <c r="F26" s="173">
        <f ca="1">_xll.DBRW($C$9,$D$13,$C$13,$F$13,$G$13,$C26,$F$19)</f>
        <v>-272660.9292090612</v>
      </c>
      <c r="G26" s="173">
        <f ca="1">_xll.DBRW($C$9,$D$13,$C$13,$F$13,$G$13,$C26,$G$19)</f>
        <v>0</v>
      </c>
      <c r="H26" s="173">
        <f t="shared" ca="1" si="0"/>
        <v>-272660.9292090612</v>
      </c>
      <c r="I26" s="27"/>
      <c r="J26" s="5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  <row r="27" spans="1:255" ht="15" customHeight="1" x14ac:dyDescent="0.2"/>
    <row r="28" spans="1:255" ht="15" customHeight="1" x14ac:dyDescent="0.2"/>
    <row r="29" spans="1:255" ht="15" customHeight="1" x14ac:dyDescent="0.2"/>
    <row r="30" spans="1:255" ht="15" customHeight="1" x14ac:dyDescent="0.2"/>
    <row r="31" spans="1:255" ht="15" customHeight="1" x14ac:dyDescent="0.2"/>
    <row r="32" spans="1:25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</sheetData>
  <mergeCells count="4">
    <mergeCell ref="D16:E16"/>
    <mergeCell ref="D12:E12"/>
    <mergeCell ref="D13:E13"/>
    <mergeCell ref="D15:E15"/>
  </mergeCells>
  <phoneticPr fontId="12" type="noConversion"/>
  <dataValidations count="1">
    <dataValidation type="list" allowBlank="1" showInputMessage="1" showErrorMessage="1" sqref="D16">
      <formula1>SelectYesNo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TgtVar</vt:lpstr>
      <vt:lpstr>PL</vt:lpstr>
      <vt:lpstr>AllocDefintion</vt:lpstr>
      <vt:lpstr>AllocDetail</vt:lpstr>
      <vt:lpstr>AllocSummary</vt:lpstr>
      <vt:lpstr>PLReport</vt:lpstr>
      <vt:lpstr>Fcst</vt:lpstr>
      <vt:lpstr>FcstDetail</vt:lpstr>
      <vt:lpstr>FxVar</vt:lpstr>
      <vt:lpstr>FxRates</vt:lpstr>
      <vt:lpstr>{PL}PickLst</vt:lpstr>
      <vt:lpstr>Lookup</vt:lpstr>
      <vt:lpstr>AllocationIn</vt:lpstr>
      <vt:lpstr>{AR}01</vt:lpstr>
      <vt:lpstr>FcstMethods</vt:lpstr>
      <vt:lpstr>AllocDefintion!OpExSubsets</vt:lpstr>
      <vt:lpstr>OpExSubsets</vt:lpstr>
      <vt:lpstr>Organization</vt:lpstr>
      <vt:lpstr>RowFilter</vt:lpstr>
      <vt:lpstr>AllocDefintion!SelectYesNo</vt:lpstr>
      <vt:lpstr>SelectYesNo</vt:lpstr>
      <vt:lpstr>AllocDefintion!TM1RPTDATARNG1</vt:lpstr>
      <vt:lpstr>FxVar!TM1RPTDATARNG1</vt:lpstr>
      <vt:lpstr>TgtVar!TM1RPTDATARNG1</vt:lpstr>
      <vt:lpstr>AllocDetail!TM1RPTDATARNG2</vt:lpstr>
      <vt:lpstr>Fcst!TM1RPTDATARNG3</vt:lpstr>
      <vt:lpstr>PL!TM1RPTDATARNG3</vt:lpstr>
      <vt:lpstr>AllocDefintion!TM1RPTFMTIDCOL</vt:lpstr>
      <vt:lpstr>AllocDetail!TM1RPTFMTIDCOL</vt:lpstr>
      <vt:lpstr>Fcst!TM1RPTFMTIDCOL</vt:lpstr>
      <vt:lpstr>FxVar!TM1RPTFMTIDCOL</vt:lpstr>
      <vt:lpstr>PL!TM1RPTFMTIDCOL</vt:lpstr>
      <vt:lpstr>TgtVar!TM1RPTFMTIDCOL</vt:lpstr>
      <vt:lpstr>AllocDefintion!TM1RPTFMTRNG</vt:lpstr>
      <vt:lpstr>AllocDetail!TM1RPTFMTRNG</vt:lpstr>
      <vt:lpstr>Fcst!TM1RPTFMTRNG</vt:lpstr>
      <vt:lpstr>FxVar!TM1RPTFMTRNG</vt:lpstr>
      <vt:lpstr>PL!TM1RPTFMTRNG</vt:lpstr>
      <vt:lpstr>TgtVar!TM1RPTFMTRNG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2012-02-09T13:42:08Z</dcterms:created>
  <dcterms:modified xsi:type="dcterms:W3CDTF">2016-10-17T00:24:34Z</dcterms:modified>
</cp:coreProperties>
</file>