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beccaHansen\Box Sync\Reference Doc\Cafe\24retail\"/>
    </mc:Choice>
  </mc:AlternateContent>
  <xr:revisionPtr revIDLastSave="0" documentId="8_{03E1A55B-C277-4AF5-9930-97A5610A94DB}" xr6:coauthVersionLast="44" xr6:coauthVersionMax="44" xr10:uidLastSave="{00000000-0000-0000-0000-000000000000}"/>
  <bookViews>
    <workbookView xWindow="28692" yWindow="-108" windowWidth="25416" windowHeight="15372" xr2:uid="{00000000-000D-0000-FFFF-FFFF00000000}"/>
  </bookViews>
  <sheets>
    <sheet name="Demand Plan" sheetId="2" r:id="rId1"/>
    <sheet name="Cognos_Office_Connection_Cache" sheetId="11" state="veryHidden" r:id="rId2"/>
    <sheet name="Operations Console" sheetId="1" r:id="rId3"/>
    <sheet name="Bill of Material Master" sheetId="4" r:id="rId4"/>
    <sheet name="Report" sheetId="10" r:id="rId5"/>
    <sheet name="Performance Scorecard" sheetId="3" r:id="rId6"/>
    <sheet name="{AR}01" sheetId="5" state="hidden" r:id="rId7"/>
    <sheet name="{AR}11" sheetId="9" state="hidden" r:id="rId8"/>
  </sheets>
  <externalReferences>
    <externalReference r:id="rId9"/>
  </externalReferences>
  <definedNames>
    <definedName name="CurrentVersion">'Operations Console'!$J$8</definedName>
    <definedName name="ID" localSheetId="6" hidden="1">"56cc1350-f172-4fcb-bec6-c7f216d72641"</definedName>
    <definedName name="ID" localSheetId="7" hidden="1">"28703f07-257c-411d-8450-25b530a09a4b"</definedName>
    <definedName name="ID" localSheetId="3" hidden="1">"bae0f8bb-d060-42f0-9a00-825f1a820d5d"</definedName>
    <definedName name="ID" localSheetId="1" hidden="1">"919cef87-b9ab-43c7-a18f-3cd12383dc04"</definedName>
    <definedName name="ID" localSheetId="0" hidden="1">"aabee1ed-453c-465f-8e30-3eb0fb244a3d"</definedName>
    <definedName name="ID" localSheetId="2" hidden="1">"225addd9-e75d-4142-bdca-5c3efebc2657"</definedName>
    <definedName name="ID" localSheetId="5" hidden="1">"b019e751-4b58-4150-a7bc-eb3661fd2a5d"</definedName>
    <definedName name="ID" localSheetId="4" hidden="1">"f562cd8f-e15f-424e-b455-f92746e8f853"</definedName>
    <definedName name="SelectYesNo">[1]Lookup!$D$2:$D$3</definedName>
    <definedName name="TM1REBUILDOPTION">1</definedName>
    <definedName name="TM1RPTDATARNG1" localSheetId="2">'Operations Console'!#REF!</definedName>
    <definedName name="TM1RPTDATARNGARPT1" localSheetId="3">'Bill of Material Master'!#REF!</definedName>
    <definedName name="TM1RPTDATARNGARPT1" localSheetId="0">'Demand Plan'!$16:$27</definedName>
    <definedName name="TM1RPTDATARNGARPT2" localSheetId="3">'Bill of Material Master'!$18:$32</definedName>
    <definedName name="TM1RPTFMTIDCOL" localSheetId="3">'Bill of Material Master'!$A$1:$A$8</definedName>
    <definedName name="TM1RPTFMTIDCOL" localSheetId="0">'Demand Plan'!$A$1:$A$8</definedName>
    <definedName name="TM1RPTFMTIDCOL" localSheetId="2">'Operations Console'!#REF!</definedName>
    <definedName name="TM1RPTFMTRNG" localSheetId="3">'Bill of Material Master'!$C$1:$D$8</definedName>
    <definedName name="TM1RPTFMTRNG" localSheetId="0">'Demand Plan'!$C$1:$P$8</definedName>
    <definedName name="TM1RPTFMTRNG" localSheetId="2">'Operations Console'!#REF!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4" l="1"/>
  <c r="A4" i="4"/>
  <c r="A3" i="4"/>
  <c r="A2" i="4"/>
  <c r="A5" i="2"/>
  <c r="A4" i="2"/>
  <c r="A3" i="2"/>
  <c r="A2" i="2"/>
  <c r="E6" i="10"/>
  <c r="A11" i="3"/>
  <c r="A2" i="10"/>
  <c r="D28" i="1"/>
  <c r="J17" i="1"/>
  <c r="H8" i="1"/>
  <c r="E13" i="2"/>
  <c r="A27" i="4"/>
  <c r="A19" i="4"/>
  <c r="A26" i="2"/>
  <c r="A18" i="2"/>
  <c r="L8" i="1"/>
  <c r="G13" i="2"/>
  <c r="A20" i="2"/>
  <c r="A28" i="4"/>
  <c r="A7" i="3"/>
  <c r="D27" i="1"/>
  <c r="H17" i="1"/>
  <c r="E8" i="1"/>
  <c r="D13" i="2"/>
  <c r="A26" i="4"/>
  <c r="A25" i="2"/>
  <c r="A17" i="2"/>
  <c r="A18" i="4"/>
  <c r="E20" i="1"/>
  <c r="D19" i="1"/>
  <c r="A27" i="2"/>
  <c r="A6" i="3"/>
  <c r="D26" i="1"/>
  <c r="E17" i="1"/>
  <c r="F2" i="1"/>
  <c r="C13" i="2"/>
  <c r="A25" i="4"/>
  <c r="A24" i="2"/>
  <c r="A22" i="4"/>
  <c r="D11" i="4"/>
  <c r="A21" i="4"/>
  <c r="F13" i="2"/>
  <c r="A19" i="2"/>
  <c r="A16" i="2"/>
  <c r="A5" i="3"/>
  <c r="E25" i="1"/>
  <c r="E12" i="1"/>
  <c r="F1" i="1"/>
  <c r="A32" i="4"/>
  <c r="A24" i="4"/>
  <c r="A23" i="2"/>
  <c r="J8" i="1"/>
  <c r="C16" i="4"/>
  <c r="E22" i="1"/>
  <c r="E11" i="1"/>
  <c r="C9" i="2"/>
  <c r="A31" i="4"/>
  <c r="A23" i="4"/>
  <c r="A22" i="2"/>
  <c r="N27" i="2"/>
  <c r="F27" i="2"/>
  <c r="K26" i="2"/>
  <c r="P25" i="2"/>
  <c r="H25" i="2"/>
  <c r="M24" i="2"/>
  <c r="E24" i="2"/>
  <c r="J23" i="2"/>
  <c r="O22" i="2"/>
  <c r="G22" i="2"/>
  <c r="L21" i="2"/>
  <c r="D21" i="2"/>
  <c r="I20" i="2"/>
  <c r="N19" i="2"/>
  <c r="F19" i="2"/>
  <c r="K18" i="2"/>
  <c r="P17" i="2"/>
  <c r="H17" i="2"/>
  <c r="D12" i="4"/>
  <c r="D21" i="1"/>
  <c r="A30" i="4"/>
  <c r="A21" i="2"/>
  <c r="E27" i="2"/>
  <c r="L24" i="2"/>
  <c r="I23" i="2"/>
  <c r="P20" i="2"/>
  <c r="J18" i="2"/>
  <c r="D6" i="10"/>
  <c r="A29" i="4"/>
  <c r="I26" i="2"/>
  <c r="K24" i="2"/>
  <c r="O20" i="2"/>
  <c r="I18" i="2"/>
  <c r="C6" i="10"/>
  <c r="A20" i="4"/>
  <c r="H26" i="2"/>
  <c r="G23" i="2"/>
  <c r="N20" i="2"/>
  <c r="H23" i="2"/>
  <c r="D10" i="4"/>
  <c r="C9" i="4" s="1"/>
  <c r="K27" i="2"/>
  <c r="L22" i="2"/>
  <c r="H18" i="2"/>
  <c r="N8" i="1"/>
  <c r="M17" i="2"/>
  <c r="I21" i="2"/>
  <c r="M25" i="2"/>
  <c r="N17" i="2"/>
  <c r="I17" i="2"/>
  <c r="D18" i="2"/>
  <c r="L18" i="2"/>
  <c r="G19" i="2"/>
  <c r="O19" i="2"/>
  <c r="J20" i="2"/>
  <c r="E21" i="2"/>
  <c r="M21" i="2"/>
  <c r="H22" i="2"/>
  <c r="P22" i="2"/>
  <c r="K23" i="2"/>
  <c r="F24" i="2"/>
  <c r="N24" i="2"/>
  <c r="I25" i="2"/>
  <c r="D26" i="2"/>
  <c r="L26" i="2"/>
  <c r="G27" i="2"/>
  <c r="O27" i="2"/>
  <c r="K19" i="2"/>
  <c r="J24" i="2"/>
  <c r="L19" i="2"/>
  <c r="E22" i="2"/>
  <c r="F25" i="2"/>
  <c r="L27" i="2"/>
  <c r="G17" i="2"/>
  <c r="M19" i="2"/>
  <c r="F22" i="2"/>
  <c r="O25" i="2"/>
  <c r="J17" i="2"/>
  <c r="E18" i="2"/>
  <c r="M18" i="2"/>
  <c r="H19" i="2"/>
  <c r="P19" i="2"/>
  <c r="K20" i="2"/>
  <c r="F21" i="2"/>
  <c r="N21" i="2"/>
  <c r="I22" i="2"/>
  <c r="D23" i="2"/>
  <c r="L23" i="2"/>
  <c r="G24" i="2"/>
  <c r="O24" i="2"/>
  <c r="J25" i="2"/>
  <c r="E26" i="2"/>
  <c r="M26" i="2"/>
  <c r="H27" i="2"/>
  <c r="P27" i="2"/>
  <c r="P18" i="2"/>
  <c r="D22" i="2"/>
  <c r="E25" i="2"/>
  <c r="F17" i="2"/>
  <c r="G20" i="2"/>
  <c r="M22" i="2"/>
  <c r="N25" i="2"/>
  <c r="O17" i="2"/>
  <c r="H20" i="2"/>
  <c r="N22" i="2"/>
  <c r="G25" i="2"/>
  <c r="K17" i="2"/>
  <c r="F18" i="2"/>
  <c r="N18" i="2"/>
  <c r="I19" i="2"/>
  <c r="D20" i="2"/>
  <c r="L20" i="2"/>
  <c r="G21" i="2"/>
  <c r="O21" i="2"/>
  <c r="J22" i="2"/>
  <c r="E23" i="2"/>
  <c r="M23" i="2"/>
  <c r="H24" i="2"/>
  <c r="P24" i="2"/>
  <c r="K25" i="2"/>
  <c r="F26" i="2"/>
  <c r="N26" i="2"/>
  <c r="I27" i="2"/>
  <c r="E17" i="2"/>
  <c r="F20" i="2"/>
  <c r="O23" i="2"/>
  <c r="P26" i="2"/>
  <c r="D19" i="2"/>
  <c r="J21" i="2"/>
  <c r="P23" i="2"/>
  <c r="D27" i="2"/>
  <c r="E19" i="2"/>
  <c r="K21" i="2"/>
  <c r="D24" i="2"/>
  <c r="J26" i="2"/>
  <c r="M27" i="2"/>
  <c r="C16" i="2"/>
  <c r="D17" i="2"/>
  <c r="L17" i="2"/>
  <c r="G18" i="2"/>
  <c r="O18" i="2"/>
  <c r="J19" i="2"/>
  <c r="E20" i="2"/>
  <c r="M20" i="2"/>
  <c r="H21" i="2"/>
  <c r="P21" i="2"/>
  <c r="K22" i="2"/>
  <c r="F23" i="2"/>
  <c r="N23" i="2"/>
  <c r="I24" i="2"/>
  <c r="D25" i="2"/>
  <c r="L25" i="2"/>
  <c r="G26" i="2"/>
  <c r="O26" i="2"/>
  <c r="J27" i="2"/>
  <c r="D19" i="4"/>
  <c r="D20" i="4"/>
  <c r="D21" i="4"/>
  <c r="D29" i="4"/>
  <c r="D22" i="4"/>
  <c r="D30" i="4"/>
  <c r="C18" i="4"/>
  <c r="D18" i="4" s="1"/>
  <c r="D23" i="4"/>
  <c r="D31" i="4"/>
  <c r="D27" i="4"/>
  <c r="D28" i="4"/>
  <c r="D24" i="4"/>
  <c r="D32" i="4"/>
  <c r="D26" i="4"/>
  <c r="D25" i="4"/>
  <c r="N16" i="2"/>
  <c r="J16" i="2"/>
  <c r="D16" i="2"/>
  <c r="K16" i="2"/>
  <c r="P16" i="2"/>
  <c r="E16" i="2"/>
  <c r="I16" i="2"/>
  <c r="H16" i="2"/>
  <c r="L16" i="2"/>
  <c r="G16" i="2"/>
  <c r="M16" i="2"/>
  <c r="F16" i="2"/>
  <c r="O16" i="2"/>
  <c r="E10" i="1" l="1"/>
  <c r="F17" i="1"/>
  <c r="A3" i="3"/>
  <c r="A1" i="10"/>
  <c r="F20" i="1"/>
  <c r="F19" i="1"/>
  <c r="F21" i="1"/>
  <c r="F26" i="1"/>
  <c r="F22" i="1"/>
  <c r="F25" i="1"/>
  <c r="F28" i="1"/>
  <c r="F27" i="1"/>
  <c r="F23" i="1"/>
  <c r="F24" i="1"/>
  <c r="L13" i="3"/>
  <c r="J12" i="3"/>
  <c r="C11" i="3"/>
  <c r="F12" i="3"/>
  <c r="E10" i="3"/>
  <c r="G11" i="3"/>
  <c r="K10" i="3"/>
  <c r="I13" i="3"/>
  <c r="K11" i="3"/>
  <c r="D12" i="3"/>
  <c r="M10" i="3"/>
  <c r="L10" i="3"/>
  <c r="G10" i="3"/>
  <c r="J11" i="3"/>
  <c r="E11" i="3"/>
  <c r="M13" i="3"/>
  <c r="C12" i="3"/>
  <c r="H12" i="3"/>
  <c r="H10" i="3"/>
  <c r="C10" i="3"/>
  <c r="F11" i="3"/>
  <c r="I12" i="3"/>
  <c r="L11" i="3"/>
  <c r="I11" i="3"/>
  <c r="F10" i="3"/>
  <c r="K12" i="3"/>
  <c r="L12" i="3"/>
  <c r="K13" i="3"/>
  <c r="J13" i="3"/>
  <c r="B11" i="3"/>
  <c r="D11" i="3"/>
  <c r="M12" i="3"/>
  <c r="I10" i="3"/>
  <c r="J10" i="3"/>
  <c r="D13" i="3"/>
  <c r="C13" i="3"/>
  <c r="F13" i="3"/>
  <c r="H11" i="3"/>
  <c r="E13" i="3"/>
  <c r="B12" i="3"/>
  <c r="M11" i="3"/>
  <c r="G13" i="3"/>
  <c r="E12" i="3"/>
  <c r="B10" i="3"/>
  <c r="D10" i="3"/>
  <c r="H13" i="3"/>
  <c r="G12" i="3"/>
  <c r="B13" i="3"/>
  <c r="I11" i="10"/>
  <c r="I13" i="10"/>
  <c r="I9" i="10"/>
  <c r="E13" i="10"/>
  <c r="F12" i="10"/>
  <c r="E12" i="10"/>
  <c r="F13" i="10"/>
  <c r="H10" i="10"/>
  <c r="G11" i="10"/>
  <c r="G9" i="10"/>
  <c r="F11" i="10"/>
  <c r="F10" i="10"/>
  <c r="G10" i="10"/>
  <c r="G12" i="10"/>
  <c r="E10" i="10"/>
  <c r="E11" i="10"/>
  <c r="H13" i="10"/>
  <c r="H11" i="10"/>
  <c r="I12" i="10"/>
  <c r="F9" i="10"/>
  <c r="H12" i="10"/>
  <c r="E9" i="10"/>
  <c r="H9" i="10"/>
  <c r="G13" i="10"/>
  <c r="I10" i="10"/>
</calcChain>
</file>

<file path=xl/sharedStrings.xml><?xml version="1.0" encoding="utf-8"?>
<sst xmlns="http://schemas.openxmlformats.org/spreadsheetml/2006/main" count="146" uniqueCount="89">
  <si>
    <t>Plant</t>
  </si>
  <si>
    <t>Year</t>
  </si>
  <si>
    <t>Month</t>
  </si>
  <si>
    <t>D</t>
  </si>
  <si>
    <t>N</t>
  </si>
  <si>
    <t>[Begin Format Range]</t>
  </si>
  <si>
    <t>[End Format Range]</t>
  </si>
  <si>
    <t>Product</t>
  </si>
  <si>
    <t>Gross Revenue</t>
  </si>
  <si>
    <t>Gross Margin</t>
  </si>
  <si>
    <t>Gross Margin %</t>
  </si>
  <si>
    <t>Direct Material</t>
  </si>
  <si>
    <t>Direct Labor</t>
  </si>
  <si>
    <t>Commodity Master</t>
  </si>
  <si>
    <t>Financial Valuation</t>
  </si>
  <si>
    <t>Channel</t>
  </si>
  <si>
    <t>Revenue</t>
  </si>
  <si>
    <t>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</si>
  <si>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</si>
  <si>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</si>
  <si>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</si>
  <si>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</si>
  <si>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</si>
  <si>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</si>
  <si>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</si>
  <si>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</si>
  <si>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</si>
  <si>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</si>
  <si>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</si>
  <si>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</si>
  <si>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Organization</t>
  </si>
  <si>
    <t>M</t>
  </si>
  <si>
    <t>Actual</t>
  </si>
  <si>
    <t>Forecast</t>
  </si>
  <si>
    <t>Commodity</t>
  </si>
  <si>
    <t>Rate</t>
  </si>
  <si>
    <t>Phone Body Protector</t>
  </si>
  <si>
    <t>Phone Body</t>
  </si>
  <si>
    <t>Phone Screen</t>
  </si>
  <si>
    <t>Label</t>
  </si>
  <si>
    <t>A4 Silicon Chip</t>
  </si>
  <si>
    <t>Total Local BOM</t>
  </si>
  <si>
    <t>Raw Material</t>
  </si>
  <si>
    <t>Circuit board</t>
  </si>
  <si>
    <t>Diodes</t>
  </si>
  <si>
    <t>Wire</t>
  </si>
  <si>
    <t>A5 Silicon Chip</t>
  </si>
  <si>
    <t>A6 Silicon Chip</t>
  </si>
  <si>
    <t>A7 Silicon Chip</t>
  </si>
  <si>
    <t>Packaging Material</t>
  </si>
  <si>
    <t>Keyboard</t>
  </si>
  <si>
    <t>Cardboard</t>
  </si>
  <si>
    <t>Tray</t>
  </si>
  <si>
    <t>Shrink wrap</t>
  </si>
  <si>
    <t>Direct labor</t>
  </si>
  <si>
    <t>Q1</t>
  </si>
  <si>
    <t>Q2</t>
  </si>
  <si>
    <t>Q3</t>
  </si>
  <si>
    <t>Q4</t>
  </si>
  <si>
    <t>4999 Gross Revenue</t>
  </si>
  <si>
    <t>5999 Cost of Sales</t>
  </si>
  <si>
    <t>Total Operating Expense</t>
  </si>
  <si>
    <t>Net Profit</t>
  </si>
  <si>
    <t>6699 ALLOCATIONS</t>
  </si>
  <si>
    <t>Net Profit After Allocations</t>
  </si>
  <si>
    <t>Cost of Goods Sold</t>
  </si>
  <si>
    <t>Total Operating Expenses</t>
  </si>
  <si>
    <t>Predictive</t>
  </si>
  <si>
    <t>local</t>
  </si>
  <si>
    <t>Units Sold</t>
  </si>
  <si>
    <t>Unit Price</t>
  </si>
  <si>
    <t>Unit Cost</t>
  </si>
  <si>
    <t>Cost of Sales</t>
  </si>
  <si>
    <t>X</t>
  </si>
  <si>
    <t>Indirect COGS</t>
  </si>
  <si>
    <t>24retail:Rate BOM</t>
  </si>
  <si>
    <t>24retail:Supply Chain</t>
  </si>
  <si>
    <t>24retail - Armonk</t>
  </si>
  <si>
    <t>20000</t>
  </si>
  <si>
    <t>21000</t>
  </si>
  <si>
    <t>22000</t>
  </si>
  <si>
    <t>23000</t>
  </si>
  <si>
    <t>30000</t>
  </si>
  <si>
    <t>31000</t>
  </si>
  <si>
    <t>32000</t>
  </si>
  <si>
    <t>33000</t>
  </si>
  <si>
    <t>40000</t>
  </si>
  <si>
    <t>41000</t>
  </si>
  <si>
    <t>42000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</si>
</sst>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&quot;- &quot;@"/>
    <numFmt numFmtId="166" formatCode="#,##0.00;\(#,##0.00\)"/>
    <numFmt numFmtId="167" formatCode="_(* #,##0_);_(* \(#,##0\);_(* &quot;-&quot;??_);_(@_)"/>
    <numFmt numFmtId="168" formatCode="0.0%"/>
    <numFmt numFmtId="169" formatCode="_(* #,##0_);_(* \(#,##0\);_(* &quot; &quot;??_);_(@_)"/>
    <numFmt numFmtId="170" formatCode="\-\ @"/>
    <numFmt numFmtId="171" formatCode="\+\ @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b/>
      <sz val="9"/>
      <name val="Arial"/>
      <family val="2"/>
    </font>
    <font>
      <i/>
      <sz val="9"/>
      <color theme="1"/>
      <name val="Arial"/>
      <family val="2"/>
    </font>
    <font>
      <b/>
      <sz val="12"/>
      <color theme="0"/>
      <name val="Arial"/>
      <family val="2"/>
    </font>
    <font>
      <sz val="11"/>
      <color theme="0"/>
      <name val="Calibri"/>
      <family val="2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sz val="11"/>
      <color indexed="8"/>
      <name val="Calibri"/>
      <family val="2"/>
    </font>
    <font>
      <sz val="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8"/>
      <color indexed="12"/>
      <name val="Calibri"/>
      <family val="2"/>
      <scheme val="minor"/>
    </font>
    <font>
      <b/>
      <sz val="11"/>
      <color rgb="FF329664"/>
      <name val="Calibri"/>
      <family val="2"/>
      <scheme val="minor"/>
    </font>
    <font>
      <b/>
      <sz val="11"/>
      <color rgb="FF0000C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0" tint="-0.499984740745262"/>
      <name val="Arial"/>
      <family val="2"/>
    </font>
    <font>
      <b/>
      <sz val="11"/>
      <color theme="1"/>
      <name val="Arial"/>
      <family val="2"/>
    </font>
    <font>
      <b/>
      <sz val="11"/>
      <color theme="0" tint="-0.499984740745262"/>
      <name val="Calibri"/>
      <family val="2"/>
      <scheme val="minor"/>
    </font>
    <font>
      <sz val="9"/>
      <name val="Arial"/>
      <family val="2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lightTrellis">
        <fgColor rgb="FFAFAFAF"/>
        <bgColor rgb="FFEBEBEB"/>
      </patternFill>
    </fill>
    <fill>
      <patternFill patternType="solid">
        <fgColor rgb="FFEBEBEB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E5F2FF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/>
      <top/>
      <bottom/>
      <diagonal/>
    </border>
    <border>
      <left/>
      <right/>
      <top/>
      <bottom style="thin">
        <color theme="0" tint="-0.14993743705557422"/>
      </bottom>
      <diagonal/>
    </border>
    <border>
      <left/>
      <right/>
      <top/>
      <bottom style="thick">
        <color rgb="FF0296DF"/>
      </bottom>
      <diagonal/>
    </border>
  </borders>
  <cellStyleXfs count="3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6" fillId="0" borderId="7">
      <alignment horizontal="right" vertical="center"/>
    </xf>
    <xf numFmtId="0" fontId="1" fillId="3" borderId="7">
      <alignment horizontal="center" vertical="center"/>
    </xf>
    <xf numFmtId="0" fontId="16" fillId="0" borderId="7">
      <alignment horizontal="right" vertical="center"/>
    </xf>
    <xf numFmtId="0" fontId="1" fillId="3" borderId="7">
      <alignment horizontal="left" vertical="center"/>
    </xf>
    <xf numFmtId="0" fontId="1" fillId="3" borderId="7">
      <alignment horizontal="center" vertical="center"/>
    </xf>
    <xf numFmtId="0" fontId="17" fillId="3" borderId="7">
      <alignment horizontal="center" vertical="center"/>
    </xf>
    <xf numFmtId="0" fontId="16" fillId="4" borderId="7"/>
    <xf numFmtId="0" fontId="1" fillId="0" borderId="7">
      <alignment horizontal="left" vertical="top"/>
    </xf>
    <xf numFmtId="0" fontId="1" fillId="5" borderId="7"/>
    <xf numFmtId="0" fontId="1" fillId="0" borderId="7">
      <alignment horizontal="left" vertical="center"/>
    </xf>
    <xf numFmtId="0" fontId="16" fillId="6" borderId="7"/>
    <xf numFmtId="0" fontId="16" fillId="0" borderId="7">
      <alignment horizontal="right" vertical="center"/>
    </xf>
    <xf numFmtId="0" fontId="16" fillId="7" borderId="7">
      <alignment horizontal="right" vertical="center"/>
    </xf>
    <xf numFmtId="0" fontId="16" fillId="0" borderId="7">
      <alignment horizontal="center" vertical="center"/>
    </xf>
    <xf numFmtId="0" fontId="17" fillId="8" borderId="7"/>
    <xf numFmtId="0" fontId="17" fillId="9" borderId="7"/>
    <xf numFmtId="0" fontId="17" fillId="0" borderId="7">
      <alignment horizontal="center" vertical="center" wrapText="1"/>
    </xf>
    <xf numFmtId="0" fontId="18" fillId="3" borderId="7">
      <alignment horizontal="left" vertical="center" indent="1"/>
    </xf>
    <xf numFmtId="0" fontId="19" fillId="0" borderId="7"/>
    <xf numFmtId="0" fontId="1" fillId="3" borderId="7">
      <alignment horizontal="left" vertical="center"/>
    </xf>
    <xf numFmtId="0" fontId="17" fillId="3" borderId="7">
      <alignment horizontal="center" vertical="center"/>
    </xf>
    <xf numFmtId="0" fontId="2" fillId="8" borderId="7">
      <alignment horizontal="center" vertical="center"/>
    </xf>
    <xf numFmtId="0" fontId="2" fillId="9" borderId="7">
      <alignment horizontal="center" vertical="center"/>
    </xf>
    <xf numFmtId="0" fontId="2" fillId="8" borderId="7">
      <alignment horizontal="left" vertical="center"/>
    </xf>
    <xf numFmtId="0" fontId="2" fillId="9" borderId="7">
      <alignment horizontal="left" vertical="center"/>
    </xf>
    <xf numFmtId="0" fontId="20" fillId="0" borderId="7"/>
  </cellStyleXfs>
  <cellXfs count="96">
    <xf numFmtId="0" fontId="0" fillId="0" borderId="0" xfId="0"/>
    <xf numFmtId="0" fontId="2" fillId="0" borderId="0" xfId="0" applyFont="1"/>
    <xf numFmtId="0" fontId="0" fillId="0" borderId="0" xfId="0" applyFill="1"/>
    <xf numFmtId="0" fontId="6" fillId="0" borderId="0" xfId="0" applyFont="1"/>
    <xf numFmtId="49" fontId="7" fillId="2" borderId="1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0" fontId="11" fillId="0" borderId="0" xfId="0" applyFont="1"/>
    <xf numFmtId="49" fontId="11" fillId="0" borderId="0" xfId="0" applyNumberFormat="1" applyFont="1"/>
    <xf numFmtId="3" fontId="11" fillId="0" borderId="0" xfId="0" applyNumberFormat="1" applyFont="1"/>
    <xf numFmtId="0" fontId="7" fillId="0" borderId="0" xfId="0" applyNumberFormat="1" applyFont="1" applyFill="1" applyBorder="1" applyAlignment="1" applyProtection="1">
      <alignment vertical="center"/>
    </xf>
    <xf numFmtId="0" fontId="0" fillId="0" borderId="0" xfId="0" applyBorder="1"/>
    <xf numFmtId="166" fontId="8" fillId="0" borderId="0" xfId="0" applyNumberFormat="1" applyFont="1" applyFill="1" applyBorder="1"/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164" fontId="12" fillId="0" borderId="0" xfId="0" applyNumberFormat="1" applyFont="1" applyFill="1" applyBorder="1" applyAlignment="1">
      <alignment horizontal="right" vertical="center" indent="2"/>
    </xf>
    <xf numFmtId="0" fontId="0" fillId="0" borderId="0" xfId="0" applyAlignment="1">
      <alignment vertical="center"/>
    </xf>
    <xf numFmtId="164" fontId="12" fillId="0" borderId="0" xfId="0" applyNumberFormat="1" applyFont="1" applyFill="1" applyBorder="1" applyAlignment="1">
      <alignment horizontal="left" vertical="center" indent="2"/>
    </xf>
    <xf numFmtId="0" fontId="10" fillId="0" borderId="0" xfId="0" applyFont="1" applyFill="1" applyBorder="1"/>
    <xf numFmtId="164" fontId="13" fillId="0" borderId="4" xfId="0" applyNumberFormat="1" applyFont="1" applyFill="1" applyBorder="1" applyAlignment="1">
      <alignment horizontal="left" vertical="center" indent="2"/>
    </xf>
    <xf numFmtId="49" fontId="14" fillId="0" borderId="0" xfId="0" applyNumberFormat="1" applyFont="1" applyFill="1" applyBorder="1"/>
    <xf numFmtId="0" fontId="9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49" fontId="0" fillId="0" borderId="0" xfId="0" applyNumberFormat="1"/>
    <xf numFmtId="169" fontId="13" fillId="0" borderId="0" xfId="3" applyNumberFormat="1" applyFont="1" applyFill="1" applyBorder="1" applyAlignment="1">
      <alignment vertical="center"/>
    </xf>
    <xf numFmtId="0" fontId="21" fillId="0" borderId="0" xfId="0" applyFont="1"/>
    <xf numFmtId="164" fontId="13" fillId="0" borderId="0" xfId="0" applyNumberFormat="1" applyFont="1" applyFill="1" applyBorder="1" applyAlignment="1">
      <alignment horizontal="left" vertical="center" indent="2"/>
    </xf>
    <xf numFmtId="49" fontId="7" fillId="2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0" fontId="5" fillId="0" borderId="0" xfId="0" applyFont="1" applyFill="1" applyBorder="1"/>
    <xf numFmtId="164" fontId="7" fillId="0" borderId="0" xfId="0" applyNumberFormat="1" applyFont="1" applyFill="1" applyBorder="1" applyAlignment="1">
      <alignment horizontal="left" vertical="center" indent="2"/>
    </xf>
    <xf numFmtId="167" fontId="7" fillId="0" borderId="4" xfId="1" applyNumberFormat="1" applyFont="1" applyFill="1" applyBorder="1" applyAlignment="1">
      <alignment horizontal="right" vertical="center" indent="2"/>
    </xf>
    <xf numFmtId="168" fontId="7" fillId="0" borderId="0" xfId="2" applyNumberFormat="1" applyFont="1" applyFill="1" applyBorder="1" applyAlignment="1">
      <alignment horizontal="right" vertical="center" indent="2"/>
    </xf>
    <xf numFmtId="0" fontId="0" fillId="0" borderId="0" xfId="0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10" borderId="0" xfId="0" applyFont="1" applyFill="1" applyBorder="1"/>
    <xf numFmtId="167" fontId="4" fillId="10" borderId="0" xfId="0" applyNumberFormat="1" applyFont="1" applyFill="1" applyBorder="1"/>
    <xf numFmtId="0" fontId="4" fillId="0" borderId="0" xfId="0" applyFont="1" applyFill="1" applyBorder="1"/>
    <xf numFmtId="167" fontId="4" fillId="0" borderId="0" xfId="1" applyNumberFormat="1" applyFont="1" applyFill="1" applyBorder="1"/>
    <xf numFmtId="167" fontId="5" fillId="0" borderId="0" xfId="1" applyNumberFormat="1" applyFont="1" applyFill="1"/>
    <xf numFmtId="167" fontId="4" fillId="0" borderId="0" xfId="1" applyNumberFormat="1" applyFont="1" applyBorder="1"/>
    <xf numFmtId="167" fontId="5" fillId="0" borderId="0" xfId="1" applyNumberFormat="1" applyFont="1"/>
    <xf numFmtId="0" fontId="2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23" fillId="0" borderId="0" xfId="0" applyFont="1"/>
    <xf numFmtId="0" fontId="22" fillId="0" borderId="0" xfId="0" applyFont="1" applyBorder="1" applyAlignment="1">
      <alignment horizontal="center" vertical="center"/>
    </xf>
    <xf numFmtId="167" fontId="7" fillId="0" borderId="0" xfId="1" applyNumberFormat="1" applyFont="1" applyFill="1" applyBorder="1" applyAlignment="1">
      <alignment horizontal="right" vertical="center" indent="2"/>
    </xf>
    <xf numFmtId="43" fontId="7" fillId="0" borderId="10" xfId="1" applyFont="1" applyFill="1" applyBorder="1" applyAlignment="1">
      <alignment horizontal="right" vertical="center" indent="2"/>
    </xf>
    <xf numFmtId="43" fontId="7" fillId="0" borderId="0" xfId="1" applyFont="1" applyFill="1" applyBorder="1" applyAlignment="1">
      <alignment horizontal="right" vertical="center" indent="2"/>
    </xf>
    <xf numFmtId="164" fontId="7" fillId="2" borderId="0" xfId="0" applyNumberFormat="1" applyFont="1" applyFill="1" applyBorder="1" applyAlignment="1">
      <alignment horizontal="left" vertical="center" indent="2"/>
    </xf>
    <xf numFmtId="164" fontId="13" fillId="2" borderId="0" xfId="0" applyNumberFormat="1" applyFont="1" applyFill="1" applyBorder="1" applyAlignment="1">
      <alignment horizontal="left" vertical="center" indent="2"/>
    </xf>
    <xf numFmtId="0" fontId="7" fillId="0" borderId="0" xfId="0" applyNumberFormat="1" applyFont="1" applyFill="1" applyBorder="1" applyAlignment="1">
      <alignment horizontal="left" vertical="center" indent="1"/>
    </xf>
    <xf numFmtId="0" fontId="22" fillId="0" borderId="0" xfId="0" applyFont="1" applyFill="1" applyBorder="1" applyAlignment="1">
      <alignment horizontal="center" vertical="center"/>
    </xf>
    <xf numFmtId="43" fontId="4" fillId="10" borderId="0" xfId="0" applyNumberFormat="1" applyFont="1" applyFill="1" applyBorder="1"/>
    <xf numFmtId="43" fontId="13" fillId="0" borderId="4" xfId="1" applyNumberFormat="1" applyFont="1" applyFill="1" applyBorder="1" applyAlignment="1">
      <alignment horizontal="right" vertical="center" indent="2"/>
    </xf>
    <xf numFmtId="43" fontId="22" fillId="0" borderId="0" xfId="1" applyFont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7" fillId="0" borderId="11" xfId="0" applyNumberFormat="1" applyFont="1" applyFill="1" applyBorder="1" applyAlignment="1" applyProtection="1">
      <alignment horizontal="center" vertical="center"/>
    </xf>
    <xf numFmtId="169" fontId="7" fillId="2" borderId="0" xfId="3" applyNumberFormat="1" applyFont="1" applyFill="1" applyBorder="1" applyAlignment="1">
      <alignment vertical="center"/>
    </xf>
    <xf numFmtId="169" fontId="7" fillId="0" borderId="0" xfId="3" applyNumberFormat="1" applyFont="1" applyFill="1" applyBorder="1" applyAlignment="1">
      <alignment vertical="center"/>
    </xf>
    <xf numFmtId="169" fontId="25" fillId="0" borderId="0" xfId="3" applyNumberFormat="1" applyFont="1" applyFill="1" applyBorder="1" applyAlignment="1">
      <alignment vertical="center"/>
    </xf>
    <xf numFmtId="169" fontId="7" fillId="0" borderId="5" xfId="3" applyNumberFormat="1" applyFont="1" applyFill="1" applyBorder="1" applyAlignment="1">
      <alignment vertical="center"/>
    </xf>
    <xf numFmtId="169" fontId="25" fillId="0" borderId="5" xfId="3" applyNumberFormat="1" applyFont="1" applyFill="1" applyBorder="1" applyAlignment="1">
      <alignment vertical="center"/>
    </xf>
    <xf numFmtId="169" fontId="7" fillId="0" borderId="6" xfId="3" applyNumberFormat="1" applyFont="1" applyFill="1" applyBorder="1" applyAlignment="1">
      <alignment vertical="center"/>
    </xf>
    <xf numFmtId="169" fontId="25" fillId="0" borderId="6" xfId="3" applyNumberFormat="1" applyFont="1" applyFill="1" applyBorder="1" applyAlignment="1">
      <alignment vertical="center"/>
    </xf>
    <xf numFmtId="164" fontId="13" fillId="2" borderId="0" xfId="0" applyNumberFormat="1" applyFont="1" applyFill="1" applyBorder="1" applyAlignment="1" applyProtection="1">
      <alignment horizontal="left" vertical="center" indent="2"/>
    </xf>
    <xf numFmtId="0" fontId="0" fillId="0" borderId="11" xfId="0" applyFill="1" applyBorder="1"/>
    <xf numFmtId="0" fontId="0" fillId="0" borderId="11" xfId="0" applyBorder="1"/>
    <xf numFmtId="167" fontId="4" fillId="2" borderId="0" xfId="1" applyNumberFormat="1" applyFont="1" applyFill="1" applyBorder="1"/>
    <xf numFmtId="167" fontId="5" fillId="2" borderId="0" xfId="1" applyNumberFormat="1" applyFont="1" applyFill="1"/>
    <xf numFmtId="43" fontId="4" fillId="0" borderId="0" xfId="1" applyNumberFormat="1" applyFont="1" applyFill="1" applyBorder="1"/>
    <xf numFmtId="43" fontId="4" fillId="2" borderId="0" xfId="1" applyNumberFormat="1" applyFont="1" applyFill="1" applyBorder="1"/>
    <xf numFmtId="49" fontId="22" fillId="2" borderId="0" xfId="0" applyNumberFormat="1" applyFont="1" applyFill="1" applyBorder="1"/>
    <xf numFmtId="0" fontId="22" fillId="0" borderId="0" xfId="0" applyFont="1" applyFill="1" applyBorder="1"/>
    <xf numFmtId="49" fontId="22" fillId="0" borderId="0" xfId="0" applyNumberFormat="1" applyFont="1" applyFill="1" applyBorder="1" applyAlignment="1">
      <alignment horizontal="left" indent="2"/>
    </xf>
    <xf numFmtId="49" fontId="22" fillId="0" borderId="0" xfId="0" applyNumberFormat="1" applyFont="1" applyFill="1" applyBorder="1" applyAlignment="1">
      <alignment horizontal="left" indent="1"/>
    </xf>
    <xf numFmtId="0" fontId="24" fillId="0" borderId="0" xfId="0" applyFont="1"/>
    <xf numFmtId="0" fontId="22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right"/>
    </xf>
    <xf numFmtId="0" fontId="26" fillId="0" borderId="0" xfId="0" applyFont="1" applyBorder="1" applyAlignment="1">
      <alignment horizontal="right"/>
    </xf>
    <xf numFmtId="0" fontId="22" fillId="0" borderId="0" xfId="0" applyFont="1" applyFill="1" applyBorder="1" applyAlignment="1">
      <alignment horizontal="center" vertical="center"/>
    </xf>
    <xf numFmtId="43" fontId="22" fillId="0" borderId="0" xfId="1" applyFont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170" fontId="4" fillId="10" borderId="0" xfId="0" applyNumberFormat="1" applyFont="1" applyFill="1" applyBorder="1" applyAlignment="1"/>
    <xf numFmtId="170" fontId="4" fillId="2" borderId="0" xfId="1" applyNumberFormat="1" applyFont="1" applyFill="1" applyBorder="1" applyAlignment="1">
      <alignment horizontal="left" indent="1"/>
    </xf>
    <xf numFmtId="171" fontId="5" fillId="0" borderId="0" xfId="0" applyNumberFormat="1" applyFont="1" applyFill="1" applyBorder="1" applyAlignment="1">
      <alignment horizontal="left" indent="2"/>
    </xf>
  </cellXfs>
  <cellStyles count="30">
    <cellStyle name="Calculated Column - IBM Cognos" xfId="4" xr:uid="{00000000-0005-0000-0000-000000000000}"/>
    <cellStyle name="Calculated Column Name - IBM Cognos" xfId="5" xr:uid="{00000000-0005-0000-0000-000001000000}"/>
    <cellStyle name="Calculated Row - IBM Cognos" xfId="6" xr:uid="{00000000-0005-0000-0000-000002000000}"/>
    <cellStyle name="Calculated Row Name - IBM Cognos" xfId="7" xr:uid="{00000000-0005-0000-0000-000003000000}"/>
    <cellStyle name="Column Name - IBM Cognos" xfId="8" xr:uid="{00000000-0005-0000-0000-000004000000}"/>
    <cellStyle name="Column Template - IBM Cognos" xfId="9" xr:uid="{00000000-0005-0000-0000-000005000000}"/>
    <cellStyle name="Comma" xfId="1" builtinId="3"/>
    <cellStyle name="Comma 2" xfId="3" xr:uid="{00000000-0005-0000-0000-000007000000}"/>
    <cellStyle name="Differs From Base - IBM Cognos" xfId="10" xr:uid="{00000000-0005-0000-0000-000008000000}"/>
    <cellStyle name="Group Name - IBM Cognos" xfId="11" xr:uid="{00000000-0005-0000-0000-000009000000}"/>
    <cellStyle name="Hold Values - IBM Cognos" xfId="12" xr:uid="{00000000-0005-0000-0000-00000A000000}"/>
    <cellStyle name="List Name - IBM Cognos" xfId="13" xr:uid="{00000000-0005-0000-0000-00000B000000}"/>
    <cellStyle name="Locked - IBM Cognos" xfId="14" xr:uid="{00000000-0005-0000-0000-00000C000000}"/>
    <cellStyle name="Measure - IBM Cognos" xfId="15" xr:uid="{00000000-0005-0000-0000-00000D000000}"/>
    <cellStyle name="Measure Header - IBM Cognos" xfId="16" xr:uid="{00000000-0005-0000-0000-00000E000000}"/>
    <cellStyle name="Measure Name - IBM Cognos" xfId="17" xr:uid="{00000000-0005-0000-0000-00000F000000}"/>
    <cellStyle name="Measure Summary - IBM Cognos" xfId="18" xr:uid="{00000000-0005-0000-0000-000010000000}"/>
    <cellStyle name="Measure Summary TM1 - IBM Cognos" xfId="19" xr:uid="{00000000-0005-0000-0000-000011000000}"/>
    <cellStyle name="Measure Template - IBM Cognos" xfId="20" xr:uid="{00000000-0005-0000-0000-000012000000}"/>
    <cellStyle name="More - IBM Cognos" xfId="21" xr:uid="{00000000-0005-0000-0000-000013000000}"/>
    <cellStyle name="Normal" xfId="0" builtinId="0"/>
    <cellStyle name="Pending Change - IBM Cognos" xfId="22" xr:uid="{00000000-0005-0000-0000-000015000000}"/>
    <cellStyle name="Percent" xfId="2" builtinId="5"/>
    <cellStyle name="Row Name - IBM Cognos" xfId="23" xr:uid="{00000000-0005-0000-0000-000017000000}"/>
    <cellStyle name="Row Template - IBM Cognos" xfId="24" xr:uid="{00000000-0005-0000-0000-000018000000}"/>
    <cellStyle name="Summary Column Name - IBM Cognos" xfId="25" xr:uid="{00000000-0005-0000-0000-000019000000}"/>
    <cellStyle name="Summary Column Name TM1 - IBM Cognos" xfId="26" xr:uid="{00000000-0005-0000-0000-00001A000000}"/>
    <cellStyle name="Summary Row Name - IBM Cognos" xfId="27" xr:uid="{00000000-0005-0000-0000-00001B000000}"/>
    <cellStyle name="Summary Row Name TM1 - IBM Cognos" xfId="28" xr:uid="{00000000-0005-0000-0000-00001C000000}"/>
    <cellStyle name="Unsaved Change - IBM Cognos" xfId="29" xr:uid="{00000000-0005-0000-0000-00001D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FFDFDFD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FF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296DF"/>
      <color rgb="FFF3AB40"/>
      <color rgb="FFB6A1CB"/>
      <color rgb="FF08416B"/>
      <color rgb="FF8BC43F"/>
      <color rgb="FF66CB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484258481764421E-2"/>
          <c:y val="5.6628056628056631E-2"/>
          <c:w val="0.43787712438186382"/>
          <c:h val="0.8867438867438867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296DF"/>
              </a:solidFill>
            </c:spPr>
            <c:extLst>
              <c:ext xmlns:c16="http://schemas.microsoft.com/office/drawing/2014/chart" uri="{C3380CC4-5D6E-409C-BE32-E72D297353CC}">
                <c16:uniqueId val="{00000001-B719-4CDC-917D-1F97215A121D}"/>
              </c:ext>
            </c:extLst>
          </c:dPt>
          <c:dPt>
            <c:idx val="1"/>
            <c:bubble3D val="0"/>
            <c:spPr>
              <a:solidFill>
                <a:srgbClr val="F3AB40"/>
              </a:solidFill>
            </c:spPr>
            <c:extLst>
              <c:ext xmlns:c16="http://schemas.microsoft.com/office/drawing/2014/chart" uri="{C3380CC4-5D6E-409C-BE32-E72D297353CC}">
                <c16:uniqueId val="{00000003-B719-4CDC-917D-1F97215A121D}"/>
              </c:ext>
            </c:extLst>
          </c:dPt>
          <c:dPt>
            <c:idx val="2"/>
            <c:bubble3D val="0"/>
            <c:spPr>
              <a:solidFill>
                <a:srgbClr val="8BC43F"/>
              </a:solidFill>
            </c:spPr>
            <c:extLst>
              <c:ext xmlns:c16="http://schemas.microsoft.com/office/drawing/2014/chart" uri="{C3380CC4-5D6E-409C-BE32-E72D297353CC}">
                <c16:uniqueId val="{00000005-B719-4CDC-917D-1F97215A121D}"/>
              </c:ext>
            </c:extLst>
          </c:dPt>
          <c:cat>
            <c:strRef>
              <c:f>'Operations Console'!$E$23:$E$25</c:f>
              <c:strCache>
                <c:ptCount val="3"/>
                <c:pt idx="0">
                  <c:v>Direct Material</c:v>
                </c:pt>
                <c:pt idx="1">
                  <c:v>Direct Labor</c:v>
                </c:pt>
                <c:pt idx="2">
                  <c:v>Indirect COGS</c:v>
                </c:pt>
              </c:strCache>
            </c:strRef>
          </c:cat>
          <c:val>
            <c:numRef>
              <c:f>'Operations Console'!$F$23:$F$25</c:f>
              <c:numCache>
                <c:formatCode>_(* #,##0_);_(* \(#,##0\);_(* "-"??_);_(@_)</c:formatCode>
                <c:ptCount val="3"/>
                <c:pt idx="0">
                  <c:v>8884534.7794458531</c:v>
                </c:pt>
                <c:pt idx="1">
                  <c:v>1090912.2856059759</c:v>
                </c:pt>
                <c:pt idx="2">
                  <c:v>432000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19-4CDC-917D-1F97215A1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chemeClr val="bg1">
            <a:lumMod val="95000"/>
          </a:schemeClr>
        </a:solidFill>
      </c:spPr>
    </c:plotArea>
    <c:legend>
      <c:legendPos val="r"/>
      <c:legendEntry>
        <c:idx val="0"/>
        <c:txPr>
          <a:bodyPr/>
          <a:lstStyle/>
          <a:p>
            <a:pPr rtl="0">
              <a:defRPr sz="900" b="1" i="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 rtl="0">
              <a:defRPr sz="900" b="1" i="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 rtl="0">
              <a:defRPr sz="900" b="1" i="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</a:defRPr>
            </a:pPr>
            <a:endParaRPr lang="en-US"/>
          </a:p>
        </c:txPr>
      </c:legendEntry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21023177256012"/>
          <c:y val="2.8252405949256341E-2"/>
          <c:w val="0.70191066625980592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Report!$C$9</c:f>
              <c:strCache>
                <c:ptCount val="1"/>
                <c:pt idx="0">
                  <c:v> Gross Revenue </c:v>
                </c:pt>
              </c:strCache>
            </c:strRef>
          </c:tx>
          <c:spPr>
            <a:ln w="57150">
              <a:solidFill>
                <a:srgbClr val="0296DF"/>
              </a:solidFill>
            </a:ln>
          </c:spPr>
          <c:marker>
            <c:symbol val="none"/>
          </c:marker>
          <c:cat>
            <c:strRef>
              <c:f>Report!$F$8:$I$8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Report!$F$9:$I$9</c:f>
              <c:numCache>
                <c:formatCode>_(* #,##0_);_(* \(#,##0\);_(* " "??_);_(@_)</c:formatCode>
                <c:ptCount val="4"/>
                <c:pt idx="0">
                  <c:v>28783261.159899145</c:v>
                </c:pt>
                <c:pt idx="1">
                  <c:v>27094662.523748476</c:v>
                </c:pt>
                <c:pt idx="2">
                  <c:v>30284855.263279498</c:v>
                </c:pt>
                <c:pt idx="3">
                  <c:v>42312050.998187371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64-4880-BE81-42B454F2519E}"/>
            </c:ext>
          </c:extLst>
        </c:ser>
        <c:ser>
          <c:idx val="1"/>
          <c:order val="1"/>
          <c:tx>
            <c:strRef>
              <c:f>Report!$C$11</c:f>
              <c:strCache>
                <c:ptCount val="1"/>
                <c:pt idx="0">
                  <c:v> Gross Margin </c:v>
                </c:pt>
              </c:strCache>
            </c:strRef>
          </c:tx>
          <c:spPr>
            <a:ln w="57150">
              <a:solidFill>
                <a:srgbClr val="8BC43F"/>
              </a:solidFill>
            </a:ln>
          </c:spPr>
          <c:marker>
            <c:symbol val="none"/>
          </c:marker>
          <c:cat>
            <c:strRef>
              <c:f>Report!$F$8:$I$8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Report!$F$11:$I$11</c:f>
              <c:numCache>
                <c:formatCode>_(* #,##0_);_(* \(#,##0\);_(* " "??_);_(@_)</c:formatCode>
                <c:ptCount val="4"/>
                <c:pt idx="0">
                  <c:v>13571512.897540942</c:v>
                </c:pt>
                <c:pt idx="1">
                  <c:v>12778911.842439245</c:v>
                </c:pt>
                <c:pt idx="2">
                  <c:v>14402424.077962395</c:v>
                </c:pt>
                <c:pt idx="3">
                  <c:v>19679377.6006044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64-4880-BE81-42B454F2519E}"/>
            </c:ext>
          </c:extLst>
        </c:ser>
        <c:ser>
          <c:idx val="2"/>
          <c:order val="2"/>
          <c:tx>
            <c:strRef>
              <c:f>Report!$C$13</c:f>
              <c:strCache>
                <c:ptCount val="1"/>
                <c:pt idx="0">
                  <c:v> Net Profit </c:v>
                </c:pt>
              </c:strCache>
            </c:strRef>
          </c:tx>
          <c:spPr>
            <a:ln w="57150">
              <a:solidFill>
                <a:srgbClr val="F3AB40"/>
              </a:solidFill>
            </a:ln>
          </c:spPr>
          <c:marker>
            <c:symbol val="none"/>
          </c:marker>
          <c:cat>
            <c:strRef>
              <c:f>Report!$F$8:$I$8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Report!$F$13:$I$13</c:f>
              <c:numCache>
                <c:formatCode>_(* #,##0_);_(* \(#,##0\);_(* " "??_);_(@_)</c:formatCode>
                <c:ptCount val="4"/>
                <c:pt idx="0">
                  <c:v>9305647.6837916467</c:v>
                </c:pt>
                <c:pt idx="1">
                  <c:v>6831216.8324383441</c:v>
                </c:pt>
                <c:pt idx="2">
                  <c:v>8996427.4592347201</c:v>
                </c:pt>
                <c:pt idx="3">
                  <c:v>13904075.37124298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64-4880-BE81-42B454F25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295696"/>
        <c:axId val="244295304"/>
      </c:lineChart>
      <c:catAx>
        <c:axId val="24429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crossAx val="244295304"/>
        <c:crosses val="autoZero"/>
        <c:auto val="1"/>
        <c:lblAlgn val="ctr"/>
        <c:lblOffset val="100"/>
        <c:noMultiLvlLbl val="0"/>
      </c:catAx>
      <c:valAx>
        <c:axId val="244295304"/>
        <c:scaling>
          <c:orientation val="minMax"/>
        </c:scaling>
        <c:delete val="0"/>
        <c:axPos val="l"/>
        <c:numFmt formatCode="_(* #,##0_);_(* \(#,##0\);_(* &quot; &quot;??_);_(@_)" sourceLinked="1"/>
        <c:majorTickMark val="out"/>
        <c:minorTickMark val="none"/>
        <c:tickLblPos val="nextTo"/>
        <c:crossAx val="244295696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txPr>
    <a:bodyPr/>
    <a:lstStyle/>
    <a:p>
      <a:pPr>
        <a:defRPr sz="800" b="1" i="0" baseline="0">
          <a:solidFill>
            <a:schemeClr val="bg1">
              <a:lumMod val="50000"/>
            </a:schemeClr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131602082899363E-2"/>
          <c:y val="9.3929463270532476E-2"/>
          <c:w val="0.77717453439037676"/>
          <c:h val="0.81340323249067548"/>
        </c:manualLayout>
      </c:layout>
      <c:lineChart>
        <c:grouping val="standard"/>
        <c:varyColors val="0"/>
        <c:ser>
          <c:idx val="0"/>
          <c:order val="0"/>
          <c:tx>
            <c:strRef>
              <c:f>'Performance Scorecard'!$A$10</c:f>
              <c:strCache>
                <c:ptCount val="1"/>
                <c:pt idx="0">
                  <c:v>Actual</c:v>
                </c:pt>
              </c:strCache>
            </c:strRef>
          </c:tx>
          <c:spPr>
            <a:ln w="57150">
              <a:solidFill>
                <a:srgbClr val="F3AB40"/>
              </a:solidFill>
            </a:ln>
          </c:spPr>
          <c:marker>
            <c:symbol val="none"/>
          </c:marker>
          <c:cat>
            <c:strRef>
              <c:f>'Performance Scorecard'!$B$9:$M$9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'Performance Scorecard'!$B$10:$M$10</c:f>
              <c:numCache>
                <c:formatCode>#,##0</c:formatCode>
                <c:ptCount val="12"/>
                <c:pt idx="0">
                  <c:v>1222377.8366479597</c:v>
                </c:pt>
                <c:pt idx="1">
                  <c:v>1283134.7489742972</c:v>
                </c:pt>
                <c:pt idx="2">
                  <c:v>1295974.7669741979</c:v>
                </c:pt>
                <c:pt idx="3">
                  <c:v>1320365.7013157406</c:v>
                </c:pt>
                <c:pt idx="4">
                  <c:v>1209332.0764988046</c:v>
                </c:pt>
                <c:pt idx="5">
                  <c:v>1157783.203231195</c:v>
                </c:pt>
                <c:pt idx="6">
                  <c:v>1159609.4211129991</c:v>
                </c:pt>
                <c:pt idx="7">
                  <c:v>1172221.5366209261</c:v>
                </c:pt>
                <c:pt idx="8">
                  <c:v>1023302.2082475515</c:v>
                </c:pt>
                <c:pt idx="9">
                  <c:v>1200995.713240081</c:v>
                </c:pt>
                <c:pt idx="10">
                  <c:v>1347097.025107594</c:v>
                </c:pt>
                <c:pt idx="11">
                  <c:v>1544093.2741461475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D8-4A1A-A32D-76D5D21B7EAA}"/>
            </c:ext>
          </c:extLst>
        </c:ser>
        <c:ser>
          <c:idx val="1"/>
          <c:order val="1"/>
          <c:tx>
            <c:strRef>
              <c:f>'Performance Scorecard'!$A$11</c:f>
              <c:strCache>
                <c:ptCount val="1"/>
                <c:pt idx="0">
                  <c:v>Version1</c:v>
                </c:pt>
              </c:strCache>
            </c:strRef>
          </c:tx>
          <c:spPr>
            <a:ln w="57150">
              <a:solidFill>
                <a:srgbClr val="0296DF"/>
              </a:solidFill>
            </a:ln>
          </c:spPr>
          <c:marker>
            <c:symbol val="none"/>
          </c:marker>
          <c:cat>
            <c:strRef>
              <c:f>'Performance Scorecard'!$B$9:$M$9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'Performance Scorecard'!$B$11:$M$11</c:f>
              <c:numCache>
                <c:formatCode>#,##0</c:formatCode>
                <c:ptCount val="12"/>
                <c:pt idx="0">
                  <c:v>3523814.4786500405</c:v>
                </c:pt>
                <c:pt idx="1">
                  <c:v>2999584.1510273134</c:v>
                </c:pt>
                <c:pt idx="2">
                  <c:v>2782249.0541142882</c:v>
                </c:pt>
                <c:pt idx="3">
                  <c:v>2338992.7264690436</c:v>
                </c:pt>
                <c:pt idx="4">
                  <c:v>2330691.378727729</c:v>
                </c:pt>
                <c:pt idx="5">
                  <c:v>2161532.7272415725</c:v>
                </c:pt>
                <c:pt idx="6">
                  <c:v>2908816.2712743012</c:v>
                </c:pt>
                <c:pt idx="7">
                  <c:v>3111656.3160742158</c:v>
                </c:pt>
                <c:pt idx="8">
                  <c:v>2975954.8718861993</c:v>
                </c:pt>
                <c:pt idx="9">
                  <c:v>6062085.3726692712</c:v>
                </c:pt>
                <c:pt idx="10">
                  <c:v>3958540.8616717462</c:v>
                </c:pt>
                <c:pt idx="11">
                  <c:v>3883449.1369019584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D8-4A1A-A32D-76D5D21B7EAA}"/>
            </c:ext>
          </c:extLst>
        </c:ser>
        <c:ser>
          <c:idx val="2"/>
          <c:order val="2"/>
          <c:tx>
            <c:strRef>
              <c:f>'Performance Scorecard'!$A$12</c:f>
              <c:strCache>
                <c:ptCount val="1"/>
                <c:pt idx="0">
                  <c:v>Predictive</c:v>
                </c:pt>
              </c:strCache>
            </c:strRef>
          </c:tx>
          <c:spPr>
            <a:ln w="57150">
              <a:solidFill>
                <a:srgbClr val="8BC43F"/>
              </a:solidFill>
            </a:ln>
          </c:spPr>
          <c:marker>
            <c:symbol val="none"/>
          </c:marker>
          <c:cat>
            <c:strRef>
              <c:f>'Performance Scorecard'!$B$9:$M$9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'Performance Scorecard'!$B$12:$M$12</c:f>
              <c:numCache>
                <c:formatCode>#,##0</c:formatCode>
                <c:ptCount val="12"/>
                <c:pt idx="0">
                  <c:v>1738359.6395019521</c:v>
                </c:pt>
                <c:pt idx="1">
                  <c:v>1738593.2011450478</c:v>
                </c:pt>
                <c:pt idx="2">
                  <c:v>1700699.791589315</c:v>
                </c:pt>
                <c:pt idx="3">
                  <c:v>1739643.7053219348</c:v>
                </c:pt>
                <c:pt idx="4">
                  <c:v>1660681.6422800105</c:v>
                </c:pt>
                <c:pt idx="5">
                  <c:v>1554788.0588014727</c:v>
                </c:pt>
                <c:pt idx="6">
                  <c:v>1725357.4313241225</c:v>
                </c:pt>
                <c:pt idx="7">
                  <c:v>1573640.8297711376</c:v>
                </c:pt>
                <c:pt idx="8">
                  <c:v>1903379.0865446799</c:v>
                </c:pt>
                <c:pt idx="9">
                  <c:v>1909781.2572638397</c:v>
                </c:pt>
                <c:pt idx="10">
                  <c:v>2329674.4747288693</c:v>
                </c:pt>
                <c:pt idx="11">
                  <c:v>1905783.5583308628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D8-4A1A-A32D-76D5D21B7EAA}"/>
            </c:ext>
          </c:extLst>
        </c:ser>
        <c:ser>
          <c:idx val="3"/>
          <c:order val="3"/>
          <c:tx>
            <c:strRef>
              <c:f>'Performance Scorecard'!$A$13</c:f>
              <c:strCache>
                <c:ptCount val="1"/>
                <c:pt idx="0">
                  <c:v>Forecast</c:v>
                </c:pt>
              </c:strCache>
            </c:strRef>
          </c:tx>
          <c:spPr>
            <a:ln w="57150">
              <a:solidFill>
                <a:srgbClr val="B6A1CB"/>
              </a:solidFill>
            </a:ln>
          </c:spPr>
          <c:marker>
            <c:symbol val="none"/>
          </c:marker>
          <c:cat>
            <c:strRef>
              <c:f>'Performance Scorecard'!$B$9:$M$9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'Performance Scorecard'!$B$13:$M$13</c:f>
              <c:numCache>
                <c:formatCode>#,##0</c:formatCode>
                <c:ptCount val="12"/>
                <c:pt idx="0">
                  <c:v>1222377.8366479597</c:v>
                </c:pt>
                <c:pt idx="1">
                  <c:v>1283134.7489742972</c:v>
                </c:pt>
                <c:pt idx="2">
                  <c:v>1317420.1987200514</c:v>
                </c:pt>
                <c:pt idx="3">
                  <c:v>920740.24672843551</c:v>
                </c:pt>
                <c:pt idx="4">
                  <c:v>869540.28770714393</c:v>
                </c:pt>
                <c:pt idx="5">
                  <c:v>718981.50274558947</c:v>
                </c:pt>
                <c:pt idx="6">
                  <c:v>1331678.8639097973</c:v>
                </c:pt>
                <c:pt idx="7">
                  <c:v>1305087.0365301054</c:v>
                </c:pt>
                <c:pt idx="8">
                  <c:v>1797292.7033179326</c:v>
                </c:pt>
                <c:pt idx="9">
                  <c:v>1938262.9928990437</c:v>
                </c:pt>
                <c:pt idx="10">
                  <c:v>1941024.5729478924</c:v>
                </c:pt>
                <c:pt idx="11">
                  <c:v>1738947.0426387046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D8-4A1A-A32D-76D5D21B7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093432"/>
        <c:axId val="245098528"/>
      </c:lineChart>
      <c:catAx>
        <c:axId val="245093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crossAx val="245098528"/>
        <c:crosses val="autoZero"/>
        <c:auto val="1"/>
        <c:lblAlgn val="ctr"/>
        <c:lblOffset val="100"/>
        <c:noMultiLvlLbl val="0"/>
      </c:catAx>
      <c:valAx>
        <c:axId val="24509852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45093432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txPr>
    <a:bodyPr/>
    <a:lstStyle/>
    <a:p>
      <a:pPr>
        <a:defRPr sz="800" b="1" i="0" baseline="0">
          <a:solidFill>
            <a:schemeClr val="bg1">
              <a:lumMod val="50000"/>
            </a:schemeClr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8</xdr:row>
      <xdr:rowOff>0</xdr:rowOff>
    </xdr:from>
    <xdr:ext cx="12001500" cy="298800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95275" y="1524000"/>
          <a:ext cx="12001500" cy="29880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Unit Demand Plan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28576</xdr:colOff>
      <xdr:row>19</xdr:row>
      <xdr:rowOff>0</xdr:rowOff>
    </xdr:from>
    <xdr:to>
      <xdr:col>15</xdr:col>
      <xdr:colOff>19050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0</xdr:colOff>
      <xdr:row>0</xdr:row>
      <xdr:rowOff>0</xdr:rowOff>
    </xdr:from>
    <xdr:ext cx="9153525" cy="298800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6200" y="0"/>
          <a:ext cx="9153525" cy="29880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Operations Console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</xdr:colOff>
      <xdr:row>8</xdr:row>
      <xdr:rowOff>0</xdr:rowOff>
    </xdr:from>
    <xdr:ext cx="4229100" cy="298800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47651" y="1524000"/>
          <a:ext cx="4229100" cy="29880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Bill of Material Master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14</xdr:row>
      <xdr:rowOff>123824</xdr:rowOff>
    </xdr:from>
    <xdr:to>
      <xdr:col>9</xdr:col>
      <xdr:colOff>0</xdr:colOff>
      <xdr:row>27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1</xdr:colOff>
      <xdr:row>0</xdr:row>
      <xdr:rowOff>0</xdr:rowOff>
    </xdr:from>
    <xdr:ext cx="7829550" cy="298800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76201" y="0"/>
          <a:ext cx="7829550" cy="29880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Income Statement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152400</xdr:rowOff>
    </xdr:from>
    <xdr:to>
      <xdr:col>8</xdr:col>
      <xdr:colOff>647700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7829550" cy="298800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0" y="0"/>
          <a:ext cx="7829550" cy="29880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Net Profit by Version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BM%20Demos/SmartCo/Reports/Dept/Reven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Admin"/>
      <sheetName val="UnitFcst"/>
      <sheetName val="ChannelDetail"/>
      <sheetName val="MarginDetail"/>
      <sheetName val="Lookup"/>
      <sheetName val="Assumptions"/>
      <sheetName val="Report"/>
      <sheetName val="Lookup (2)"/>
    </sheetNames>
    <sheetDataSet>
      <sheetData sheetId="0"/>
      <sheetData sheetId="1"/>
      <sheetData sheetId="2"/>
      <sheetData sheetId="3">
        <row r="8">
          <cell r="E8" t="str">
            <v>Channel Total</v>
          </cell>
        </row>
      </sheetData>
      <sheetData sheetId="4">
        <row r="2">
          <cell r="D2" t="str">
            <v>Yes</v>
          </cell>
        </row>
        <row r="3">
          <cell r="D3" t="str">
            <v>No</v>
          </cell>
        </row>
      </sheetData>
      <sheetData sheetId="5"/>
      <sheetData sheetId="6">
        <row r="9">
          <cell r="C9" t="str">
            <v>Phones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P27"/>
  <sheetViews>
    <sheetView showGridLines="0" showRowColHeaders="0" tabSelected="1" topLeftCell="B10" workbookViewId="0">
      <selection activeCell="C32" sqref="C32"/>
    </sheetView>
  </sheetViews>
  <sheetFormatPr defaultRowHeight="14.4" x14ac:dyDescent="0.3"/>
  <cols>
    <col min="1" max="1" width="2.6640625" hidden="1" customWidth="1"/>
    <col min="2" max="2" width="1.6640625" customWidth="1"/>
    <col min="3" max="3" width="23.6640625" customWidth="1"/>
    <col min="4" max="4" width="14.6640625" customWidth="1"/>
    <col min="5" max="5" width="13.6640625" customWidth="1"/>
    <col min="6" max="7" width="11.6640625" customWidth="1"/>
    <col min="8" max="8" width="11.33203125" customWidth="1"/>
    <col min="9" max="9" width="11" customWidth="1"/>
    <col min="10" max="18" width="11.6640625" customWidth="1"/>
  </cols>
  <sheetData>
    <row r="1" spans="1:16" hidden="1" x14ac:dyDescent="0.3">
      <c r="A1" t="s">
        <v>5</v>
      </c>
    </row>
    <row r="2" spans="1:16" hidden="1" x14ac:dyDescent="0.3">
      <c r="A2">
        <f>0</f>
        <v>0</v>
      </c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6" hidden="1" x14ac:dyDescent="0.3">
      <c r="A3">
        <f>1</f>
        <v>1</v>
      </c>
      <c r="C3" s="73"/>
      <c r="D3" s="73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</row>
    <row r="4" spans="1:16" hidden="1" x14ac:dyDescent="0.3">
      <c r="A4">
        <f>2</f>
        <v>2</v>
      </c>
      <c r="C4" s="29"/>
      <c r="D4" s="40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</row>
    <row r="5" spans="1:16" hidden="1" x14ac:dyDescent="0.3">
      <c r="A5">
        <f>3</f>
        <v>3</v>
      </c>
      <c r="C5" s="29"/>
      <c r="D5" s="40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</row>
    <row r="6" spans="1:16" hidden="1" x14ac:dyDescent="0.3">
      <c r="A6" t="s">
        <v>3</v>
      </c>
      <c r="C6" s="29"/>
      <c r="D6" s="40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 hidden="1" x14ac:dyDescent="0.3">
      <c r="A7" t="s">
        <v>4</v>
      </c>
      <c r="C7" s="29"/>
      <c r="D7" s="42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</row>
    <row r="8" spans="1:16" hidden="1" x14ac:dyDescent="0.3">
      <c r="A8" t="s">
        <v>6</v>
      </c>
    </row>
    <row r="9" spans="1:16" hidden="1" x14ac:dyDescent="0.3">
      <c r="C9" t="str">
        <f>_xll.TM1RPTVIEW("24retail:Revenue:ARPT1", 1, _xll.TM1RPTTITLE("24retail:organization",$C$13), _xll.TM1RPTTITLE("24retail:Channel",$D$13), _xll.TM1RPTTITLE("24retail:Year",$F$13), _xll.TM1RPTTITLE("24retail:Version",$G$13), _xll.TM1RPTTITLE("24retail:Revenue",$E$13),TM1RPTFMTRNG,TM1RPTFMTIDCOL)</f>
        <v>24retail:Revenue:ARPT1</v>
      </c>
    </row>
    <row r="10" spans="1:16" ht="19.5" customHeight="1" x14ac:dyDescent="0.3">
      <c r="C10" s="21"/>
      <c r="D10" s="33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</row>
    <row r="11" spans="1:16" ht="9" customHeight="1" x14ac:dyDescent="0.3"/>
    <row r="12" spans="1:16" x14ac:dyDescent="0.3">
      <c r="C12" s="4" t="s">
        <v>30</v>
      </c>
      <c r="D12" s="5" t="s">
        <v>15</v>
      </c>
      <c r="E12" s="5" t="s">
        <v>16</v>
      </c>
      <c r="F12" s="5" t="s">
        <v>1</v>
      </c>
      <c r="G12" s="6" t="s">
        <v>17</v>
      </c>
    </row>
    <row r="13" spans="1:16" x14ac:dyDescent="0.3">
      <c r="C13" s="44" t="str">
        <f>_xll.SUBNM("24retail:organization","Workflow","Total Company","Caption_Default")</f>
        <v>Total Company</v>
      </c>
      <c r="D13" s="44" t="str">
        <f>_xll.SUBNM("24retail:Channel","Default","Channel Total","Caption_Default")</f>
        <v>Channel Total</v>
      </c>
      <c r="E13" s="44" t="str">
        <f>_xll.SUBNM("24retail:Revenue","","Units Sold")</f>
        <v>Units Sold</v>
      </c>
      <c r="F13" s="44" t="str">
        <f>_xll.SUBNM("24retail:Year","Default","Y2","Caption_Default")</f>
        <v>2020</v>
      </c>
      <c r="G13" s="44" t="str">
        <f>_xll.SUBNM("24retail:Version","Current",_xll.DBR("24retail:Calendar","Current Version","String"),"Caption_Default")</f>
        <v>Version1</v>
      </c>
    </row>
    <row r="14" spans="1:16" ht="8.25" customHeight="1" x14ac:dyDescent="0.3">
      <c r="C14" s="1"/>
    </row>
    <row r="15" spans="1:16" ht="15" thickBot="1" x14ac:dyDescent="0.35">
      <c r="C15" s="62"/>
      <c r="D15" s="62" t="s">
        <v>1</v>
      </c>
      <c r="E15" s="62" t="s">
        <v>18</v>
      </c>
      <c r="F15" s="62" t="s">
        <v>19</v>
      </c>
      <c r="G15" s="62" t="s">
        <v>20</v>
      </c>
      <c r="H15" s="62" t="s">
        <v>21</v>
      </c>
      <c r="I15" s="62" t="s">
        <v>22</v>
      </c>
      <c r="J15" s="62" t="s">
        <v>23</v>
      </c>
      <c r="K15" s="62" t="s">
        <v>24</v>
      </c>
      <c r="L15" s="62" t="s">
        <v>25</v>
      </c>
      <c r="M15" s="62" t="s">
        <v>26</v>
      </c>
      <c r="N15" s="62" t="s">
        <v>27</v>
      </c>
      <c r="O15" s="62" t="s">
        <v>28</v>
      </c>
      <c r="P15" s="62" t="s">
        <v>29</v>
      </c>
    </row>
    <row r="16" spans="1:16" ht="15" thickTop="1" x14ac:dyDescent="0.3">
      <c r="A16">
        <f>IF(_xll.TM1RPTELISCONSOLIDATED($C$16,$C16),IF(_xll.TM1RPTELLEV($C$16,$C16)&lt;=3,_xll.TM1RPTELLEV($C$16,$C16),"D"),"N")</f>
        <v>0</v>
      </c>
      <c r="C16" s="93" t="str">
        <f>_xll.TM1RPTROW($C$9,"24retail:product","Default")</f>
        <v>Product Total</v>
      </c>
      <c r="D16" s="38">
        <f>_xll.DBRW($C$9,$C$13,$D$13,$C16,D$15,$F$13,$G$13,$E$13)</f>
        <v>380465.60310938268</v>
      </c>
      <c r="E16" s="38">
        <f>_xll.DBRW($C$9,$C$13,$D$13,$C16,E$15,$F$13,$G$13,$E$13)</f>
        <v>28144.582425523862</v>
      </c>
      <c r="F16" s="38">
        <f>_xll.DBRW($C$9,$C$13,$D$13,$C16,F$15,$F$13,$G$13,$E$13)</f>
        <v>25368.356363089701</v>
      </c>
      <c r="G16" s="38">
        <f>_xll.DBRW($C$9,$C$13,$D$13,$C16,G$15,$F$13,$G$13,$E$13)</f>
        <v>23943.825053233177</v>
      </c>
      <c r="H16" s="38">
        <f>_xll.DBRW($C$9,$C$13,$D$13,$C16,H$15,$F$13,$G$13,$E$13)</f>
        <v>22697.983492481799</v>
      </c>
      <c r="I16" s="38">
        <f>_xll.DBRW($C$9,$C$13,$D$13,$C16,I$15,$F$13,$G$13,$E$13)</f>
        <v>23893.79056414622</v>
      </c>
      <c r="J16" s="38">
        <f>_xll.DBRW($C$9,$C$13,$D$13,$C16,J$15,$F$13,$G$13,$E$13)</f>
        <v>23595.632145823365</v>
      </c>
      <c r="K16" s="38">
        <f>_xll.DBRW($C$9,$C$13,$D$13,$C16,K$15,$F$13,$G$13,$E$13)</f>
        <v>24863.718517370577</v>
      </c>
      <c r="L16" s="38">
        <f>_xll.DBRW($C$9,$C$13,$D$13,$C16,L$15,$F$13,$G$13,$E$13)</f>
        <v>27222.016712146764</v>
      </c>
      <c r="M16" s="38">
        <f>_xll.DBRW($C$9,$C$13,$D$13,$C16,M$15,$F$13,$G$13,$E$13)</f>
        <v>27317.183488640541</v>
      </c>
      <c r="N16" s="38">
        <f>_xll.DBRW($C$9,$C$13,$D$13,$C16,N$15,$F$13,$G$13,$E$13)</f>
        <v>86229.603162590152</v>
      </c>
      <c r="O16" s="38">
        <f>_xll.DBRW($C$9,$C$13,$D$13,$C16,O$15,$F$13,$G$13,$E$13)</f>
        <v>33260.030766211545</v>
      </c>
      <c r="P16" s="38">
        <f>_xll.DBRW($C$9,$C$13,$D$13,$C16,P$15,$F$13,$G$13,$E$13)</f>
        <v>33928.880418124827</v>
      </c>
    </row>
    <row r="17" spans="1:16" x14ac:dyDescent="0.3">
      <c r="A17">
        <f>IF(_xll.TM1RPTELISCONSOLIDATED($C$16,$C17),IF(_xll.TM1RPTELLEV($C$16,$C17)&lt;=3,_xll.TM1RPTELLEV($C$16,$C17),"D"),"N")</f>
        <v>1</v>
      </c>
      <c r="C17" s="94" t="s">
        <v>78</v>
      </c>
      <c r="D17" s="73">
        <f>_xll.DBRW($C$9,$C$13,$D$13,$C17,D$15,$F$13,$G$13,$E$13)</f>
        <v>263095.03721340903</v>
      </c>
      <c r="E17" s="74">
        <f>_xll.DBRW($C$9,$C$13,$D$13,$C17,E$15,$F$13,$G$13,$E$13)</f>
        <v>17441.810958009544</v>
      </c>
      <c r="F17" s="74">
        <f>_xll.DBRW($C$9,$C$13,$D$13,$C17,F$15,$F$13,$G$13,$E$13)</f>
        <v>15959.41215756066</v>
      </c>
      <c r="G17" s="74">
        <f>_xll.DBRW($C$9,$C$13,$D$13,$C17,G$15,$F$13,$G$13,$E$13)</f>
        <v>14594.520481936377</v>
      </c>
      <c r="H17" s="74">
        <f>_xll.DBRW($C$9,$C$13,$D$13,$C17,H$15,$F$13,$G$13,$E$13)</f>
        <v>14128.522031011364</v>
      </c>
      <c r="I17" s="74">
        <f>_xll.DBRW($C$9,$C$13,$D$13,$C17,I$15,$F$13,$G$13,$E$13)</f>
        <v>15153.54416369044</v>
      </c>
      <c r="J17" s="74">
        <f>_xll.DBRW($C$9,$C$13,$D$13,$C17,J$15,$F$13,$G$13,$E$13)</f>
        <v>14471.416355193944</v>
      </c>
      <c r="K17" s="74">
        <f>_xll.DBRW($C$9,$C$13,$D$13,$C17,K$15,$F$13,$G$13,$E$13)</f>
        <v>15584.519616914788</v>
      </c>
      <c r="L17" s="74">
        <f>_xll.DBRW($C$9,$C$13,$D$13,$C17,L$15,$F$13,$G$13,$E$13)</f>
        <v>17640.567445923203</v>
      </c>
      <c r="M17" s="74">
        <f>_xll.DBRW($C$9,$C$13,$D$13,$C17,M$15,$F$13,$G$13,$E$13)</f>
        <v>17546.408856649217</v>
      </c>
      <c r="N17" s="74">
        <f>_xll.DBRW($C$9,$C$13,$D$13,$C17,N$15,$F$13,$G$13,$E$13)</f>
        <v>75802.445664831044</v>
      </c>
      <c r="O17" s="74">
        <f>_xll.DBRW($C$9,$C$13,$D$13,$C17,O$15,$F$13,$G$13,$E$13)</f>
        <v>22488.796805061244</v>
      </c>
      <c r="P17" s="74">
        <f>_xll.DBRW($C$9,$C$13,$D$13,$C17,P$15,$F$13,$G$13,$E$13)</f>
        <v>22283.072676627264</v>
      </c>
    </row>
    <row r="18" spans="1:16" x14ac:dyDescent="0.3">
      <c r="A18">
        <f>IF(_xll.TM1RPTELISCONSOLIDATED($C$16,$C18),IF(_xll.TM1RPTELLEV($C$16,$C18)&lt;=3,_xll.TM1RPTELLEV($C$16,$C18),"D"),"N")</f>
        <v>2</v>
      </c>
      <c r="C18" s="95" t="s">
        <v>79</v>
      </c>
      <c r="D18" s="40">
        <f>_xll.DBRW($C$9,$C$13,$D$13,$C18,D$15,$F$13,$G$13,$E$13)</f>
        <v>147693.53439765825</v>
      </c>
      <c r="E18" s="41">
        <f>_xll.DBRW($C$9,$C$13,$D$13,$C18,E$15,$F$13,$G$13,$E$13)</f>
        <v>9523.4982034679142</v>
      </c>
      <c r="F18" s="41">
        <f>_xll.DBRW($C$9,$C$13,$D$13,$C18,F$15,$F$13,$G$13,$E$13)</f>
        <v>9275.495657679885</v>
      </c>
      <c r="G18" s="41">
        <f>_xll.DBRW($C$9,$C$13,$D$13,$C18,G$15,$F$13,$G$13,$E$13)</f>
        <v>7821.9302810662157</v>
      </c>
      <c r="H18" s="41">
        <f>_xll.DBRW($C$9,$C$13,$D$13,$C18,H$15,$F$13,$G$13,$E$13)</f>
        <v>6735.5694627645553</v>
      </c>
      <c r="I18" s="41">
        <f>_xll.DBRW($C$9,$C$13,$D$13,$C18,I$15,$F$13,$G$13,$E$13)</f>
        <v>7455.5725581082315</v>
      </c>
      <c r="J18" s="41">
        <f>_xll.DBRW($C$9,$C$13,$D$13,$C18,J$15,$F$13,$G$13,$E$13)</f>
        <v>6467.6560770053957</v>
      </c>
      <c r="K18" s="41">
        <f>_xll.DBRW($C$9,$C$13,$D$13,$C18,K$15,$F$13,$G$13,$E$13)</f>
        <v>6516.3091852741036</v>
      </c>
      <c r="L18" s="41">
        <f>_xll.DBRW($C$9,$C$13,$D$13,$C18,L$15,$F$13,$G$13,$E$13)</f>
        <v>7369.2850455051557</v>
      </c>
      <c r="M18" s="41">
        <f>_xll.DBRW($C$9,$C$13,$D$13,$C18,M$15,$F$13,$G$13,$E$13)</f>
        <v>7120.581380024898</v>
      </c>
      <c r="N18" s="41">
        <f>_xll.DBRW($C$9,$C$13,$D$13,$C18,N$15,$F$13,$G$13,$E$13)</f>
        <v>63132.548023148447</v>
      </c>
      <c r="O18" s="41">
        <f>_xll.DBRW($C$9,$C$13,$D$13,$C18,O$15,$F$13,$G$13,$E$13)</f>
        <v>8418.3996604174226</v>
      </c>
      <c r="P18" s="41">
        <f>_xll.DBRW($C$9,$C$13,$D$13,$C18,P$15,$F$13,$G$13,$E$13)</f>
        <v>7856.6888631960792</v>
      </c>
    </row>
    <row r="19" spans="1:16" x14ac:dyDescent="0.3">
      <c r="A19">
        <f>IF(_xll.TM1RPTELISCONSOLIDATED($C$16,$C19),IF(_xll.TM1RPTELLEV($C$16,$C19)&lt;=3,_xll.TM1RPTELLEV($C$16,$C19),"D"),"N")</f>
        <v>2</v>
      </c>
      <c r="C19" s="95" t="s">
        <v>80</v>
      </c>
      <c r="D19" s="40">
        <f>_xll.DBRW($C$9,$C$13,$D$13,$C19,D$15,$F$13,$G$13,$E$13)</f>
        <v>94884.000000000015</v>
      </c>
      <c r="E19" s="41">
        <f>_xll.DBRW($C$9,$C$13,$D$13,$C19,E$15,$F$13,$G$13,$E$13)</f>
        <v>6195.5595902517707</v>
      </c>
      <c r="F19" s="41">
        <f>_xll.DBRW($C$9,$C$13,$D$13,$C19,F$15,$F$13,$G$13,$E$13)</f>
        <v>5049.9136141973922</v>
      </c>
      <c r="G19" s="41">
        <f>_xll.DBRW($C$9,$C$13,$D$13,$C19,G$15,$F$13,$G$13,$E$13)</f>
        <v>5128.4138986708631</v>
      </c>
      <c r="H19" s="41">
        <f>_xll.DBRW($C$9,$C$13,$D$13,$C19,H$15,$F$13,$G$13,$E$13)</f>
        <v>5738.6282179046793</v>
      </c>
      <c r="I19" s="41">
        <f>_xll.DBRW($C$9,$C$13,$D$13,$C19,I$15,$F$13,$G$13,$E$13)</f>
        <v>6031.6751236131604</v>
      </c>
      <c r="J19" s="41">
        <f>_xll.DBRW($C$9,$C$13,$D$13,$C19,J$15,$F$13,$G$13,$E$13)</f>
        <v>6309.4687962195021</v>
      </c>
      <c r="K19" s="41">
        <f>_xll.DBRW($C$9,$C$13,$D$13,$C19,K$15,$F$13,$G$13,$E$13)</f>
        <v>7368.768401528805</v>
      </c>
      <c r="L19" s="41">
        <f>_xll.DBRW($C$9,$C$13,$D$13,$C19,L$15,$F$13,$G$13,$E$13)</f>
        <v>8556.6644537902539</v>
      </c>
      <c r="M19" s="41">
        <f>_xll.DBRW($C$9,$C$13,$D$13,$C19,M$15,$F$13,$G$13,$E$13)</f>
        <v>8687.2373983696107</v>
      </c>
      <c r="N19" s="41">
        <f>_xll.DBRW($C$9,$C$13,$D$13,$C19,N$15,$F$13,$G$13,$E$13)</f>
        <v>10902.335431800962</v>
      </c>
      <c r="O19" s="41">
        <f>_xll.DBRW($C$9,$C$13,$D$13,$C19,O$15,$F$13,$G$13,$E$13)</f>
        <v>12288.661518246276</v>
      </c>
      <c r="P19" s="41">
        <f>_xll.DBRW($C$9,$C$13,$D$13,$C19,P$15,$F$13,$G$13,$E$13)</f>
        <v>12626.673555406725</v>
      </c>
    </row>
    <row r="20" spans="1:16" x14ac:dyDescent="0.3">
      <c r="A20">
        <f>IF(_xll.TM1RPTELISCONSOLIDATED($C$16,$C20),IF(_xll.TM1RPTELLEV($C$16,$C20)&lt;=3,_xll.TM1RPTELLEV($C$16,$C20),"D"),"N")</f>
        <v>2</v>
      </c>
      <c r="C20" s="95" t="s">
        <v>81</v>
      </c>
      <c r="D20" s="40">
        <f>_xll.DBRW($C$9,$C$13,$D$13,$C20,D$15,$F$13,$G$13,$E$13)</f>
        <v>20517.502815750784</v>
      </c>
      <c r="E20" s="41">
        <f>_xll.DBRW($C$9,$C$13,$D$13,$C20,E$15,$F$13,$G$13,$E$13)</f>
        <v>1722.7531642898584</v>
      </c>
      <c r="F20" s="41">
        <f>_xll.DBRW($C$9,$C$13,$D$13,$C20,F$15,$F$13,$G$13,$E$13)</f>
        <v>1634.0028856833833</v>
      </c>
      <c r="G20" s="41">
        <f>_xll.DBRW($C$9,$C$13,$D$13,$C20,G$15,$F$13,$G$13,$E$13)</f>
        <v>1644.1763021992974</v>
      </c>
      <c r="H20" s="41">
        <f>_xll.DBRW($C$9,$C$13,$D$13,$C20,H$15,$F$13,$G$13,$E$13)</f>
        <v>1654.3243503421297</v>
      </c>
      <c r="I20" s="41">
        <f>_xll.DBRW($C$9,$C$13,$D$13,$C20,I$15,$F$13,$G$13,$E$13)</f>
        <v>1666.2964819690476</v>
      </c>
      <c r="J20" s="41">
        <f>_xll.DBRW($C$9,$C$13,$D$13,$C20,J$15,$F$13,$G$13,$E$13)</f>
        <v>1694.2914819690475</v>
      </c>
      <c r="K20" s="41">
        <f>_xll.DBRW($C$9,$C$13,$D$13,$C20,K$15,$F$13,$G$13,$E$13)</f>
        <v>1699.4420301118794</v>
      </c>
      <c r="L20" s="41">
        <f>_xll.DBRW($C$9,$C$13,$D$13,$C20,L$15,$F$13,$G$13,$E$13)</f>
        <v>1714.6179466277938</v>
      </c>
      <c r="M20" s="41">
        <f>_xll.DBRW($C$9,$C$13,$D$13,$C20,M$15,$F$13,$G$13,$E$13)</f>
        <v>1738.5900782547117</v>
      </c>
      <c r="N20" s="41">
        <f>_xll.DBRW($C$9,$C$13,$D$13,$C20,N$15,$F$13,$G$13,$E$13)</f>
        <v>1767.5622098816295</v>
      </c>
      <c r="O20" s="41">
        <f>_xll.DBRW($C$9,$C$13,$D$13,$C20,O$15,$F$13,$G$13,$E$13)</f>
        <v>1781.7356263975437</v>
      </c>
      <c r="P20" s="41">
        <f>_xll.DBRW($C$9,$C$13,$D$13,$C20,P$15,$F$13,$G$13,$E$13)</f>
        <v>1799.7102580244616</v>
      </c>
    </row>
    <row r="21" spans="1:16" x14ac:dyDescent="0.3">
      <c r="A21">
        <f>IF(_xll.TM1RPTELISCONSOLIDATED($C$16,$C21),IF(_xll.TM1RPTELLEV($C$16,$C21)&lt;=3,_xll.TM1RPTELLEV($C$16,$C21),"D"),"N")</f>
        <v>1</v>
      </c>
      <c r="C21" s="94" t="s">
        <v>82</v>
      </c>
      <c r="D21" s="73">
        <f>_xll.DBRW($C$9,$C$13,$D$13,$C21,D$15,$F$13,$G$13,$E$13)</f>
        <v>58294.156335346204</v>
      </c>
      <c r="E21" s="74">
        <f>_xll.DBRW($C$9,$C$13,$D$13,$C21,E$15,$F$13,$G$13,$E$13)</f>
        <v>5292.610495226787</v>
      </c>
      <c r="F21" s="74">
        <f>_xll.DBRW($C$9,$C$13,$D$13,$C21,F$15,$F$13,$G$13,$E$13)</f>
        <v>4646.8988404015226</v>
      </c>
      <c r="G21" s="74">
        <f>_xll.DBRW($C$9,$C$13,$D$13,$C21,G$15,$F$13,$G$13,$E$13)</f>
        <v>4640.2642061692932</v>
      </c>
      <c r="H21" s="74">
        <f>_xll.DBRW($C$9,$C$13,$D$13,$C21,H$15,$F$13,$G$13,$E$13)</f>
        <v>4637.3406085458528</v>
      </c>
      <c r="I21" s="74">
        <f>_xll.DBRW($C$9,$C$13,$D$13,$C21,I$15,$F$13,$G$13,$E$13)</f>
        <v>4703.617071937063</v>
      </c>
      <c r="J21" s="74">
        <f>_xll.DBRW($C$9,$C$13,$D$13,$C21,J$15,$F$13,$G$13,$E$13)</f>
        <v>4775.6465231253442</v>
      </c>
      <c r="K21" s="74">
        <f>_xll.DBRW($C$9,$C$13,$D$13,$C21,K$15,$F$13,$G$13,$E$13)</f>
        <v>4784.0241451546435</v>
      </c>
      <c r="L21" s="74">
        <f>_xll.DBRW($C$9,$C$13,$D$13,$C21,L$15,$F$13,$G$13,$E$13)</f>
        <v>4842.0166451546438</v>
      </c>
      <c r="M21" s="74">
        <f>_xll.DBRW($C$9,$C$13,$D$13,$C21,M$15,$F$13,$G$13,$E$13)</f>
        <v>4917.7915841399936</v>
      </c>
      <c r="N21" s="74">
        <f>_xll.DBRW($C$9,$C$13,$D$13,$C21,N$15,$F$13,$G$13,$E$13)</f>
        <v>4942.1499987194838</v>
      </c>
      <c r="O21" s="74">
        <f>_xll.DBRW($C$9,$C$13,$D$13,$C21,O$15,$F$13,$G$13,$E$13)</f>
        <v>4994.4214621106948</v>
      </c>
      <c r="P21" s="74">
        <f>_xll.DBRW($C$9,$C$13,$D$13,$C21,P$15,$F$13,$G$13,$E$13)</f>
        <v>5117.3747546608847</v>
      </c>
    </row>
    <row r="22" spans="1:16" x14ac:dyDescent="0.3">
      <c r="A22">
        <f>IF(_xll.TM1RPTELISCONSOLIDATED($C$16,$C22),IF(_xll.TM1RPTELLEV($C$16,$C22)&lt;=3,_xll.TM1RPTELLEV($C$16,$C22),"D"),"N")</f>
        <v>2</v>
      </c>
      <c r="C22" s="95" t="s">
        <v>83</v>
      </c>
      <c r="D22" s="40">
        <f>_xll.DBRW($C$9,$C$13,$D$13,$C22,D$15,$F$13,$G$13,$E$13)</f>
        <v>10513.185921377555</v>
      </c>
      <c r="E22" s="41">
        <f>_xll.DBRW($C$9,$C$13,$D$13,$C22,E$15,$F$13,$G$13,$E$13)</f>
        <v>984.82702092176669</v>
      </c>
      <c r="F22" s="41">
        <f>_xll.DBRW($C$9,$C$13,$D$13,$C22,F$15,$F$13,$G$13,$E$13)</f>
        <v>891.89274373847059</v>
      </c>
      <c r="G22" s="41">
        <f>_xll.DBRW($C$9,$C$13,$D$13,$C22,G$15,$F$13,$G$13,$E$13)</f>
        <v>841.90024373847052</v>
      </c>
      <c r="H22" s="41">
        <f>_xll.DBRW($C$9,$C$13,$D$13,$C22,H$15,$F$13,$G$13,$E$13)</f>
        <v>834.89774373847058</v>
      </c>
      <c r="I22" s="41">
        <f>_xll.DBRW($C$9,$C$13,$D$13,$C22,I$15,$F$13,$G$13,$E$13)</f>
        <v>853.42121933261046</v>
      </c>
      <c r="J22" s="41">
        <f>_xll.DBRW($C$9,$C$13,$D$13,$C22,J$15,$F$13,$G$13,$E$13)</f>
        <v>857.41621933261058</v>
      </c>
      <c r="K22" s="41">
        <f>_xll.DBRW($C$9,$C$13,$D$13,$C22,K$15,$F$13,$G$13,$E$13)</f>
        <v>867.41621933261058</v>
      </c>
      <c r="L22" s="41">
        <f>_xll.DBRW($C$9,$C$13,$D$13,$C22,L$15,$F$13,$G$13,$E$13)</f>
        <v>878.41621933261058</v>
      </c>
      <c r="M22" s="41">
        <f>_xll.DBRW($C$9,$C$13,$D$13,$C22,M$15,$F$13,$G$13,$E$13)</f>
        <v>877.18420712968054</v>
      </c>
      <c r="N22" s="41">
        <f>_xll.DBRW($C$9,$C$13,$D$13,$C22,N$15,$F$13,$G$13,$E$13)</f>
        <v>874.17170712968061</v>
      </c>
      <c r="O22" s="41">
        <f>_xll.DBRW($C$9,$C$13,$D$13,$C22,O$15,$F$13,$G$13,$E$13)</f>
        <v>874.93969492675069</v>
      </c>
      <c r="P22" s="41">
        <f>_xll.DBRW($C$9,$C$13,$D$13,$C22,P$15,$F$13,$G$13,$E$13)</f>
        <v>876.70268272382066</v>
      </c>
    </row>
    <row r="23" spans="1:16" x14ac:dyDescent="0.3">
      <c r="A23">
        <f>IF(_xll.TM1RPTELISCONSOLIDATED($C$16,$C23),IF(_xll.TM1RPTELLEV($C$16,$C23)&lt;=3,_xll.TM1RPTELLEV($C$16,$C23),"D"),"N")</f>
        <v>2</v>
      </c>
      <c r="C23" s="95" t="s">
        <v>84</v>
      </c>
      <c r="D23" s="40">
        <f>_xll.DBRW($C$9,$C$13,$D$13,$C23,D$15,$F$13,$G$13,$E$13)</f>
        <v>40168.845841747956</v>
      </c>
      <c r="E23" s="41">
        <f>_xll.DBRW($C$9,$C$13,$D$13,$C23,E$15,$F$13,$G$13,$E$13)</f>
        <v>3599.3810337555196</v>
      </c>
      <c r="F23" s="41">
        <f>_xll.DBRW($C$9,$C$13,$D$13,$C23,F$15,$F$13,$G$13,$E$13)</f>
        <v>3141.9844505480219</v>
      </c>
      <c r="G23" s="41">
        <f>_xll.DBRW($C$9,$C$13,$D$13,$C23,G$15,$F$13,$G$13,$E$13)</f>
        <v>3189.1028041128625</v>
      </c>
      <c r="H23" s="41">
        <f>_xll.DBRW($C$9,$C$13,$D$13,$C23,H$15,$F$13,$G$13,$E$13)</f>
        <v>3192.1817064894226</v>
      </c>
      <c r="I23" s="41">
        <f>_xll.DBRW($C$9,$C$13,$D$13,$C23,I$15,$F$13,$G$13,$E$13)</f>
        <v>3238.9346942864927</v>
      </c>
      <c r="J23" s="41">
        <f>_xll.DBRW($C$9,$C$13,$D$13,$C23,J$15,$F$13,$G$13,$E$13)</f>
        <v>3308.9691454747726</v>
      </c>
      <c r="K23" s="41">
        <f>_xll.DBRW($C$9,$C$13,$D$13,$C23,K$15,$F$13,$G$13,$E$13)</f>
        <v>3305.3467675040724</v>
      </c>
      <c r="L23" s="41">
        <f>_xll.DBRW($C$9,$C$13,$D$13,$C23,L$15,$F$13,$G$13,$E$13)</f>
        <v>3352.3392675040727</v>
      </c>
      <c r="M23" s="41">
        <f>_xll.DBRW($C$9,$C$13,$D$13,$C23,M$15,$F$13,$G$13,$E$13)</f>
        <v>3381.8252430982125</v>
      </c>
      <c r="N23" s="41">
        <f>_xll.DBRW($C$9,$C$13,$D$13,$C23,N$15,$F$13,$G$13,$E$13)</f>
        <v>3424.1911576777024</v>
      </c>
      <c r="O23" s="41">
        <f>_xll.DBRW($C$9,$C$13,$D$13,$C23,O$15,$F$13,$G$13,$E$13)</f>
        <v>3457.6996332718431</v>
      </c>
      <c r="P23" s="41">
        <f>_xll.DBRW($C$9,$C$13,$D$13,$C23,P$15,$F$13,$G$13,$E$13)</f>
        <v>3576.8899380249632</v>
      </c>
    </row>
    <row r="24" spans="1:16" x14ac:dyDescent="0.3">
      <c r="A24">
        <f>IF(_xll.TM1RPTELISCONSOLIDATED($C$16,$C24),IF(_xll.TM1RPTELLEV($C$16,$C24)&lt;=3,_xll.TM1RPTELLEV($C$16,$C24),"D"),"N")</f>
        <v>2</v>
      </c>
      <c r="C24" s="95" t="s">
        <v>85</v>
      </c>
      <c r="D24" s="40">
        <f>_xll.DBRW($C$9,$C$13,$D$13,$C24,D$15,$F$13,$G$13,$E$13)</f>
        <v>7612.1245722206932</v>
      </c>
      <c r="E24" s="41">
        <f>_xll.DBRW($C$9,$C$13,$D$13,$C24,E$15,$F$13,$G$13,$E$13)</f>
        <v>708.40244054950108</v>
      </c>
      <c r="F24" s="41">
        <f>_xll.DBRW($C$9,$C$13,$D$13,$C24,F$15,$F$13,$G$13,$E$13)</f>
        <v>613.02164611503076</v>
      </c>
      <c r="G24" s="41">
        <f>_xll.DBRW($C$9,$C$13,$D$13,$C24,G$15,$F$13,$G$13,$E$13)</f>
        <v>609.26115831796074</v>
      </c>
      <c r="H24" s="41">
        <f>_xll.DBRW($C$9,$C$13,$D$13,$C24,H$15,$F$13,$G$13,$E$13)</f>
        <v>610.26115831796074</v>
      </c>
      <c r="I24" s="41">
        <f>_xll.DBRW($C$9,$C$13,$D$13,$C24,I$15,$F$13,$G$13,$E$13)</f>
        <v>611.26115831796074</v>
      </c>
      <c r="J24" s="41">
        <f>_xll.DBRW($C$9,$C$13,$D$13,$C24,J$15,$F$13,$G$13,$E$13)</f>
        <v>609.26115831796074</v>
      </c>
      <c r="K24" s="41">
        <f>_xll.DBRW($C$9,$C$13,$D$13,$C24,K$15,$F$13,$G$13,$E$13)</f>
        <v>611.26115831796074</v>
      </c>
      <c r="L24" s="41">
        <f>_xll.DBRW($C$9,$C$13,$D$13,$C24,L$15,$F$13,$G$13,$E$13)</f>
        <v>611.26115831796074</v>
      </c>
      <c r="M24" s="41">
        <f>_xll.DBRW($C$9,$C$13,$D$13,$C24,M$15,$F$13,$G$13,$E$13)</f>
        <v>658.78213391210079</v>
      </c>
      <c r="N24" s="41">
        <f>_xll.DBRW($C$9,$C$13,$D$13,$C24,N$15,$F$13,$G$13,$E$13)</f>
        <v>643.78713391210067</v>
      </c>
      <c r="O24" s="41">
        <f>_xll.DBRW($C$9,$C$13,$D$13,$C24,O$15,$F$13,$G$13,$E$13)</f>
        <v>661.78213391210079</v>
      </c>
      <c r="P24" s="41">
        <f>_xll.DBRW($C$9,$C$13,$D$13,$C24,P$15,$F$13,$G$13,$E$13)</f>
        <v>663.78213391210079</v>
      </c>
    </row>
    <row r="25" spans="1:16" x14ac:dyDescent="0.3">
      <c r="A25">
        <f>IF(_xll.TM1RPTELISCONSOLIDATED($C$16,$C25),IF(_xll.TM1RPTELLEV($C$16,$C25)&lt;=3,_xll.TM1RPTELLEV($C$16,$C25),"D"),"N")</f>
        <v>1</v>
      </c>
      <c r="C25" s="94" t="s">
        <v>86</v>
      </c>
      <c r="D25" s="73">
        <f>_xll.DBRW($C$9,$C$13,$D$13,$C25,D$15,$F$13,$G$13,$E$13)</f>
        <v>59076.409560627209</v>
      </c>
      <c r="E25" s="74">
        <f>_xll.DBRW($C$9,$C$13,$D$13,$C25,E$15,$F$13,$G$13,$E$13)</f>
        <v>5410.1609722875273</v>
      </c>
      <c r="F25" s="74">
        <f>_xll.DBRW($C$9,$C$13,$D$13,$C25,F$15,$F$13,$G$13,$E$13)</f>
        <v>4762.0453651275129</v>
      </c>
      <c r="G25" s="74">
        <f>_xll.DBRW($C$9,$C$13,$D$13,$C25,G$15,$F$13,$G$13,$E$13)</f>
        <v>4709.0403651275128</v>
      </c>
      <c r="H25" s="74">
        <f>_xll.DBRW($C$9,$C$13,$D$13,$C25,H$15,$F$13,$G$13,$E$13)</f>
        <v>3932.1208529245823</v>
      </c>
      <c r="I25" s="74">
        <f>_xll.DBRW($C$9,$C$13,$D$13,$C25,I$15,$F$13,$G$13,$E$13)</f>
        <v>4036.6293285187226</v>
      </c>
      <c r="J25" s="74">
        <f>_xll.DBRW($C$9,$C$13,$D$13,$C25,J$15,$F$13,$G$13,$E$13)</f>
        <v>4348.5692675040718</v>
      </c>
      <c r="K25" s="74">
        <f>_xll.DBRW($C$9,$C$13,$D$13,$C25,K$15,$F$13,$G$13,$E$13)</f>
        <v>4495.1747553011428</v>
      </c>
      <c r="L25" s="74">
        <f>_xll.DBRW($C$9,$C$13,$D$13,$C25,L$15,$F$13,$G$13,$E$13)</f>
        <v>4739.4326210689123</v>
      </c>
      <c r="M25" s="74">
        <f>_xll.DBRW($C$9,$C$13,$D$13,$C25,M$15,$F$13,$G$13,$E$13)</f>
        <v>4852.9830478513331</v>
      </c>
      <c r="N25" s="74">
        <f>_xll.DBRW($C$9,$C$13,$D$13,$C25,N$15,$F$13,$G$13,$E$13)</f>
        <v>5485.0074990396133</v>
      </c>
      <c r="O25" s="74">
        <f>_xll.DBRW($C$9,$C$13,$D$13,$C25,O$15,$F$13,$G$13,$E$13)</f>
        <v>5776.8124990396136</v>
      </c>
      <c r="P25" s="74">
        <f>_xll.DBRW($C$9,$C$13,$D$13,$C25,P$15,$F$13,$G$13,$E$13)</f>
        <v>6528.4329868366822</v>
      </c>
    </row>
    <row r="26" spans="1:16" x14ac:dyDescent="0.3">
      <c r="A26">
        <f>IF(_xll.TM1RPTELISCONSOLIDATED($C$16,$C26),IF(_xll.TM1RPTELLEV($C$16,$C26)&lt;=3,_xll.TM1RPTELLEV($C$16,$C26),"D"),"N")</f>
        <v>2</v>
      </c>
      <c r="C26" s="95" t="s">
        <v>87</v>
      </c>
      <c r="D26" s="40">
        <f>_xll.DBRW($C$9,$C$13,$D$13,$C26,D$15,$F$13,$G$13,$E$13)</f>
        <v>27423.192840773692</v>
      </c>
      <c r="E26" s="41">
        <f>_xll.DBRW($C$9,$C$13,$D$13,$C26,E$15,$F$13,$G$13,$E$13)</f>
        <v>2563.1794900900113</v>
      </c>
      <c r="F26" s="41">
        <f>_xll.DBRW($C$9,$C$13,$D$13,$C26,F$15,$F$13,$G$13,$E$13)</f>
        <v>2321.7491461150307</v>
      </c>
      <c r="G26" s="41">
        <f>_xll.DBRW($C$9,$C$13,$D$13,$C26,G$15,$F$13,$G$13,$E$13)</f>
        <v>2324.7716461150308</v>
      </c>
      <c r="H26" s="41">
        <f>_xll.DBRW($C$9,$C$13,$D$13,$C26,H$15,$F$13,$G$13,$E$13)</f>
        <v>1843.9016461150306</v>
      </c>
      <c r="I26" s="41">
        <f>_xll.DBRW($C$9,$C$13,$D$13,$C26,I$15,$F$13,$G$13,$E$13)</f>
        <v>1893.6571339121008</v>
      </c>
      <c r="J26" s="41">
        <f>_xll.DBRW($C$9,$C$13,$D$13,$C26,J$15,$F$13,$G$13,$E$13)</f>
        <v>2035.2356095062407</v>
      </c>
      <c r="K26" s="41">
        <f>_xll.DBRW($C$9,$C$13,$D$13,$C26,K$15,$F$13,$G$13,$E$13)</f>
        <v>2069.1556095062406</v>
      </c>
      <c r="L26" s="41">
        <f>_xll.DBRW($C$9,$C$13,$D$13,$C26,L$15,$F$13,$G$13,$E$13)</f>
        <v>2053.6635362886609</v>
      </c>
      <c r="M26" s="41">
        <f>_xll.DBRW($C$9,$C$13,$D$13,$C26,M$15,$F$13,$G$13,$E$13)</f>
        <v>2079.4240240857312</v>
      </c>
      <c r="N26" s="41">
        <f>_xll.DBRW($C$9,$C$13,$D$13,$C26,N$15,$F$13,$G$13,$E$13)</f>
        <v>2458.9699996798709</v>
      </c>
      <c r="O26" s="41">
        <f>_xll.DBRW($C$9,$C$13,$D$13,$C26,O$15,$F$13,$G$13,$E$13)</f>
        <v>2654.787499679871</v>
      </c>
      <c r="P26" s="41">
        <f>_xll.DBRW($C$9,$C$13,$D$13,$C26,P$15,$F$13,$G$13,$E$13)</f>
        <v>3124.6974996798708</v>
      </c>
    </row>
    <row r="27" spans="1:16" x14ac:dyDescent="0.3">
      <c r="A27">
        <f>IF(_xll.TM1RPTELISCONSOLIDATED($C$16,$C27),IF(_xll.TM1RPTELLEV($C$16,$C27)&lt;=3,_xll.TM1RPTELLEV($C$16,$C27),"D"),"N")</f>
        <v>2</v>
      </c>
      <c r="C27" s="95" t="s">
        <v>88</v>
      </c>
      <c r="D27" s="40">
        <f>_xll.DBRW($C$9,$C$13,$D$13,$C27,D$15,$F$13,$G$13,$E$13)</f>
        <v>31653.216719853539</v>
      </c>
      <c r="E27" s="41">
        <f>_xll.DBRW($C$9,$C$13,$D$13,$C27,E$15,$F$13,$G$13,$E$13)</f>
        <v>2846.981482197516</v>
      </c>
      <c r="F27" s="41">
        <f>_xll.DBRW($C$9,$C$13,$D$13,$C27,F$15,$F$13,$G$13,$E$13)</f>
        <v>2440.2962190124817</v>
      </c>
      <c r="G27" s="41">
        <f>_xll.DBRW($C$9,$C$13,$D$13,$C27,G$15,$F$13,$G$13,$E$13)</f>
        <v>2384.2687190124816</v>
      </c>
      <c r="H27" s="41">
        <f>_xll.DBRW($C$9,$C$13,$D$13,$C27,H$15,$F$13,$G$13,$E$13)</f>
        <v>2088.2192068095515</v>
      </c>
      <c r="I27" s="41">
        <f>_xll.DBRW($C$9,$C$13,$D$13,$C27,I$15,$F$13,$G$13,$E$13)</f>
        <v>2142.9721946066215</v>
      </c>
      <c r="J27" s="41">
        <f>_xll.DBRW($C$9,$C$13,$D$13,$C27,J$15,$F$13,$G$13,$E$13)</f>
        <v>2313.3336579978313</v>
      </c>
      <c r="K27" s="41">
        <f>_xll.DBRW($C$9,$C$13,$D$13,$C27,K$15,$F$13,$G$13,$E$13)</f>
        <v>2426.0191457949018</v>
      </c>
      <c r="L27" s="41">
        <f>_xll.DBRW($C$9,$C$13,$D$13,$C27,L$15,$F$13,$G$13,$E$13)</f>
        <v>2685.7690847802519</v>
      </c>
      <c r="M27" s="41">
        <f>_xll.DBRW($C$9,$C$13,$D$13,$C27,M$15,$F$13,$G$13,$E$13)</f>
        <v>2773.559023765602</v>
      </c>
      <c r="N27" s="41">
        <f>_xll.DBRW($C$9,$C$13,$D$13,$C27,N$15,$F$13,$G$13,$E$13)</f>
        <v>3026.037499359742</v>
      </c>
      <c r="O27" s="41">
        <f>_xll.DBRW($C$9,$C$13,$D$13,$C27,O$15,$F$13,$G$13,$E$13)</f>
        <v>3122.0249993597417</v>
      </c>
      <c r="P27" s="41">
        <f>_xll.DBRW($C$9,$C$13,$D$13,$C27,P$15,$F$13,$G$13,$E$13)</f>
        <v>3403.7354871568118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"/>
  <sheetViews>
    <sheetView workbookViewId="0"/>
  </sheetViews>
  <sheetFormatPr defaultRowHeight="14.4" x14ac:dyDescent="0.3"/>
  <sheetData/>
  <pageMargins left="0.7" right="0.7" top="0.75" bottom="0.75" header="0.3" footer="0.3"/>
  <customProperties>
    <customPr name="LastTupleSet_COR_Mappings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/>
  <dimension ref="A1:P33"/>
  <sheetViews>
    <sheetView showGridLines="0" showRowColHeaders="0" topLeftCell="D5" workbookViewId="0"/>
  </sheetViews>
  <sheetFormatPr defaultRowHeight="33" customHeight="1" x14ac:dyDescent="0.3"/>
  <cols>
    <col min="1" max="1" width="3.109375" hidden="1" customWidth="1"/>
    <col min="2" max="2" width="5.33203125" hidden="1" customWidth="1"/>
    <col min="3" max="3" width="4.6640625" hidden="1" customWidth="1"/>
    <col min="4" max="4" width="1.33203125" customWidth="1"/>
    <col min="5" max="5" width="26.5546875" customWidth="1"/>
    <col min="6" max="6" width="22.109375" customWidth="1"/>
    <col min="7" max="7" width="4" customWidth="1"/>
    <col min="8" max="8" width="5.44140625" customWidth="1"/>
    <col min="9" max="9" width="24.33203125" customWidth="1"/>
    <col min="10" max="10" width="7.88671875" customWidth="1"/>
    <col min="11" max="11" width="12.33203125" customWidth="1"/>
    <col min="14" max="14" width="7.33203125" customWidth="1"/>
  </cols>
  <sheetData>
    <row r="1" spans="4:15" ht="33" hidden="1" customHeight="1" x14ac:dyDescent="0.3">
      <c r="E1" s="1" t="s">
        <v>1</v>
      </c>
      <c r="F1" t="str">
        <f>_xll.SUBNM("24retail:Year","All Members","Y2","Caption_Default")</f>
        <v>2020</v>
      </c>
      <c r="I1" t="s">
        <v>75</v>
      </c>
    </row>
    <row r="2" spans="4:15" ht="33" hidden="1" customHeight="1" x14ac:dyDescent="0.3">
      <c r="E2" s="1" t="s">
        <v>2</v>
      </c>
      <c r="F2" t="str">
        <f>_xll.SUBNM("24retail:Month","All Members","Year")</f>
        <v>Year</v>
      </c>
    </row>
    <row r="3" spans="4:15" ht="33" hidden="1" customHeight="1" x14ac:dyDescent="0.3">
      <c r="E3" s="21"/>
      <c r="F3" s="45"/>
      <c r="G3" s="18"/>
      <c r="H3" s="18"/>
      <c r="I3" s="18"/>
      <c r="J3" s="18"/>
      <c r="K3" s="18"/>
      <c r="L3" s="18"/>
      <c r="M3" s="18"/>
      <c r="N3" s="18"/>
      <c r="O3" s="18"/>
    </row>
    <row r="4" spans="4:15" ht="33" hidden="1" customHeight="1" x14ac:dyDescent="0.3"/>
    <row r="5" spans="4:15" ht="40.5" customHeight="1" x14ac:dyDescent="0.3">
      <c r="E5" s="46" t="s">
        <v>13</v>
      </c>
    </row>
    <row r="6" spans="4:15" ht="5.25" customHeight="1" x14ac:dyDescent="0.3"/>
    <row r="7" spans="4:15" ht="15" customHeight="1" x14ac:dyDescent="0.3">
      <c r="E7" s="84" t="s">
        <v>0</v>
      </c>
      <c r="F7" s="84"/>
      <c r="G7" s="36"/>
      <c r="H7" s="85" t="s">
        <v>7</v>
      </c>
      <c r="I7" s="86"/>
      <c r="J7" s="85" t="s">
        <v>17</v>
      </c>
      <c r="K7" s="86"/>
      <c r="L7" s="85" t="s">
        <v>34</v>
      </c>
      <c r="M7" s="86"/>
      <c r="N7" s="85" t="s">
        <v>35</v>
      </c>
      <c r="O7" s="84"/>
    </row>
    <row r="8" spans="4:15" ht="12.75" customHeight="1" x14ac:dyDescent="0.3">
      <c r="E8" s="82" t="str">
        <f>_xll.SUBNM("24retail:Plant","","Plant A","Caption")</f>
        <v>24Retail - Armonk</v>
      </c>
      <c r="F8" s="83"/>
      <c r="G8" s="47"/>
      <c r="H8" s="82" t="str">
        <f>_xll.SUBNM("24retail:product","","Product Total","Caption_Default")</f>
        <v>Product Total</v>
      </c>
      <c r="I8" s="83"/>
      <c r="J8" s="82" t="str">
        <f>_xll.SUBNM("24retail:Version","Current",_xll.DBR("24retail:Calendar","Current Version","String"),"Caption_Default")</f>
        <v>Version1</v>
      </c>
      <c r="K8" s="83"/>
      <c r="L8" s="82" t="str">
        <f>_xll.SUBNM("24retail:rate measure","Commodities","Silicon","Caption")</f>
        <v>Silicon</v>
      </c>
      <c r="M8" s="83"/>
      <c r="N8" s="90">
        <f>_xll.DBRW($I$1,$F$2,$E$8,$H$8,$L$8,$F$1,$J$8)</f>
        <v>285.54970833333334</v>
      </c>
      <c r="O8" s="90"/>
    </row>
    <row r="9" spans="4:15" ht="33" hidden="1" customHeight="1" x14ac:dyDescent="0.3"/>
    <row r="10" spans="4:15" ht="33" hidden="1" customHeight="1" x14ac:dyDescent="0.3">
      <c r="E10" t="str">
        <f>_xll.VIEW("24retail:Revenue","!",$E$11,$E$17,$E$12,"!","!","!")</f>
        <v>24retail:Revenue</v>
      </c>
      <c r="F10" t="s">
        <v>76</v>
      </c>
    </row>
    <row r="11" spans="4:15" ht="33" hidden="1" customHeight="1" x14ac:dyDescent="0.3">
      <c r="E11" t="str">
        <f>_xll.SUBNM("24retail:Channel","Default","Channel Total","Caption_Default")</f>
        <v>Channel Total</v>
      </c>
    </row>
    <row r="12" spans="4:15" ht="33" hidden="1" customHeight="1" x14ac:dyDescent="0.3">
      <c r="E12" t="str">
        <f>_xll.SUBNM("24retail:Month","MY","Year")</f>
        <v>Year</v>
      </c>
    </row>
    <row r="13" spans="4:15" ht="33" hidden="1" customHeight="1" x14ac:dyDescent="0.3"/>
    <row r="14" spans="4:15" ht="21" customHeight="1" x14ac:dyDescent="0.3">
      <c r="E14" s="46" t="s">
        <v>14</v>
      </c>
    </row>
    <row r="15" spans="4:15" ht="2.25" customHeight="1" x14ac:dyDescent="0.3">
      <c r="E15" s="3"/>
    </row>
    <row r="16" spans="4:15" ht="15" customHeight="1" x14ac:dyDescent="0.3">
      <c r="D16" s="14"/>
      <c r="E16" s="36" t="s">
        <v>7</v>
      </c>
      <c r="F16" s="34" t="s">
        <v>17</v>
      </c>
      <c r="G16" s="35"/>
      <c r="H16" s="85" t="s">
        <v>30</v>
      </c>
      <c r="I16" s="86"/>
      <c r="J16" s="85" t="s">
        <v>1</v>
      </c>
      <c r="K16" s="84"/>
    </row>
    <row r="17" spans="3:16" ht="15" customHeight="1" x14ac:dyDescent="0.3">
      <c r="D17" s="14"/>
      <c r="E17" s="54" t="str">
        <f>_xll.SUBNM("24retail:product","Phones",9,"Caption_Default")</f>
        <v>4G 32Gb</v>
      </c>
      <c r="F17" s="54" t="str">
        <f>CurrentVersion</f>
        <v>Version1</v>
      </c>
      <c r="G17" s="54"/>
      <c r="H17" s="89" t="str">
        <f>_xll.SUBNM("24retail:Organization","All Members","Total Company","Caption_Default")</f>
        <v>Total Company</v>
      </c>
      <c r="I17" s="89"/>
      <c r="J17" s="89" t="str">
        <f>_xll.SUBNM("24retail:Year","All Members","Y2","Caption_Default")</f>
        <v>2020</v>
      </c>
      <c r="K17" s="89"/>
    </row>
    <row r="18" spans="3:16" ht="6" customHeight="1" thickBot="1" x14ac:dyDescent="0.35">
      <c r="D18" s="13"/>
      <c r="E18" s="62"/>
      <c r="F18" s="71"/>
      <c r="G18" s="10"/>
      <c r="H18" s="11"/>
      <c r="I18" s="72"/>
      <c r="J18" s="72"/>
      <c r="K18" s="72"/>
      <c r="L18" s="72"/>
      <c r="M18" s="72"/>
      <c r="N18" s="72"/>
      <c r="O18" s="72"/>
      <c r="P18" s="11"/>
    </row>
    <row r="19" spans="3:16" ht="19.5" customHeight="1" thickTop="1" x14ac:dyDescent="0.3">
      <c r="C19" s="26" t="s">
        <v>69</v>
      </c>
      <c r="D19" s="53" t="str">
        <f>_xll.DBRA("24retail:Revenue",C19,"Caption_Default")</f>
        <v>Volume - Units</v>
      </c>
      <c r="E19" s="70"/>
      <c r="F19" s="48">
        <f>_xll.DBRW($E$10,$H17,$E$11,$E$17,$E$12,$J17,$F17,$D19)</f>
        <v>49051.811403146443</v>
      </c>
      <c r="I19" s="11"/>
      <c r="J19" s="11"/>
      <c r="K19" s="11"/>
      <c r="L19" s="11"/>
      <c r="M19" s="87" t="s">
        <v>65</v>
      </c>
      <c r="N19" s="88"/>
      <c r="O19" s="88"/>
    </row>
    <row r="20" spans="3:16" ht="21" customHeight="1" x14ac:dyDescent="0.3">
      <c r="C20" s="20" t="s">
        <v>70</v>
      </c>
      <c r="D20" s="28"/>
      <c r="E20" s="77" t="str">
        <f>_xll.DBRA("24retail:Revenue",C20,"Caption_Default")</f>
        <v>Unit Net Sales Price</v>
      </c>
      <c r="F20" s="49">
        <f>_xll.DBRW($E$10,$H17,$E$11,$E$17,$E$12,$J17,$F17,$E20)</f>
        <v>470.31147928286509</v>
      </c>
    </row>
    <row r="21" spans="3:16" ht="21" customHeight="1" x14ac:dyDescent="0.3">
      <c r="C21" s="26" t="s">
        <v>8</v>
      </c>
      <c r="D21" s="17" t="str">
        <f>_xll.DBRA("24retail:Revenue",C21,"Caption_Default")</f>
        <v>Gross Revenue</v>
      </c>
      <c r="E21" s="51"/>
      <c r="F21" s="31">
        <f>_xll.DBRW($E$10,$H17,$E$11,$E$17,$E$12,$J17,$F17,$D21)</f>
        <v>23069629.982517913</v>
      </c>
    </row>
    <row r="22" spans="3:16" ht="21" customHeight="1" x14ac:dyDescent="0.3">
      <c r="C22" s="20" t="s">
        <v>71</v>
      </c>
      <c r="D22" s="29"/>
      <c r="E22" s="77" t="str">
        <f>_xll.DBRA("24retail:Revenue",C22,"Caption_Default")</f>
        <v>Unit Direct Cost</v>
      </c>
      <c r="F22" s="50">
        <f>_xll.DBRW($E$10,$H17,$E$11,$E$17,$E$12,$J17,$F17,$E22)</f>
        <v>212.17253282483759</v>
      </c>
    </row>
    <row r="23" spans="3:16" ht="21" customHeight="1" x14ac:dyDescent="0.3">
      <c r="C23" s="20" t="s">
        <v>73</v>
      </c>
      <c r="D23" s="29"/>
      <c r="E23" s="77" t="s">
        <v>11</v>
      </c>
      <c r="F23" s="48">
        <f>_xll.DBRW($F$10,H$17,$E$11,$E$17,$E$12,$J$17,$E23,$F$17)</f>
        <v>8884534.7794458531</v>
      </c>
    </row>
    <row r="24" spans="3:16" ht="21" customHeight="1" x14ac:dyDescent="0.3">
      <c r="C24" s="20" t="s">
        <v>73</v>
      </c>
      <c r="D24" s="29"/>
      <c r="E24" s="77" t="s">
        <v>12</v>
      </c>
      <c r="F24" s="48">
        <f>_xll.DBRW($F$10,H$17,$E$11,$E$17,$E$12,$J$17,$E24,$F$17)</f>
        <v>1090912.2856059759</v>
      </c>
    </row>
    <row r="25" spans="3:16" ht="21" customHeight="1" x14ac:dyDescent="0.3">
      <c r="C25" s="20" t="s">
        <v>74</v>
      </c>
      <c r="D25" s="29"/>
      <c r="E25" s="77" t="str">
        <f>_xll.DBRA("24retail:Revenue",C25,"Caption_Default")</f>
        <v>Indirect COGS</v>
      </c>
      <c r="F25" s="48">
        <f>_xll.DBRW($E$10,H$17,$E$11,$E$17,$E$12,$J$17,$F$17,$E25)</f>
        <v>432000</v>
      </c>
    </row>
    <row r="26" spans="3:16" ht="21" customHeight="1" x14ac:dyDescent="0.3">
      <c r="C26" s="26" t="s">
        <v>72</v>
      </c>
      <c r="D26" s="30" t="str">
        <f>_xll.DBRA("24retail:Revenue",C26,"Caption_Default")</f>
        <v>Total Cost of Goods Sold</v>
      </c>
      <c r="E26" s="52"/>
      <c r="F26" s="31">
        <f>_xll.DBRW($E$10,$H17,$E$11,$E$17,$E$12,$J17,$F17,$D26)</f>
        <v>10407447.065051831</v>
      </c>
    </row>
    <row r="27" spans="3:16" ht="21" customHeight="1" x14ac:dyDescent="0.3">
      <c r="C27" s="26" t="s">
        <v>9</v>
      </c>
      <c r="D27" s="30" t="str">
        <f>_xll.DBRA("24retail:Revenue",C27,"Caption_Default")</f>
        <v>Gross Margin</v>
      </c>
      <c r="E27" s="52"/>
      <c r="F27" s="31">
        <f>_xll.DBRW($E$10,$H17,$E$11,$E$17,$E$12,$J17,$F17,$D27)</f>
        <v>12662182.917466082</v>
      </c>
    </row>
    <row r="28" spans="3:16" ht="21" customHeight="1" x14ac:dyDescent="0.3">
      <c r="C28" s="26" t="s">
        <v>10</v>
      </c>
      <c r="D28" s="30" t="str">
        <f>_xll.DBRA("24retail:Revenue",C28,"Caption_Default")</f>
        <v>Gross Margin %</v>
      </c>
      <c r="E28" s="52"/>
      <c r="F28" s="32">
        <f>_xll.DBRW($E$10,$H17,$E$11,$E$17,$E$12,$J17,$F17,$D28)/100</f>
        <v>0.54886805410669526</v>
      </c>
    </row>
    <row r="29" spans="3:16" ht="33" customHeight="1" x14ac:dyDescent="0.3">
      <c r="G29" s="12"/>
      <c r="H29" s="2"/>
      <c r="I29" s="2"/>
      <c r="J29" s="2"/>
      <c r="K29" s="2"/>
    </row>
    <row r="30" spans="3:16" ht="33" customHeight="1" x14ac:dyDescent="0.3">
      <c r="G30" s="12"/>
      <c r="H30" s="2"/>
      <c r="I30" s="2"/>
      <c r="J30" s="2"/>
      <c r="K30" s="2"/>
    </row>
    <row r="31" spans="3:16" ht="33" customHeight="1" x14ac:dyDescent="0.3">
      <c r="G31" s="12"/>
      <c r="H31" s="2"/>
      <c r="I31" s="2"/>
      <c r="J31" s="2"/>
      <c r="K31" s="2"/>
    </row>
    <row r="32" spans="3:16" ht="33" customHeight="1" x14ac:dyDescent="0.3">
      <c r="G32" s="15"/>
      <c r="H32" s="2"/>
      <c r="I32" s="2"/>
      <c r="J32" s="2"/>
      <c r="K32" s="2"/>
    </row>
    <row r="33" spans="7:11" ht="33" customHeight="1" x14ac:dyDescent="0.3">
      <c r="G33" s="2"/>
      <c r="H33" s="2"/>
      <c r="I33" s="2"/>
      <c r="J33" s="2"/>
      <c r="K33" s="2"/>
    </row>
  </sheetData>
  <mergeCells count="15">
    <mergeCell ref="E8:F8"/>
    <mergeCell ref="H8:I8"/>
    <mergeCell ref="E7:F7"/>
    <mergeCell ref="H7:I7"/>
    <mergeCell ref="M19:O19"/>
    <mergeCell ref="J17:K17"/>
    <mergeCell ref="H17:I17"/>
    <mergeCell ref="L7:M7"/>
    <mergeCell ref="L8:M8"/>
    <mergeCell ref="H16:I16"/>
    <mergeCell ref="J16:K16"/>
    <mergeCell ref="J7:K7"/>
    <mergeCell ref="J8:K8"/>
    <mergeCell ref="N7:O7"/>
    <mergeCell ref="N8:O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33"/>
  <sheetViews>
    <sheetView showGridLines="0" showRowColHeaders="0" topLeftCell="B13" workbookViewId="0"/>
  </sheetViews>
  <sheetFormatPr defaultRowHeight="14.4" x14ac:dyDescent="0.3"/>
  <cols>
    <col min="1" max="1" width="2.6640625" hidden="1" customWidth="1"/>
    <col min="2" max="2" width="1" customWidth="1"/>
    <col min="3" max="3" width="36" customWidth="1"/>
    <col min="4" max="4" width="27.5546875" customWidth="1"/>
  </cols>
  <sheetData>
    <row r="1" spans="1:7" hidden="1" x14ac:dyDescent="0.3">
      <c r="A1" t="s">
        <v>5</v>
      </c>
    </row>
    <row r="2" spans="1:7" hidden="1" x14ac:dyDescent="0.3">
      <c r="A2">
        <f>0</f>
        <v>0</v>
      </c>
      <c r="C2" s="37"/>
      <c r="D2" s="55"/>
    </row>
    <row r="3" spans="1:7" hidden="1" x14ac:dyDescent="0.3">
      <c r="A3">
        <f>1</f>
        <v>1</v>
      </c>
      <c r="C3" s="73"/>
      <c r="D3" s="76"/>
    </row>
    <row r="4" spans="1:7" hidden="1" x14ac:dyDescent="0.3">
      <c r="A4">
        <f>2</f>
        <v>2</v>
      </c>
      <c r="C4" s="39"/>
      <c r="D4" s="75"/>
    </row>
    <row r="5" spans="1:7" hidden="1" x14ac:dyDescent="0.3">
      <c r="A5">
        <f>3</f>
        <v>3</v>
      </c>
      <c r="C5" s="39"/>
      <c r="D5" s="75"/>
    </row>
    <row r="6" spans="1:7" hidden="1" x14ac:dyDescent="0.3">
      <c r="A6" t="s">
        <v>3</v>
      </c>
      <c r="C6" s="19"/>
      <c r="D6" s="56"/>
    </row>
    <row r="7" spans="1:7" hidden="1" x14ac:dyDescent="0.3">
      <c r="A7" t="s">
        <v>4</v>
      </c>
      <c r="C7" s="78"/>
      <c r="D7" s="75"/>
    </row>
    <row r="8" spans="1:7" hidden="1" x14ac:dyDescent="0.3">
      <c r="A8" t="s">
        <v>6</v>
      </c>
    </row>
    <row r="9" spans="1:7" hidden="1" x14ac:dyDescent="0.3">
      <c r="C9" t="str">
        <f>_xll.TM1RPTVIEW("24retail:Rate BOM:ARPT2", 1, _xll.TM1RPTTITLE("24retail:Month",$D$12), _xll.TM1RPTTITLE("24retail:product",$C$16), _xll.TM1RPTTITLE("24retail:Year",$D$11), _xll.TM1RPTTITLE("24retail:Version",$D$10),TM1RPTFMTRNG,TM1RPTFMTIDCOL)</f>
        <v>24retail:Rate BOM:ARPT2</v>
      </c>
    </row>
    <row r="10" spans="1:7" hidden="1" x14ac:dyDescent="0.3">
      <c r="C10" s="1" t="s">
        <v>17</v>
      </c>
      <c r="D10" t="str">
        <f>_xll.SUBNM("24retail:Version","Current",_xll.DBR("24retail:Calendar","Current Version","String"),"Caption_Default")</f>
        <v>Version1</v>
      </c>
    </row>
    <row r="11" spans="1:7" hidden="1" x14ac:dyDescent="0.3">
      <c r="C11" s="1" t="s">
        <v>1</v>
      </c>
      <c r="D11" t="str">
        <f>_xll.SUBNM("24retail:Year","Default","Y2","Caption_Default")</f>
        <v>2020</v>
      </c>
    </row>
    <row r="12" spans="1:7" hidden="1" x14ac:dyDescent="0.3">
      <c r="C12" s="1" t="s">
        <v>2</v>
      </c>
      <c r="D12" t="str">
        <f>_xll.SUBNM("24retail:Month","All Members","Year")</f>
        <v>Year</v>
      </c>
    </row>
    <row r="13" spans="1:7" ht="18.75" customHeight="1" x14ac:dyDescent="0.3">
      <c r="C13" s="91"/>
      <c r="D13" s="92"/>
      <c r="E13" s="18"/>
      <c r="F13" s="18"/>
      <c r="G13" s="18"/>
    </row>
    <row r="14" spans="1:7" ht="9" customHeight="1" x14ac:dyDescent="0.3">
      <c r="C14" s="21"/>
      <c r="D14" s="16"/>
      <c r="E14" s="18"/>
      <c r="F14" s="18"/>
      <c r="G14" s="18"/>
    </row>
    <row r="15" spans="1:7" x14ac:dyDescent="0.3">
      <c r="C15" s="59" t="s">
        <v>7</v>
      </c>
      <c r="D15" s="60" t="s">
        <v>0</v>
      </c>
    </row>
    <row r="16" spans="1:7" x14ac:dyDescent="0.3">
      <c r="C16" s="57" t="str">
        <f>_xll.SUBNM("24retail:product","Phones",9,"Caption_Default")</f>
        <v>4G 32Gb</v>
      </c>
      <c r="D16" s="58" t="s">
        <v>77</v>
      </c>
      <c r="E16" s="22"/>
    </row>
    <row r="17" spans="1:4" ht="9" customHeight="1" thickBot="1" x14ac:dyDescent="0.35">
      <c r="C17" s="72"/>
      <c r="D17" s="72"/>
    </row>
    <row r="18" spans="1:4" ht="15" thickTop="1" x14ac:dyDescent="0.3">
      <c r="A18">
        <f>IF(_xll.TM1RPTELISCONSOLIDATED($C$18,$C18),IF(_xll.TM1RPTELLEV($C$18,$C18)&lt;=3,_xll.TM1RPTELLEV($C$18,$C18),"D"),"N")</f>
        <v>0</v>
      </c>
      <c r="C18" s="93" t="str">
        <f>_xll.TM1RPTROW($C$9,"24retail:Rate Measure","",'{AR}01'!$B$18:$B$36,"Caption",0)</f>
        <v>Total Local BOM</v>
      </c>
      <c r="D18" s="55">
        <f>_xll.DBRW($C$9,$D$12,D$16,$C$16,$C18,$D$11,$D$10)</f>
        <v>222.34099999999998</v>
      </c>
    </row>
    <row r="19" spans="1:4" x14ac:dyDescent="0.3">
      <c r="A19">
        <f>IF(_xll.TM1RPTELISCONSOLIDATED($C$18,$C19),IF(_xll.TM1RPTELLEV($C$18,$C19)&lt;=3,_xll.TM1RPTELLEV($C$18,$C19),"D"),"N")</f>
        <v>1</v>
      </c>
      <c r="C19" s="94" t="s">
        <v>42</v>
      </c>
      <c r="D19" s="76">
        <f>_xll.DBRW($C$9,$D$12,D$16,$C$16,$C19,$D$11,$D$10)</f>
        <v>146.58099999999999</v>
      </c>
    </row>
    <row r="20" spans="1:4" x14ac:dyDescent="0.3">
      <c r="A20" t="str">
        <f>IF(_xll.TM1RPTELISCONSOLIDATED($C$18,$C20),IF(_xll.TM1RPTELLEV($C$18,$C20)&lt;=3,_xll.TM1RPTELLEV($C$18,$C20),"D"),"N")</f>
        <v>N</v>
      </c>
      <c r="C20" s="79" t="s">
        <v>43</v>
      </c>
      <c r="D20" s="75">
        <f>_xll.DBRW($C$9,$D$12,D$16,$C$16,$C20,$D$11,$D$10)</f>
        <v>25.19</v>
      </c>
    </row>
    <row r="21" spans="1:4" x14ac:dyDescent="0.3">
      <c r="A21" t="str">
        <f>IF(_xll.TM1RPTELISCONSOLIDATED($C$18,$C21),IF(_xll.TM1RPTELLEV($C$18,$C21)&lt;=3,_xll.TM1RPTELLEV($C$18,$C21),"D"),"N")</f>
        <v>N</v>
      </c>
      <c r="C21" s="79" t="s">
        <v>44</v>
      </c>
      <c r="D21" s="75">
        <f>_xll.DBRW($C$9,$D$12,D$16,$C$16,$C21,$D$11,$D$10)</f>
        <v>7.0000000000000007E-2</v>
      </c>
    </row>
    <row r="22" spans="1:4" x14ac:dyDescent="0.3">
      <c r="A22" t="str">
        <f>IF(_xll.TM1RPTELISCONSOLIDATED($C$18,$C22),IF(_xll.TM1RPTELLEV($C$18,$C22)&lt;=3,_xll.TM1RPTELLEV($C$18,$C22),"D"),"N")</f>
        <v>N</v>
      </c>
      <c r="C22" s="79" t="s">
        <v>45</v>
      </c>
      <c r="D22" s="75">
        <f>_xll.DBRW($C$9,$D$12,D$16,$C$16,$C22,$D$11,$D$10)</f>
        <v>1</v>
      </c>
    </row>
    <row r="23" spans="1:4" x14ac:dyDescent="0.3">
      <c r="A23" t="str">
        <f>IF(_xll.TM1RPTELISCONSOLIDATED($C$18,$C23),IF(_xll.TM1RPTELLEV($C$18,$C23)&lt;=3,_xll.TM1RPTELLEV($C$18,$C23),"D"),"N")</f>
        <v>N</v>
      </c>
      <c r="C23" s="79" t="s">
        <v>47</v>
      </c>
      <c r="D23" s="75">
        <f>_xll.DBRW($C$9,$D$12,D$16,$C$16,$C23,$D$11,$D$10)</f>
        <v>120.32099999999998</v>
      </c>
    </row>
    <row r="24" spans="1:4" x14ac:dyDescent="0.3">
      <c r="A24">
        <f>IF(_xll.TM1RPTELISCONSOLIDATED($C$18,$C24),IF(_xll.TM1RPTELLEV($C$18,$C24)&lt;=3,_xll.TM1RPTELLEV($C$18,$C24),"D"),"N")</f>
        <v>1</v>
      </c>
      <c r="C24" s="94" t="s">
        <v>49</v>
      </c>
      <c r="D24" s="76">
        <f>_xll.DBRW($C$9,$D$12,D$16,$C$16,$C24,$D$11,$D$10)</f>
        <v>53.52</v>
      </c>
    </row>
    <row r="25" spans="1:4" x14ac:dyDescent="0.3">
      <c r="A25" t="str">
        <f>IF(_xll.TM1RPTELISCONSOLIDATED($C$18,$C25),IF(_xll.TM1RPTELLEV($C$18,$C25)&lt;=3,_xll.TM1RPTELLEV($C$18,$C25),"D"),"N")</f>
        <v>N</v>
      </c>
      <c r="C25" s="79" t="s">
        <v>36</v>
      </c>
      <c r="D25" s="75">
        <f>_xll.DBRW($C$9,$D$12,D$16,$C$16,$C25,$D$11,$D$10)</f>
        <v>18.350000000000001</v>
      </c>
    </row>
    <row r="26" spans="1:4" x14ac:dyDescent="0.3">
      <c r="A26" t="str">
        <f>IF(_xll.TM1RPTELISCONSOLIDATED($C$18,$C26),IF(_xll.TM1RPTELLEV($C$18,$C26)&lt;=3,_xll.TM1RPTELLEV($C$18,$C26),"D"),"N")</f>
        <v>N</v>
      </c>
      <c r="C26" s="79" t="s">
        <v>37</v>
      </c>
      <c r="D26" s="75">
        <f>_xll.DBRW($C$9,$D$12,D$16,$C$16,$C26,$D$11,$D$10)</f>
        <v>25.19</v>
      </c>
    </row>
    <row r="27" spans="1:4" x14ac:dyDescent="0.3">
      <c r="A27" t="str">
        <f>IF(_xll.TM1RPTELISCONSOLIDATED($C$18,$C27),IF(_xll.TM1RPTELLEV($C$18,$C27)&lt;=3,_xll.TM1RPTELLEV($C$18,$C27),"D"),"N")</f>
        <v>N</v>
      </c>
      <c r="C27" s="79" t="s">
        <v>38</v>
      </c>
      <c r="D27" s="75">
        <f>_xll.DBRW($C$9,$D$12,D$16,$C$16,$C27,$D$11,$D$10)</f>
        <v>2.2400000000000002</v>
      </c>
    </row>
    <row r="28" spans="1:4" x14ac:dyDescent="0.3">
      <c r="A28" t="str">
        <f>IF(_xll.TM1RPTELISCONSOLIDATED($C$18,$C28),IF(_xll.TM1RPTELLEV($C$18,$C28)&lt;=3,_xll.TM1RPTELLEV($C$18,$C28),"D"),"N")</f>
        <v>N</v>
      </c>
      <c r="C28" s="79" t="s">
        <v>39</v>
      </c>
      <c r="D28" s="75">
        <f>_xll.DBRW($C$9,$D$12,D$16,$C$16,$C28,$D$11,$D$10)</f>
        <v>0.83</v>
      </c>
    </row>
    <row r="29" spans="1:4" x14ac:dyDescent="0.3">
      <c r="A29" t="str">
        <f>IF(_xll.TM1RPTELISCONSOLIDATED($C$18,$C29),IF(_xll.TM1RPTELLEV($C$18,$C29)&lt;=3,_xll.TM1RPTELLEV($C$18,$C29),"D"),"N")</f>
        <v>N</v>
      </c>
      <c r="C29" s="79" t="s">
        <v>51</v>
      </c>
      <c r="D29" s="75">
        <f>_xll.DBRW($C$9,$D$12,D$16,$C$16,$C29,$D$11,$D$10)</f>
        <v>4.34</v>
      </c>
    </row>
    <row r="30" spans="1:4" x14ac:dyDescent="0.3">
      <c r="A30" t="str">
        <f>IF(_xll.TM1RPTELISCONSOLIDATED($C$18,$C30),IF(_xll.TM1RPTELLEV($C$18,$C30)&lt;=3,_xll.TM1RPTELLEV($C$18,$C30),"D"),"N")</f>
        <v>N</v>
      </c>
      <c r="C30" s="79" t="s">
        <v>52</v>
      </c>
      <c r="D30" s="75">
        <f>_xll.DBRW($C$9,$D$12,D$16,$C$16,$C30,$D$11,$D$10)</f>
        <v>2.5</v>
      </c>
    </row>
    <row r="31" spans="1:4" x14ac:dyDescent="0.3">
      <c r="A31" t="str">
        <f>IF(_xll.TM1RPTELISCONSOLIDATED($C$18,$C31),IF(_xll.TM1RPTELLEV($C$18,$C31)&lt;=3,_xll.TM1RPTELLEV($C$18,$C31),"D"),"N")</f>
        <v>N</v>
      </c>
      <c r="C31" s="79" t="s">
        <v>53</v>
      </c>
      <c r="D31" s="75">
        <f>_xll.DBRW($C$9,$D$12,D$16,$C$16,$C31,$D$11,$D$10)</f>
        <v>7.0000000000000007E-2</v>
      </c>
    </row>
    <row r="32" spans="1:4" x14ac:dyDescent="0.3">
      <c r="A32" t="str">
        <f>IF(_xll.TM1RPTELISCONSOLIDATED($C$18,$C32),IF(_xll.TM1RPTELLEV($C$18,$C32)&lt;=3,_xll.TM1RPTELLEV($C$18,$C32),"D"),"N")</f>
        <v>N</v>
      </c>
      <c r="C32" s="80" t="s">
        <v>54</v>
      </c>
      <c r="D32" s="75">
        <f>_xll.DBRW($C$9,$D$12,D$16,$C$16,$C32,$D$11,$D$10)</f>
        <v>22.24</v>
      </c>
    </row>
    <row r="33" spans="3:3" x14ac:dyDescent="0.3">
      <c r="C33" s="81"/>
    </row>
  </sheetData>
  <mergeCells count="1">
    <mergeCell ref="C13:D1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I14"/>
  <sheetViews>
    <sheetView showGridLines="0" showRowColHeaders="0" topLeftCell="B3" workbookViewId="0">
      <selection activeCell="E7" sqref="E7"/>
    </sheetView>
  </sheetViews>
  <sheetFormatPr defaultRowHeight="14.4" x14ac:dyDescent="0.3"/>
  <cols>
    <col min="1" max="1" width="25.5546875" hidden="1" customWidth="1"/>
    <col min="2" max="2" width="1.109375" customWidth="1"/>
    <col min="3" max="3" width="28.44140625" customWidth="1"/>
    <col min="4" max="8" width="14.88671875" customWidth="1"/>
    <col min="9" max="9" width="14.6640625" customWidth="1"/>
  </cols>
  <sheetData>
    <row r="1" spans="1:9" hidden="1" x14ac:dyDescent="0.3">
      <c r="A1" t="str">
        <f>_xll.VIEW("24retail:Income Statement",$A$2,$C$6,$E$6,"!","!",$D$6)</f>
        <v>24retail:Income Statement</v>
      </c>
    </row>
    <row r="2" spans="1:9" hidden="1" x14ac:dyDescent="0.3">
      <c r="A2" t="str">
        <f>_xll.SUBNM("24retail:Currency Calc","Default","Local")</f>
        <v>Local</v>
      </c>
    </row>
    <row r="3" spans="1:9" ht="21.75" customHeight="1" x14ac:dyDescent="0.3">
      <c r="C3" s="21"/>
      <c r="D3" s="33"/>
      <c r="E3" s="18"/>
      <c r="F3" s="18"/>
      <c r="G3" s="18"/>
      <c r="H3" s="18"/>
      <c r="I3" s="18"/>
    </row>
    <row r="5" spans="1:9" x14ac:dyDescent="0.3">
      <c r="C5" s="4" t="s">
        <v>30</v>
      </c>
      <c r="D5" s="4" t="s">
        <v>17</v>
      </c>
      <c r="E5" s="27" t="s">
        <v>1</v>
      </c>
    </row>
    <row r="6" spans="1:9" x14ac:dyDescent="0.3">
      <c r="C6" s="61" t="str">
        <f>_xll.SUBNM("24retail:organization","Workflow","Total Company")</f>
        <v>Total Company</v>
      </c>
      <c r="D6" s="61" t="str">
        <f>_xll.SUBNM("24retail:Version","Current",_xll.DBR("24retail:Calendar","Current Version","String"),"Caption_Default")</f>
        <v>Version1</v>
      </c>
      <c r="E6" s="61" t="str">
        <f>_xll.SUBNM("24retail:Year","Default","Y2","Caption_Default")</f>
        <v>2020</v>
      </c>
    </row>
    <row r="7" spans="1:9" ht="3.75" customHeight="1" x14ac:dyDescent="0.3"/>
    <row r="8" spans="1:9" ht="15" thickBot="1" x14ac:dyDescent="0.35">
      <c r="C8" s="62"/>
      <c r="D8" s="62"/>
      <c r="E8" s="62" t="s">
        <v>1</v>
      </c>
      <c r="F8" s="62" t="s">
        <v>55</v>
      </c>
      <c r="G8" s="62" t="s">
        <v>56</v>
      </c>
      <c r="H8" s="62" t="s">
        <v>57</v>
      </c>
      <c r="I8" s="62" t="s">
        <v>58</v>
      </c>
    </row>
    <row r="9" spans="1:9" ht="21" customHeight="1" thickTop="1" x14ac:dyDescent="0.3">
      <c r="A9" s="23" t="s">
        <v>59</v>
      </c>
      <c r="B9" s="23"/>
      <c r="C9" s="63" t="s">
        <v>8</v>
      </c>
      <c r="D9" s="24"/>
      <c r="E9" s="64">
        <f>_xll.DBRW($A$1,$A$2,$C$6,$E$6,$E8,$A9,$D$6)</f>
        <v>128474829.94511448</v>
      </c>
      <c r="F9" s="65">
        <f>_xll.DBRW($A$1,$A$2,$C$6,$E$6,$F8,$A9,$D$6)</f>
        <v>28783261.159899145</v>
      </c>
      <c r="G9" s="65">
        <f>_xll.DBRW($A$1,$A$2,$C$6,$E$6,$G8,$A9,$D$6)</f>
        <v>27094662.523748476</v>
      </c>
      <c r="H9" s="65">
        <f>_xll.DBRW($A$1,$A$2,$C$6,$E$6,$H8,$A9,$D$6)</f>
        <v>30284855.263279498</v>
      </c>
      <c r="I9" s="65">
        <f>_xll.DBRW($A$1,$A$2,$C$6,$E$6,$I8,$A9,$D$6)</f>
        <v>42312050.998187371</v>
      </c>
    </row>
    <row r="10" spans="1:9" ht="21" customHeight="1" x14ac:dyDescent="0.3">
      <c r="A10" s="23" t="s">
        <v>60</v>
      </c>
      <c r="B10" s="23"/>
      <c r="C10" s="63" t="s">
        <v>65</v>
      </c>
      <c r="D10" s="24"/>
      <c r="E10" s="64">
        <f>_xll.DBRW($A$1,$A$2,$C$6,$E$6,$E8,$A10,$D$6)</f>
        <v>68042603.526567519</v>
      </c>
      <c r="F10" s="65">
        <f>_xll.DBRW($A$1,$A$2,$C$6,$E$6,$F8,$A10,$D$6)</f>
        <v>15211748.262358207</v>
      </c>
      <c r="G10" s="65">
        <f>_xll.DBRW($A$1,$A$2,$C$6,$E$6,$G8,$A10,$D$6)</f>
        <v>14315750.681309231</v>
      </c>
      <c r="H10" s="65">
        <f>_xll.DBRW($A$1,$A$2,$C$6,$E$6,$H8,$A10,$D$6)</f>
        <v>15882431.185317099</v>
      </c>
      <c r="I10" s="65">
        <f>_xll.DBRW($A$1,$A$2,$C$6,$E$6,$I8,$A10,$D$6)</f>
        <v>22632673.397582971</v>
      </c>
    </row>
    <row r="11" spans="1:9" ht="23.25" customHeight="1" x14ac:dyDescent="0.3">
      <c r="A11" s="23" t="s">
        <v>9</v>
      </c>
      <c r="B11" s="23"/>
      <c r="C11" s="63" t="s">
        <v>9</v>
      </c>
      <c r="D11" s="24"/>
      <c r="E11" s="66">
        <f>_xll.DBRW($A$1,$A$2,$C$6,$E$6,$E8,$A11,$D$6)</f>
        <v>60432226.418546982</v>
      </c>
      <c r="F11" s="67">
        <f>_xll.DBRW($A$1,$A$2,$C$6,$E$6,$F8,$A11,$D$6)</f>
        <v>13571512.897540942</v>
      </c>
      <c r="G11" s="67">
        <f>_xll.DBRW($A$1,$A$2,$C$6,$E$6,$G8,$A11,$D$6)</f>
        <v>12778911.842439245</v>
      </c>
      <c r="H11" s="67">
        <f>_xll.DBRW($A$1,$A$2,$C$6,$E$6,$H8,$A11,$D$6)</f>
        <v>14402424.077962395</v>
      </c>
      <c r="I11" s="67">
        <f>_xll.DBRW($A$1,$A$2,$C$6,$E$6,$I8,$A11,$D$6)</f>
        <v>19679377.6006044</v>
      </c>
    </row>
    <row r="12" spans="1:9" ht="23.25" customHeight="1" x14ac:dyDescent="0.3">
      <c r="A12" s="23" t="s">
        <v>61</v>
      </c>
      <c r="B12" s="23"/>
      <c r="C12" s="63" t="s">
        <v>66</v>
      </c>
      <c r="D12" s="24"/>
      <c r="E12" s="64">
        <f>_xll.DBRW($A$1,$A$2,$C$6,$E$6,$E8,$A12,$D$6)</f>
        <v>21394859.071839314</v>
      </c>
      <c r="F12" s="65">
        <f>_xll.DBRW($A$1,$A$2,$C$6,$E$6,$F8,$A12,$D$6)</f>
        <v>4265865.2137493007</v>
      </c>
      <c r="G12" s="65">
        <f>_xll.DBRW($A$1,$A$2,$C$6,$E$6,$G8,$A12,$D$6)</f>
        <v>5947695.0100009022</v>
      </c>
      <c r="H12" s="65">
        <f>_xll.DBRW($A$1,$A$2,$C$6,$E$6,$H8,$A12,$D$6)</f>
        <v>5405996.6187276766</v>
      </c>
      <c r="I12" s="65">
        <f>_xll.DBRW($A$1,$A$2,$C$6,$E$6,$I8,$A12,$D$6)</f>
        <v>5775302.2293614242</v>
      </c>
    </row>
    <row r="13" spans="1:9" ht="24.75" customHeight="1" x14ac:dyDescent="0.3">
      <c r="A13" s="23" t="s">
        <v>62</v>
      </c>
      <c r="B13" s="23"/>
      <c r="C13" s="63" t="s">
        <v>62</v>
      </c>
      <c r="D13" s="24"/>
      <c r="E13" s="68">
        <f>_xll.DBRW($A$1,$A$2,$C$6,$E$6,$E8,$A13,$D$6)</f>
        <v>39037367.346707657</v>
      </c>
      <c r="F13" s="69">
        <f>_xll.DBRW($A$1,$A$2,$C$6,$E$6,$F8,$A13,$D$6)</f>
        <v>9305647.6837916467</v>
      </c>
      <c r="G13" s="69">
        <f>_xll.DBRW($A$1,$A$2,$C$6,$E$6,$G8,$A13,$D$6)</f>
        <v>6831216.8324383441</v>
      </c>
      <c r="H13" s="69">
        <f>_xll.DBRW($A$1,$A$2,$C$6,$E$6,$H8,$A13,$D$6)</f>
        <v>8996427.4592347201</v>
      </c>
      <c r="I13" s="69">
        <f>_xll.DBRW($A$1,$A$2,$C$6,$E$6,$I8,$A13,$D$6)</f>
        <v>13904075.37124298</v>
      </c>
    </row>
    <row r="14" spans="1:9" x14ac:dyDescent="0.3">
      <c r="C14" s="11"/>
      <c r="D14" s="11"/>
      <c r="E14" s="11"/>
      <c r="F14" s="11"/>
      <c r="G14" s="11"/>
      <c r="H14" s="11"/>
      <c r="I14" s="11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lineWeight="2.25" displayEmptyCellsAs="gap" xr2:uid="{00000000-0003-0000-0400-000004000000}">
          <x14:colorSeries rgb="FF0296DF"/>
          <x14:colorNegative theme="9"/>
          <x14:colorAxis rgb="FF000000"/>
          <x14:colorMarkers theme="8" tint="-0.499984740745262"/>
          <x14:colorFirst theme="8" tint="0.39997558519241921"/>
          <x14:colorLast theme="8" tint="0.39997558519241921"/>
          <x14:colorHigh theme="8"/>
          <x14:colorLow theme="8"/>
          <x14:sparklines>
            <x14:sparkline>
              <xm:f>Report!F13:I13</xm:f>
              <xm:sqref>D13</xm:sqref>
            </x14:sparkline>
          </x14:sparklines>
        </x14:sparklineGroup>
        <x14:sparklineGroup lineWeight="2.25" displayEmptyCellsAs="gap" xr2:uid="{00000000-0003-0000-0400-000003000000}">
          <x14:colorSeries rgb="FF0296DF"/>
          <x14:colorNegative theme="9"/>
          <x14:colorAxis rgb="FF000000"/>
          <x14:colorMarkers theme="8" tint="-0.499984740745262"/>
          <x14:colorFirst theme="8" tint="0.39997558519241921"/>
          <x14:colorLast theme="8" tint="0.39997558519241921"/>
          <x14:colorHigh theme="8"/>
          <x14:colorLow theme="8"/>
          <x14:sparklines>
            <x14:sparkline>
              <xm:f>Report!F12:I12</xm:f>
              <xm:sqref>D12</xm:sqref>
            </x14:sparkline>
          </x14:sparklines>
        </x14:sparklineGroup>
        <x14:sparklineGroup lineWeight="2.25" displayEmptyCellsAs="gap" xr2:uid="{00000000-0003-0000-0400-000002000000}">
          <x14:colorSeries rgb="FF0296DF"/>
          <x14:colorNegative theme="9"/>
          <x14:colorAxis rgb="FF000000"/>
          <x14:colorMarkers theme="8" tint="-0.499984740745262"/>
          <x14:colorFirst theme="8" tint="0.39997558519241921"/>
          <x14:colorLast theme="8" tint="0.39997558519241921"/>
          <x14:colorHigh theme="8"/>
          <x14:colorLow theme="8"/>
          <x14:sparklines>
            <x14:sparkline>
              <xm:f>Report!F11:I11</xm:f>
              <xm:sqref>D11</xm:sqref>
            </x14:sparkline>
          </x14:sparklines>
        </x14:sparklineGroup>
        <x14:sparklineGroup lineWeight="2.25" displayEmptyCellsAs="gap" xr2:uid="{00000000-0003-0000-0400-000001000000}">
          <x14:colorSeries rgb="FF0296DF"/>
          <x14:colorNegative theme="9"/>
          <x14:colorAxis rgb="FF000000"/>
          <x14:colorMarkers theme="8" tint="-0.499984740745262"/>
          <x14:colorFirst theme="8" tint="0.39997558519241921"/>
          <x14:colorLast theme="8" tint="0.39997558519241921"/>
          <x14:colorHigh theme="8"/>
          <x14:colorLow theme="8"/>
          <x14:sparklines>
            <x14:sparkline>
              <xm:f>Report!F10:I10</xm:f>
              <xm:sqref>D10</xm:sqref>
            </x14:sparkline>
          </x14:sparklines>
        </x14:sparklineGroup>
        <x14:sparklineGroup lineWeight="2.25" displayEmptyCellsAs="gap" xr2:uid="{00000000-0003-0000-0400-000000000000}">
          <x14:colorSeries rgb="FF0296DF"/>
          <x14:colorNegative theme="9"/>
          <x14:colorAxis rgb="FF000000"/>
          <x14:colorMarkers theme="8" tint="-0.499984740745262"/>
          <x14:colorFirst theme="8" tint="0.39997558519241921"/>
          <x14:colorLast theme="8" tint="0.39997558519241921"/>
          <x14:colorHigh theme="8"/>
          <x14:colorLow theme="8"/>
          <x14:sparklines>
            <x14:sparkline>
              <xm:f>Report!F9:I9</xm:f>
              <xm:sqref>D9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2"/>
  <dimension ref="A1:R15"/>
  <sheetViews>
    <sheetView showGridLines="0" showRowColHeaders="0" workbookViewId="0"/>
  </sheetViews>
  <sheetFormatPr defaultRowHeight="14.4" x14ac:dyDescent="0.3"/>
  <cols>
    <col min="1" max="1" width="16.88671875" bestFit="1" customWidth="1"/>
    <col min="2" max="13" width="13" customWidth="1"/>
  </cols>
  <sheetData>
    <row r="1" spans="1:18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8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25"/>
      <c r="O2" s="25"/>
      <c r="P2" s="25"/>
      <c r="Q2" s="25"/>
      <c r="R2" s="25"/>
    </row>
    <row r="3" spans="1:18" x14ac:dyDescent="0.3">
      <c r="A3" s="7" t="str">
        <f>_xll.VIEW("24retail:Income Statement",$A$5,$A$6,$A$7,"!","!")</f>
        <v>24retail:Income Statement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25"/>
      <c r="O3" s="25"/>
      <c r="P3" s="25"/>
      <c r="Q3" s="25"/>
      <c r="R3" s="25"/>
    </row>
    <row r="4" spans="1:18" x14ac:dyDescent="0.3">
      <c r="A4" s="7" t="s">
        <v>68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8" x14ac:dyDescent="0.3">
      <c r="A5" s="7" t="str">
        <f>_xll.SUBNM("24retail:Metrics","Default","Net Profit")</f>
        <v>Net Profit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25"/>
      <c r="O5" s="25"/>
      <c r="P5" s="25"/>
      <c r="Q5" s="25"/>
      <c r="R5" s="25"/>
    </row>
    <row r="6" spans="1:18" x14ac:dyDescent="0.3">
      <c r="A6" s="7" t="str">
        <f>_xll.SUBNM("24retail:organization","Default","Total Company")</f>
        <v>Total Company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5"/>
      <c r="O6" s="25"/>
      <c r="P6" s="25"/>
      <c r="Q6" s="25"/>
      <c r="R6" s="25"/>
    </row>
    <row r="7" spans="1:18" x14ac:dyDescent="0.3">
      <c r="A7" s="7" t="str">
        <f>_xll.SUBNM("24retail:Year","Default","Y2","Caption_Default")</f>
        <v>2020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25"/>
      <c r="O7" s="25"/>
      <c r="P7" s="25"/>
      <c r="Q7" s="25"/>
      <c r="R7" s="25"/>
    </row>
    <row r="8" spans="1:18" x14ac:dyDescent="0.3">
      <c r="A8" s="7"/>
      <c r="B8" s="7" t="s">
        <v>31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25"/>
      <c r="O8" s="25"/>
      <c r="P8" s="25"/>
      <c r="Q8" s="25"/>
      <c r="R8" s="25"/>
    </row>
    <row r="9" spans="1:18" x14ac:dyDescent="0.3">
      <c r="A9" s="7"/>
      <c r="B9" s="8" t="s">
        <v>18</v>
      </c>
      <c r="C9" s="8" t="s">
        <v>19</v>
      </c>
      <c r="D9" s="8" t="s">
        <v>20</v>
      </c>
      <c r="E9" s="8" t="s">
        <v>21</v>
      </c>
      <c r="F9" s="8" t="s">
        <v>22</v>
      </c>
      <c r="G9" s="8" t="s">
        <v>23</v>
      </c>
      <c r="H9" s="8" t="s">
        <v>24</v>
      </c>
      <c r="I9" s="8" t="s">
        <v>25</v>
      </c>
      <c r="J9" s="8" t="s">
        <v>26</v>
      </c>
      <c r="K9" s="8" t="s">
        <v>27</v>
      </c>
      <c r="L9" s="8" t="s">
        <v>28</v>
      </c>
      <c r="M9" s="8" t="s">
        <v>29</v>
      </c>
      <c r="N9" s="25"/>
      <c r="O9" s="25"/>
      <c r="P9" s="25"/>
      <c r="Q9" s="25"/>
      <c r="R9" s="25"/>
    </row>
    <row r="10" spans="1:18" x14ac:dyDescent="0.3">
      <c r="A10" s="8" t="s">
        <v>32</v>
      </c>
      <c r="B10" s="9">
        <f>_xll.DBRW($A$3,$A$4,$A$6,$A$7,B$9,$A$5,$A10)</f>
        <v>1222377.8366479597</v>
      </c>
      <c r="C10" s="9">
        <f>_xll.DBRW($A$3,$A$4,$A$6,$A$7,C$9,$A$5,$A10)</f>
        <v>1283134.7489742972</v>
      </c>
      <c r="D10" s="9">
        <f>_xll.DBRW($A$3,$A$4,$A$6,$A$7,D$9,$A$5,$A10)</f>
        <v>1295974.7669741979</v>
      </c>
      <c r="E10" s="9">
        <f>_xll.DBRW($A$3,$A$4,$A$6,$A$7,E$9,$A$5,$A10)</f>
        <v>1320365.7013157406</v>
      </c>
      <c r="F10" s="9">
        <f>_xll.DBRW($A$3,$A$4,$A$6,$A$7,F$9,$A$5,$A10)</f>
        <v>1209332.0764988046</v>
      </c>
      <c r="G10" s="9">
        <f>_xll.DBRW($A$3,$A$4,$A$6,$A$7,G$9,$A$5,$A10)</f>
        <v>1157783.203231195</v>
      </c>
      <c r="H10" s="9">
        <f>_xll.DBRW($A$3,$A$4,$A$6,$A$7,H$9,$A$5,$A10)</f>
        <v>1159609.4211129991</v>
      </c>
      <c r="I10" s="9">
        <f>_xll.DBRW($A$3,$A$4,$A$6,$A$7,I$9,$A$5,$A10)</f>
        <v>1172221.5366209261</v>
      </c>
      <c r="J10" s="9">
        <f>_xll.DBRW($A$3,$A$4,$A$6,$A$7,J$9,$A$5,$A10)</f>
        <v>1023302.2082475515</v>
      </c>
      <c r="K10" s="9">
        <f>_xll.DBRW($A$3,$A$4,$A$6,$A$7,K$9,$A$5,$A10)</f>
        <v>1200995.713240081</v>
      </c>
      <c r="L10" s="9">
        <f>_xll.DBRW($A$3,$A$4,$A$6,$A$7,L$9,$A$5,$A10)</f>
        <v>1347097.025107594</v>
      </c>
      <c r="M10" s="9">
        <f>_xll.DBRW($A$3,$A$4,$A$6,$A$7,M$9,$A$5,$A10)</f>
        <v>1544093.2741461475</v>
      </c>
      <c r="N10" s="25"/>
      <c r="O10" s="25"/>
      <c r="P10" s="25"/>
      <c r="Q10" s="25"/>
      <c r="R10" s="25"/>
    </row>
    <row r="11" spans="1:18" x14ac:dyDescent="0.3">
      <c r="A11" s="8" t="str">
        <f>_xll.DBR("24retail:Calendar","Current Version","String")</f>
        <v>Version1</v>
      </c>
      <c r="B11" s="9">
        <f>_xll.DBRW($A$3,$A$4,$A$6,$A$7,B$9,$A$5,$A11)</f>
        <v>3523814.4786500405</v>
      </c>
      <c r="C11" s="9">
        <f>_xll.DBRW($A$3,$A$4,$A$6,$A$7,C$9,$A$5,$A11)</f>
        <v>2999584.1510273134</v>
      </c>
      <c r="D11" s="9">
        <f>_xll.DBRW($A$3,$A$4,$A$6,$A$7,D$9,$A$5,$A11)</f>
        <v>2782249.0541142882</v>
      </c>
      <c r="E11" s="9">
        <f>_xll.DBRW($A$3,$A$4,$A$6,$A$7,E$9,$A$5,$A11)</f>
        <v>2338992.7264690436</v>
      </c>
      <c r="F11" s="9">
        <f>_xll.DBRW($A$3,$A$4,$A$6,$A$7,F$9,$A$5,$A11)</f>
        <v>2330691.378727729</v>
      </c>
      <c r="G11" s="9">
        <f>_xll.DBRW($A$3,$A$4,$A$6,$A$7,G$9,$A$5,$A11)</f>
        <v>2161532.7272415725</v>
      </c>
      <c r="H11" s="9">
        <f>_xll.DBRW($A$3,$A$4,$A$6,$A$7,H$9,$A$5,$A11)</f>
        <v>2908816.2712743012</v>
      </c>
      <c r="I11" s="9">
        <f>_xll.DBRW($A$3,$A$4,$A$6,$A$7,I$9,$A$5,$A11)</f>
        <v>3111656.3160742158</v>
      </c>
      <c r="J11" s="9">
        <f>_xll.DBRW($A$3,$A$4,$A$6,$A$7,J$9,$A$5,$A11)</f>
        <v>2975954.8718861993</v>
      </c>
      <c r="K11" s="9">
        <f>_xll.DBRW($A$3,$A$4,$A$6,$A$7,K$9,$A$5,$A11)</f>
        <v>6062085.3726692712</v>
      </c>
      <c r="L11" s="9">
        <f>_xll.DBRW($A$3,$A$4,$A$6,$A$7,L$9,$A$5,$A11)</f>
        <v>3958540.8616717462</v>
      </c>
      <c r="M11" s="9">
        <f>_xll.DBRW($A$3,$A$4,$A$6,$A$7,M$9,$A$5,$A11)</f>
        <v>3883449.1369019584</v>
      </c>
      <c r="N11" s="25"/>
      <c r="O11" s="25"/>
      <c r="P11" s="25"/>
      <c r="Q11" s="25"/>
      <c r="R11" s="25"/>
    </row>
    <row r="12" spans="1:18" x14ac:dyDescent="0.3">
      <c r="A12" s="8" t="s">
        <v>67</v>
      </c>
      <c r="B12" s="9">
        <f>_xll.DBRW($A$3,$A$4,$A$6,$A$7,B$9,$A$5,$A12)</f>
        <v>1738359.6395019521</v>
      </c>
      <c r="C12" s="9">
        <f>_xll.DBRW($A$3,$A$4,$A$6,$A$7,C$9,$A$5,$A12)</f>
        <v>1738593.2011450478</v>
      </c>
      <c r="D12" s="9">
        <f>_xll.DBRW($A$3,$A$4,$A$6,$A$7,D$9,$A$5,$A12)</f>
        <v>1700699.791589315</v>
      </c>
      <c r="E12" s="9">
        <f>_xll.DBRW($A$3,$A$4,$A$6,$A$7,E$9,$A$5,$A12)</f>
        <v>1739643.7053219348</v>
      </c>
      <c r="F12" s="9">
        <f>_xll.DBRW($A$3,$A$4,$A$6,$A$7,F$9,$A$5,$A12)</f>
        <v>1660681.6422800105</v>
      </c>
      <c r="G12" s="9">
        <f>_xll.DBRW($A$3,$A$4,$A$6,$A$7,G$9,$A$5,$A12)</f>
        <v>1554788.0588014727</v>
      </c>
      <c r="H12" s="9">
        <f>_xll.DBRW($A$3,$A$4,$A$6,$A$7,H$9,$A$5,$A12)</f>
        <v>1725357.4313241225</v>
      </c>
      <c r="I12" s="9">
        <f>_xll.DBRW($A$3,$A$4,$A$6,$A$7,I$9,$A$5,$A12)</f>
        <v>1573640.8297711376</v>
      </c>
      <c r="J12" s="9">
        <f>_xll.DBRW($A$3,$A$4,$A$6,$A$7,J$9,$A$5,$A12)</f>
        <v>1903379.0865446799</v>
      </c>
      <c r="K12" s="9">
        <f>_xll.DBRW($A$3,$A$4,$A$6,$A$7,K$9,$A$5,$A12)</f>
        <v>1909781.2572638397</v>
      </c>
      <c r="L12" s="9">
        <f>_xll.DBRW($A$3,$A$4,$A$6,$A$7,L$9,$A$5,$A12)</f>
        <v>2329674.4747288693</v>
      </c>
      <c r="M12" s="9">
        <f>_xll.DBRW($A$3,$A$4,$A$6,$A$7,M$9,$A$5,$A12)</f>
        <v>1905783.5583308628</v>
      </c>
      <c r="N12" s="25"/>
      <c r="O12" s="25"/>
      <c r="P12" s="25"/>
      <c r="Q12" s="25"/>
      <c r="R12" s="25"/>
    </row>
    <row r="13" spans="1:18" x14ac:dyDescent="0.3">
      <c r="A13" s="8" t="s">
        <v>33</v>
      </c>
      <c r="B13" s="9">
        <f>_xll.DBRW($A$3,$A$4,$A$6,$A$7,B$9,$A$5,$A13)</f>
        <v>1222377.8366479597</v>
      </c>
      <c r="C13" s="9">
        <f>_xll.DBRW($A$3,$A$4,$A$6,$A$7,C$9,$A$5,$A13)</f>
        <v>1283134.7489742972</v>
      </c>
      <c r="D13" s="9">
        <f>_xll.DBRW($A$3,$A$4,$A$6,$A$7,D$9,$A$5,$A13)</f>
        <v>1317420.1987200514</v>
      </c>
      <c r="E13" s="9">
        <f>_xll.DBRW($A$3,$A$4,$A$6,$A$7,E$9,$A$5,$A13)</f>
        <v>920740.24672843551</v>
      </c>
      <c r="F13" s="9">
        <f>_xll.DBRW($A$3,$A$4,$A$6,$A$7,F$9,$A$5,$A13)</f>
        <v>869540.28770714393</v>
      </c>
      <c r="G13" s="9">
        <f>_xll.DBRW($A$3,$A$4,$A$6,$A$7,G$9,$A$5,$A13)</f>
        <v>718981.50274558947</v>
      </c>
      <c r="H13" s="9">
        <f>_xll.DBRW($A$3,$A$4,$A$6,$A$7,H$9,$A$5,$A13)</f>
        <v>1331678.8639097973</v>
      </c>
      <c r="I13" s="9">
        <f>_xll.DBRW($A$3,$A$4,$A$6,$A$7,I$9,$A$5,$A13)</f>
        <v>1305087.0365301054</v>
      </c>
      <c r="J13" s="9">
        <f>_xll.DBRW($A$3,$A$4,$A$6,$A$7,J$9,$A$5,$A13)</f>
        <v>1797292.7033179326</v>
      </c>
      <c r="K13" s="9">
        <f>_xll.DBRW($A$3,$A$4,$A$6,$A$7,K$9,$A$5,$A13)</f>
        <v>1938262.9928990437</v>
      </c>
      <c r="L13" s="9">
        <f>_xll.DBRW($A$3,$A$4,$A$6,$A$7,L$9,$A$5,$A13)</f>
        <v>1941024.5729478924</v>
      </c>
      <c r="M13" s="9">
        <f>_xll.DBRW($A$3,$A$4,$A$6,$A$7,M$9,$A$5,$A13)</f>
        <v>1738947.0426387046</v>
      </c>
      <c r="N13" s="25"/>
      <c r="O13" s="25"/>
      <c r="P13" s="25"/>
      <c r="Q13" s="25"/>
      <c r="R13" s="25"/>
    </row>
    <row r="14" spans="1:18" x14ac:dyDescent="0.3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</row>
    <row r="15" spans="1:18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B18:B36"/>
  <sheetViews>
    <sheetView workbookViewId="0"/>
  </sheetViews>
  <sheetFormatPr defaultRowHeight="14.4" x14ac:dyDescent="0.3"/>
  <sheetData>
    <row r="18" spans="2:2" x14ac:dyDescent="0.3">
      <c r="B18" t="s">
        <v>41</v>
      </c>
    </row>
    <row r="19" spans="2:2" x14ac:dyDescent="0.3">
      <c r="B19" t="s">
        <v>42</v>
      </c>
    </row>
    <row r="20" spans="2:2" x14ac:dyDescent="0.3">
      <c r="B20" t="s">
        <v>43</v>
      </c>
    </row>
    <row r="21" spans="2:2" x14ac:dyDescent="0.3">
      <c r="B21" t="s">
        <v>44</v>
      </c>
    </row>
    <row r="22" spans="2:2" x14ac:dyDescent="0.3">
      <c r="B22" t="s">
        <v>45</v>
      </c>
    </row>
    <row r="23" spans="2:2" x14ac:dyDescent="0.3">
      <c r="B23" t="s">
        <v>46</v>
      </c>
    </row>
    <row r="24" spans="2:2" x14ac:dyDescent="0.3">
      <c r="B24" t="s">
        <v>47</v>
      </c>
    </row>
    <row r="25" spans="2:2" x14ac:dyDescent="0.3">
      <c r="B25" t="s">
        <v>40</v>
      </c>
    </row>
    <row r="26" spans="2:2" x14ac:dyDescent="0.3">
      <c r="B26" t="s">
        <v>48</v>
      </c>
    </row>
    <row r="27" spans="2:2" x14ac:dyDescent="0.3">
      <c r="B27" t="s">
        <v>49</v>
      </c>
    </row>
    <row r="28" spans="2:2" x14ac:dyDescent="0.3">
      <c r="B28" t="s">
        <v>36</v>
      </c>
    </row>
    <row r="29" spans="2:2" x14ac:dyDescent="0.3">
      <c r="B29" t="s">
        <v>50</v>
      </c>
    </row>
    <row r="30" spans="2:2" x14ac:dyDescent="0.3">
      <c r="B30" t="s">
        <v>37</v>
      </c>
    </row>
    <row r="31" spans="2:2" x14ac:dyDescent="0.3">
      <c r="B31" t="s">
        <v>38</v>
      </c>
    </row>
    <row r="32" spans="2:2" x14ac:dyDescent="0.3">
      <c r="B32" t="s">
        <v>39</v>
      </c>
    </row>
    <row r="33" spans="2:2" x14ac:dyDescent="0.3">
      <c r="B33" t="s">
        <v>51</v>
      </c>
    </row>
    <row r="34" spans="2:2" x14ac:dyDescent="0.3">
      <c r="B34" t="s">
        <v>52</v>
      </c>
    </row>
    <row r="35" spans="2:2" x14ac:dyDescent="0.3">
      <c r="B35" t="s">
        <v>53</v>
      </c>
    </row>
    <row r="36" spans="2:2" x14ac:dyDescent="0.3">
      <c r="B36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B18:B24"/>
  <sheetViews>
    <sheetView workbookViewId="0"/>
  </sheetViews>
  <sheetFormatPr defaultRowHeight="14.4" x14ac:dyDescent="0.3"/>
  <sheetData>
    <row r="18" spans="2:2" x14ac:dyDescent="0.3">
      <c r="B18" t="s">
        <v>59</v>
      </c>
    </row>
    <row r="19" spans="2:2" x14ac:dyDescent="0.3">
      <c r="B19" t="s">
        <v>60</v>
      </c>
    </row>
    <row r="20" spans="2:2" x14ac:dyDescent="0.3">
      <c r="B20" t="s">
        <v>9</v>
      </c>
    </row>
    <row r="21" spans="2:2" x14ac:dyDescent="0.3">
      <c r="B21" t="s">
        <v>61</v>
      </c>
    </row>
    <row r="22" spans="2:2" x14ac:dyDescent="0.3">
      <c r="B22" t="s">
        <v>62</v>
      </c>
    </row>
    <row r="23" spans="2:2" x14ac:dyDescent="0.3">
      <c r="B23" t="s">
        <v>63</v>
      </c>
    </row>
    <row r="24" spans="2:2" x14ac:dyDescent="0.3">
      <c r="B24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Demand Plan</vt:lpstr>
      <vt:lpstr>Operations Console</vt:lpstr>
      <vt:lpstr>Bill of Material Master</vt:lpstr>
      <vt:lpstr>Report</vt:lpstr>
      <vt:lpstr>Performance Scorecard</vt:lpstr>
      <vt:lpstr>{AR}01</vt:lpstr>
      <vt:lpstr>{AR}11</vt:lpstr>
      <vt:lpstr>CurrentVersion</vt:lpstr>
      <vt:lpstr>'Demand Plan'!TM1RPTDATARNGARPT1</vt:lpstr>
      <vt:lpstr>'Bill of Material Master'!TM1RPTDATARNGARPT2</vt:lpstr>
      <vt:lpstr>'Bill of Material Master'!TM1RPTFMTIDCOL</vt:lpstr>
      <vt:lpstr>'Demand Plan'!TM1RPTFMTIDCOL</vt:lpstr>
      <vt:lpstr>'Bill of Material Master'!TM1RPTFMTRNG</vt:lpstr>
      <vt:lpstr>'Demand Plan'!TM1RPTFMTRNG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Rebecca Hansen</cp:lastModifiedBy>
  <dcterms:created xsi:type="dcterms:W3CDTF">2014-05-06T22:20:04Z</dcterms:created>
  <dcterms:modified xsi:type="dcterms:W3CDTF">2019-10-01T15:38:15Z</dcterms:modified>
</cp:coreProperties>
</file>