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654d43c501d0a7b/Documents/"/>
    </mc:Choice>
  </mc:AlternateContent>
  <xr:revisionPtr revIDLastSave="1367" documentId="8_{557CEE14-04A0-4824-B31A-7ECF5B4D9D34}" xr6:coauthVersionLast="47" xr6:coauthVersionMax="47" xr10:uidLastSave="{3F5E6AAA-958D-4BEE-A628-30DA8CD23789}"/>
  <bookViews>
    <workbookView xWindow="28680" yWindow="-120" windowWidth="29040" windowHeight="15720" xr2:uid="{5CC6D5B3-8F9B-4596-A6FE-5D9B49E529D2}"/>
  </bookViews>
  <sheets>
    <sheet name="CORPORATE BOND" sheetId="1" r:id="rId1"/>
    <sheet name="MUNICIPAL BO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H18" i="1"/>
  <c r="H21" i="1"/>
  <c r="H20" i="1"/>
  <c r="H17" i="1"/>
  <c r="H16" i="1"/>
  <c r="H15" i="1"/>
  <c r="V10" i="2"/>
  <c r="V5" i="2"/>
  <c r="U10" i="2"/>
  <c r="U5" i="2"/>
  <c r="T10" i="2"/>
  <c r="T5" i="2"/>
  <c r="S10" i="2"/>
  <c r="S5" i="2"/>
  <c r="S2" i="2"/>
  <c r="U2" i="2"/>
  <c r="T2" i="2"/>
  <c r="V2" i="2" s="1"/>
  <c r="AA4" i="1"/>
  <c r="AC4" i="1" s="1"/>
  <c r="AC3" i="1"/>
  <c r="AC5" i="1"/>
  <c r="AC6" i="1"/>
  <c r="AC7" i="1"/>
  <c r="AC8" i="1"/>
  <c r="AC9" i="1"/>
  <c r="AC10" i="1"/>
  <c r="Z3" i="1"/>
  <c r="Z4" i="1"/>
  <c r="Z5" i="1"/>
  <c r="Z6" i="1"/>
  <c r="Z7" i="1"/>
  <c r="Z8" i="1"/>
  <c r="Z9" i="1"/>
  <c r="Z10" i="1"/>
  <c r="Z2" i="1"/>
  <c r="Y3" i="1"/>
  <c r="Y4" i="1"/>
  <c r="Y5" i="1"/>
  <c r="Y6" i="1"/>
  <c r="Y7" i="1"/>
  <c r="Y8" i="1"/>
  <c r="Y9" i="1"/>
  <c r="Y10" i="1"/>
  <c r="Y2" i="1"/>
  <c r="AC2" i="1"/>
  <c r="AB3" i="1"/>
  <c r="AB4" i="1"/>
  <c r="AB5" i="1"/>
  <c r="AB6" i="1"/>
  <c r="AB7" i="1"/>
  <c r="AB8" i="1"/>
  <c r="AB9" i="1"/>
  <c r="AB10" i="1"/>
  <c r="AB2" i="1"/>
  <c r="AA3" i="1"/>
  <c r="AA5" i="1"/>
  <c r="AA6" i="1"/>
  <c r="AA7" i="1"/>
  <c r="AA8" i="1"/>
  <c r="AA9" i="1"/>
  <c r="AA10" i="1"/>
  <c r="AA2" i="1"/>
  <c r="X3" i="1"/>
  <c r="X4" i="1"/>
  <c r="X5" i="1"/>
  <c r="X6" i="1"/>
  <c r="X7" i="1"/>
  <c r="X8" i="1"/>
  <c r="X9" i="1"/>
  <c r="X10" i="1"/>
  <c r="X2" i="1"/>
  <c r="H19" i="1"/>
  <c r="H22" i="1" l="1"/>
  <c r="W2" i="1"/>
  <c r="R2" i="1"/>
  <c r="C15" i="1"/>
  <c r="F22" i="1"/>
  <c r="G21" i="1" s="1"/>
  <c r="E11" i="1"/>
  <c r="D11" i="1"/>
  <c r="S3" i="1"/>
  <c r="T3" i="1" s="1"/>
  <c r="V3" i="1" s="1"/>
  <c r="S4" i="1"/>
  <c r="T4" i="1" s="1"/>
  <c r="V4" i="1" s="1"/>
  <c r="S5" i="1"/>
  <c r="T5" i="1" s="1"/>
  <c r="V5" i="1" s="1"/>
  <c r="S6" i="1"/>
  <c r="T6" i="1" s="1"/>
  <c r="V6" i="1" s="1"/>
  <c r="S7" i="1"/>
  <c r="T7" i="1" s="1"/>
  <c r="V7" i="1" s="1"/>
  <c r="S8" i="1"/>
  <c r="T8" i="1" s="1"/>
  <c r="V8" i="1" s="1"/>
  <c r="S9" i="1"/>
  <c r="T9" i="1" s="1"/>
  <c r="V9" i="1" s="1"/>
  <c r="S10" i="1"/>
  <c r="T10" i="1" s="1"/>
  <c r="R3" i="1"/>
  <c r="R4" i="1"/>
  <c r="R5" i="1"/>
  <c r="R6" i="1"/>
  <c r="R7" i="1"/>
  <c r="R8" i="1"/>
  <c r="R9" i="1"/>
  <c r="R10" i="1"/>
  <c r="W9" i="1"/>
  <c r="W3" i="1"/>
  <c r="W4" i="1"/>
  <c r="W6" i="1"/>
  <c r="W7" i="1"/>
  <c r="W8" i="1"/>
  <c r="W10" i="1"/>
  <c r="U3" i="1"/>
  <c r="U4" i="1"/>
  <c r="U5" i="1"/>
  <c r="U6" i="1"/>
  <c r="U7" i="1"/>
  <c r="U8" i="1"/>
  <c r="U9" i="1"/>
  <c r="U10" i="1"/>
  <c r="U2" i="1"/>
  <c r="S2" i="1"/>
  <c r="T2" i="1" s="1"/>
  <c r="V2" i="1" s="1"/>
  <c r="J21" i="1" l="1"/>
  <c r="I21" i="1"/>
  <c r="V10" i="1"/>
  <c r="G15" i="1"/>
  <c r="G18" i="1"/>
  <c r="G20" i="1"/>
  <c r="G16" i="1"/>
  <c r="G17" i="1"/>
  <c r="G19" i="1"/>
  <c r="J20" i="1" l="1"/>
  <c r="I20" i="1"/>
  <c r="J19" i="1"/>
  <c r="I19" i="1"/>
  <c r="J17" i="1"/>
  <c r="I17" i="1"/>
  <c r="I16" i="1"/>
  <c r="J16" i="1"/>
  <c r="J18" i="1"/>
  <c r="I18" i="1"/>
  <c r="I15" i="1"/>
  <c r="J15" i="1"/>
  <c r="J22" i="1" l="1"/>
  <c r="C16" i="1"/>
  <c r="I22" i="1"/>
  <c r="C18" i="1" s="1"/>
</calcChain>
</file>

<file path=xl/sharedStrings.xml><?xml version="1.0" encoding="utf-8"?>
<sst xmlns="http://schemas.openxmlformats.org/spreadsheetml/2006/main" count="156" uniqueCount="110">
  <si>
    <t>CUSIP</t>
  </si>
  <si>
    <t>Company Name</t>
  </si>
  <si>
    <t>Rating</t>
  </si>
  <si>
    <t>Amount Issued $M</t>
  </si>
  <si>
    <t>Amount Outstanding $M</t>
  </si>
  <si>
    <t>Issue Date</t>
  </si>
  <si>
    <t>Date of Maturity</t>
  </si>
  <si>
    <t>Settlement Date</t>
  </si>
  <si>
    <t>Embeded Option</t>
  </si>
  <si>
    <t>Call Date</t>
  </si>
  <si>
    <t>Call Price</t>
  </si>
  <si>
    <t>Call Amount</t>
  </si>
  <si>
    <t>Period Remaining after Settlement</t>
  </si>
  <si>
    <t>Period to Maturity</t>
  </si>
  <si>
    <t>Coupon</t>
  </si>
  <si>
    <t>Coupon Freq</t>
  </si>
  <si>
    <t>Annual YTM</t>
  </si>
  <si>
    <t>V0</t>
  </si>
  <si>
    <t>PV on Settlement Date</t>
  </si>
  <si>
    <t>Full Price</t>
  </si>
  <si>
    <t>Accrued Interest</t>
  </si>
  <si>
    <t>Flat Price</t>
  </si>
  <si>
    <t>YTC</t>
  </si>
  <si>
    <t>Duration</t>
  </si>
  <si>
    <t>Duration (YTM +)</t>
  </si>
  <si>
    <t>Duration (YTM -)</t>
  </si>
  <si>
    <t>V-</t>
  </si>
  <si>
    <t>V+</t>
  </si>
  <si>
    <t>Convexity</t>
  </si>
  <si>
    <t>253393AG7</t>
  </si>
  <si>
    <t>Dick's Sporting Goods</t>
  </si>
  <si>
    <t>BBB -</t>
  </si>
  <si>
    <t>1/14/2022</t>
  </si>
  <si>
    <t>1/15/2052</t>
  </si>
  <si>
    <t>Call</t>
  </si>
  <si>
    <t>7/15/2051</t>
  </si>
  <si>
    <t>Full</t>
  </si>
  <si>
    <t>SA</t>
  </si>
  <si>
    <t>345370DA5</t>
  </si>
  <si>
    <t>Ford Motor Company</t>
  </si>
  <si>
    <t>BB+</t>
  </si>
  <si>
    <t>037833DM9</t>
  </si>
  <si>
    <t>Apple Inc</t>
  </si>
  <si>
    <t>AA+</t>
  </si>
  <si>
    <t>14913R2U0</t>
  </si>
  <si>
    <t xml:space="preserve">Caterpillar Finl Service </t>
  </si>
  <si>
    <t>A</t>
  </si>
  <si>
    <t>No</t>
  </si>
  <si>
    <t>-</t>
  </si>
  <si>
    <t>06406RBB2</t>
  </si>
  <si>
    <t>Bank of NY Mellon Corp</t>
  </si>
  <si>
    <t>A+</t>
  </si>
  <si>
    <t>1/26/2022</t>
  </si>
  <si>
    <t>1/26/2032</t>
  </si>
  <si>
    <t>10/26/2031</t>
  </si>
  <si>
    <t>24703TAH9</t>
  </si>
  <si>
    <t>Dell International LLC</t>
  </si>
  <si>
    <t>BBB</t>
  </si>
  <si>
    <t>7/15/2021</t>
  </si>
  <si>
    <t>7/15/2030</t>
  </si>
  <si>
    <t>4/15/2030</t>
  </si>
  <si>
    <t>08949LAB6</t>
  </si>
  <si>
    <t>Big River Steel/ BRS Fin</t>
  </si>
  <si>
    <t>BB-</t>
  </si>
  <si>
    <t>1/31/2021</t>
  </si>
  <si>
    <t>1/31/2029</t>
  </si>
  <si>
    <t>9/15/2023</t>
  </si>
  <si>
    <t>9/15/2024</t>
  </si>
  <si>
    <t>9/15/2025</t>
  </si>
  <si>
    <t>Average Coupon</t>
  </si>
  <si>
    <t>Amounted Invested in Each Company</t>
  </si>
  <si>
    <t>Bond Weight</t>
  </si>
  <si>
    <t>Portfolio Convexity</t>
  </si>
  <si>
    <t>Portfolio YTM</t>
  </si>
  <si>
    <t>BRS</t>
  </si>
  <si>
    <t>Portfolio Duration</t>
  </si>
  <si>
    <t>Dell</t>
  </si>
  <si>
    <t>DSG</t>
  </si>
  <si>
    <t>Ford</t>
  </si>
  <si>
    <t>BNY Mellon</t>
  </si>
  <si>
    <t>Apple</t>
  </si>
  <si>
    <t>Caterpillar Finl Service</t>
  </si>
  <si>
    <t>Total Portfolio Value</t>
  </si>
  <si>
    <t>Weighted Average Duration</t>
  </si>
  <si>
    <t>Portfolio Sensitivity</t>
  </si>
  <si>
    <t>Bond Ticker</t>
  </si>
  <si>
    <t>Type</t>
  </si>
  <si>
    <t xml:space="preserve">Amount Issued </t>
  </si>
  <si>
    <t xml:space="preserve">Amount Outstanding </t>
  </si>
  <si>
    <t>MTATRN 5.175 11/15/49</t>
  </si>
  <si>
    <t>59261AG76</t>
  </si>
  <si>
    <t>Metropolitan Transport Authority Of New York</t>
  </si>
  <si>
    <t>RB</t>
  </si>
  <si>
    <t>A-</t>
  </si>
  <si>
    <t>Sinking fund</t>
  </si>
  <si>
    <t>$196.41MM</t>
  </si>
  <si>
    <t>$196.405MM</t>
  </si>
  <si>
    <t>CAS 4.5 04/01/33</t>
  </si>
  <si>
    <t>13063DGD4</t>
  </si>
  <si>
    <t>State of California</t>
  </si>
  <si>
    <t>GO</t>
  </si>
  <si>
    <t>AA-</t>
  </si>
  <si>
    <t>Call/Sink</t>
  </si>
  <si>
    <t>NYC 5 08/01/47</t>
  </si>
  <si>
    <t>64966QXW5</t>
  </si>
  <si>
    <t>City of New York NY</t>
  </si>
  <si>
    <t>AA</t>
  </si>
  <si>
    <t>Call/ Continuously Callable</t>
  </si>
  <si>
    <t>Flat Ptrice</t>
  </si>
  <si>
    <t>PV0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</si>
</sst>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yy;@"/>
    <numFmt numFmtId="165" formatCode="0.000%"/>
    <numFmt numFmtId="166" formatCode="&quot;$&quot;#,##0.00"/>
    <numFmt numFmtId="167" formatCode="0.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2" borderId="9" xfId="0" applyFont="1" applyFill="1" applyBorder="1" applyAlignment="1">
      <alignment horizontal="center" vertical="center"/>
    </xf>
    <xf numFmtId="165" fontId="1" fillId="0" borderId="10" xfId="2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0" fillId="0" borderId="7" xfId="3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1" fillId="3" borderId="1" xfId="3" applyNumberFormat="1" applyFont="1" applyFill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2" xfId="2" applyNumberFormat="1" applyFont="1" applyBorder="1" applyAlignment="1">
      <alignment horizontal="center"/>
    </xf>
    <xf numFmtId="0" fontId="3" fillId="0" borderId="3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13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4" fontId="3" fillId="0" borderId="8" xfId="1" applyNumberFormat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65" fontId="3" fillId="0" borderId="7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8" fontId="3" fillId="0" borderId="7" xfId="1" applyNumberFormat="1" applyFont="1" applyBorder="1" applyAlignment="1">
      <alignment horizontal="center" vertical="center"/>
    </xf>
    <xf numFmtId="8" fontId="3" fillId="0" borderId="8" xfId="1" applyNumberFormat="1" applyFont="1" applyBorder="1" applyAlignment="1">
      <alignment horizontal="center" vertical="center"/>
    </xf>
    <xf numFmtId="8" fontId="0" fillId="0" borderId="7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2" fontId="0" fillId="0" borderId="7" xfId="2" applyNumberFormat="1" applyFont="1" applyBorder="1" applyAlignment="1">
      <alignment horizontal="center"/>
    </xf>
    <xf numFmtId="2" fontId="0" fillId="0" borderId="8" xfId="2" applyNumberFormat="1" applyFont="1" applyBorder="1" applyAlignment="1">
      <alignment horizontal="center"/>
    </xf>
    <xf numFmtId="0" fontId="4" fillId="2" borderId="9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" fillId="3" borderId="1" xfId="2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65" fontId="1" fillId="0" borderId="1" xfId="2" applyNumberFormat="1" applyFont="1" applyBorder="1" applyAlignment="1">
      <alignment horizontal="center"/>
    </xf>
    <xf numFmtId="0" fontId="0" fillId="0" borderId="0" xfId="0" applyAlignment="1">
      <alignment vertical="top"/>
    </xf>
    <xf numFmtId="0" fontId="7" fillId="2" borderId="1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164" fontId="2" fillId="0" borderId="7" xfId="1" applyNumberFormat="1" applyBorder="1" applyAlignment="1">
      <alignment horizontal="center" vertical="center" wrapText="1"/>
    </xf>
    <xf numFmtId="164" fontId="2" fillId="0" borderId="8" xfId="1" applyNumberFormat="1" applyBorder="1" applyAlignment="1">
      <alignment horizontal="center" vertical="center" wrapText="1"/>
    </xf>
    <xf numFmtId="166" fontId="2" fillId="0" borderId="7" xfId="1" applyNumberFormat="1" applyBorder="1" applyAlignment="1">
      <alignment horizontal="center" vertical="center" wrapText="1"/>
    </xf>
    <xf numFmtId="165" fontId="2" fillId="0" borderId="7" xfId="1" applyNumberForma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2" fillId="0" borderId="7" xfId="1" applyBorder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2" fillId="0" borderId="7" xfId="1" applyNumberFormat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164" fontId="2" fillId="0" borderId="8" xfId="1" applyNumberFormat="1" applyBorder="1" applyAlignment="1">
      <alignment horizontal="center" vertical="center" wrapText="1"/>
    </xf>
    <xf numFmtId="0" fontId="2" fillId="0" borderId="12" xfId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166" fontId="2" fillId="0" borderId="6" xfId="3" applyNumberFormat="1" applyFont="1" applyBorder="1" applyAlignment="1">
      <alignment horizontal="center" vertical="center" wrapText="1"/>
    </xf>
    <xf numFmtId="166" fontId="2" fillId="0" borderId="7" xfId="3" applyNumberFormat="1" applyFont="1" applyBorder="1" applyAlignment="1">
      <alignment horizontal="center" vertical="center" wrapText="1"/>
    </xf>
    <xf numFmtId="8" fontId="0" fillId="0" borderId="6" xfId="0" applyNumberFormat="1" applyBorder="1" applyAlignment="1">
      <alignment horizontal="center" vertical="center" wrapText="1"/>
    </xf>
    <xf numFmtId="8" fontId="0" fillId="0" borderId="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2" fillId="0" borderId="7" xfId="1" applyNumberFormat="1" applyBorder="1" applyAlignment="1">
      <alignment horizontal="center" vertical="center" wrapText="1"/>
    </xf>
    <xf numFmtId="9" fontId="2" fillId="0" borderId="8" xfId="1" applyNumberFormat="1" applyBorder="1" applyAlignment="1">
      <alignment horizontal="center" vertical="center" wrapText="1"/>
    </xf>
    <xf numFmtId="166" fontId="2" fillId="0" borderId="7" xfId="1" applyNumberFormat="1" applyBorder="1" applyAlignment="1">
      <alignment horizontal="center" vertical="center" wrapText="1"/>
    </xf>
    <xf numFmtId="166" fontId="2" fillId="0" borderId="8" xfId="1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2" fillId="0" borderId="7" xfId="1" applyNumberFormat="1" applyBorder="1" applyAlignment="1">
      <alignment horizontal="center" vertical="center" wrapText="1"/>
    </xf>
    <xf numFmtId="165" fontId="2" fillId="0" borderId="8" xfId="1" applyNumberFormat="1" applyBorder="1" applyAlignment="1">
      <alignment horizontal="center" vertical="center" wrapText="1"/>
    </xf>
    <xf numFmtId="10" fontId="2" fillId="0" borderId="7" xfId="1" applyNumberFormat="1" applyBorder="1" applyAlignment="1">
      <alignment horizontal="center" vertical="center" wrapText="1"/>
    </xf>
  </cellXfs>
  <cellStyles count="4">
    <cellStyle name="Currency" xfId="3" builtinId="4"/>
    <cellStyle name="Normal" xfId="0" builtinId="0"/>
    <cellStyle name="Normal 2" xfId="1" xr:uid="{F6FCE642-A849-4F99-9BAE-7C32449C656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532661</xdr:colOff>
      <xdr:row>22</xdr:row>
      <xdr:rowOff>33295</xdr:rowOff>
    </xdr:from>
    <xdr:to>
      <xdr:col>7</xdr:col>
      <xdr:colOff>614039</xdr:colOff>
      <xdr:row>23</xdr:row>
      <xdr:rowOff>7402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5F877120-F09A-3641-6EE0-347BA843C40B}"/>
            </a:ext>
          </a:extLst>
        </xdr:cNvPr>
        <xdr:cNvSpPr/>
      </xdr:nvSpPr>
      <xdr:spPr>
        <a:xfrm rot="5400000">
          <a:off x="9667413" y="4333417"/>
          <a:ext cx="159058" cy="81378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791592</xdr:colOff>
      <xdr:row>22</xdr:row>
      <xdr:rowOff>29592</xdr:rowOff>
    </xdr:from>
    <xdr:to>
      <xdr:col>8</xdr:col>
      <xdr:colOff>872970</xdr:colOff>
      <xdr:row>23</xdr:row>
      <xdr:rowOff>3699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69B183E9-C572-4DC4-8F49-3AAD9E5F5287}"/>
            </a:ext>
          </a:extLst>
        </xdr:cNvPr>
        <xdr:cNvSpPr/>
      </xdr:nvSpPr>
      <xdr:spPr>
        <a:xfrm rot="5400000">
          <a:off x="11036053" y="4359306"/>
          <a:ext cx="159058" cy="81378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3B03-815A-4080-94B1-737C84D0EEAF}">
  <dimension ref="A1:AE24"/>
  <sheetViews>
    <sheetView tabSelected="1" zoomScale="103" zoomScaleNormal="60" workbookViewId="0">
      <selection activeCell="T2" sqref="T2"/>
    </sheetView>
  </sheetViews>
  <sheetFormatPr defaultColWidth="8.88671875" defaultRowHeight="14.4" x14ac:dyDescent="0.3"/>
  <cols>
    <col min="1" max="1" width="12.33203125" style="2" bestFit="1" customWidth="1"/>
    <col min="2" max="2" width="22.44140625" style="2" bestFit="1" customWidth="1"/>
    <col min="3" max="3" width="24.88671875" style="2" bestFit="1" customWidth="1"/>
    <col min="4" max="4" width="18.6640625" style="2" bestFit="1" customWidth="1"/>
    <col min="5" max="5" width="24" style="2" bestFit="1" customWidth="1"/>
    <col min="6" max="6" width="32.6640625" style="2" bestFit="1" customWidth="1"/>
    <col min="7" max="7" width="15.88671875" style="2" bestFit="1" customWidth="1"/>
    <col min="8" max="8" width="16.6640625" style="2" bestFit="1" customWidth="1"/>
    <col min="9" max="9" width="24.21875" style="2" bestFit="1" customWidth="1"/>
    <col min="10" max="10" width="17" style="2" bestFit="1" customWidth="1"/>
    <col min="11" max="11" width="9.88671875" style="2" bestFit="1" customWidth="1"/>
    <col min="12" max="12" width="12.6640625" style="2" bestFit="1" customWidth="1"/>
    <col min="13" max="13" width="33.88671875" style="2" bestFit="1" customWidth="1"/>
    <col min="14" max="14" width="17.5546875" style="2" bestFit="1" customWidth="1"/>
    <col min="15" max="15" width="8.33203125" style="2" bestFit="1" customWidth="1"/>
    <col min="16" max="16" width="13.109375" style="2" bestFit="1" customWidth="1"/>
    <col min="17" max="17" width="11.88671875" style="2" bestFit="1" customWidth="1"/>
    <col min="18" max="18" width="9.33203125" style="2" bestFit="1" customWidth="1"/>
    <col min="19" max="19" width="20" style="2" bestFit="1" customWidth="1"/>
    <col min="20" max="20" width="8.77734375" style="2" bestFit="1" customWidth="1"/>
    <col min="21" max="21" width="15.109375" style="2" bestFit="1" customWidth="1"/>
    <col min="22" max="22" width="8.88671875" style="2" bestFit="1" customWidth="1"/>
    <col min="23" max="23" width="6.21875" style="3" bestFit="1" customWidth="1"/>
    <col min="24" max="24" width="8.33203125" style="3" bestFit="1" customWidth="1"/>
    <col min="25" max="25" width="15" style="2" bestFit="1" customWidth="1"/>
    <col min="26" max="26" width="14.5546875" style="2" bestFit="1" customWidth="1"/>
    <col min="27" max="27" width="8.6640625" style="2" bestFit="1" customWidth="1"/>
    <col min="28" max="28" width="7.5546875" style="2" bestFit="1" customWidth="1"/>
    <col min="29" max="29" width="9.33203125" style="2" bestFit="1" customWidth="1"/>
    <col min="30" max="30" width="12.109375" style="2" bestFit="1" customWidth="1"/>
    <col min="31" max="31" width="13.5546875" style="2" bestFit="1" customWidth="1"/>
    <col min="32" max="46" width="8.88671875" style="2"/>
    <col min="47" max="51" width="2" style="2" bestFit="1" customWidth="1"/>
    <col min="52" max="16384" width="8.88671875" style="2"/>
  </cols>
  <sheetData>
    <row r="1" spans="1:31" ht="16.2" thickBot="1" x14ac:dyDescent="0.35">
      <c r="A1" s="53" t="s">
        <v>0</v>
      </c>
      <c r="B1" s="54" t="s">
        <v>1</v>
      </c>
      <c r="C1" s="55" t="s">
        <v>2</v>
      </c>
      <c r="D1" s="55" t="s">
        <v>3</v>
      </c>
      <c r="E1" s="54" t="s">
        <v>4</v>
      </c>
      <c r="F1" s="54" t="s">
        <v>5</v>
      </c>
      <c r="G1" s="53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56" t="s">
        <v>22</v>
      </c>
      <c r="X1" s="56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57" t="s">
        <v>28</v>
      </c>
      <c r="AD1" s="1"/>
      <c r="AE1" s="1"/>
    </row>
    <row r="2" spans="1:31" ht="15.6" x14ac:dyDescent="0.3">
      <c r="A2" s="29" t="s">
        <v>29</v>
      </c>
      <c r="B2" s="35" t="s">
        <v>30</v>
      </c>
      <c r="C2" s="34" t="s">
        <v>31</v>
      </c>
      <c r="D2" s="34">
        <v>750</v>
      </c>
      <c r="E2" s="35">
        <v>750</v>
      </c>
      <c r="F2" s="36" t="s">
        <v>32</v>
      </c>
      <c r="G2" s="37" t="s">
        <v>33</v>
      </c>
      <c r="H2" s="36">
        <v>44743</v>
      </c>
      <c r="I2" s="35" t="s">
        <v>34</v>
      </c>
      <c r="J2" s="36" t="s">
        <v>35</v>
      </c>
      <c r="K2" s="35">
        <v>100</v>
      </c>
      <c r="L2" s="35" t="s">
        <v>36</v>
      </c>
      <c r="M2" s="35">
        <v>59</v>
      </c>
      <c r="N2" s="35">
        <v>60</v>
      </c>
      <c r="O2" s="42">
        <v>4.1000000000000002E-2</v>
      </c>
      <c r="P2" s="35" t="s">
        <v>37</v>
      </c>
      <c r="Q2" s="43">
        <v>5.7360000000000001E-2</v>
      </c>
      <c r="R2" s="45">
        <f>-PV(Q2/2, N2, (O2*100)/2, 100, 0)</f>
        <v>76.706632616914078</v>
      </c>
      <c r="S2" s="45">
        <f>-PV(Q2/2, M2, (O2*100)/2, 100, 0)</f>
        <v>76.856578840367177</v>
      </c>
      <c r="T2" s="47">
        <f>S2*(1+Q2/2)^(61/180)</f>
        <v>77.596602148370678</v>
      </c>
      <c r="U2" s="5">
        <f>(61/180)*O2*100/2</f>
        <v>0.69472222222222224</v>
      </c>
      <c r="V2" s="47">
        <f>T2-U2</f>
        <v>76.901879926148453</v>
      </c>
      <c r="W2" s="49">
        <f>YIELD(F2,G2,Q2/2,K2,100,2,0)</f>
        <v>2.8679971775470839E-2</v>
      </c>
      <c r="X2" s="51">
        <f>DURATION(H2,G2,O2*100/2,Q2/2,2,0)</f>
        <v>12.852257407185508</v>
      </c>
      <c r="Y2" s="5">
        <f>DURATION(H2,G2,O2*100/2, (Q2+1%)/2, 2)</f>
        <v>12.488075122978827</v>
      </c>
      <c r="Z2" s="5">
        <f>DURATION(H2,G2,O2*100/2,(Q2-1%)/2,2)</f>
        <v>13.221960006542533</v>
      </c>
      <c r="AA2" s="47">
        <f>-PV((Q2-1%)/2,N2,(O2*100)/2,100,0)</f>
        <v>89.868502994554845</v>
      </c>
      <c r="AB2" s="47">
        <f>-PV((Q2+1%)/2,N2,(O2*100)/2,100,0)</f>
        <v>66.229597142378722</v>
      </c>
      <c r="AC2" s="30">
        <f>(AA2+AB2-(2*R2))/((0.01^2)*R2)</f>
        <v>350.01339669203463</v>
      </c>
      <c r="AE2" s="3"/>
    </row>
    <row r="3" spans="1:31" ht="15.6" x14ac:dyDescent="0.3">
      <c r="A3" s="29" t="s">
        <v>38</v>
      </c>
      <c r="B3" s="35" t="s">
        <v>39</v>
      </c>
      <c r="C3" s="34" t="s">
        <v>40</v>
      </c>
      <c r="D3" s="34">
        <v>2500</v>
      </c>
      <c r="E3" s="35">
        <v>2500</v>
      </c>
      <c r="F3" s="36">
        <v>44512</v>
      </c>
      <c r="G3" s="37">
        <v>48256</v>
      </c>
      <c r="H3" s="36">
        <v>44743</v>
      </c>
      <c r="I3" s="35" t="s">
        <v>34</v>
      </c>
      <c r="J3" s="36">
        <v>48164</v>
      </c>
      <c r="K3" s="35">
        <v>100</v>
      </c>
      <c r="L3" s="35" t="s">
        <v>36</v>
      </c>
      <c r="M3" s="35">
        <v>21</v>
      </c>
      <c r="N3" s="35">
        <v>22</v>
      </c>
      <c r="O3" s="42">
        <v>3.2500000000000001E-2</v>
      </c>
      <c r="P3" s="35" t="s">
        <v>37</v>
      </c>
      <c r="Q3" s="43">
        <v>3.9320000000000001E-2</v>
      </c>
      <c r="R3" s="45">
        <f t="shared" ref="R3:R10" si="0">-PV(Q3/2, N3, (O3*100)/2, 100, 0)</f>
        <v>93.957062930117729</v>
      </c>
      <c r="S3" s="45">
        <f t="shared" ref="S3:S10" si="1">-PV(Q3/2, M3, (O3*100)/2, 100, 0)</f>
        <v>94.179258787323832</v>
      </c>
      <c r="T3" s="47">
        <f t="shared" ref="T3:T10" si="2">S3*(1+Q3/2)^(61/180)</f>
        <v>94.802699366041011</v>
      </c>
      <c r="U3" s="5">
        <f t="shared" ref="U3:U10" si="3">(61/180)*O3*100/2</f>
        <v>0.55069444444444449</v>
      </c>
      <c r="V3" s="47">
        <f t="shared" ref="V3:V10" si="4">T3-U3</f>
        <v>94.252004921596566</v>
      </c>
      <c r="W3" s="49">
        <f t="shared" ref="W3:W10" si="5">YIELD(F3,G3,Q3/2,K3,100,2,0)</f>
        <v>1.9658699587743848E-2</v>
      </c>
      <c r="X3" s="51">
        <f t="shared" ref="X3:X10" si="6">DURATION(H3,G3,O3*100/2,Q3/2,2,0)</f>
        <v>4.9618281093567518</v>
      </c>
      <c r="Y3" s="5">
        <f t="shared" ref="Y3:Y10" si="7">DURATION(H3,G3,O3*100/2, (Q3+1%)/2, 2)</f>
        <v>4.9169939921877663</v>
      </c>
      <c r="Z3" s="5">
        <f t="shared" ref="Z3:Z10" si="8">DURATION(H3,G3,O3*100/2,(Q3-1%)/2,2)</f>
        <v>5.0067910515544165</v>
      </c>
      <c r="AA3" s="47">
        <f t="shared" ref="AA3:AA10" si="9">-PV((Q3-1%)/2,N3,(O3*100)/2,100,0)</f>
        <v>102.97155136679724</v>
      </c>
      <c r="AB3" s="47">
        <f t="shared" ref="AB3:AB10" si="10">-PV((Q3+1%)/2,N3,(O3*100)/2,100,0)</f>
        <v>85.851002943864984</v>
      </c>
      <c r="AC3" s="30">
        <f t="shared" ref="AC3:AC10" si="11">(AA3+AB3-(2*R3))/((0.01^2)*R3)</f>
        <v>96.685488253545614</v>
      </c>
      <c r="AE3" s="3"/>
    </row>
    <row r="4" spans="1:31" ht="15.6" x14ac:dyDescent="0.3">
      <c r="A4" s="29" t="s">
        <v>41</v>
      </c>
      <c r="B4" s="35" t="s">
        <v>42</v>
      </c>
      <c r="C4" s="34" t="s">
        <v>43</v>
      </c>
      <c r="D4" s="34">
        <v>750</v>
      </c>
      <c r="E4" s="35">
        <v>750</v>
      </c>
      <c r="F4" s="36">
        <v>43719</v>
      </c>
      <c r="G4" s="37">
        <v>45546</v>
      </c>
      <c r="H4" s="36">
        <v>43831</v>
      </c>
      <c r="I4" s="35" t="s">
        <v>34</v>
      </c>
      <c r="J4" s="36">
        <v>45515</v>
      </c>
      <c r="K4" s="35">
        <v>100</v>
      </c>
      <c r="L4" s="35" t="s">
        <v>36</v>
      </c>
      <c r="M4" s="35">
        <v>9</v>
      </c>
      <c r="N4" s="35">
        <v>10</v>
      </c>
      <c r="O4" s="42">
        <v>1.7999999999999999E-2</v>
      </c>
      <c r="P4" s="35" t="s">
        <v>37</v>
      </c>
      <c r="Q4" s="43">
        <v>1.8270000000000002E-2</v>
      </c>
      <c r="R4" s="45">
        <f t="shared" si="0"/>
        <v>99.87154207037274</v>
      </c>
      <c r="S4" s="45">
        <f t="shared" si="1"/>
        <v>99.88386860718559</v>
      </c>
      <c r="T4" s="47">
        <f t="shared" si="2"/>
        <v>100.19215507290963</v>
      </c>
      <c r="U4" s="5">
        <f t="shared" si="3"/>
        <v>0.30499999999999999</v>
      </c>
      <c r="V4" s="47">
        <f t="shared" si="4"/>
        <v>99.887155072909621</v>
      </c>
      <c r="W4" s="49">
        <f t="shared" si="5"/>
        <v>9.1350000000000008E-3</v>
      </c>
      <c r="X4" s="51">
        <f t="shared" si="6"/>
        <v>2.8312510082829485</v>
      </c>
      <c r="Y4" s="5">
        <f t="shared" si="7"/>
        <v>2.8190640386607244</v>
      </c>
      <c r="Z4" s="5">
        <f t="shared" si="8"/>
        <v>2.8434455174789464</v>
      </c>
      <c r="AA4" s="47">
        <f>-PV((Q4-1%)/2,N4,(O4*100)/2,100,0)</f>
        <v>104.75616344912432</v>
      </c>
      <c r="AB4" s="47">
        <f t="shared" si="10"/>
        <v>95.242633791538424</v>
      </c>
      <c r="AC4" s="30">
        <f t="shared" si="11"/>
        <v>25.604200617735586</v>
      </c>
      <c r="AE4" s="3"/>
    </row>
    <row r="5" spans="1:31" ht="15.6" x14ac:dyDescent="0.3">
      <c r="A5" s="29" t="s">
        <v>44</v>
      </c>
      <c r="B5" s="35" t="s">
        <v>45</v>
      </c>
      <c r="C5" s="34" t="s">
        <v>46</v>
      </c>
      <c r="D5" s="34">
        <v>500</v>
      </c>
      <c r="E5" s="35">
        <v>500</v>
      </c>
      <c r="F5" s="36">
        <v>44571</v>
      </c>
      <c r="G5" s="37">
        <v>46395</v>
      </c>
      <c r="H5" s="36">
        <v>44927</v>
      </c>
      <c r="I5" s="35" t="s">
        <v>47</v>
      </c>
      <c r="J5" s="36"/>
      <c r="K5" s="35"/>
      <c r="L5" s="35"/>
      <c r="M5" s="35">
        <v>9</v>
      </c>
      <c r="N5" s="35">
        <v>10</v>
      </c>
      <c r="O5" s="42">
        <v>1.7000000000000001E-2</v>
      </c>
      <c r="P5" s="35" t="s">
        <v>37</v>
      </c>
      <c r="Q5" s="43">
        <v>1.847E-2</v>
      </c>
      <c r="R5" s="45">
        <f t="shared" si="0"/>
        <v>99.30099377015118</v>
      </c>
      <c r="S5" s="45">
        <f t="shared" si="1"/>
        <v>99.368038447618531</v>
      </c>
      <c r="T5" s="47">
        <f t="shared" si="2"/>
        <v>99.678080008692703</v>
      </c>
      <c r="U5" s="5">
        <f t="shared" si="3"/>
        <v>0.28805555555555556</v>
      </c>
      <c r="V5" s="47">
        <f t="shared" si="4"/>
        <v>99.390024453137144</v>
      </c>
      <c r="W5" s="49" t="s">
        <v>48</v>
      </c>
      <c r="X5" s="51">
        <f t="shared" si="6"/>
        <v>2.4156869551647886</v>
      </c>
      <c r="Y5" s="5">
        <f t="shared" si="7"/>
        <v>2.4058034406905486</v>
      </c>
      <c r="Z5" s="5">
        <f t="shared" si="8"/>
        <v>2.4255746205780633</v>
      </c>
      <c r="AA5" s="47">
        <f t="shared" si="9"/>
        <v>104.16731745894846</v>
      </c>
      <c r="AB5" s="47">
        <f t="shared" si="10"/>
        <v>94.689578283348027</v>
      </c>
      <c r="AC5" s="30">
        <f t="shared" si="11"/>
        <v>25.670256894323607</v>
      </c>
      <c r="AE5" s="3"/>
    </row>
    <row r="6" spans="1:31" ht="15.6" x14ac:dyDescent="0.3">
      <c r="A6" s="29" t="s">
        <v>49</v>
      </c>
      <c r="B6" s="35" t="s">
        <v>50</v>
      </c>
      <c r="C6" s="34" t="s">
        <v>51</v>
      </c>
      <c r="D6" s="34">
        <v>450</v>
      </c>
      <c r="E6" s="35">
        <v>450</v>
      </c>
      <c r="F6" s="36" t="s">
        <v>52</v>
      </c>
      <c r="G6" s="37" t="s">
        <v>53</v>
      </c>
      <c r="H6" s="36">
        <v>44743</v>
      </c>
      <c r="I6" s="35" t="s">
        <v>34</v>
      </c>
      <c r="J6" s="36" t="s">
        <v>54</v>
      </c>
      <c r="K6" s="35">
        <v>100</v>
      </c>
      <c r="L6" s="35" t="s">
        <v>36</v>
      </c>
      <c r="M6" s="35">
        <v>19</v>
      </c>
      <c r="N6" s="35">
        <v>20</v>
      </c>
      <c r="O6" s="42">
        <v>2.5000000000000001E-2</v>
      </c>
      <c r="P6" s="35" t="s">
        <v>37</v>
      </c>
      <c r="Q6" s="43">
        <v>2.9819999999999999E-2</v>
      </c>
      <c r="R6" s="45">
        <f t="shared" si="0"/>
        <v>95.858684791000442</v>
      </c>
      <c r="S6" s="45">
        <f t="shared" si="1"/>
        <v>96.037937781234248</v>
      </c>
      <c r="T6" s="47">
        <f t="shared" si="2"/>
        <v>96.520829363128854</v>
      </c>
      <c r="U6" s="5">
        <f t="shared" si="3"/>
        <v>0.42361111111111116</v>
      </c>
      <c r="V6" s="47">
        <f t="shared" si="4"/>
        <v>96.09721825201774</v>
      </c>
      <c r="W6" s="49">
        <f t="shared" si="5"/>
        <v>1.491E-2</v>
      </c>
      <c r="X6" s="51">
        <f t="shared" si="6"/>
        <v>5.0338293783195267</v>
      </c>
      <c r="Y6" s="5">
        <f t="shared" si="7"/>
        <v>4.9879282663004005</v>
      </c>
      <c r="Z6" s="5">
        <f t="shared" si="8"/>
        <v>5.0798383655246564</v>
      </c>
      <c r="AA6" s="47">
        <f t="shared" si="9"/>
        <v>104.67803625259114</v>
      </c>
      <c r="AB6" s="47">
        <f t="shared" si="10"/>
        <v>87.87305789290501</v>
      </c>
      <c r="AC6" s="30">
        <f t="shared" si="11"/>
        <v>86.974337830008878</v>
      </c>
      <c r="AE6" s="3"/>
    </row>
    <row r="7" spans="1:31" ht="15.6" x14ac:dyDescent="0.3">
      <c r="A7" s="29" t="s">
        <v>55</v>
      </c>
      <c r="B7" s="35" t="s">
        <v>56</v>
      </c>
      <c r="C7" s="34" t="s">
        <v>57</v>
      </c>
      <c r="D7" s="34">
        <v>749</v>
      </c>
      <c r="E7" s="35">
        <v>749</v>
      </c>
      <c r="F7" s="36" t="s">
        <v>58</v>
      </c>
      <c r="G7" s="37" t="s">
        <v>59</v>
      </c>
      <c r="H7" s="36">
        <v>44562</v>
      </c>
      <c r="I7" s="35" t="s">
        <v>34</v>
      </c>
      <c r="J7" s="36" t="s">
        <v>60</v>
      </c>
      <c r="K7" s="35">
        <v>100</v>
      </c>
      <c r="L7" s="35" t="s">
        <v>36</v>
      </c>
      <c r="M7" s="35">
        <v>17</v>
      </c>
      <c r="N7" s="35">
        <v>18</v>
      </c>
      <c r="O7" s="42">
        <v>6.2E-2</v>
      </c>
      <c r="P7" s="35" t="s">
        <v>37</v>
      </c>
      <c r="Q7" s="43">
        <v>5.9130000000000002E-2</v>
      </c>
      <c r="R7" s="45">
        <f t="shared" si="0"/>
        <v>101.98090713479078</v>
      </c>
      <c r="S7" s="45">
        <f t="shared" si="1"/>
        <v>101.89597265423087</v>
      </c>
      <c r="T7" s="47">
        <f t="shared" si="2"/>
        <v>102.9070767296455</v>
      </c>
      <c r="U7" s="5">
        <f t="shared" si="3"/>
        <v>1.0505555555555557</v>
      </c>
      <c r="V7" s="47">
        <f t="shared" si="4"/>
        <v>101.85652117408993</v>
      </c>
      <c r="W7" s="49">
        <f t="shared" si="5"/>
        <v>2.9565000000000004E-2</v>
      </c>
      <c r="X7" s="51">
        <f t="shared" si="6"/>
        <v>4.2276372560645568</v>
      </c>
      <c r="Y7" s="5">
        <f t="shared" si="7"/>
        <v>4.1927789673828242</v>
      </c>
      <c r="Z7" s="5">
        <f t="shared" si="8"/>
        <v>4.262614156758576</v>
      </c>
      <c r="AA7" s="47">
        <f t="shared" si="9"/>
        <v>109.27112587601688</v>
      </c>
      <c r="AB7" s="47">
        <f t="shared" si="10"/>
        <v>95.280877183312072</v>
      </c>
      <c r="AC7" s="30">
        <f t="shared" si="11"/>
        <v>57.872478910913536</v>
      </c>
      <c r="AE7" s="3"/>
    </row>
    <row r="8" spans="1:31" ht="15.6" x14ac:dyDescent="0.3">
      <c r="A8" s="79" t="s">
        <v>61</v>
      </c>
      <c r="B8" s="77" t="s">
        <v>62</v>
      </c>
      <c r="C8" s="81" t="s">
        <v>63</v>
      </c>
      <c r="D8" s="81">
        <v>900</v>
      </c>
      <c r="E8" s="77">
        <v>720</v>
      </c>
      <c r="F8" s="36" t="s">
        <v>64</v>
      </c>
      <c r="G8" s="37" t="s">
        <v>65</v>
      </c>
      <c r="H8" s="36">
        <v>44378</v>
      </c>
      <c r="I8" s="77" t="s">
        <v>34</v>
      </c>
      <c r="J8" s="36" t="s">
        <v>66</v>
      </c>
      <c r="K8" s="35">
        <v>103.313</v>
      </c>
      <c r="L8" s="35" t="s">
        <v>36</v>
      </c>
      <c r="M8" s="35">
        <v>15</v>
      </c>
      <c r="N8" s="35">
        <v>16</v>
      </c>
      <c r="O8" s="43">
        <v>6.6250000000000003E-2</v>
      </c>
      <c r="P8" s="77" t="s">
        <v>37</v>
      </c>
      <c r="Q8" s="43">
        <v>6.5920000000000006E-2</v>
      </c>
      <c r="R8" s="45">
        <f t="shared" si="0"/>
        <v>100.20264493981099</v>
      </c>
      <c r="S8" s="45">
        <f t="shared" si="1"/>
        <v>100.19282411702717</v>
      </c>
      <c r="T8" s="47">
        <f t="shared" si="2"/>
        <v>101.29998039413725</v>
      </c>
      <c r="U8" s="5">
        <f t="shared" si="3"/>
        <v>1.1225694444444445</v>
      </c>
      <c r="V8" s="47">
        <f t="shared" si="4"/>
        <v>100.1774109496928</v>
      </c>
      <c r="W8" s="49">
        <f t="shared" si="5"/>
        <v>2.8303120772754136E-2</v>
      </c>
      <c r="X8" s="51">
        <f t="shared" si="6"/>
        <v>3.7834762819178502</v>
      </c>
      <c r="Y8" s="5">
        <f t="shared" si="7"/>
        <v>3.7559574914037226</v>
      </c>
      <c r="Z8" s="5">
        <f t="shared" si="8"/>
        <v>3.8110844630094838</v>
      </c>
      <c r="AA8" s="47">
        <f t="shared" si="9"/>
        <v>106.59015731043711</v>
      </c>
      <c r="AB8" s="47">
        <f t="shared" si="10"/>
        <v>94.280375610491816</v>
      </c>
      <c r="AC8" s="30">
        <f t="shared" si="11"/>
        <v>46.430215648139104</v>
      </c>
      <c r="AD8" s="74"/>
      <c r="AE8" s="3"/>
    </row>
    <row r="9" spans="1:31" ht="15.6" x14ac:dyDescent="0.3">
      <c r="A9" s="79"/>
      <c r="B9" s="77"/>
      <c r="C9" s="81"/>
      <c r="D9" s="81"/>
      <c r="E9" s="77"/>
      <c r="F9" s="36">
        <v>44227</v>
      </c>
      <c r="G9" s="37">
        <v>47149</v>
      </c>
      <c r="H9" s="36">
        <v>44379</v>
      </c>
      <c r="I9" s="77"/>
      <c r="J9" s="36" t="s">
        <v>67</v>
      </c>
      <c r="K9" s="35">
        <v>101.65600000000001</v>
      </c>
      <c r="L9" s="35" t="s">
        <v>36</v>
      </c>
      <c r="M9" s="35">
        <v>15</v>
      </c>
      <c r="N9" s="35">
        <v>16</v>
      </c>
      <c r="O9" s="43">
        <v>6.6250000000000003E-2</v>
      </c>
      <c r="P9" s="77"/>
      <c r="Q9" s="43">
        <v>6.5920000000000006E-2</v>
      </c>
      <c r="R9" s="45">
        <f t="shared" si="0"/>
        <v>100.20264493981099</v>
      </c>
      <c r="S9" s="45">
        <f t="shared" si="1"/>
        <v>100.19282411702717</v>
      </c>
      <c r="T9" s="47">
        <f t="shared" si="2"/>
        <v>101.29998039413725</v>
      </c>
      <c r="U9" s="5">
        <f t="shared" si="3"/>
        <v>1.1225694444444445</v>
      </c>
      <c r="V9" s="47">
        <f t="shared" si="4"/>
        <v>100.1774109496928</v>
      </c>
      <c r="W9" s="49">
        <f>YIELD(F9,G9,Q9/2,K9,100,2,0)</f>
        <v>3.0610488284872207E-2</v>
      </c>
      <c r="X9" s="51">
        <f t="shared" si="6"/>
        <v>3.7806985041400729</v>
      </c>
      <c r="Y9" s="5">
        <f t="shared" si="7"/>
        <v>3.7531797136259444</v>
      </c>
      <c r="Z9" s="5">
        <f t="shared" si="8"/>
        <v>3.8083066852317051</v>
      </c>
      <c r="AA9" s="47">
        <f t="shared" si="9"/>
        <v>106.59015731043711</v>
      </c>
      <c r="AB9" s="47">
        <f t="shared" si="10"/>
        <v>94.280375610491816</v>
      </c>
      <c r="AC9" s="30">
        <f t="shared" si="11"/>
        <v>46.430215648139104</v>
      </c>
      <c r="AD9" s="74"/>
      <c r="AE9" s="3"/>
    </row>
    <row r="10" spans="1:31" ht="16.2" thickBot="1" x14ac:dyDescent="0.35">
      <c r="A10" s="80"/>
      <c r="B10" s="78"/>
      <c r="C10" s="82"/>
      <c r="D10" s="81"/>
      <c r="E10" s="77"/>
      <c r="F10" s="40">
        <v>44227</v>
      </c>
      <c r="G10" s="38">
        <v>47149</v>
      </c>
      <c r="H10" s="40">
        <v>44380</v>
      </c>
      <c r="I10" s="78"/>
      <c r="J10" s="40" t="s">
        <v>68</v>
      </c>
      <c r="K10" s="41">
        <v>100</v>
      </c>
      <c r="L10" s="41" t="s">
        <v>36</v>
      </c>
      <c r="M10" s="41">
        <v>15</v>
      </c>
      <c r="N10" s="41">
        <v>16</v>
      </c>
      <c r="O10" s="44">
        <v>6.6250000000000003E-2</v>
      </c>
      <c r="P10" s="78"/>
      <c r="Q10" s="44">
        <v>6.5920000000000006E-2</v>
      </c>
      <c r="R10" s="46">
        <f t="shared" si="0"/>
        <v>100.20264493981099</v>
      </c>
      <c r="S10" s="46">
        <f t="shared" si="1"/>
        <v>100.19282411702717</v>
      </c>
      <c r="T10" s="48">
        <f t="shared" si="2"/>
        <v>101.29998039413725</v>
      </c>
      <c r="U10" s="6">
        <f t="shared" si="3"/>
        <v>1.1225694444444445</v>
      </c>
      <c r="V10" s="48">
        <f t="shared" si="4"/>
        <v>100.1774109496928</v>
      </c>
      <c r="W10" s="50">
        <f t="shared" si="5"/>
        <v>3.2960000000000003E-2</v>
      </c>
      <c r="X10" s="52">
        <f t="shared" si="6"/>
        <v>3.7779207263622951</v>
      </c>
      <c r="Y10" s="6">
        <f t="shared" si="7"/>
        <v>3.7504019358481666</v>
      </c>
      <c r="Z10" s="6">
        <f t="shared" si="8"/>
        <v>3.8055289074539282</v>
      </c>
      <c r="AA10" s="48">
        <f t="shared" si="9"/>
        <v>106.59015731043711</v>
      </c>
      <c r="AB10" s="48">
        <f t="shared" si="10"/>
        <v>94.280375610491816</v>
      </c>
      <c r="AC10" s="39">
        <f t="shared" si="11"/>
        <v>46.430215648139104</v>
      </c>
      <c r="AD10" s="74"/>
      <c r="AE10" s="3"/>
    </row>
    <row r="11" spans="1:31" ht="15" thickBot="1" x14ac:dyDescent="0.35">
      <c r="A11" s="31"/>
      <c r="B11" s="32"/>
      <c r="C11" s="32"/>
      <c r="D11" s="7">
        <f>SUM(D2:D9)</f>
        <v>6599</v>
      </c>
      <c r="E11" s="7">
        <f>SUM(E2:E9)</f>
        <v>6419</v>
      </c>
      <c r="F11" s="6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3"/>
      <c r="X11" s="33"/>
      <c r="Y11" s="32"/>
      <c r="Z11" s="32"/>
      <c r="AA11" s="32"/>
      <c r="AB11" s="32"/>
      <c r="AC11" s="4"/>
    </row>
    <row r="13" spans="1:31" ht="15" thickBot="1" x14ac:dyDescent="0.35"/>
    <row r="14" spans="1:31" ht="15" thickBot="1" x14ac:dyDescent="0.35">
      <c r="A14" s="75" t="s">
        <v>69</v>
      </c>
      <c r="B14" s="76"/>
      <c r="C14" s="21">
        <f>AVERAGE(O2:O8)</f>
        <v>3.7392857142857151E-2</v>
      </c>
      <c r="E14" s="9" t="s">
        <v>1</v>
      </c>
      <c r="F14" s="19" t="s">
        <v>70</v>
      </c>
      <c r="G14" s="19" t="s">
        <v>71</v>
      </c>
      <c r="H14" s="19" t="s">
        <v>14</v>
      </c>
      <c r="I14" s="19" t="s">
        <v>83</v>
      </c>
      <c r="J14" s="28" t="s">
        <v>72</v>
      </c>
      <c r="Z14" s="8"/>
      <c r="AA14" s="8"/>
    </row>
    <row r="15" spans="1:31" ht="15" thickBot="1" x14ac:dyDescent="0.35">
      <c r="A15" s="75" t="s">
        <v>73</v>
      </c>
      <c r="B15" s="76"/>
      <c r="C15" s="10">
        <f>AVERAGE(Q2:Q8)</f>
        <v>4.1184285714285722E-2</v>
      </c>
      <c r="E15" s="11" t="s">
        <v>74</v>
      </c>
      <c r="F15" s="12">
        <v>145857.15</v>
      </c>
      <c r="G15" s="13">
        <f>F15/F22</f>
        <v>0.14585714999999999</v>
      </c>
      <c r="H15" s="20">
        <f>PRODUCT(O8,F15)</f>
        <v>9663.0361874999999</v>
      </c>
      <c r="I15" s="25">
        <f>PRODUCT(G15,X8)</f>
        <v>0.55184706757313418</v>
      </c>
      <c r="J15" s="14">
        <f>G15*AC8</f>
        <v>6.7721789283229716</v>
      </c>
    </row>
    <row r="16" spans="1:31" ht="15" thickBot="1" x14ac:dyDescent="0.35">
      <c r="A16" s="71" t="s">
        <v>75</v>
      </c>
      <c r="B16" s="73"/>
      <c r="C16" s="27">
        <f>SUM(I15:I21)</f>
        <v>5.1727097449261965</v>
      </c>
      <c r="E16" s="14" t="s">
        <v>76</v>
      </c>
      <c r="F16" s="15">
        <v>144857.15</v>
      </c>
      <c r="G16" s="16">
        <f>F16/F22</f>
        <v>0.14485714999999999</v>
      </c>
      <c r="H16" s="20">
        <f>PRODUCT(O7,F16)</f>
        <v>8981.1432999999997</v>
      </c>
      <c r="I16" s="25">
        <f>PRODUCT(G16,X7)</f>
        <v>0.61240348414733181</v>
      </c>
      <c r="J16" s="14">
        <f>G16*AC7</f>
        <v>8.3832423584700386</v>
      </c>
    </row>
    <row r="17" spans="1:26" ht="15" thickBot="1" x14ac:dyDescent="0.35">
      <c r="A17" s="71" t="s">
        <v>72</v>
      </c>
      <c r="B17" s="72"/>
      <c r="C17" s="7">
        <v>98.85</v>
      </c>
      <c r="E17" s="14" t="s">
        <v>77</v>
      </c>
      <c r="F17" s="15">
        <v>143857.14000000001</v>
      </c>
      <c r="G17" s="16">
        <f>F17/F22</f>
        <v>0.14385713999999999</v>
      </c>
      <c r="H17" s="20">
        <f>PRODUCT(O2,F17)</f>
        <v>5898.1427400000011</v>
      </c>
      <c r="I17" s="25">
        <f>PRODUCT(G17,X2)</f>
        <v>1.8488889931415227</v>
      </c>
      <c r="J17" s="14">
        <f>G17*AC2</f>
        <v>50.351926209801562</v>
      </c>
    </row>
    <row r="18" spans="1:26" ht="15" thickBot="1" x14ac:dyDescent="0.35">
      <c r="A18" s="71" t="s">
        <v>84</v>
      </c>
      <c r="B18" s="72"/>
      <c r="C18" s="60">
        <f>I22*0.01</f>
        <v>5.1727097449261968E-2</v>
      </c>
      <c r="E18" s="14" t="s">
        <v>78</v>
      </c>
      <c r="F18" s="15">
        <v>142857.14000000001</v>
      </c>
      <c r="G18" s="16">
        <f>F18/F22</f>
        <v>0.14285713999999999</v>
      </c>
      <c r="H18" s="20">
        <f>PRODUCT(O3,F18)</f>
        <v>4642.8570500000005</v>
      </c>
      <c r="I18" s="25">
        <f>PRODUCT(G18,X3)</f>
        <v>0.70883257287431278</v>
      </c>
      <c r="J18" s="14">
        <f>G18*AC3</f>
        <v>13.812212331405121</v>
      </c>
    </row>
    <row r="19" spans="1:26" x14ac:dyDescent="0.3">
      <c r="E19" s="14" t="s">
        <v>79</v>
      </c>
      <c r="F19" s="15">
        <v>141857.14000000001</v>
      </c>
      <c r="G19" s="16">
        <f>F19/F22</f>
        <v>0.14185713999999999</v>
      </c>
      <c r="H19" s="20">
        <f t="shared" ref="H19" si="12">PRODUCT(O6,F19)</f>
        <v>3546.4285000000004</v>
      </c>
      <c r="I19" s="25">
        <f t="shared" ref="I19" si="13">PRODUCT(G19,X6)</f>
        <v>0.71408463885638607</v>
      </c>
      <c r="J19" s="14">
        <f>G19*AC6</f>
        <v>12.337930817958865</v>
      </c>
    </row>
    <row r="20" spans="1:26" x14ac:dyDescent="0.3">
      <c r="E20" s="14" t="s">
        <v>80</v>
      </c>
      <c r="F20" s="15">
        <v>140857.14000000001</v>
      </c>
      <c r="G20" s="16">
        <f>F20/F22</f>
        <v>0.14085713999999999</v>
      </c>
      <c r="H20" s="20">
        <f>PRODUCT(O4,F20)</f>
        <v>2535.4285199999999</v>
      </c>
      <c r="I20" s="25">
        <f>PRODUCT(G20,X4)</f>
        <v>0.39880191964885242</v>
      </c>
      <c r="J20" s="14">
        <f>G20*AC4</f>
        <v>3.6065344710004679</v>
      </c>
    </row>
    <row r="21" spans="1:26" ht="15" thickBot="1" x14ac:dyDescent="0.35">
      <c r="E21" s="17" t="s">
        <v>81</v>
      </c>
      <c r="F21" s="18">
        <v>139857.14000000001</v>
      </c>
      <c r="G21" s="16">
        <f>F21/F22</f>
        <v>0.13985713999999999</v>
      </c>
      <c r="H21" s="20">
        <f>PRODUCT(O5,F21)</f>
        <v>2377.5713800000003</v>
      </c>
      <c r="I21" s="25">
        <f>PRODUCT(G21,X5)</f>
        <v>0.33785106868465553</v>
      </c>
      <c r="J21" s="14">
        <f>G21*AC5</f>
        <v>3.5901687123053816</v>
      </c>
    </row>
    <row r="22" spans="1:26" ht="15" thickBot="1" x14ac:dyDescent="0.35">
      <c r="E22" s="22" t="s">
        <v>82</v>
      </c>
      <c r="F22" s="59">
        <f>SUM(F15:F21)</f>
        <v>1000000.0000000001</v>
      </c>
      <c r="G22" s="23"/>
      <c r="H22" s="24">
        <f>AVERAGE(H15:H21)</f>
        <v>5377.8010967857144</v>
      </c>
      <c r="I22" s="26">
        <f>SUM(I15:I21)</f>
        <v>5.1727097449261965</v>
      </c>
      <c r="J22" s="58">
        <f>SUM(J15:J21)</f>
        <v>98.854193829264418</v>
      </c>
      <c r="Z22" s="1"/>
    </row>
    <row r="24" spans="1:26" x14ac:dyDescent="0.3">
      <c r="H24" s="2" t="s">
        <v>69</v>
      </c>
      <c r="I24" s="2" t="s">
        <v>75</v>
      </c>
    </row>
  </sheetData>
  <mergeCells count="13">
    <mergeCell ref="A18:B18"/>
    <mergeCell ref="A16:B16"/>
    <mergeCell ref="A17:B17"/>
    <mergeCell ref="AD8:AD10"/>
    <mergeCell ref="A14:B14"/>
    <mergeCell ref="A15:B15"/>
    <mergeCell ref="I8:I10"/>
    <mergeCell ref="P8:P10"/>
    <mergeCell ref="A8:A10"/>
    <mergeCell ref="B8:B10"/>
    <mergeCell ref="C8:C10"/>
    <mergeCell ref="D8:D10"/>
    <mergeCell ref="E8:E10"/>
  </mergeCells>
  <phoneticPr fontId="6" type="noConversion"/>
  <pageMargins left="0.7" right="0.7" top="0.75" bottom="0.75" header="0.3" footer="0.3"/>
  <ignoredErrors>
    <ignoredError sqref="C14:C1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9AEF-9F7C-4FDA-84E8-C62A8BF0B274}">
  <dimension ref="A1:W25"/>
  <sheetViews>
    <sheetView zoomScale="72" workbookViewId="0"/>
  </sheetViews>
  <sheetFormatPr defaultRowHeight="14.4" x14ac:dyDescent="0.3"/>
  <cols>
    <col min="1" max="1" width="22.6640625" bestFit="1" customWidth="1"/>
    <col min="2" max="2" width="12" bestFit="1" customWidth="1"/>
    <col min="3" max="3" width="41.5546875" bestFit="1" customWidth="1"/>
    <col min="4" max="4" width="5.33203125" bestFit="1" customWidth="1"/>
    <col min="5" max="5" width="6.77734375" bestFit="1" customWidth="1"/>
    <col min="6" max="6" width="14.88671875" bestFit="1" customWidth="1"/>
    <col min="7" max="7" width="20.21875" bestFit="1" customWidth="1"/>
    <col min="8" max="8" width="10.6640625" bestFit="1" customWidth="1"/>
    <col min="9" max="9" width="15.77734375" bestFit="1" customWidth="1"/>
    <col min="10" max="10" width="15.5546875" bestFit="1" customWidth="1"/>
    <col min="11" max="11" width="9.21875" bestFit="1" customWidth="1"/>
    <col min="12" max="12" width="25.88671875" bestFit="1" customWidth="1"/>
    <col min="13" max="13" width="11.21875" bestFit="1" customWidth="1"/>
    <col min="14" max="14" width="10" bestFit="1" customWidth="1"/>
    <col min="15" max="15" width="12.33203125" bestFit="1" customWidth="1"/>
    <col min="16" max="16" width="8.33203125" bestFit="1" customWidth="1"/>
    <col min="17" max="17" width="13.109375" bestFit="1" customWidth="1"/>
    <col min="18" max="18" width="11.88671875" bestFit="1" customWidth="1"/>
    <col min="19" max="19" width="8.21875" bestFit="1" customWidth="1"/>
    <col min="20" max="20" width="9.6640625" bestFit="1" customWidth="1"/>
    <col min="21" max="21" width="16.44140625" bestFit="1" customWidth="1"/>
    <col min="22" max="22" width="10.33203125" bestFit="1" customWidth="1"/>
  </cols>
  <sheetData>
    <row r="1" spans="1:23" ht="31.8" thickBot="1" x14ac:dyDescent="0.35">
      <c r="A1" s="62" t="s">
        <v>85</v>
      </c>
      <c r="B1" s="62" t="s">
        <v>0</v>
      </c>
      <c r="C1" s="62" t="s">
        <v>1</v>
      </c>
      <c r="D1" s="62" t="s">
        <v>86</v>
      </c>
      <c r="E1" s="63" t="s">
        <v>2</v>
      </c>
      <c r="F1" s="62" t="s">
        <v>87</v>
      </c>
      <c r="G1" s="62" t="s">
        <v>88</v>
      </c>
      <c r="H1" s="62" t="s">
        <v>5</v>
      </c>
      <c r="I1" s="62" t="s">
        <v>6</v>
      </c>
      <c r="J1" s="62" t="s">
        <v>7</v>
      </c>
      <c r="K1" s="62" t="s">
        <v>13</v>
      </c>
      <c r="L1" s="62" t="s">
        <v>8</v>
      </c>
      <c r="M1" s="62" t="s">
        <v>9</v>
      </c>
      <c r="N1" s="62" t="s">
        <v>10</v>
      </c>
      <c r="O1" s="62" t="s">
        <v>11</v>
      </c>
      <c r="P1" s="62" t="s">
        <v>14</v>
      </c>
      <c r="Q1" s="62" t="s">
        <v>15</v>
      </c>
      <c r="R1" s="62" t="s">
        <v>16</v>
      </c>
      <c r="S1" s="62" t="s">
        <v>109</v>
      </c>
      <c r="T1" s="62" t="s">
        <v>19</v>
      </c>
      <c r="U1" s="62" t="s">
        <v>20</v>
      </c>
      <c r="V1" s="64" t="s">
        <v>108</v>
      </c>
    </row>
    <row r="2" spans="1:23" ht="15.6" x14ac:dyDescent="0.3">
      <c r="A2" s="83" t="s">
        <v>89</v>
      </c>
      <c r="B2" s="83" t="s">
        <v>90</v>
      </c>
      <c r="C2" s="83" t="s">
        <v>91</v>
      </c>
      <c r="D2" s="83" t="s">
        <v>92</v>
      </c>
      <c r="E2" s="84" t="s">
        <v>93</v>
      </c>
      <c r="F2" s="83">
        <v>1725</v>
      </c>
      <c r="G2" s="83">
        <v>589</v>
      </c>
      <c r="H2" s="85">
        <v>43965</v>
      </c>
      <c r="I2" s="85">
        <v>54742</v>
      </c>
      <c r="J2" s="67">
        <v>43971</v>
      </c>
      <c r="K2" s="91">
        <v>57</v>
      </c>
      <c r="L2" s="83" t="s">
        <v>94</v>
      </c>
      <c r="M2" s="67">
        <v>54011</v>
      </c>
      <c r="N2" s="65">
        <v>100</v>
      </c>
      <c r="O2" s="69" t="s">
        <v>95</v>
      </c>
      <c r="P2" s="70">
        <v>5.1749999999999997E-2</v>
      </c>
      <c r="Q2" s="83" t="s">
        <v>37</v>
      </c>
      <c r="R2" s="70">
        <v>5.475E-2</v>
      </c>
      <c r="S2" s="92">
        <f>-PV(R2/2,K2,(P2*100)/2,100,0)</f>
        <v>95.695944745807637</v>
      </c>
      <c r="T2" s="94">
        <f>S2*(1+R2/2)^(5/184)</f>
        <v>95.76620043838065</v>
      </c>
      <c r="U2" s="96">
        <f>(5/184)*(P2*100)/2</f>
        <v>7.03125E-2</v>
      </c>
      <c r="V2" s="94">
        <f>T2-U2</f>
        <v>95.69588793838065</v>
      </c>
      <c r="W2" s="61"/>
    </row>
    <row r="3" spans="1:23" ht="15.6" x14ac:dyDescent="0.3">
      <c r="A3" s="83"/>
      <c r="B3" s="83"/>
      <c r="C3" s="83"/>
      <c r="D3" s="83"/>
      <c r="E3" s="84"/>
      <c r="F3" s="83"/>
      <c r="G3" s="83"/>
      <c r="H3" s="85"/>
      <c r="I3" s="85"/>
      <c r="J3" s="67">
        <v>43971</v>
      </c>
      <c r="K3" s="83"/>
      <c r="L3" s="83"/>
      <c r="M3" s="67">
        <v>54377</v>
      </c>
      <c r="N3" s="65">
        <v>100</v>
      </c>
      <c r="O3" s="69" t="s">
        <v>95</v>
      </c>
      <c r="P3" s="70">
        <v>5.1749999999999997E-2</v>
      </c>
      <c r="Q3" s="83"/>
      <c r="R3" s="70">
        <v>5.475E-2</v>
      </c>
      <c r="S3" s="93"/>
      <c r="T3" s="95"/>
      <c r="U3" s="97"/>
      <c r="V3" s="95"/>
      <c r="W3" s="61"/>
    </row>
    <row r="4" spans="1:23" ht="31.2" x14ac:dyDescent="0.3">
      <c r="A4" s="83"/>
      <c r="B4" s="83"/>
      <c r="C4" s="83"/>
      <c r="D4" s="83"/>
      <c r="E4" s="84"/>
      <c r="F4" s="83"/>
      <c r="G4" s="83"/>
      <c r="H4" s="85"/>
      <c r="I4" s="85"/>
      <c r="J4" s="67">
        <v>43971</v>
      </c>
      <c r="K4" s="83"/>
      <c r="L4" s="83"/>
      <c r="M4" s="67">
        <v>54742</v>
      </c>
      <c r="N4" s="65">
        <v>100</v>
      </c>
      <c r="O4" s="69" t="s">
        <v>96</v>
      </c>
      <c r="P4" s="70">
        <v>5.1749999999999997E-2</v>
      </c>
      <c r="Q4" s="83"/>
      <c r="R4" s="70">
        <v>5.475E-2</v>
      </c>
      <c r="S4" s="93"/>
      <c r="T4" s="95"/>
      <c r="U4" s="97"/>
      <c r="V4" s="95"/>
      <c r="W4" s="61"/>
    </row>
    <row r="5" spans="1:23" ht="15.6" x14ac:dyDescent="0.3">
      <c r="A5" s="83" t="s">
        <v>97</v>
      </c>
      <c r="B5" s="83" t="s">
        <v>98</v>
      </c>
      <c r="C5" s="83" t="s">
        <v>99</v>
      </c>
      <c r="D5" s="83" t="s">
        <v>100</v>
      </c>
      <c r="E5" s="84" t="s">
        <v>101</v>
      </c>
      <c r="F5" s="83">
        <v>2147</v>
      </c>
      <c r="G5" s="83">
        <v>600</v>
      </c>
      <c r="H5" s="85">
        <v>43215</v>
      </c>
      <c r="I5" s="85">
        <v>48670</v>
      </c>
      <c r="J5" s="85">
        <v>43218</v>
      </c>
      <c r="K5" s="83">
        <v>30</v>
      </c>
      <c r="L5" s="83" t="s">
        <v>102</v>
      </c>
      <c r="M5" s="67">
        <v>46844</v>
      </c>
      <c r="N5" s="65">
        <v>100</v>
      </c>
      <c r="O5" s="83" t="s">
        <v>36</v>
      </c>
      <c r="P5" s="105">
        <v>4.4999999999999998E-2</v>
      </c>
      <c r="Q5" s="83" t="s">
        <v>37</v>
      </c>
      <c r="R5" s="103">
        <v>4.6199999999999998E-2</v>
      </c>
      <c r="S5" s="93">
        <f>-PV(R5/2,K5,(P5*100)/2,100,0)</f>
        <v>98.711769469760668</v>
      </c>
      <c r="T5" s="89">
        <f>S5*(1+R5/2)^(3/184)</f>
        <v>98.74853126613823</v>
      </c>
      <c r="U5" s="97">
        <f>(3/184)*(P5*100)/2</f>
        <v>3.6684782608695649E-2</v>
      </c>
      <c r="V5" s="89">
        <f>T5-U5</f>
        <v>98.711846483529527</v>
      </c>
    </row>
    <row r="6" spans="1:23" ht="15.6" x14ac:dyDescent="0.3">
      <c r="A6" s="83"/>
      <c r="B6" s="83"/>
      <c r="C6" s="83"/>
      <c r="D6" s="83"/>
      <c r="E6" s="84"/>
      <c r="F6" s="83"/>
      <c r="G6" s="83"/>
      <c r="H6" s="85"/>
      <c r="I6" s="85"/>
      <c r="J6" s="85"/>
      <c r="K6" s="83"/>
      <c r="L6" s="83"/>
      <c r="M6" s="67">
        <v>47209</v>
      </c>
      <c r="N6" s="65">
        <v>100</v>
      </c>
      <c r="O6" s="83"/>
      <c r="P6" s="105"/>
      <c r="Q6" s="83"/>
      <c r="R6" s="103"/>
      <c r="S6" s="93"/>
      <c r="T6" s="89"/>
      <c r="U6" s="97"/>
      <c r="V6" s="89"/>
    </row>
    <row r="7" spans="1:23" ht="15.6" x14ac:dyDescent="0.3">
      <c r="A7" s="83"/>
      <c r="B7" s="83"/>
      <c r="C7" s="83"/>
      <c r="D7" s="83"/>
      <c r="E7" s="84"/>
      <c r="F7" s="83"/>
      <c r="G7" s="83"/>
      <c r="H7" s="85"/>
      <c r="I7" s="85"/>
      <c r="J7" s="85"/>
      <c r="K7" s="83"/>
      <c r="L7" s="83"/>
      <c r="M7" s="67">
        <v>47574</v>
      </c>
      <c r="N7" s="65">
        <v>100</v>
      </c>
      <c r="O7" s="83"/>
      <c r="P7" s="105"/>
      <c r="Q7" s="83"/>
      <c r="R7" s="103"/>
      <c r="S7" s="93"/>
      <c r="T7" s="89"/>
      <c r="U7" s="97"/>
      <c r="V7" s="89"/>
    </row>
    <row r="8" spans="1:23" ht="15.6" x14ac:dyDescent="0.3">
      <c r="A8" s="83"/>
      <c r="B8" s="83"/>
      <c r="C8" s="83"/>
      <c r="D8" s="83"/>
      <c r="E8" s="84"/>
      <c r="F8" s="83"/>
      <c r="G8" s="83"/>
      <c r="H8" s="85"/>
      <c r="I8" s="85"/>
      <c r="J8" s="85"/>
      <c r="K8" s="83"/>
      <c r="L8" s="83"/>
      <c r="M8" s="67">
        <v>47939</v>
      </c>
      <c r="N8" s="65">
        <v>100</v>
      </c>
      <c r="O8" s="83"/>
      <c r="P8" s="105"/>
      <c r="Q8" s="83"/>
      <c r="R8" s="103"/>
      <c r="S8" s="93"/>
      <c r="T8" s="89"/>
      <c r="U8" s="97"/>
      <c r="V8" s="89"/>
    </row>
    <row r="9" spans="1:23" ht="15.6" x14ac:dyDescent="0.3">
      <c r="A9" s="83"/>
      <c r="B9" s="83"/>
      <c r="C9" s="83"/>
      <c r="D9" s="83"/>
      <c r="E9" s="84"/>
      <c r="F9" s="83"/>
      <c r="G9" s="83"/>
      <c r="H9" s="85"/>
      <c r="I9" s="85"/>
      <c r="J9" s="85"/>
      <c r="K9" s="83"/>
      <c r="L9" s="83"/>
      <c r="M9" s="67">
        <v>48305</v>
      </c>
      <c r="N9" s="65">
        <v>100</v>
      </c>
      <c r="O9" s="83"/>
      <c r="P9" s="105"/>
      <c r="Q9" s="83"/>
      <c r="R9" s="103"/>
      <c r="S9" s="93"/>
      <c r="T9" s="89"/>
      <c r="U9" s="97"/>
      <c r="V9" s="89"/>
    </row>
    <row r="10" spans="1:23" ht="15.6" x14ac:dyDescent="0.3">
      <c r="A10" s="83" t="s">
        <v>103</v>
      </c>
      <c r="B10" s="83" t="s">
        <v>104</v>
      </c>
      <c r="C10" s="83" t="s">
        <v>105</v>
      </c>
      <c r="D10" s="83" t="s">
        <v>100</v>
      </c>
      <c r="E10" s="84" t="s">
        <v>106</v>
      </c>
      <c r="F10" s="83">
        <v>300</v>
      </c>
      <c r="G10" s="83">
        <v>300</v>
      </c>
      <c r="H10" s="85">
        <v>44434</v>
      </c>
      <c r="I10" s="85">
        <v>53905</v>
      </c>
      <c r="J10" s="85">
        <v>44440</v>
      </c>
      <c r="K10" s="83">
        <v>52</v>
      </c>
      <c r="L10" s="83" t="s">
        <v>107</v>
      </c>
      <c r="M10" s="67">
        <v>48061</v>
      </c>
      <c r="N10" s="65">
        <v>100</v>
      </c>
      <c r="O10" s="83" t="s">
        <v>36</v>
      </c>
      <c r="P10" s="98">
        <v>0.05</v>
      </c>
      <c r="Q10" s="83" t="s">
        <v>37</v>
      </c>
      <c r="R10" s="103">
        <v>4.6429999999999999E-2</v>
      </c>
      <c r="S10" s="100">
        <f>-PV(R10/2,K10,(P10*100)/2,100,0)</f>
        <v>105.35773355443875</v>
      </c>
      <c r="T10" s="89">
        <f>S10*(1+R10/2)^(6/181)</f>
        <v>105.43791613162998</v>
      </c>
      <c r="U10" s="97">
        <f>(6/181)*(P10*100)/2</f>
        <v>8.2872928176795577E-2</v>
      </c>
      <c r="V10" s="89">
        <f t="shared" ref="V10" si="0">T10-U10</f>
        <v>105.35504320345318</v>
      </c>
    </row>
    <row r="11" spans="1:23" ht="15.6" x14ac:dyDescent="0.3">
      <c r="A11" s="83"/>
      <c r="B11" s="83"/>
      <c r="C11" s="83"/>
      <c r="D11" s="83"/>
      <c r="E11" s="84"/>
      <c r="F11" s="83"/>
      <c r="G11" s="83"/>
      <c r="H11" s="85"/>
      <c r="I11" s="85"/>
      <c r="J11" s="85"/>
      <c r="K11" s="83"/>
      <c r="L11" s="83"/>
      <c r="M11" s="67">
        <v>48427</v>
      </c>
      <c r="N11" s="65">
        <v>100</v>
      </c>
      <c r="O11" s="83"/>
      <c r="P11" s="98"/>
      <c r="Q11" s="83"/>
      <c r="R11" s="103"/>
      <c r="S11" s="100"/>
      <c r="T11" s="89"/>
      <c r="U11" s="97"/>
      <c r="V11" s="89"/>
    </row>
    <row r="12" spans="1:23" ht="15.6" x14ac:dyDescent="0.3">
      <c r="A12" s="83"/>
      <c r="B12" s="83"/>
      <c r="C12" s="83"/>
      <c r="D12" s="83"/>
      <c r="E12" s="84"/>
      <c r="F12" s="83"/>
      <c r="G12" s="83"/>
      <c r="H12" s="85"/>
      <c r="I12" s="85"/>
      <c r="J12" s="85"/>
      <c r="K12" s="83"/>
      <c r="L12" s="83"/>
      <c r="M12" s="67">
        <v>48792</v>
      </c>
      <c r="N12" s="65">
        <v>100</v>
      </c>
      <c r="O12" s="83"/>
      <c r="P12" s="98"/>
      <c r="Q12" s="83"/>
      <c r="R12" s="103"/>
      <c r="S12" s="100"/>
      <c r="T12" s="89"/>
      <c r="U12" s="97"/>
      <c r="V12" s="89"/>
    </row>
    <row r="13" spans="1:23" ht="15.6" x14ac:dyDescent="0.3">
      <c r="A13" s="83"/>
      <c r="B13" s="83"/>
      <c r="C13" s="83"/>
      <c r="D13" s="83"/>
      <c r="E13" s="84"/>
      <c r="F13" s="83"/>
      <c r="G13" s="83"/>
      <c r="H13" s="85"/>
      <c r="I13" s="85"/>
      <c r="J13" s="85"/>
      <c r="K13" s="83"/>
      <c r="L13" s="83"/>
      <c r="M13" s="67">
        <v>49157</v>
      </c>
      <c r="N13" s="65">
        <v>100</v>
      </c>
      <c r="O13" s="83"/>
      <c r="P13" s="98"/>
      <c r="Q13" s="83"/>
      <c r="R13" s="103"/>
      <c r="S13" s="100"/>
      <c r="T13" s="89"/>
      <c r="U13" s="97"/>
      <c r="V13" s="89"/>
    </row>
    <row r="14" spans="1:23" ht="15.6" x14ac:dyDescent="0.3">
      <c r="A14" s="83"/>
      <c r="B14" s="83"/>
      <c r="C14" s="83"/>
      <c r="D14" s="83"/>
      <c r="E14" s="84"/>
      <c r="F14" s="83"/>
      <c r="G14" s="83"/>
      <c r="H14" s="85"/>
      <c r="I14" s="85"/>
      <c r="J14" s="85"/>
      <c r="K14" s="83"/>
      <c r="L14" s="83"/>
      <c r="M14" s="67">
        <v>49522</v>
      </c>
      <c r="N14" s="65">
        <v>100</v>
      </c>
      <c r="O14" s="83"/>
      <c r="P14" s="98"/>
      <c r="Q14" s="83"/>
      <c r="R14" s="103"/>
      <c r="S14" s="100"/>
      <c r="T14" s="89"/>
      <c r="U14" s="97"/>
      <c r="V14" s="89"/>
    </row>
    <row r="15" spans="1:23" ht="15.6" x14ac:dyDescent="0.3">
      <c r="A15" s="83"/>
      <c r="B15" s="83"/>
      <c r="C15" s="83"/>
      <c r="D15" s="83"/>
      <c r="E15" s="84"/>
      <c r="F15" s="83"/>
      <c r="G15" s="83"/>
      <c r="H15" s="85"/>
      <c r="I15" s="85"/>
      <c r="J15" s="85"/>
      <c r="K15" s="83"/>
      <c r="L15" s="83"/>
      <c r="M15" s="67">
        <v>49888</v>
      </c>
      <c r="N15" s="65">
        <v>100</v>
      </c>
      <c r="O15" s="83"/>
      <c r="P15" s="98"/>
      <c r="Q15" s="83"/>
      <c r="R15" s="103"/>
      <c r="S15" s="100"/>
      <c r="T15" s="89"/>
      <c r="U15" s="97"/>
      <c r="V15" s="89"/>
    </row>
    <row r="16" spans="1:23" ht="15.6" x14ac:dyDescent="0.3">
      <c r="A16" s="83"/>
      <c r="B16" s="83"/>
      <c r="C16" s="83"/>
      <c r="D16" s="83"/>
      <c r="E16" s="84"/>
      <c r="F16" s="83"/>
      <c r="G16" s="83"/>
      <c r="H16" s="85"/>
      <c r="I16" s="85"/>
      <c r="J16" s="85"/>
      <c r="K16" s="83"/>
      <c r="L16" s="83"/>
      <c r="M16" s="67">
        <v>50253</v>
      </c>
      <c r="N16" s="65">
        <v>100</v>
      </c>
      <c r="O16" s="83"/>
      <c r="P16" s="98"/>
      <c r="Q16" s="83"/>
      <c r="R16" s="103"/>
      <c r="S16" s="100"/>
      <c r="T16" s="89"/>
      <c r="U16" s="97"/>
      <c r="V16" s="89"/>
    </row>
    <row r="17" spans="1:22" ht="15.6" x14ac:dyDescent="0.3">
      <c r="A17" s="83"/>
      <c r="B17" s="83"/>
      <c r="C17" s="83"/>
      <c r="D17" s="83"/>
      <c r="E17" s="84"/>
      <c r="F17" s="83"/>
      <c r="G17" s="83"/>
      <c r="H17" s="85"/>
      <c r="I17" s="85"/>
      <c r="J17" s="85"/>
      <c r="K17" s="83"/>
      <c r="L17" s="83"/>
      <c r="M17" s="67">
        <v>50618</v>
      </c>
      <c r="N17" s="65">
        <v>100</v>
      </c>
      <c r="O17" s="83"/>
      <c r="P17" s="98"/>
      <c r="Q17" s="83"/>
      <c r="R17" s="103"/>
      <c r="S17" s="100"/>
      <c r="T17" s="89"/>
      <c r="U17" s="97"/>
      <c r="V17" s="89"/>
    </row>
    <row r="18" spans="1:22" ht="15.6" x14ac:dyDescent="0.3">
      <c r="A18" s="83"/>
      <c r="B18" s="83"/>
      <c r="C18" s="83"/>
      <c r="D18" s="83"/>
      <c r="E18" s="84"/>
      <c r="F18" s="83"/>
      <c r="G18" s="83"/>
      <c r="H18" s="85"/>
      <c r="I18" s="85"/>
      <c r="J18" s="85"/>
      <c r="K18" s="83"/>
      <c r="L18" s="83"/>
      <c r="M18" s="67">
        <v>50983</v>
      </c>
      <c r="N18" s="65">
        <v>100</v>
      </c>
      <c r="O18" s="83"/>
      <c r="P18" s="98"/>
      <c r="Q18" s="83"/>
      <c r="R18" s="103"/>
      <c r="S18" s="100"/>
      <c r="T18" s="89"/>
      <c r="U18" s="97"/>
      <c r="V18" s="89"/>
    </row>
    <row r="19" spans="1:22" ht="15.6" x14ac:dyDescent="0.3">
      <c r="A19" s="83"/>
      <c r="B19" s="83"/>
      <c r="C19" s="83"/>
      <c r="D19" s="83"/>
      <c r="E19" s="84"/>
      <c r="F19" s="83"/>
      <c r="G19" s="83"/>
      <c r="H19" s="85"/>
      <c r="I19" s="85"/>
      <c r="J19" s="85"/>
      <c r="K19" s="83"/>
      <c r="L19" s="83"/>
      <c r="M19" s="67">
        <v>51349</v>
      </c>
      <c r="N19" s="65">
        <v>100</v>
      </c>
      <c r="O19" s="83"/>
      <c r="P19" s="98"/>
      <c r="Q19" s="83"/>
      <c r="R19" s="103"/>
      <c r="S19" s="100"/>
      <c r="T19" s="89"/>
      <c r="U19" s="97"/>
      <c r="V19" s="89"/>
    </row>
    <row r="20" spans="1:22" ht="15.6" x14ac:dyDescent="0.3">
      <c r="A20" s="83"/>
      <c r="B20" s="83"/>
      <c r="C20" s="83"/>
      <c r="D20" s="83"/>
      <c r="E20" s="84"/>
      <c r="F20" s="83"/>
      <c r="G20" s="83"/>
      <c r="H20" s="85"/>
      <c r="I20" s="85"/>
      <c r="J20" s="85"/>
      <c r="K20" s="83"/>
      <c r="L20" s="83"/>
      <c r="M20" s="67">
        <v>51714</v>
      </c>
      <c r="N20" s="65">
        <v>100</v>
      </c>
      <c r="O20" s="83"/>
      <c r="P20" s="98"/>
      <c r="Q20" s="83"/>
      <c r="R20" s="103"/>
      <c r="S20" s="100"/>
      <c r="T20" s="89"/>
      <c r="U20" s="97"/>
      <c r="V20" s="89"/>
    </row>
    <row r="21" spans="1:22" ht="15.6" x14ac:dyDescent="0.3">
      <c r="A21" s="83"/>
      <c r="B21" s="83"/>
      <c r="C21" s="83"/>
      <c r="D21" s="83"/>
      <c r="E21" s="84"/>
      <c r="F21" s="83"/>
      <c r="G21" s="83"/>
      <c r="H21" s="85"/>
      <c r="I21" s="85"/>
      <c r="J21" s="85"/>
      <c r="K21" s="83"/>
      <c r="L21" s="83"/>
      <c r="M21" s="67">
        <v>52079</v>
      </c>
      <c r="N21" s="65">
        <v>100</v>
      </c>
      <c r="O21" s="83"/>
      <c r="P21" s="98"/>
      <c r="Q21" s="83"/>
      <c r="R21" s="103"/>
      <c r="S21" s="100"/>
      <c r="T21" s="89"/>
      <c r="U21" s="97"/>
      <c r="V21" s="89"/>
    </row>
    <row r="22" spans="1:22" ht="15.6" x14ac:dyDescent="0.3">
      <c r="A22" s="83"/>
      <c r="B22" s="83"/>
      <c r="C22" s="83"/>
      <c r="D22" s="83"/>
      <c r="E22" s="84"/>
      <c r="F22" s="83"/>
      <c r="G22" s="83"/>
      <c r="H22" s="85"/>
      <c r="I22" s="85"/>
      <c r="J22" s="85"/>
      <c r="K22" s="83"/>
      <c r="L22" s="83"/>
      <c r="M22" s="67">
        <v>52444</v>
      </c>
      <c r="N22" s="65">
        <v>100</v>
      </c>
      <c r="O22" s="83"/>
      <c r="P22" s="98"/>
      <c r="Q22" s="83"/>
      <c r="R22" s="103"/>
      <c r="S22" s="100"/>
      <c r="T22" s="89"/>
      <c r="U22" s="97"/>
      <c r="V22" s="89"/>
    </row>
    <row r="23" spans="1:22" ht="15.6" x14ac:dyDescent="0.3">
      <c r="A23" s="83"/>
      <c r="B23" s="83"/>
      <c r="C23" s="83"/>
      <c r="D23" s="83"/>
      <c r="E23" s="84"/>
      <c r="F23" s="83"/>
      <c r="G23" s="83"/>
      <c r="H23" s="85"/>
      <c r="I23" s="85"/>
      <c r="J23" s="85"/>
      <c r="K23" s="83"/>
      <c r="L23" s="83"/>
      <c r="M23" s="67">
        <v>52810</v>
      </c>
      <c r="N23" s="65">
        <v>100</v>
      </c>
      <c r="O23" s="83"/>
      <c r="P23" s="98"/>
      <c r="Q23" s="83"/>
      <c r="R23" s="103"/>
      <c r="S23" s="100"/>
      <c r="T23" s="89"/>
      <c r="U23" s="97"/>
      <c r="V23" s="89"/>
    </row>
    <row r="24" spans="1:22" ht="15.6" x14ac:dyDescent="0.3">
      <c r="A24" s="83"/>
      <c r="B24" s="83"/>
      <c r="C24" s="83"/>
      <c r="D24" s="83"/>
      <c r="E24" s="84"/>
      <c r="F24" s="83"/>
      <c r="G24" s="83"/>
      <c r="H24" s="85"/>
      <c r="I24" s="85"/>
      <c r="J24" s="85"/>
      <c r="K24" s="83"/>
      <c r="L24" s="83"/>
      <c r="M24" s="67">
        <v>53175</v>
      </c>
      <c r="N24" s="65">
        <v>100</v>
      </c>
      <c r="O24" s="83"/>
      <c r="P24" s="98"/>
      <c r="Q24" s="83"/>
      <c r="R24" s="103"/>
      <c r="S24" s="100"/>
      <c r="T24" s="89"/>
      <c r="U24" s="97"/>
      <c r="V24" s="89"/>
    </row>
    <row r="25" spans="1:22" ht="16.2" thickBot="1" x14ac:dyDescent="0.35">
      <c r="A25" s="86"/>
      <c r="B25" s="86"/>
      <c r="C25" s="86"/>
      <c r="D25" s="86"/>
      <c r="E25" s="88"/>
      <c r="F25" s="86"/>
      <c r="G25" s="86"/>
      <c r="H25" s="87"/>
      <c r="I25" s="87"/>
      <c r="J25" s="87"/>
      <c r="K25" s="86"/>
      <c r="L25" s="86"/>
      <c r="M25" s="68">
        <v>53540</v>
      </c>
      <c r="N25" s="66">
        <v>100</v>
      </c>
      <c r="O25" s="86"/>
      <c r="P25" s="99"/>
      <c r="Q25" s="86"/>
      <c r="R25" s="104"/>
      <c r="S25" s="101"/>
      <c r="T25" s="90"/>
      <c r="U25" s="102"/>
      <c r="V25" s="90"/>
    </row>
  </sheetData>
  <mergeCells count="56">
    <mergeCell ref="J5:J9"/>
    <mergeCell ref="J10:J25"/>
    <mergeCell ref="S10:S25"/>
    <mergeCell ref="T10:T25"/>
    <mergeCell ref="U10:U25"/>
    <mergeCell ref="R10:R25"/>
    <mergeCell ref="L5:L9"/>
    <mergeCell ref="P5:P9"/>
    <mergeCell ref="Q5:Q9"/>
    <mergeCell ref="R5:R9"/>
    <mergeCell ref="V10:V25"/>
    <mergeCell ref="K2:K4"/>
    <mergeCell ref="K5:K9"/>
    <mergeCell ref="K10:K25"/>
    <mergeCell ref="S2:S4"/>
    <mergeCell ref="T2:T4"/>
    <mergeCell ref="U2:U4"/>
    <mergeCell ref="V2:V4"/>
    <mergeCell ref="S5:S9"/>
    <mergeCell ref="T5:T9"/>
    <mergeCell ref="U5:U9"/>
    <mergeCell ref="V5:V9"/>
    <mergeCell ref="O10:O25"/>
    <mergeCell ref="L10:L25"/>
    <mergeCell ref="P10:P25"/>
    <mergeCell ref="Q10:Q25"/>
    <mergeCell ref="D10:D25"/>
    <mergeCell ref="C10:C25"/>
    <mergeCell ref="B10:B25"/>
    <mergeCell ref="A10:A25"/>
    <mergeCell ref="I10:I25"/>
    <mergeCell ref="H10:H25"/>
    <mergeCell ref="G10:G25"/>
    <mergeCell ref="F10:F25"/>
    <mergeCell ref="E10:E25"/>
    <mergeCell ref="A2:A4"/>
    <mergeCell ref="B2:B4"/>
    <mergeCell ref="C2:C4"/>
    <mergeCell ref="D2:D4"/>
    <mergeCell ref="E2:E4"/>
    <mergeCell ref="L2:L4"/>
    <mergeCell ref="Q2:Q4"/>
    <mergeCell ref="O5:O9"/>
    <mergeCell ref="A5:A9"/>
    <mergeCell ref="B5:B9"/>
    <mergeCell ref="C5:C9"/>
    <mergeCell ref="D5:D9"/>
    <mergeCell ref="E5:E9"/>
    <mergeCell ref="F5:F9"/>
    <mergeCell ref="G5:G9"/>
    <mergeCell ref="H5:H9"/>
    <mergeCell ref="I5:I9"/>
    <mergeCell ref="G2:G4"/>
    <mergeCell ref="H2:H4"/>
    <mergeCell ref="I2:I4"/>
    <mergeCell ref="F2:F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CORPORATE BOND</vt:lpstr>
      <vt:lpstr>MUNICIPAL BOND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Rajas Koranne</dc:creator>
  <cp:keywords/>
  <dc:description/>
  <cp:lastModifiedBy>Rajas Koranne</cp:lastModifiedBy>
  <cp:revision/>
  <dcterms:created xsi:type="dcterms:W3CDTF">2024-04-24T01:59:15Z</dcterms:created>
  <dcterms:modified xsi:type="dcterms:W3CDTF">2025-04-23T20:21:27Z</dcterms:modified>
  <cp:category/>
  <cp:contentStatus/>
</cp:coreProperties>
</file>