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54d43c501d0a7b/Documents/"/>
    </mc:Choice>
  </mc:AlternateContent>
  <xr:revisionPtr revIDLastSave="1406" documentId="8_{5BE05C5E-1D85-4D9F-8BD7-05094203310E}" xr6:coauthVersionLast="47" xr6:coauthVersionMax="47" xr10:uidLastSave="{D00B3C1D-2DE8-45D1-B320-E8901C0EE0B8}"/>
  <bookViews>
    <workbookView xWindow="-108" yWindow="-108" windowWidth="23256" windowHeight="12456" firstSheet="2" activeTab="4" xr2:uid="{CEEEE212-CE56-427A-B1F1-C1EC62FE5949}"/>
  </bookViews>
  <sheets>
    <sheet name="log_returns_2019_2024" sheetId="1" state="hidden" r:id="rId1"/>
    <sheet name="Sheet1" sheetId="2" state="hidden" r:id="rId2"/>
    <sheet name="Introduction" sheetId="6" r:id="rId3"/>
    <sheet name="Tech" sheetId="5" r:id="rId4"/>
    <sheet name="Finance" sheetId="4" r:id="rId5"/>
  </sheets>
  <definedNames>
    <definedName name="solver_adj" localSheetId="0" hidden="1">log_returns_2019_2024!$A$68:$C$68</definedName>
    <definedName name="solver_adj" localSheetId="1" hidden="1">Sheet1!$A$68:$F$68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log_returns_2019_2024!$D$68</definedName>
    <definedName name="solver_opt" localSheetId="1" hidden="1">Sheet1!$I$68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1</definedName>
    <definedName name="solver_val" localSheetId="1" hidden="1">1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5" l="1"/>
  <c r="D36" i="5" s="1"/>
  <c r="R8" i="5" s="1"/>
  <c r="N20" i="5"/>
  <c r="J20" i="5"/>
  <c r="K20" i="5" s="1"/>
  <c r="N19" i="5"/>
  <c r="J19" i="5"/>
  <c r="N18" i="5"/>
  <c r="K18" i="5"/>
  <c r="J18" i="5"/>
  <c r="L18" i="5" s="1"/>
  <c r="N17" i="5"/>
  <c r="L17" i="5"/>
  <c r="K17" i="5"/>
  <c r="J17" i="5"/>
  <c r="N16" i="5"/>
  <c r="J16" i="5"/>
  <c r="N15" i="5"/>
  <c r="J15" i="5"/>
  <c r="L15" i="5" s="1"/>
  <c r="N14" i="5"/>
  <c r="J14" i="5"/>
  <c r="N13" i="5"/>
  <c r="J13" i="5"/>
  <c r="K12" i="5" s="1"/>
  <c r="N12" i="5"/>
  <c r="J12" i="5"/>
  <c r="L12" i="5" s="1"/>
  <c r="J11" i="5"/>
  <c r="J10" i="5"/>
  <c r="L10" i="5" s="1"/>
  <c r="J9" i="5"/>
  <c r="L9" i="5" s="1"/>
  <c r="J8" i="5"/>
  <c r="L8" i="5" s="1"/>
  <c r="J7" i="5"/>
  <c r="J6" i="5"/>
  <c r="L5" i="5"/>
  <c r="J5" i="5"/>
  <c r="K5" i="5" s="1"/>
  <c r="J4" i="5"/>
  <c r="L4" i="5" s="1"/>
  <c r="J3" i="5"/>
  <c r="AK2" i="5" a="1"/>
  <c r="AK2" i="5" s="1"/>
  <c r="AI2" i="5"/>
  <c r="J2" i="5"/>
  <c r="Y2" i="4"/>
  <c r="V2" i="4"/>
  <c r="D34" i="4"/>
  <c r="D36" i="4"/>
  <c r="AN2" i="4"/>
  <c r="AP2" i="4"/>
  <c r="AQ2" i="4" s="1"/>
  <c r="L7" i="5" l="1"/>
  <c r="K7" i="5"/>
  <c r="F40" i="5"/>
  <c r="L3" i="5"/>
  <c r="R13" i="5"/>
  <c r="M3" i="5"/>
  <c r="M20" i="5"/>
  <c r="M15" i="5"/>
  <c r="M10" i="5"/>
  <c r="R6" i="5"/>
  <c r="R11" i="5"/>
  <c r="R17" i="5"/>
  <c r="R7" i="5"/>
  <c r="M19" i="5"/>
  <c r="R12" i="5"/>
  <c r="R5" i="5"/>
  <c r="M14" i="5"/>
  <c r="R20" i="5"/>
  <c r="R15" i="5"/>
  <c r="M17" i="5"/>
  <c r="R2" i="5"/>
  <c r="M12" i="5"/>
  <c r="R16" i="5"/>
  <c r="M2" i="5"/>
  <c r="M18" i="5"/>
  <c r="M8" i="5"/>
  <c r="R4" i="5"/>
  <c r="M6" i="5"/>
  <c r="R9" i="5"/>
  <c r="M7" i="5"/>
  <c r="R3" i="5"/>
  <c r="R10" i="5"/>
  <c r="R18" i="5"/>
  <c r="M5" i="5"/>
  <c r="R19" i="5"/>
  <c r="M13" i="5"/>
  <c r="R14" i="5"/>
  <c r="M16" i="5"/>
  <c r="M4" i="5"/>
  <c r="M11" i="5"/>
  <c r="M9" i="5"/>
  <c r="K4" i="5"/>
  <c r="L11" i="5"/>
  <c r="L16" i="5"/>
  <c r="K13" i="5"/>
  <c r="L6" i="5"/>
  <c r="K9" i="5"/>
  <c r="K19" i="5"/>
  <c r="K11" i="5"/>
  <c r="K10" i="5"/>
  <c r="K15" i="5"/>
  <c r="K3" i="5"/>
  <c r="E40" i="5"/>
  <c r="AG2" i="5" s="1"/>
  <c r="K14" i="5"/>
  <c r="AJ2" i="5"/>
  <c r="L14" i="5"/>
  <c r="K16" i="5"/>
  <c r="K6" i="5"/>
  <c r="L13" i="5"/>
  <c r="K8" i="5"/>
  <c r="K2" i="5"/>
  <c r="L2" i="5"/>
  <c r="AO2" i="4"/>
  <c r="S12" i="5" l="1"/>
  <c r="S5" i="5"/>
  <c r="S20" i="5"/>
  <c r="S3" i="5"/>
  <c r="S10" i="5"/>
  <c r="S13" i="5"/>
  <c r="S17" i="5"/>
  <c r="S15" i="5"/>
  <c r="S18" i="5"/>
  <c r="S2" i="5"/>
  <c r="S8" i="5"/>
  <c r="AH2" i="5" a="1"/>
  <c r="AH2" i="5" s="1"/>
  <c r="Q20" i="5"/>
  <c r="P20" i="5"/>
  <c r="O20" i="5"/>
  <c r="Q16" i="5"/>
  <c r="P16" i="5"/>
  <c r="O16" i="5"/>
  <c r="Q17" i="5"/>
  <c r="P17" i="5"/>
  <c r="O17" i="5"/>
  <c r="P9" i="5"/>
  <c r="O9" i="5"/>
  <c r="Q9" i="5"/>
  <c r="P2" i="5"/>
  <c r="O2" i="5"/>
  <c r="D28" i="5"/>
  <c r="Z2" i="5" s="1"/>
  <c r="Q2" i="5"/>
  <c r="S4" i="5"/>
  <c r="Q3" i="5"/>
  <c r="P3" i="5"/>
  <c r="O3" i="5"/>
  <c r="Q5" i="5"/>
  <c r="P5" i="5"/>
  <c r="O5" i="5"/>
  <c r="S11" i="5"/>
  <c r="O14" i="5"/>
  <c r="Q14" i="5"/>
  <c r="P14" i="5"/>
  <c r="AP2" i="5"/>
  <c r="AQ2" i="5" s="1"/>
  <c r="AD2" i="5"/>
  <c r="AN2" i="5"/>
  <c r="S6" i="5"/>
  <c r="S19" i="5"/>
  <c r="O6" i="5"/>
  <c r="Q6" i="5"/>
  <c r="P6" i="5"/>
  <c r="P18" i="5"/>
  <c r="O18" i="5"/>
  <c r="Q18" i="5"/>
  <c r="O10" i="5"/>
  <c r="P10" i="5"/>
  <c r="Q10" i="5"/>
  <c r="Q11" i="5"/>
  <c r="O11" i="5"/>
  <c r="P11" i="5"/>
  <c r="Q15" i="5"/>
  <c r="O15" i="5"/>
  <c r="P15" i="5"/>
  <c r="Q4" i="5"/>
  <c r="P4" i="5"/>
  <c r="O4" i="5"/>
  <c r="Q12" i="5"/>
  <c r="O12" i="5"/>
  <c r="P12" i="5"/>
  <c r="D32" i="5"/>
  <c r="Q13" i="5"/>
  <c r="P13" i="5"/>
  <c r="O13" i="5"/>
  <c r="S14" i="5"/>
  <c r="S9" i="5"/>
  <c r="P7" i="5"/>
  <c r="O7" i="5"/>
  <c r="Q7" i="5"/>
  <c r="P19" i="5"/>
  <c r="O19" i="5"/>
  <c r="Q19" i="5"/>
  <c r="S7" i="5"/>
  <c r="Q8" i="5"/>
  <c r="P8" i="5"/>
  <c r="O8" i="5"/>
  <c r="S16" i="5"/>
  <c r="N13" i="4"/>
  <c r="N14" i="4"/>
  <c r="N15" i="4"/>
  <c r="N16" i="4"/>
  <c r="N17" i="4"/>
  <c r="N18" i="4"/>
  <c r="N19" i="4"/>
  <c r="N20" i="4"/>
  <c r="N12" i="4"/>
  <c r="AK2" i="4" a="1"/>
  <c r="AK2" i="4" s="1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AC6" i="2" a="1"/>
  <c r="AC6" i="2"/>
  <c r="Z36" i="2"/>
  <c r="R2" i="2"/>
  <c r="R2" i="1"/>
  <c r="Z35" i="2"/>
  <c r="AC6" i="1" a="1"/>
  <c r="AC6" i="1"/>
  <c r="W10" i="1" s="1"/>
  <c r="W11" i="1" s="1"/>
  <c r="Z14" i="1"/>
  <c r="S11" i="1" s="1"/>
  <c r="Z6" i="1"/>
  <c r="Z5" i="1"/>
  <c r="Z5" i="2"/>
  <c r="X35" i="1"/>
  <c r="W7" i="1"/>
  <c r="W8" i="1" s="1"/>
  <c r="W6" i="1"/>
  <c r="W6" i="2"/>
  <c r="W5" i="1"/>
  <c r="W5" i="2"/>
  <c r="S7" i="1"/>
  <c r="S8" i="1"/>
  <c r="S27" i="1"/>
  <c r="S28" i="1"/>
  <c r="S47" i="1"/>
  <c r="S48" i="1"/>
  <c r="R3" i="1"/>
  <c r="R7" i="1"/>
  <c r="R8" i="1"/>
  <c r="R9" i="1"/>
  <c r="R10" i="1"/>
  <c r="R14" i="1"/>
  <c r="R15" i="1"/>
  <c r="R16" i="1"/>
  <c r="R17" i="1"/>
  <c r="R18" i="1"/>
  <c r="R19" i="1"/>
  <c r="R29" i="1"/>
  <c r="R30" i="1"/>
  <c r="R31" i="1"/>
  <c r="R45" i="1"/>
  <c r="R46" i="1"/>
  <c r="R47" i="1"/>
  <c r="R48" i="1"/>
  <c r="R49" i="1"/>
  <c r="R61" i="1"/>
  <c r="R62" i="1"/>
  <c r="Q3" i="1"/>
  <c r="Q4" i="1"/>
  <c r="Q5" i="1"/>
  <c r="Q6" i="1"/>
  <c r="Q7" i="1"/>
  <c r="Q11" i="1"/>
  <c r="Q15" i="1"/>
  <c r="Q16" i="1"/>
  <c r="Q17" i="1"/>
  <c r="Q18" i="1"/>
  <c r="Q19" i="1"/>
  <c r="Q20" i="1"/>
  <c r="Q21" i="1"/>
  <c r="Q22" i="1"/>
  <c r="Q23" i="1"/>
  <c r="Q29" i="1"/>
  <c r="Q30" i="1"/>
  <c r="Q31" i="1"/>
  <c r="Q36" i="1"/>
  <c r="Q37" i="1"/>
  <c r="Q38" i="1"/>
  <c r="Q45" i="1"/>
  <c r="Q46" i="1"/>
  <c r="Q47" i="1"/>
  <c r="Q48" i="1"/>
  <c r="Q49" i="1"/>
  <c r="Q52" i="1"/>
  <c r="Q53" i="1"/>
  <c r="Q54" i="1"/>
  <c r="Q61" i="1"/>
  <c r="Q62" i="1"/>
  <c r="Q2" i="1"/>
  <c r="P3" i="1"/>
  <c r="P4" i="1"/>
  <c r="P5" i="1"/>
  <c r="P6" i="1"/>
  <c r="P7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30" i="1"/>
  <c r="P36" i="1"/>
  <c r="P37" i="1"/>
  <c r="P38" i="1"/>
  <c r="P46" i="1"/>
  <c r="P47" i="1"/>
  <c r="P48" i="1"/>
  <c r="P52" i="1"/>
  <c r="P53" i="1"/>
  <c r="P54" i="1"/>
  <c r="P62" i="1"/>
  <c r="P2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14" i="1"/>
  <c r="O15" i="1"/>
  <c r="O13" i="1"/>
  <c r="N14" i="2"/>
  <c r="X35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13" i="2"/>
  <c r="N3" i="1"/>
  <c r="N4" i="1"/>
  <c r="R4" i="1" s="1"/>
  <c r="N5" i="1"/>
  <c r="R5" i="1" s="1"/>
  <c r="N6" i="1"/>
  <c r="R6" i="1" s="1"/>
  <c r="N7" i="1"/>
  <c r="N8" i="1"/>
  <c r="Q8" i="1" s="1"/>
  <c r="N9" i="1"/>
  <c r="Q9" i="1" s="1"/>
  <c r="N10" i="1"/>
  <c r="Q10" i="1" s="1"/>
  <c r="N11" i="1"/>
  <c r="P11" i="1" s="1"/>
  <c r="N12" i="1"/>
  <c r="P12" i="1" s="1"/>
  <c r="N13" i="1"/>
  <c r="P13" i="1" s="1"/>
  <c r="N14" i="1"/>
  <c r="Q14" i="1" s="1"/>
  <c r="N15" i="1"/>
  <c r="N16" i="1"/>
  <c r="N17" i="1"/>
  <c r="N18" i="1"/>
  <c r="N19" i="1"/>
  <c r="N20" i="1"/>
  <c r="R20" i="1" s="1"/>
  <c r="N21" i="1"/>
  <c r="R21" i="1" s="1"/>
  <c r="N22" i="1"/>
  <c r="R22" i="1" s="1"/>
  <c r="N23" i="1"/>
  <c r="R23" i="1" s="1"/>
  <c r="N24" i="1"/>
  <c r="Q24" i="1" s="1"/>
  <c r="N25" i="1"/>
  <c r="Q25" i="1" s="1"/>
  <c r="N26" i="1"/>
  <c r="Q26" i="1" s="1"/>
  <c r="N27" i="1"/>
  <c r="P27" i="1" s="1"/>
  <c r="N28" i="1"/>
  <c r="P28" i="1" s="1"/>
  <c r="N29" i="1"/>
  <c r="P29" i="1" s="1"/>
  <c r="N30" i="1"/>
  <c r="N31" i="1"/>
  <c r="P31" i="1" s="1"/>
  <c r="N32" i="1"/>
  <c r="R32" i="1" s="1"/>
  <c r="N33" i="1"/>
  <c r="P33" i="1" s="1"/>
  <c r="N34" i="1"/>
  <c r="R34" i="1" s="1"/>
  <c r="N35" i="1"/>
  <c r="P35" i="1" s="1"/>
  <c r="N36" i="1"/>
  <c r="R36" i="1" s="1"/>
  <c r="N37" i="1"/>
  <c r="R37" i="1" s="1"/>
  <c r="N38" i="1"/>
  <c r="R38" i="1" s="1"/>
  <c r="N39" i="1"/>
  <c r="P39" i="1" s="1"/>
  <c r="N40" i="1"/>
  <c r="Q40" i="1" s="1"/>
  <c r="N41" i="1"/>
  <c r="Q41" i="1" s="1"/>
  <c r="N42" i="1"/>
  <c r="Q42" i="1" s="1"/>
  <c r="N43" i="1"/>
  <c r="P43" i="1" s="1"/>
  <c r="N44" i="1"/>
  <c r="P44" i="1" s="1"/>
  <c r="N45" i="1"/>
  <c r="P45" i="1" s="1"/>
  <c r="N46" i="1"/>
  <c r="N47" i="1"/>
  <c r="N48" i="1"/>
  <c r="N49" i="1"/>
  <c r="P49" i="1" s="1"/>
  <c r="N50" i="1"/>
  <c r="R50" i="1" s="1"/>
  <c r="N51" i="1"/>
  <c r="R51" i="1" s="1"/>
  <c r="N52" i="1"/>
  <c r="R52" i="1" s="1"/>
  <c r="N53" i="1"/>
  <c r="R53" i="1" s="1"/>
  <c r="N54" i="1"/>
  <c r="R54" i="1" s="1"/>
  <c r="N55" i="1"/>
  <c r="Q55" i="1" s="1"/>
  <c r="N56" i="1"/>
  <c r="Q56" i="1" s="1"/>
  <c r="N57" i="1"/>
  <c r="Q57" i="1" s="1"/>
  <c r="N58" i="1"/>
  <c r="Q58" i="1" s="1"/>
  <c r="N59" i="1"/>
  <c r="P59" i="1" s="1"/>
  <c r="N60" i="1"/>
  <c r="P60" i="1" s="1"/>
  <c r="N61" i="1"/>
  <c r="P61" i="1" s="1"/>
  <c r="N62" i="1"/>
  <c r="N2" i="1"/>
  <c r="M62" i="1"/>
  <c r="W7" i="2"/>
  <c r="W8" i="2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L25" i="1" s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L41" i="1" s="1"/>
  <c r="J42" i="1"/>
  <c r="L40" i="1" s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L56" i="1" s="1"/>
  <c r="J59" i="1"/>
  <c r="J60" i="1"/>
  <c r="J61" i="1"/>
  <c r="J62" i="1"/>
  <c r="L61" i="1" s="1"/>
  <c r="J2" i="1"/>
  <c r="J2" i="2"/>
  <c r="J8" i="2"/>
  <c r="J3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L61" i="2" s="1"/>
  <c r="J62" i="2"/>
  <c r="K62" i="2" s="1"/>
  <c r="Z12" i="2"/>
  <c r="Z14" i="2" s="1"/>
  <c r="Z37" i="2"/>
  <c r="AO2" i="5" l="1"/>
  <c r="U2" i="5"/>
  <c r="V2" i="5" s="1"/>
  <c r="AE2" i="5"/>
  <c r="W2" i="5" s="1"/>
  <c r="AF2" i="5"/>
  <c r="D31" i="5"/>
  <c r="E31" i="5" s="1"/>
  <c r="D29" i="5"/>
  <c r="AL2" i="5" s="1"/>
  <c r="AM2" i="5" s="1"/>
  <c r="D30" i="5"/>
  <c r="E30" i="5" s="1"/>
  <c r="AA2" i="5" s="1"/>
  <c r="AB2" i="5"/>
  <c r="AC2" i="5"/>
  <c r="F40" i="4"/>
  <c r="K8" i="4"/>
  <c r="K10" i="4"/>
  <c r="L17" i="4"/>
  <c r="L13" i="4"/>
  <c r="K17" i="4"/>
  <c r="K14" i="4"/>
  <c r="L16" i="4"/>
  <c r="L18" i="4"/>
  <c r="K18" i="4"/>
  <c r="K15" i="4"/>
  <c r="K19" i="4"/>
  <c r="K9" i="4"/>
  <c r="E40" i="4"/>
  <c r="K3" i="4"/>
  <c r="K13" i="4"/>
  <c r="L4" i="4"/>
  <c r="K5" i="4"/>
  <c r="K20" i="4"/>
  <c r="L3" i="4"/>
  <c r="L10" i="4"/>
  <c r="K16" i="4"/>
  <c r="L15" i="4"/>
  <c r="L2" i="4"/>
  <c r="K2" i="4"/>
  <c r="K12" i="4"/>
  <c r="L11" i="4"/>
  <c r="K6" i="4"/>
  <c r="K11" i="4"/>
  <c r="L5" i="4"/>
  <c r="L7" i="4"/>
  <c r="L12" i="4"/>
  <c r="K7" i="4"/>
  <c r="L6" i="4"/>
  <c r="L9" i="4"/>
  <c r="K4" i="4"/>
  <c r="L14" i="4"/>
  <c r="L8" i="4"/>
  <c r="M8" i="4"/>
  <c r="M20" i="4"/>
  <c r="R3" i="4"/>
  <c r="M4" i="4"/>
  <c r="R5" i="4"/>
  <c r="M11" i="4"/>
  <c r="R16" i="4"/>
  <c r="R18" i="4"/>
  <c r="R20" i="4"/>
  <c r="R13" i="4"/>
  <c r="M3" i="4"/>
  <c r="M10" i="4"/>
  <c r="R15" i="4"/>
  <c r="M12" i="4"/>
  <c r="R17" i="4"/>
  <c r="R19" i="4"/>
  <c r="R6" i="4"/>
  <c r="M5" i="4"/>
  <c r="R8" i="4"/>
  <c r="M14" i="4"/>
  <c r="M16" i="4"/>
  <c r="M18" i="4"/>
  <c r="R10" i="4"/>
  <c r="M7" i="4"/>
  <c r="R12" i="4"/>
  <c r="M2" i="4"/>
  <c r="M9" i="4"/>
  <c r="R14" i="4"/>
  <c r="M19" i="4"/>
  <c r="R4" i="4"/>
  <c r="M15" i="4"/>
  <c r="R11" i="4"/>
  <c r="R9" i="4"/>
  <c r="M6" i="4"/>
  <c r="M13" i="4"/>
  <c r="M17" i="4"/>
  <c r="R7" i="4"/>
  <c r="R2" i="4"/>
  <c r="R28" i="1"/>
  <c r="Q27" i="1"/>
  <c r="S45" i="1"/>
  <c r="S25" i="1"/>
  <c r="S5" i="1"/>
  <c r="M37" i="1"/>
  <c r="Q44" i="1"/>
  <c r="R44" i="1"/>
  <c r="R25" i="1"/>
  <c r="S2" i="1"/>
  <c r="S23" i="1"/>
  <c r="P57" i="1"/>
  <c r="Q39" i="1"/>
  <c r="R42" i="1"/>
  <c r="S41" i="1"/>
  <c r="R59" i="1"/>
  <c r="S59" i="1"/>
  <c r="S39" i="1"/>
  <c r="S15" i="1"/>
  <c r="L48" i="1"/>
  <c r="L16" i="1"/>
  <c r="R39" i="1"/>
  <c r="S58" i="1"/>
  <c r="L2" i="1"/>
  <c r="L31" i="1"/>
  <c r="M30" i="1"/>
  <c r="P34" i="1"/>
  <c r="Q35" i="1"/>
  <c r="R57" i="1"/>
  <c r="R35" i="1"/>
  <c r="S57" i="1"/>
  <c r="S37" i="1"/>
  <c r="K16" i="2"/>
  <c r="P51" i="1"/>
  <c r="P32" i="1"/>
  <c r="P10" i="1"/>
  <c r="Q33" i="1"/>
  <c r="R55" i="1"/>
  <c r="R33" i="1"/>
  <c r="R13" i="1"/>
  <c r="S55" i="1"/>
  <c r="S31" i="1"/>
  <c r="L24" i="1"/>
  <c r="L8" i="1"/>
  <c r="E68" i="1"/>
  <c r="M56" i="1"/>
  <c r="M40" i="1"/>
  <c r="M24" i="1"/>
  <c r="M8" i="1"/>
  <c r="S17" i="1"/>
  <c r="S33" i="1"/>
  <c r="S49" i="1"/>
  <c r="S18" i="1"/>
  <c r="S34" i="1"/>
  <c r="S50" i="1"/>
  <c r="S3" i="1"/>
  <c r="S19" i="1"/>
  <c r="S35" i="1"/>
  <c r="S51" i="1"/>
  <c r="S4" i="1"/>
  <c r="S20" i="1"/>
  <c r="S36" i="1"/>
  <c r="S52" i="1"/>
  <c r="Q28" i="1"/>
  <c r="S46" i="1"/>
  <c r="S26" i="1"/>
  <c r="S6" i="1"/>
  <c r="M34" i="1"/>
  <c r="M18" i="1"/>
  <c r="M6" i="1"/>
  <c r="P42" i="1"/>
  <c r="R27" i="1"/>
  <c r="P41" i="1"/>
  <c r="R26" i="1"/>
  <c r="S44" i="1"/>
  <c r="S24" i="1"/>
  <c r="M53" i="1"/>
  <c r="M21" i="1"/>
  <c r="P58" i="1"/>
  <c r="Q43" i="1"/>
  <c r="R43" i="1"/>
  <c r="R24" i="1"/>
  <c r="S62" i="1"/>
  <c r="S42" i="1"/>
  <c r="S22" i="1"/>
  <c r="S61" i="1"/>
  <c r="P56" i="1"/>
  <c r="Q60" i="1"/>
  <c r="R60" i="1"/>
  <c r="R41" i="1"/>
  <c r="S60" i="1"/>
  <c r="S40" i="1"/>
  <c r="S16" i="1"/>
  <c r="L33" i="1"/>
  <c r="L17" i="1"/>
  <c r="P55" i="1"/>
  <c r="Q59" i="1"/>
  <c r="R40" i="1"/>
  <c r="L32" i="1"/>
  <c r="M46" i="1"/>
  <c r="L57" i="1"/>
  <c r="R58" i="1"/>
  <c r="S38" i="1"/>
  <c r="S14" i="1"/>
  <c r="L47" i="1"/>
  <c r="L15" i="1"/>
  <c r="S13" i="1"/>
  <c r="L45" i="1"/>
  <c r="L29" i="1"/>
  <c r="L13" i="1"/>
  <c r="M14" i="1"/>
  <c r="Q34" i="1"/>
  <c r="R56" i="1"/>
  <c r="S56" i="1"/>
  <c r="S32" i="1"/>
  <c r="S12" i="1"/>
  <c r="K15" i="2"/>
  <c r="K14" i="2"/>
  <c r="P50" i="1"/>
  <c r="P9" i="1"/>
  <c r="Q51" i="1"/>
  <c r="Q32" i="1"/>
  <c r="Q13" i="1"/>
  <c r="R12" i="1"/>
  <c r="S54" i="1"/>
  <c r="S30" i="1"/>
  <c r="S10" i="1"/>
  <c r="Z6" i="2"/>
  <c r="W10" i="2"/>
  <c r="E68" i="2"/>
  <c r="M50" i="1"/>
  <c r="M5" i="1"/>
  <c r="P40" i="1"/>
  <c r="S43" i="1"/>
  <c r="S21" i="1"/>
  <c r="L49" i="1"/>
  <c r="L53" i="1"/>
  <c r="L37" i="1"/>
  <c r="L21" i="1"/>
  <c r="L5" i="1"/>
  <c r="P8" i="1"/>
  <c r="Z16" i="1" s="1"/>
  <c r="Z17" i="1" s="1"/>
  <c r="Q50" i="1"/>
  <c r="Q12" i="1"/>
  <c r="R11" i="1"/>
  <c r="Z23" i="1" s="1"/>
  <c r="S53" i="1"/>
  <c r="S29" i="1"/>
  <c r="S9" i="1"/>
  <c r="F68" i="2"/>
  <c r="M51" i="1"/>
  <c r="M35" i="1"/>
  <c r="M19" i="1"/>
  <c r="M3" i="1"/>
  <c r="L51" i="1"/>
  <c r="L35" i="1"/>
  <c r="L19" i="1"/>
  <c r="L3" i="1"/>
  <c r="K46" i="2"/>
  <c r="K30" i="2"/>
  <c r="K31" i="2"/>
  <c r="K51" i="2"/>
  <c r="K35" i="2"/>
  <c r="K19" i="2"/>
  <c r="K47" i="2"/>
  <c r="K49" i="2"/>
  <c r="K33" i="2"/>
  <c r="K17" i="2"/>
  <c r="M33" i="1"/>
  <c r="L44" i="1"/>
  <c r="L12" i="1"/>
  <c r="M2" i="1"/>
  <c r="M48" i="1"/>
  <c r="M32" i="1"/>
  <c r="M16" i="1"/>
  <c r="L59" i="1"/>
  <c r="L43" i="1"/>
  <c r="L27" i="1"/>
  <c r="L11" i="1"/>
  <c r="M49" i="1"/>
  <c r="M17" i="1"/>
  <c r="L60" i="1"/>
  <c r="L28" i="1"/>
  <c r="M47" i="1"/>
  <c r="M31" i="1"/>
  <c r="M15" i="1"/>
  <c r="L58" i="1"/>
  <c r="L42" i="1"/>
  <c r="L26" i="1"/>
  <c r="L10" i="1"/>
  <c r="L9" i="1"/>
  <c r="M61" i="1"/>
  <c r="M45" i="1"/>
  <c r="M29" i="1"/>
  <c r="M13" i="1"/>
  <c r="M60" i="1"/>
  <c r="M44" i="1"/>
  <c r="M28" i="1"/>
  <c r="M12" i="1"/>
  <c r="L55" i="1"/>
  <c r="L39" i="1"/>
  <c r="L23" i="1"/>
  <c r="L7" i="1"/>
  <c r="M59" i="1"/>
  <c r="M43" i="1"/>
  <c r="M27" i="1"/>
  <c r="M11" i="1"/>
  <c r="L54" i="1"/>
  <c r="L38" i="1"/>
  <c r="L22" i="1"/>
  <c r="L6" i="1"/>
  <c r="M58" i="1"/>
  <c r="M42" i="1"/>
  <c r="M26" i="1"/>
  <c r="M10" i="1"/>
  <c r="M57" i="1"/>
  <c r="M41" i="1"/>
  <c r="M25" i="1"/>
  <c r="M9" i="1"/>
  <c r="L52" i="1"/>
  <c r="L36" i="1"/>
  <c r="L20" i="1"/>
  <c r="L4" i="1"/>
  <c r="M55" i="1"/>
  <c r="M39" i="1"/>
  <c r="M23" i="1"/>
  <c r="M7" i="1"/>
  <c r="L50" i="1"/>
  <c r="L34" i="1"/>
  <c r="L18" i="1"/>
  <c r="M54" i="1"/>
  <c r="M38" i="1"/>
  <c r="M22" i="1"/>
  <c r="M52" i="1"/>
  <c r="M36" i="1"/>
  <c r="M20" i="1"/>
  <c r="M4" i="1"/>
  <c r="L62" i="1"/>
  <c r="L46" i="1"/>
  <c r="L30" i="1"/>
  <c r="L14" i="1"/>
  <c r="K60" i="2"/>
  <c r="K44" i="2"/>
  <c r="K28" i="2"/>
  <c r="K12" i="2"/>
  <c r="K61" i="2"/>
  <c r="K45" i="2"/>
  <c r="K29" i="2"/>
  <c r="K13" i="2"/>
  <c r="K59" i="2"/>
  <c r="K43" i="2"/>
  <c r="K27" i="2"/>
  <c r="K11" i="2"/>
  <c r="K8" i="2"/>
  <c r="K2" i="2"/>
  <c r="K58" i="2"/>
  <c r="K42" i="2"/>
  <c r="K26" i="2"/>
  <c r="K10" i="2"/>
  <c r="K57" i="2"/>
  <c r="K41" i="2"/>
  <c r="K25" i="2"/>
  <c r="K9" i="2"/>
  <c r="K48" i="2"/>
  <c r="K50" i="2"/>
  <c r="K34" i="2"/>
  <c r="K18" i="2"/>
  <c r="K4" i="2"/>
  <c r="K55" i="2"/>
  <c r="K39" i="2"/>
  <c r="K23" i="2"/>
  <c r="K3" i="2"/>
  <c r="K54" i="2"/>
  <c r="K38" i="2"/>
  <c r="K22" i="2"/>
  <c r="K5" i="2"/>
  <c r="K32" i="2"/>
  <c r="K53" i="2"/>
  <c r="K37" i="2"/>
  <c r="K21" i="2"/>
  <c r="R16" i="2"/>
  <c r="R17" i="2"/>
  <c r="R18" i="2"/>
  <c r="R49" i="2"/>
  <c r="M19" i="2"/>
  <c r="M20" i="2"/>
  <c r="M21" i="2"/>
  <c r="M34" i="2"/>
  <c r="M35" i="2"/>
  <c r="M36" i="2"/>
  <c r="M37" i="2"/>
  <c r="K56" i="2"/>
  <c r="K40" i="2"/>
  <c r="K24" i="2"/>
  <c r="K7" i="2"/>
  <c r="K6" i="2"/>
  <c r="K52" i="2"/>
  <c r="K36" i="2"/>
  <c r="K20" i="2"/>
  <c r="R3" i="2"/>
  <c r="Z23" i="2" s="1"/>
  <c r="R19" i="2"/>
  <c r="R35" i="2"/>
  <c r="R51" i="2"/>
  <c r="M6" i="2"/>
  <c r="M22" i="2"/>
  <c r="M38" i="2"/>
  <c r="M54" i="2"/>
  <c r="R4" i="2"/>
  <c r="R20" i="2"/>
  <c r="R36" i="2"/>
  <c r="R52" i="2"/>
  <c r="M7" i="2"/>
  <c r="M23" i="2"/>
  <c r="M39" i="2"/>
  <c r="M55" i="2"/>
  <c r="R23" i="2"/>
  <c r="R39" i="2"/>
  <c r="M10" i="2"/>
  <c r="M58" i="2"/>
  <c r="R5" i="2"/>
  <c r="R21" i="2"/>
  <c r="R37" i="2"/>
  <c r="R53" i="2"/>
  <c r="M8" i="2"/>
  <c r="M24" i="2"/>
  <c r="M40" i="2"/>
  <c r="M56" i="2"/>
  <c r="R8" i="2"/>
  <c r="R24" i="2"/>
  <c r="R40" i="2"/>
  <c r="R56" i="2"/>
  <c r="M11" i="2"/>
  <c r="M27" i="2"/>
  <c r="M43" i="2"/>
  <c r="M59" i="2"/>
  <c r="R6" i="2"/>
  <c r="R22" i="2"/>
  <c r="R38" i="2"/>
  <c r="R54" i="2"/>
  <c r="M9" i="2"/>
  <c r="M25" i="2"/>
  <c r="M41" i="2"/>
  <c r="M57" i="2"/>
  <c r="R7" i="2"/>
  <c r="R55" i="2"/>
  <c r="M26" i="2"/>
  <c r="M42" i="2"/>
  <c r="R9" i="2"/>
  <c r="R25" i="2"/>
  <c r="R41" i="2"/>
  <c r="R57" i="2"/>
  <c r="M12" i="2"/>
  <c r="M28" i="2"/>
  <c r="M44" i="2"/>
  <c r="M60" i="2"/>
  <c r="R10" i="2"/>
  <c r="R26" i="2"/>
  <c r="R42" i="2"/>
  <c r="R58" i="2"/>
  <c r="M13" i="2"/>
  <c r="M29" i="2"/>
  <c r="M45" i="2"/>
  <c r="M61" i="2"/>
  <c r="R11" i="2"/>
  <c r="R27" i="2"/>
  <c r="R43" i="2"/>
  <c r="R59" i="2"/>
  <c r="M14" i="2"/>
  <c r="M30" i="2"/>
  <c r="M46" i="2"/>
  <c r="M62" i="2"/>
  <c r="R12" i="2"/>
  <c r="R28" i="2"/>
  <c r="R44" i="2"/>
  <c r="R60" i="2"/>
  <c r="M15" i="2"/>
  <c r="M31" i="2"/>
  <c r="M47" i="2"/>
  <c r="M2" i="2"/>
  <c r="R13" i="2"/>
  <c r="R29" i="2"/>
  <c r="R45" i="2"/>
  <c r="R61" i="2"/>
  <c r="M16" i="2"/>
  <c r="M32" i="2"/>
  <c r="M48" i="2"/>
  <c r="R14" i="2"/>
  <c r="R30" i="2"/>
  <c r="R46" i="2"/>
  <c r="R62" i="2"/>
  <c r="M17" i="2"/>
  <c r="M33" i="2"/>
  <c r="M49" i="2"/>
  <c r="R15" i="2"/>
  <c r="R31" i="2"/>
  <c r="R47" i="2"/>
  <c r="M18" i="2"/>
  <c r="M5" i="2"/>
  <c r="M4" i="2"/>
  <c r="M3" i="2"/>
  <c r="R50" i="2"/>
  <c r="M53" i="2"/>
  <c r="R48" i="2"/>
  <c r="M52" i="2"/>
  <c r="R34" i="2"/>
  <c r="M51" i="2"/>
  <c r="R33" i="2"/>
  <c r="M50" i="2"/>
  <c r="R32" i="2"/>
  <c r="X2" i="5" l="1"/>
  <c r="Y2" i="5" s="1"/>
  <c r="D32" i="4"/>
  <c r="D28" i="4"/>
  <c r="AD2" i="4"/>
  <c r="AG2" i="4"/>
  <c r="O12" i="4"/>
  <c r="P12" i="4"/>
  <c r="Q12" i="4"/>
  <c r="Q10" i="4"/>
  <c r="O10" i="4"/>
  <c r="P10" i="4"/>
  <c r="Q3" i="4"/>
  <c r="O3" i="4"/>
  <c r="P3" i="4"/>
  <c r="O7" i="4"/>
  <c r="P7" i="4"/>
  <c r="Q7" i="4"/>
  <c r="O17" i="4"/>
  <c r="P17" i="4"/>
  <c r="Q17" i="4"/>
  <c r="O20" i="4"/>
  <c r="Q20" i="4"/>
  <c r="P20" i="4"/>
  <c r="Q18" i="4"/>
  <c r="O18" i="4"/>
  <c r="P18" i="4"/>
  <c r="Q13" i="4"/>
  <c r="O13" i="4"/>
  <c r="P13" i="4"/>
  <c r="Q16" i="4"/>
  <c r="O16" i="4"/>
  <c r="P16" i="4"/>
  <c r="O19" i="4"/>
  <c r="P19" i="4"/>
  <c r="Q19" i="4"/>
  <c r="P11" i="4"/>
  <c r="Q11" i="4"/>
  <c r="O11" i="4"/>
  <c r="O9" i="4"/>
  <c r="P9" i="4"/>
  <c r="Q9" i="4"/>
  <c r="O2" i="4"/>
  <c r="P2" i="4"/>
  <c r="Q2" i="4"/>
  <c r="Q4" i="4"/>
  <c r="O4" i="4"/>
  <c r="P4" i="4"/>
  <c r="Q6" i="4"/>
  <c r="O6" i="4"/>
  <c r="P6" i="4"/>
  <c r="P14" i="4"/>
  <c r="O14" i="4"/>
  <c r="Q14" i="4"/>
  <c r="P5" i="4"/>
  <c r="Q5" i="4"/>
  <c r="O5" i="4"/>
  <c r="P15" i="4"/>
  <c r="Q15" i="4"/>
  <c r="O15" i="4"/>
  <c r="O8" i="4"/>
  <c r="P8" i="4"/>
  <c r="Q8" i="4"/>
  <c r="Z18" i="1"/>
  <c r="Z20" i="1"/>
  <c r="Z21" i="1" s="1"/>
  <c r="Z24" i="2"/>
  <c r="X16" i="1"/>
  <c r="Z24" i="1" s="1"/>
  <c r="X16" i="2"/>
  <c r="X40" i="2"/>
  <c r="X41" i="2" s="1" a="1"/>
  <c r="X41" i="2" s="1"/>
  <c r="O18" i="2"/>
  <c r="Q18" i="2"/>
  <c r="P18" i="2"/>
  <c r="O43" i="2"/>
  <c r="P43" i="2"/>
  <c r="Q43" i="2"/>
  <c r="O10" i="2"/>
  <c r="P10" i="2"/>
  <c r="Q10" i="2"/>
  <c r="O20" i="2"/>
  <c r="P20" i="2"/>
  <c r="Q20" i="2"/>
  <c r="O27" i="2"/>
  <c r="P27" i="2"/>
  <c r="Q27" i="2"/>
  <c r="P19" i="2"/>
  <c r="Q19" i="2"/>
  <c r="O19" i="2"/>
  <c r="O59" i="2"/>
  <c r="P59" i="2"/>
  <c r="Q59" i="2"/>
  <c r="O39" i="2"/>
  <c r="P39" i="2"/>
  <c r="Q39" i="2"/>
  <c r="O50" i="2"/>
  <c r="P50" i="2"/>
  <c r="Q50" i="2"/>
  <c r="O49" i="2"/>
  <c r="P49" i="2"/>
  <c r="Q49" i="2"/>
  <c r="O31" i="2"/>
  <c r="P31" i="2"/>
  <c r="Q31" i="2"/>
  <c r="O29" i="2"/>
  <c r="P29" i="2"/>
  <c r="Q29" i="2"/>
  <c r="O23" i="2"/>
  <c r="P23" i="2"/>
  <c r="Q23" i="2"/>
  <c r="O33" i="2"/>
  <c r="P33" i="2"/>
  <c r="Q33" i="2"/>
  <c r="O15" i="2"/>
  <c r="P15" i="2"/>
  <c r="Q15" i="2"/>
  <c r="O13" i="2"/>
  <c r="P13" i="2"/>
  <c r="Q13" i="2"/>
  <c r="O7" i="2"/>
  <c r="P7" i="2"/>
  <c r="Q7" i="2"/>
  <c r="O5" i="2"/>
  <c r="P5" i="2"/>
  <c r="Q5" i="2"/>
  <c r="O26" i="2"/>
  <c r="P26" i="2"/>
  <c r="Q26" i="2"/>
  <c r="O11" i="2"/>
  <c r="P11" i="2"/>
  <c r="Q11" i="2"/>
  <c r="O2" i="2"/>
  <c r="Q2" i="2"/>
  <c r="P2" i="2"/>
  <c r="O61" i="2"/>
  <c r="P61" i="2"/>
  <c r="Q61" i="2"/>
  <c r="O42" i="2"/>
  <c r="P42" i="2"/>
  <c r="Q42" i="2"/>
  <c r="O55" i="2"/>
  <c r="Q55" i="2"/>
  <c r="P55" i="2"/>
  <c r="O47" i="2"/>
  <c r="P47" i="2"/>
  <c r="Q47" i="2"/>
  <c r="O45" i="2"/>
  <c r="P45" i="2"/>
  <c r="Q45" i="2"/>
  <c r="P51" i="2"/>
  <c r="Q51" i="2"/>
  <c r="O51" i="2"/>
  <c r="Q17" i="2"/>
  <c r="O17" i="2"/>
  <c r="P17" i="2"/>
  <c r="O57" i="2"/>
  <c r="P57" i="2"/>
  <c r="Q57" i="2"/>
  <c r="Q56" i="2"/>
  <c r="O56" i="2"/>
  <c r="P56" i="2"/>
  <c r="Q40" i="2"/>
  <c r="O40" i="2"/>
  <c r="P40" i="2"/>
  <c r="O52" i="2"/>
  <c r="P52" i="2"/>
  <c r="Q52" i="2"/>
  <c r="O25" i="2"/>
  <c r="P25" i="2"/>
  <c r="Q25" i="2"/>
  <c r="Q24" i="2"/>
  <c r="O24" i="2"/>
  <c r="P24" i="2"/>
  <c r="O9" i="2"/>
  <c r="P9" i="2"/>
  <c r="Q9" i="2"/>
  <c r="Q8" i="2"/>
  <c r="O8" i="2"/>
  <c r="P8" i="2"/>
  <c r="O58" i="2"/>
  <c r="P58" i="2"/>
  <c r="Q58" i="2"/>
  <c r="O53" i="2"/>
  <c r="P53" i="2"/>
  <c r="Q53" i="2"/>
  <c r="O62" i="2"/>
  <c r="P62" i="2"/>
  <c r="Q62" i="2"/>
  <c r="O60" i="2"/>
  <c r="P60" i="2"/>
  <c r="Q60" i="2"/>
  <c r="O54" i="2"/>
  <c r="P54" i="2"/>
  <c r="Q54" i="2"/>
  <c r="O37" i="2"/>
  <c r="P37" i="2"/>
  <c r="Q37" i="2"/>
  <c r="O48" i="2"/>
  <c r="P48" i="2"/>
  <c r="Q48" i="2"/>
  <c r="O46" i="2"/>
  <c r="P46" i="2"/>
  <c r="Q46" i="2"/>
  <c r="O44" i="2"/>
  <c r="P44" i="2"/>
  <c r="Q44" i="2"/>
  <c r="P38" i="2"/>
  <c r="O38" i="2"/>
  <c r="Q38" i="2"/>
  <c r="O36" i="2"/>
  <c r="P36" i="2"/>
  <c r="Q36" i="2"/>
  <c r="P3" i="2"/>
  <c r="Q3" i="2"/>
  <c r="O3" i="2"/>
  <c r="O32" i="2"/>
  <c r="P32" i="2"/>
  <c r="Q32" i="2"/>
  <c r="O30" i="2"/>
  <c r="P30" i="2"/>
  <c r="Q30" i="2"/>
  <c r="O28" i="2"/>
  <c r="P28" i="2"/>
  <c r="Q28" i="2"/>
  <c r="P22" i="2"/>
  <c r="O22" i="2"/>
  <c r="Q22" i="2"/>
  <c r="P35" i="2"/>
  <c r="Q35" i="2"/>
  <c r="O35" i="2"/>
  <c r="O21" i="2"/>
  <c r="P21" i="2"/>
  <c r="Q21" i="2"/>
  <c r="O41" i="2"/>
  <c r="P41" i="2"/>
  <c r="Q41" i="2"/>
  <c r="O4" i="2"/>
  <c r="P4" i="2"/>
  <c r="Q4" i="2"/>
  <c r="O16" i="2"/>
  <c r="P16" i="2"/>
  <c r="Q16" i="2"/>
  <c r="O14" i="2"/>
  <c r="P14" i="2"/>
  <c r="Q14" i="2"/>
  <c r="O12" i="2"/>
  <c r="P12" i="2"/>
  <c r="Q12" i="2"/>
  <c r="O6" i="2"/>
  <c r="P6" i="2"/>
  <c r="Q6" i="2"/>
  <c r="P34" i="2"/>
  <c r="Q34" i="2"/>
  <c r="O34" i="2"/>
  <c r="L62" i="2"/>
  <c r="L11" i="2"/>
  <c r="L4" i="2"/>
  <c r="L51" i="2"/>
  <c r="L36" i="2"/>
  <c r="L35" i="2"/>
  <c r="L8" i="2"/>
  <c r="L40" i="2"/>
  <c r="L48" i="2"/>
  <c r="L57" i="2"/>
  <c r="L27" i="2"/>
  <c r="L56" i="2"/>
  <c r="L41" i="2"/>
  <c r="L23" i="2"/>
  <c r="L24" i="2"/>
  <c r="L32" i="2"/>
  <c r="L17" i="2"/>
  <c r="L49" i="2"/>
  <c r="L3" i="2"/>
  <c r="L42" i="2"/>
  <c r="L19" i="2"/>
  <c r="L33" i="2"/>
  <c r="L2" i="2"/>
  <c r="L43" i="2"/>
  <c r="L6" i="2"/>
  <c r="L12" i="2"/>
  <c r="L5" i="2"/>
  <c r="L58" i="2"/>
  <c r="L28" i="2"/>
  <c r="L31" i="2"/>
  <c r="L37" i="2"/>
  <c r="L44" i="2"/>
  <c r="L9" i="2"/>
  <c r="L29" i="2"/>
  <c r="L53" i="2"/>
  <c r="L59" i="2"/>
  <c r="L60" i="2"/>
  <c r="L45" i="2"/>
  <c r="L25" i="2"/>
  <c r="L30" i="2"/>
  <c r="L13" i="2"/>
  <c r="L52" i="2"/>
  <c r="L15" i="2"/>
  <c r="L38" i="2"/>
  <c r="L47" i="2"/>
  <c r="L54" i="2"/>
  <c r="L46" i="2"/>
  <c r="L10" i="2"/>
  <c r="L18" i="2"/>
  <c r="L7" i="2"/>
  <c r="L20" i="2"/>
  <c r="L14" i="2"/>
  <c r="L26" i="2"/>
  <c r="L34" i="2"/>
  <c r="L39" i="2"/>
  <c r="L21" i="2"/>
  <c r="L16" i="2"/>
  <c r="L50" i="2"/>
  <c r="L55" i="2"/>
  <c r="L22" i="2"/>
  <c r="D31" i="4" l="1"/>
  <c r="E31" i="4" s="1"/>
  <c r="D30" i="4"/>
  <c r="E30" i="4" s="1"/>
  <c r="D29" i="4"/>
  <c r="AH2" i="4" a="1"/>
  <c r="AH2" i="4" s="1"/>
  <c r="S3" i="4" s="1"/>
  <c r="S6" i="4"/>
  <c r="S7" i="4"/>
  <c r="S10" i="4"/>
  <c r="S8" i="4"/>
  <c r="S11" i="4"/>
  <c r="S9" i="4"/>
  <c r="S14" i="4"/>
  <c r="S12" i="4"/>
  <c r="S16" i="4"/>
  <c r="S13" i="4"/>
  <c r="S15" i="4"/>
  <c r="S17" i="4"/>
  <c r="S2" i="4"/>
  <c r="S18" i="4"/>
  <c r="S20" i="4"/>
  <c r="S19" i="4"/>
  <c r="S4" i="4"/>
  <c r="S5" i="4"/>
  <c r="AE2" i="4"/>
  <c r="AL2" i="4"/>
  <c r="AB16" i="2"/>
  <c r="AB17" i="2" s="1"/>
  <c r="Z25" i="2" s="1"/>
  <c r="Z16" i="2"/>
  <c r="Z17" i="2" s="1"/>
  <c r="AD16" i="2"/>
  <c r="AD17" i="2" s="1"/>
  <c r="W11" i="2"/>
  <c r="X2" i="4" l="1"/>
  <c r="AC2" i="4"/>
  <c r="AB2" i="4"/>
  <c r="AM2" i="4"/>
  <c r="Z20" i="2"/>
  <c r="Z21" i="2" s="1"/>
  <c r="Z27" i="2"/>
  <c r="Z18" i="2"/>
  <c r="AI2" i="4" l="1"/>
  <c r="AA2" i="4"/>
  <c r="U2" i="4" l="1"/>
  <c r="W2" i="4"/>
  <c r="AF2" i="4"/>
  <c r="AJ2" i="4"/>
  <c r="Z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<sst xmlns="http://schemas.openxmlformats.org/spreadsheetml/2006/main" count="368" uniqueCount="140">
  <si>
    <t>Date</t>
  </si>
  <si>
    <t>BX</t>
  </si>
  <si>
    <t>GS</t>
  </si>
  <si>
    <t>NVDA</t>
  </si>
  <si>
    <t>ORCL</t>
  </si>
  <si>
    <t>ROM</t>
  </si>
  <si>
    <t>SQQQ</t>
  </si>
  <si>
    <t>2019-07-31 00:00:00+00:00</t>
  </si>
  <si>
    <t>2019-08-31 00:00:00+00:00</t>
  </si>
  <si>
    <t>2019-09-30 00:00:00+00:00</t>
  </si>
  <si>
    <t>2019-10-31 00:00:00+00:00</t>
  </si>
  <si>
    <t>2019-11-30 00:00:00+00:00</t>
  </si>
  <si>
    <t>2019-12-31 00:00:00+00:00</t>
  </si>
  <si>
    <t>2020-01-31 00:00:00+00:00</t>
  </si>
  <si>
    <t>2020-02-29 00:00:00+00:00</t>
  </si>
  <si>
    <t>2020-03-31 00:00:00+00:00</t>
  </si>
  <si>
    <t>2020-04-30 00:00:00+00:00</t>
  </si>
  <si>
    <t>2020-05-31 00:00:00+00:00</t>
  </si>
  <si>
    <t>2020-06-30 00:00:00+00:00</t>
  </si>
  <si>
    <t>2020-07-31 00:00:00+00:00</t>
  </si>
  <si>
    <t>2020-08-31 00:00:00+00:00</t>
  </si>
  <si>
    <t>2020-09-30 00:00:00+00:00</t>
  </si>
  <si>
    <t>2020-10-31 00:00:00+00:00</t>
  </si>
  <si>
    <t>2020-11-30 00:00:00+00:00</t>
  </si>
  <si>
    <t>2020-12-31 00:00:00+00:00</t>
  </si>
  <si>
    <t>2021-01-31 00:00:00+00:00</t>
  </si>
  <si>
    <t>2021-02-28 00:00:00+00:00</t>
  </si>
  <si>
    <t>2021-03-31 00:00:00+00:00</t>
  </si>
  <si>
    <t>2021-04-30 00:00:00+00:00</t>
  </si>
  <si>
    <t>2021-05-31 00:00:00+00:00</t>
  </si>
  <si>
    <t>2021-06-30 00:00:00+00:00</t>
  </si>
  <si>
    <t>2021-07-31 00:00:00+00:00</t>
  </si>
  <si>
    <t>2021-08-31 00:00:00+00:00</t>
  </si>
  <si>
    <t>2021-09-30 00:00:00+00:00</t>
  </si>
  <si>
    <t>2021-10-31 00:00:00+00:00</t>
  </si>
  <si>
    <t>2021-11-30 00:00:00+00:00</t>
  </si>
  <si>
    <t>2021-12-31 00:00:00+00:00</t>
  </si>
  <si>
    <t>2022-01-31 00:00:00+00:00</t>
  </si>
  <si>
    <t>2022-02-28 00:00:00+00:00</t>
  </si>
  <si>
    <t>2022-03-31 00:00:00+00:00</t>
  </si>
  <si>
    <t>2022-04-30 00:00:00+00:00</t>
  </si>
  <si>
    <t>2022-05-31 00:00:00+00:00</t>
  </si>
  <si>
    <t>2022-06-30 00:00:00+00:00</t>
  </si>
  <si>
    <t>2022-07-31 00:00:00+00:00</t>
  </si>
  <si>
    <t>2022-08-31 00:00:00+00:00</t>
  </si>
  <si>
    <t>2022-09-30 00:00:00+00:00</t>
  </si>
  <si>
    <t>2022-10-31 00:00:00+00:00</t>
  </si>
  <si>
    <t>2022-11-30 00:00:00+00:00</t>
  </si>
  <si>
    <t>2022-12-31 00:00:00+00:00</t>
  </si>
  <si>
    <t>2023-01-31 00:00:00+00:00</t>
  </si>
  <si>
    <t>2023-02-28 00:00:00+00:00</t>
  </si>
  <si>
    <t>2023-03-31 00:00:00+00:00</t>
  </si>
  <si>
    <t>2023-04-30 00:00:00+00:00</t>
  </si>
  <si>
    <t>2023-05-31 00:00:00+00:00</t>
  </si>
  <si>
    <t>2023-06-30 00:00:00+00:00</t>
  </si>
  <si>
    <t>2023-07-31 00:00:00+00:00</t>
  </si>
  <si>
    <t>2023-08-31 00:00:00+00:00</t>
  </si>
  <si>
    <t>2023-09-30 00:00:00+00:00</t>
  </si>
  <si>
    <t>2023-10-31 00:00:00+00:00</t>
  </si>
  <si>
    <t>2023-11-30 00:00:00+00:00</t>
  </si>
  <si>
    <t>2023-12-31 00:00:00+00:00</t>
  </si>
  <si>
    <t>2024-01-31 00:00:00+00:00</t>
  </si>
  <si>
    <t>2024-02-29 00:00:00+00:00</t>
  </si>
  <si>
    <t>2024-03-31 00:00:00+00:00</t>
  </si>
  <si>
    <t>2024-04-30 00:00:00+00:00</t>
  </si>
  <si>
    <t>2024-05-31 00:00:00+00:00</t>
  </si>
  <si>
    <t>2024-06-30 00:00:00+00:00</t>
  </si>
  <si>
    <t>2024-07-31 00:00:00+00:00</t>
  </si>
  <si>
    <t>w1</t>
  </si>
  <si>
    <t>w2</t>
  </si>
  <si>
    <t>w3</t>
  </si>
  <si>
    <t>portfolio returns</t>
  </si>
  <si>
    <t>VAR</t>
  </si>
  <si>
    <t>SKEWNESS</t>
  </si>
  <si>
    <t>MD</t>
  </si>
  <si>
    <t>MKT</t>
  </si>
  <si>
    <t>max(tau-r, 0)</t>
  </si>
  <si>
    <t>LPM2</t>
  </si>
  <si>
    <t>LPM3</t>
  </si>
  <si>
    <t>LPM4</t>
  </si>
  <si>
    <t>max(r-tau, 0)</t>
  </si>
  <si>
    <t>Mkt-RF</t>
  </si>
  <si>
    <t>SMB</t>
  </si>
  <si>
    <t>HML</t>
  </si>
  <si>
    <t>RF</t>
  </si>
  <si>
    <t>muM</t>
  </si>
  <si>
    <t>muRF</t>
  </si>
  <si>
    <t>stdev of risk premium</t>
  </si>
  <si>
    <t>muA</t>
  </si>
  <si>
    <t>muRFA</t>
  </si>
  <si>
    <t>sigmaM</t>
  </si>
  <si>
    <t>sigmaA</t>
  </si>
  <si>
    <t>SharpeM</t>
  </si>
  <si>
    <t>SharpeA</t>
  </si>
  <si>
    <t>target tau</t>
  </si>
  <si>
    <t>(annual)</t>
  </si>
  <si>
    <t>Monthly tau</t>
  </si>
  <si>
    <t>LPM1 (tau)</t>
  </si>
  <si>
    <t>LPM2 (tau)</t>
  </si>
  <si>
    <t>LPM3 (tau)</t>
  </si>
  <si>
    <t>LPM4 (tau)</t>
  </si>
  <si>
    <t>Downside deviation</t>
  </si>
  <si>
    <t>Annual downside deviation</t>
  </si>
  <si>
    <t>Sortino ratio (M)</t>
  </si>
  <si>
    <t>Sortino ratio (A)</t>
  </si>
  <si>
    <t>HPM1 (tau)</t>
  </si>
  <si>
    <t>Omega  ratio</t>
  </si>
  <si>
    <t>Kappa ratio</t>
  </si>
  <si>
    <t>Upside potential</t>
  </si>
  <si>
    <t>VaR(95%)</t>
  </si>
  <si>
    <t>Excess return on value at risk</t>
  </si>
  <si>
    <t>CVaR(95%)</t>
  </si>
  <si>
    <t>Conditional Sharpe ratio</t>
  </si>
  <si>
    <t>beta</t>
  </si>
  <si>
    <t>Jensen's alpha</t>
  </si>
  <si>
    <t>COV</t>
  </si>
  <si>
    <t>VARIANCE</t>
  </si>
  <si>
    <t>Conditional Sharpe Ratio</t>
  </si>
  <si>
    <t>-</t>
  </si>
  <si>
    <t>LPM1</t>
  </si>
  <si>
    <t>LMP4</t>
  </si>
  <si>
    <t>(1/3)</t>
  </si>
  <si>
    <t>(1/4)</t>
  </si>
  <si>
    <t>Partial Moments</t>
  </si>
  <si>
    <t>Excess return on VaR</t>
  </si>
  <si>
    <t>BLACKSTONE</t>
  </si>
  <si>
    <t>GOLDMAN SACHS</t>
  </si>
  <si>
    <t>Target tau</t>
  </si>
  <si>
    <t>Beta</t>
  </si>
  <si>
    <t>Jensen's Alpha</t>
  </si>
  <si>
    <t>St. Dev of risk premium</t>
  </si>
  <si>
    <t>TREYNOR RATIO</t>
  </si>
  <si>
    <t>Treynor(A)</t>
  </si>
  <si>
    <t xml:space="preserve">MGF 696- PORTFOLIO THEORY AND STRATEGY </t>
  </si>
  <si>
    <t>PROJECT 1</t>
  </si>
  <si>
    <t>Rajas Koranne</t>
  </si>
  <si>
    <t>Arnav Sharma</t>
  </si>
  <si>
    <t>Mihir Lamkhade</t>
  </si>
  <si>
    <t>Ajit Pawar</t>
  </si>
  <si>
    <t>Tanmay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</si>
</sst>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000"/>
    <numFmt numFmtId="165" formatCode="0.000"/>
    <numFmt numFmtId="166" formatCode="0.000%"/>
    <numFmt numFmtId="167" formatCode="0.000000%"/>
    <numFmt numFmtId="168" formatCode="_(* #,##0.0000_);_(* \(#,##0.0000\);_(* &quot;-&quot;??_);_(@_)"/>
    <numFmt numFmtId="169" formatCode="0.0000%"/>
    <numFmt numFmtId="170" formatCode="0.0000000"/>
    <numFmt numFmtId="171" formatCode="[$-409]mmm\-yy;@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2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24"/>
      <color theme="1"/>
      <name val="Aptos Display"/>
      <family val="2"/>
      <scheme val="major"/>
    </font>
    <font>
      <b/>
      <sz val="16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2">
    <xf numFmtId="0" fontId="0" fillId="0" borderId="0" xfId="0"/>
    <xf numFmtId="11" fontId="0" fillId="0" borderId="0" xfId="0" applyNumberFormat="1"/>
    <xf numFmtId="165" fontId="0" fillId="0" borderId="0" xfId="0" applyNumberFormat="1"/>
    <xf numFmtId="10" fontId="0" fillId="0" borderId="0" xfId="2" applyNumberFormat="1" applyFont="1"/>
    <xf numFmtId="167" fontId="0" fillId="0" borderId="0" xfId="2" applyNumberFormat="1" applyFont="1"/>
    <xf numFmtId="10" fontId="0" fillId="0" borderId="0" xfId="0" applyNumberFormat="1"/>
    <xf numFmtId="168" fontId="0" fillId="0" borderId="0" xfId="1" applyNumberFormat="1" applyFont="1"/>
    <xf numFmtId="43" fontId="0" fillId="0" borderId="0" xfId="1" applyFont="1"/>
    <xf numFmtId="166" fontId="0" fillId="0" borderId="0" xfId="0" applyNumberFormat="1"/>
    <xf numFmtId="0" fontId="18" fillId="0" borderId="0" xfId="0" applyFont="1"/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0" fontId="0" fillId="0" borderId="19" xfId="2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0" fontId="0" fillId="0" borderId="21" xfId="0" applyNumberFormat="1" applyBorder="1" applyAlignment="1">
      <alignment horizontal="center"/>
    </xf>
    <xf numFmtId="10" fontId="0" fillId="0" borderId="22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10" fontId="0" fillId="0" borderId="22" xfId="2" applyNumberFormat="1" applyFont="1" applyBorder="1" applyAlignment="1">
      <alignment horizontal="center"/>
    </xf>
    <xf numFmtId="10" fontId="0" fillId="0" borderId="23" xfId="2" applyNumberFormat="1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10" fontId="0" fillId="0" borderId="21" xfId="2" applyNumberFormat="1" applyFont="1" applyBorder="1" applyAlignment="1">
      <alignment horizontal="center"/>
    </xf>
    <xf numFmtId="10" fontId="0" fillId="0" borderId="20" xfId="2" applyNumberFormat="1" applyFont="1" applyBorder="1" applyAlignment="1">
      <alignment horizontal="center"/>
    </xf>
    <xf numFmtId="168" fontId="0" fillId="0" borderId="20" xfId="1" applyNumberFormat="1" applyFon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2" xfId="0" applyFont="1" applyBorder="1" applyAlignment="1">
      <alignment horizontal="center"/>
    </xf>
    <xf numFmtId="170" fontId="0" fillId="0" borderId="20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23" xfId="0" applyNumberFormat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64" fontId="0" fillId="0" borderId="0" xfId="2" applyNumberFormat="1" applyFont="1" applyBorder="1" applyAlignment="1">
      <alignment horizontal="center"/>
    </xf>
    <xf numFmtId="164" fontId="0" fillId="0" borderId="19" xfId="2" applyNumberFormat="1" applyFont="1" applyBorder="1" applyAlignment="1">
      <alignment horizontal="center"/>
    </xf>
    <xf numFmtId="10" fontId="0" fillId="0" borderId="19" xfId="0" applyNumberFormat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10" fontId="16" fillId="33" borderId="12" xfId="2" applyNumberFormat="1" applyFont="1" applyFill="1" applyBorder="1" applyAlignment="1">
      <alignment horizontal="center"/>
    </xf>
    <xf numFmtId="0" fontId="21" fillId="33" borderId="12" xfId="0" applyFont="1" applyFill="1" applyBorder="1" applyAlignment="1">
      <alignment horizontal="center"/>
    </xf>
    <xf numFmtId="170" fontId="0" fillId="0" borderId="22" xfId="0" applyNumberFormat="1" applyBorder="1" applyAlignment="1">
      <alignment horizontal="center"/>
    </xf>
    <xf numFmtId="170" fontId="0" fillId="0" borderId="23" xfId="0" applyNumberFormat="1" applyBorder="1" applyAlignment="1">
      <alignment horizontal="center"/>
    </xf>
    <xf numFmtId="167" fontId="0" fillId="0" borderId="22" xfId="2" applyNumberFormat="1" applyFont="1" applyBorder="1" applyAlignment="1">
      <alignment horizontal="center"/>
    </xf>
    <xf numFmtId="167" fontId="0" fillId="0" borderId="23" xfId="2" applyNumberFormat="1" applyFont="1" applyBorder="1" applyAlignment="1">
      <alignment horizontal="center"/>
    </xf>
    <xf numFmtId="169" fontId="0" fillId="0" borderId="22" xfId="2" applyNumberFormat="1" applyFont="1" applyBorder="1" applyAlignment="1">
      <alignment horizontal="center"/>
    </xf>
    <xf numFmtId="0" fontId="0" fillId="0" borderId="10" xfId="0" applyBorder="1"/>
    <xf numFmtId="10" fontId="0" fillId="0" borderId="21" xfId="0" applyNumberFormat="1" applyBorder="1"/>
    <xf numFmtId="166" fontId="0" fillId="0" borderId="22" xfId="2" applyNumberFormat="1" applyFont="1" applyBorder="1"/>
    <xf numFmtId="10" fontId="0" fillId="0" borderId="22" xfId="0" applyNumberFormat="1" applyBorder="1"/>
    <xf numFmtId="10" fontId="0" fillId="0" borderId="22" xfId="2" applyNumberFormat="1" applyFont="1" applyBorder="1"/>
    <xf numFmtId="10" fontId="0" fillId="0" borderId="23" xfId="2" applyNumberFormat="1" applyFont="1" applyBorder="1"/>
    <xf numFmtId="0" fontId="0" fillId="0" borderId="24" xfId="0" applyBorder="1" applyAlignment="1">
      <alignment horizontal="center"/>
    </xf>
    <xf numFmtId="10" fontId="0" fillId="0" borderId="13" xfId="2" applyNumberFormat="1" applyFont="1" applyBorder="1"/>
    <xf numFmtId="0" fontId="0" fillId="0" borderId="22" xfId="0" applyBorder="1"/>
    <xf numFmtId="168" fontId="0" fillId="0" borderId="23" xfId="1" applyNumberFormat="1" applyFont="1" applyBorder="1" applyAlignment="1">
      <alignment horizontal="center"/>
    </xf>
    <xf numFmtId="0" fontId="16" fillId="0" borderId="0" xfId="0" applyFont="1"/>
    <xf numFmtId="10" fontId="0" fillId="0" borderId="0" xfId="2" applyNumberFormat="1" applyFont="1" applyBorder="1"/>
    <xf numFmtId="167" fontId="0" fillId="0" borderId="0" xfId="2" applyNumberFormat="1" applyFont="1" applyBorder="1"/>
    <xf numFmtId="0" fontId="0" fillId="0" borderId="17" xfId="0" applyBorder="1"/>
    <xf numFmtId="0" fontId="0" fillId="0" borderId="19" xfId="0" applyBorder="1"/>
    <xf numFmtId="10" fontId="0" fillId="0" borderId="19" xfId="2" applyNumberFormat="1" applyFont="1" applyBorder="1"/>
    <xf numFmtId="10" fontId="0" fillId="0" borderId="19" xfId="0" applyNumberFormat="1" applyBorder="1"/>
    <xf numFmtId="167" fontId="0" fillId="0" borderId="19" xfId="2" applyNumberFormat="1" applyFont="1" applyBorder="1"/>
    <xf numFmtId="0" fontId="0" fillId="0" borderId="20" xfId="0" applyBorder="1"/>
    <xf numFmtId="0" fontId="16" fillId="33" borderId="12" xfId="0" applyFont="1" applyFill="1" applyBorder="1"/>
    <xf numFmtId="10" fontId="16" fillId="33" borderId="12" xfId="2" applyNumberFormat="1" applyFont="1" applyFill="1" applyBorder="1"/>
    <xf numFmtId="0" fontId="16" fillId="33" borderId="13" xfId="0" applyFont="1" applyFill="1" applyBorder="1"/>
    <xf numFmtId="0" fontId="16" fillId="33" borderId="10" xfId="0" applyFont="1" applyFill="1" applyBorder="1"/>
    <xf numFmtId="166" fontId="0" fillId="0" borderId="22" xfId="0" applyNumberFormat="1" applyBorder="1"/>
    <xf numFmtId="166" fontId="0" fillId="0" borderId="23" xfId="0" applyNumberFormat="1" applyBorder="1"/>
    <xf numFmtId="10" fontId="0" fillId="0" borderId="23" xfId="0" applyNumberFormat="1" applyBorder="1"/>
    <xf numFmtId="0" fontId="21" fillId="33" borderId="10" xfId="0" applyFont="1" applyFill="1" applyBorder="1"/>
    <xf numFmtId="164" fontId="0" fillId="0" borderId="22" xfId="2" applyNumberFormat="1" applyFont="1" applyBorder="1"/>
    <xf numFmtId="164" fontId="0" fillId="0" borderId="23" xfId="2" applyNumberFormat="1" applyFont="1" applyBorder="1"/>
    <xf numFmtId="0" fontId="0" fillId="0" borderId="23" xfId="0" applyBorder="1"/>
    <xf numFmtId="0" fontId="23" fillId="0" borderId="0" xfId="0" applyFont="1"/>
    <xf numFmtId="171" fontId="0" fillId="0" borderId="22" xfId="0" applyNumberFormat="1" applyBorder="1"/>
    <xf numFmtId="171" fontId="0" fillId="0" borderId="23" xfId="0" applyNumberFormat="1" applyBorder="1"/>
    <xf numFmtId="171" fontId="0" fillId="0" borderId="16" xfId="0" applyNumberFormat="1" applyBorder="1" applyAlignment="1">
      <alignment horizontal="center"/>
    </xf>
    <xf numFmtId="171" fontId="0" fillId="0" borderId="18" xfId="0" applyNumberFormat="1" applyBorder="1" applyAlignment="1">
      <alignment horizontal="center"/>
    </xf>
    <xf numFmtId="0" fontId="19" fillId="0" borderId="0" xfId="0" applyFont="1" applyAlignment="1">
      <alignment horizontal="center"/>
    </xf>
    <xf numFmtId="10" fontId="0" fillId="0" borderId="0" xfId="2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43" fontId="0" fillId="0" borderId="20" xfId="1" applyFont="1" applyBorder="1" applyAlignment="1">
      <alignment horizontal="center"/>
    </xf>
    <xf numFmtId="10" fontId="0" fillId="0" borderId="20" xfId="0" applyNumberFormat="1" applyBorder="1" applyAlignment="1">
      <alignment horizontal="center"/>
    </xf>
    <xf numFmtId="169" fontId="0" fillId="0" borderId="20" xfId="2" applyNumberFormat="1" applyFont="1" applyBorder="1" applyAlignment="1">
      <alignment horizontal="center"/>
    </xf>
    <xf numFmtId="167" fontId="0" fillId="0" borderId="0" xfId="2" applyNumberFormat="1" applyFont="1" applyFill="1" applyBorder="1" applyAlignment="1">
      <alignment horizontal="center"/>
    </xf>
    <xf numFmtId="10" fontId="0" fillId="0" borderId="10" xfId="0" applyNumberFormat="1" applyBorder="1"/>
    <xf numFmtId="2" fontId="0" fillId="0" borderId="23" xfId="1" applyNumberFormat="1" applyFont="1" applyBorder="1" applyAlignment="1">
      <alignment horizontal="center"/>
    </xf>
    <xf numFmtId="43" fontId="0" fillId="0" borderId="23" xfId="1" applyFont="1" applyBorder="1" applyAlignment="1">
      <alignment horizontal="center"/>
    </xf>
    <xf numFmtId="10" fontId="0" fillId="0" borderId="23" xfId="0" applyNumberFormat="1" applyBorder="1" applyAlignment="1">
      <alignment horizontal="center"/>
    </xf>
    <xf numFmtId="10" fontId="0" fillId="0" borderId="10" xfId="2" applyNumberFormat="1" applyFont="1" applyBorder="1"/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1963797</xdr:colOff>
      <xdr:row>0</xdr:row>
      <xdr:rowOff>0</xdr:rowOff>
    </xdr:from>
    <xdr:to>
      <xdr:col>13</xdr:col>
      <xdr:colOff>187020</xdr:colOff>
      <xdr:row>9</xdr:row>
      <xdr:rowOff>141935</xdr:rowOff>
    </xdr:to>
    <xdr:pic>
      <xdr:nvPicPr>
        <xdr:cNvPr id="2" name="Picture 1" descr="Design and Ordering - Identity and Brand - University at Buffalo">
          <a:extLst>
            <a:ext uri="{FF2B5EF4-FFF2-40B4-BE49-F238E27FC236}">
              <a16:creationId xmlns:a16="http://schemas.microsoft.com/office/drawing/2014/main" id="{150B8405-6A41-4065-6D6F-ADC0E7F1A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4167" y="0"/>
          <a:ext cx="3463149" cy="1835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7FC2-FBA1-4E12-8376-7288F56959B0}">
  <dimension ref="A1:AC68"/>
  <sheetViews>
    <sheetView topLeftCell="A54" workbookViewId="0">
      <selection activeCell="A68" sqref="A68:C68"/>
    </sheetView>
  </sheetViews>
  <sheetFormatPr defaultRowHeight="14.4" x14ac:dyDescent="0.3"/>
  <cols>
    <col min="1" max="6" width="11" customWidth="1"/>
    <col min="10" max="10" width="14.6640625" customWidth="1"/>
    <col min="23" max="23" width="13.44140625" customWidth="1"/>
    <col min="25" max="25" width="22.6640625" customWidth="1"/>
  </cols>
  <sheetData>
    <row r="1" spans="1:29" x14ac:dyDescent="0.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75</v>
      </c>
      <c r="G1" t="s">
        <v>3</v>
      </c>
      <c r="H1" t="s">
        <v>4</v>
      </c>
      <c r="I1" t="s">
        <v>5</v>
      </c>
      <c r="J1" s="3" t="s">
        <v>71</v>
      </c>
      <c r="L1" t="s">
        <v>72</v>
      </c>
      <c r="M1" t="s">
        <v>73</v>
      </c>
      <c r="N1" s="9" t="s">
        <v>76</v>
      </c>
      <c r="O1" t="s">
        <v>74</v>
      </c>
      <c r="P1" t="s">
        <v>77</v>
      </c>
      <c r="Q1" t="s">
        <v>78</v>
      </c>
      <c r="R1" t="s">
        <v>79</v>
      </c>
      <c r="S1" t="s">
        <v>80</v>
      </c>
    </row>
    <row r="2" spans="1:29" x14ac:dyDescent="0.3">
      <c r="A2" t="s">
        <v>7</v>
      </c>
      <c r="B2">
        <v>1.19</v>
      </c>
      <c r="C2">
        <v>-1.93</v>
      </c>
      <c r="D2">
        <v>0.47</v>
      </c>
      <c r="E2">
        <v>0.19</v>
      </c>
      <c r="F2">
        <v>-1.10006698947021E-2</v>
      </c>
      <c r="G2">
        <v>-3.9113386566196402E-2</v>
      </c>
      <c r="H2">
        <v>-2.0916419557110599E-2</v>
      </c>
      <c r="I2">
        <v>-2.81361002018287E-2</v>
      </c>
      <c r="J2" s="3">
        <f t="shared" ref="J2:J33" si="0">(G2*0.631)+(H2*0.267)+(I2*0.103)</f>
        <v>-3.3163249265806813E-2</v>
      </c>
      <c r="L2">
        <f t="shared" ref="L2:L33" si="1">_xlfn.VAR.P(J2:J62)</f>
        <v>4.5796908050475246E-4</v>
      </c>
      <c r="M2">
        <f t="shared" ref="M2:M33" si="2">_xlfn.SKEW.P(J2:J1280)</f>
        <v>0.39951827741993123</v>
      </c>
      <c r="N2" s="5">
        <f t="shared" ref="N2:N33" si="3">MAX($AA$14-F2,0)</f>
        <v>1.10006698947021E-2</v>
      </c>
      <c r="P2" s="5">
        <f t="shared" ref="P2:P33" si="4">N2^2</f>
        <v>1.2101473813220512E-4</v>
      </c>
      <c r="Q2" s="5">
        <f t="shared" ref="Q2:Q33" si="5">N2^3</f>
        <v>1.331243186586207E-6</v>
      </c>
      <c r="R2" s="5">
        <f t="shared" ref="R2:R33" si="6">N2^4</f>
        <v>1.4644566845206179E-8</v>
      </c>
      <c r="S2" s="8">
        <f t="shared" ref="S2:S33" si="7">MAX(G2-$Z$14,0)</f>
        <v>0</v>
      </c>
    </row>
    <row r="3" spans="1:29" x14ac:dyDescent="0.3">
      <c r="A3" t="s">
        <v>8</v>
      </c>
      <c r="B3">
        <v>-2.58</v>
      </c>
      <c r="C3">
        <v>-2.39</v>
      </c>
      <c r="D3">
        <v>-4.79</v>
      </c>
      <c r="E3">
        <v>0.16</v>
      </c>
      <c r="F3">
        <v>-4.4417485458574199E-4</v>
      </c>
      <c r="G3">
        <v>3.0495525111505699E-3</v>
      </c>
      <c r="H3">
        <v>-1.9190026000768801E-3</v>
      </c>
      <c r="I3">
        <v>-2.59118656638971E-3</v>
      </c>
      <c r="J3" s="3">
        <f t="shared" si="0"/>
        <v>1.1450017239773426E-3</v>
      </c>
      <c r="L3">
        <f t="shared" si="1"/>
        <v>4.4715420749243638E-4</v>
      </c>
      <c r="M3">
        <f t="shared" si="2"/>
        <v>0.40628417709607212</v>
      </c>
      <c r="N3" s="5">
        <f t="shared" si="3"/>
        <v>4.4417485458574199E-4</v>
      </c>
      <c r="P3" s="5">
        <f t="shared" si="4"/>
        <v>1.9729130144626505E-7</v>
      </c>
      <c r="Q3" s="5">
        <f t="shared" si="5"/>
        <v>8.7631835130926566E-11</v>
      </c>
      <c r="R3" s="5">
        <f t="shared" si="6"/>
        <v>3.8923857626361024E-14</v>
      </c>
      <c r="S3" s="8">
        <f t="shared" si="7"/>
        <v>0</v>
      </c>
    </row>
    <row r="4" spans="1:29" x14ac:dyDescent="0.3">
      <c r="A4" t="s">
        <v>9</v>
      </c>
      <c r="B4">
        <v>1.43</v>
      </c>
      <c r="C4">
        <v>-0.97</v>
      </c>
      <c r="D4">
        <v>6.77</v>
      </c>
      <c r="E4">
        <v>0.18</v>
      </c>
      <c r="F4">
        <v>4.62645762226911E-3</v>
      </c>
      <c r="G4">
        <v>1.33588882367916E-2</v>
      </c>
      <c r="H4">
        <v>1.7229134095851299E-2</v>
      </c>
      <c r="I4">
        <v>1.8338663161969599E-2</v>
      </c>
      <c r="J4" s="3">
        <f t="shared" si="0"/>
        <v>1.4918519586690663E-2</v>
      </c>
      <c r="L4">
        <f t="shared" si="1"/>
        <v>4.5472306776387397E-4</v>
      </c>
      <c r="M4">
        <f t="shared" si="2"/>
        <v>0.40471526555096893</v>
      </c>
      <c r="N4" s="5">
        <f t="shared" si="3"/>
        <v>0</v>
      </c>
      <c r="P4" s="5">
        <f t="shared" si="4"/>
        <v>0</v>
      </c>
      <c r="Q4" s="5">
        <f t="shared" si="5"/>
        <v>0</v>
      </c>
      <c r="R4" s="5">
        <f t="shared" si="6"/>
        <v>0</v>
      </c>
      <c r="S4" s="8">
        <f t="shared" si="7"/>
        <v>7.5255549034582659E-3</v>
      </c>
    </row>
    <row r="5" spans="1:29" x14ac:dyDescent="0.3">
      <c r="A5" t="s">
        <v>10</v>
      </c>
      <c r="B5">
        <v>2.06</v>
      </c>
      <c r="C5">
        <v>0.28999999999999998</v>
      </c>
      <c r="D5">
        <v>-1.9</v>
      </c>
      <c r="E5">
        <v>0.16</v>
      </c>
      <c r="F5">
        <v>-2.6667094920130802E-3</v>
      </c>
      <c r="G5">
        <v>-9.8016173978493302E-3</v>
      </c>
      <c r="H5">
        <v>-6.5849215316408898E-3</v>
      </c>
      <c r="I5">
        <v>-3.0162958729905399E-4</v>
      </c>
      <c r="J5" s="3">
        <f t="shared" si="0"/>
        <v>-7.9740624744828476E-3</v>
      </c>
      <c r="L5">
        <f t="shared" si="1"/>
        <v>4.5885062206626028E-4</v>
      </c>
      <c r="M5">
        <f t="shared" si="2"/>
        <v>0.43588118573876034</v>
      </c>
      <c r="N5" s="5">
        <f t="shared" si="3"/>
        <v>2.6667094920130802E-3</v>
      </c>
      <c r="P5" s="5">
        <f t="shared" si="4"/>
        <v>7.1113395147926602E-6</v>
      </c>
      <c r="Q5" s="5">
        <f t="shared" si="5"/>
        <v>1.8963876585025279E-8</v>
      </c>
      <c r="R5" s="5">
        <f t="shared" si="6"/>
        <v>5.0571149694651509E-11</v>
      </c>
      <c r="S5" s="8">
        <f t="shared" si="7"/>
        <v>0</v>
      </c>
      <c r="V5" t="s">
        <v>85</v>
      </c>
      <c r="W5" s="3">
        <f>AVERAGE(F2:F62)</f>
        <v>-2.0666332727049797E-3</v>
      </c>
      <c r="Y5" t="s">
        <v>86</v>
      </c>
      <c r="Z5" s="3">
        <f>AVERAGE(E2:E62)/100</f>
        <v>1.7655737704918031E-3</v>
      </c>
      <c r="AC5" t="s">
        <v>87</v>
      </c>
    </row>
    <row r="6" spans="1:29" x14ac:dyDescent="0.3">
      <c r="A6" t="s">
        <v>11</v>
      </c>
      <c r="B6">
        <v>3.88</v>
      </c>
      <c r="C6">
        <v>0.78</v>
      </c>
      <c r="D6">
        <v>-1.99</v>
      </c>
      <c r="E6">
        <v>0.12</v>
      </c>
      <c r="F6">
        <v>-3.7160766636914599E-3</v>
      </c>
      <c r="G6">
        <v>-6.8969607573848802E-3</v>
      </c>
      <c r="H6">
        <v>-8.3372013741933801E-3</v>
      </c>
      <c r="I6">
        <v>-6.7688027987296102E-3</v>
      </c>
      <c r="J6" s="3">
        <f t="shared" si="0"/>
        <v>-7.2752016930886414E-3</v>
      </c>
      <c r="L6">
        <f t="shared" si="1"/>
        <v>4.6573150548803922E-4</v>
      </c>
      <c r="M6">
        <f t="shared" si="2"/>
        <v>0.41492367491943516</v>
      </c>
      <c r="N6" s="5">
        <f t="shared" si="3"/>
        <v>3.7160766636914599E-3</v>
      </c>
      <c r="P6" s="5">
        <f t="shared" si="4"/>
        <v>1.3809225770432251E-5</v>
      </c>
      <c r="Q6" s="5">
        <f t="shared" si="5"/>
        <v>5.131614162915001E-8</v>
      </c>
      <c r="R6" s="5">
        <f t="shared" si="6"/>
        <v>1.9069471637877019E-10</v>
      </c>
      <c r="S6" s="8">
        <f t="shared" si="7"/>
        <v>0</v>
      </c>
      <c r="V6" t="s">
        <v>88</v>
      </c>
      <c r="W6" s="3">
        <f>W5*12</f>
        <v>-2.4799599272459755E-2</v>
      </c>
      <c r="Y6" t="s">
        <v>89</v>
      </c>
      <c r="Z6" s="3">
        <f>Z5*12</f>
        <v>2.1186885245901635E-2</v>
      </c>
      <c r="AC6" s="3" cm="1">
        <f t="array" ref="AC6">_xlfn.STDEV.S(B2:B62/100)</f>
        <v>5.3607205443017038E-2</v>
      </c>
    </row>
    <row r="7" spans="1:29" x14ac:dyDescent="0.3">
      <c r="A7" t="s">
        <v>12</v>
      </c>
      <c r="B7">
        <v>2.77</v>
      </c>
      <c r="C7">
        <v>0.73</v>
      </c>
      <c r="D7">
        <v>1.78</v>
      </c>
      <c r="E7">
        <v>0.14000000000000001</v>
      </c>
      <c r="F7">
        <v>2.42633903870524E-3</v>
      </c>
      <c r="G7">
        <v>1.27453745687949E-2</v>
      </c>
      <c r="H7">
        <v>5.2991741395522199E-3</v>
      </c>
      <c r="I7">
        <v>6.3709534633669502E-3</v>
      </c>
      <c r="J7" s="3">
        <f t="shared" si="0"/>
        <v>1.011341905489682E-2</v>
      </c>
      <c r="L7">
        <f t="shared" si="1"/>
        <v>4.7301595860162009E-4</v>
      </c>
      <c r="M7">
        <f t="shared" si="2"/>
        <v>0.39479540383921286</v>
      </c>
      <c r="N7" s="5">
        <f t="shared" si="3"/>
        <v>0</v>
      </c>
      <c r="P7" s="5">
        <f t="shared" si="4"/>
        <v>0</v>
      </c>
      <c r="Q7" s="5">
        <f t="shared" si="5"/>
        <v>0</v>
      </c>
      <c r="R7" s="5">
        <f t="shared" si="6"/>
        <v>0</v>
      </c>
      <c r="S7" s="8">
        <f t="shared" si="7"/>
        <v>6.9120412354615668E-3</v>
      </c>
      <c r="V7" t="s">
        <v>90</v>
      </c>
      <c r="W7" s="3">
        <f>_xlfn.STDEV.S(F2:F62)</f>
        <v>1.0902613417138251E-2</v>
      </c>
    </row>
    <row r="8" spans="1:29" x14ac:dyDescent="0.3">
      <c r="A8" t="s">
        <v>13</v>
      </c>
      <c r="B8">
        <v>-0.11</v>
      </c>
      <c r="C8">
        <v>-3.13</v>
      </c>
      <c r="D8">
        <v>-6.25</v>
      </c>
      <c r="E8">
        <v>0.13</v>
      </c>
      <c r="F8">
        <v>-1.8324588334886701E-2</v>
      </c>
      <c r="G8">
        <v>-3.8906633608741199E-2</v>
      </c>
      <c r="H8">
        <v>-1.62633718824183E-2</v>
      </c>
      <c r="I8">
        <v>-5.3178225984243703E-2</v>
      </c>
      <c r="J8" s="3">
        <f t="shared" si="0"/>
        <v>-3.4369763376098483E-2</v>
      </c>
      <c r="L8">
        <f t="shared" si="1"/>
        <v>4.7986785041439421E-4</v>
      </c>
      <c r="M8">
        <f t="shared" si="2"/>
        <v>0.41600621090195006</v>
      </c>
      <c r="N8" s="5">
        <f t="shared" si="3"/>
        <v>1.8324588334886701E-2</v>
      </c>
      <c r="P8" s="5">
        <f t="shared" si="4"/>
        <v>3.3579053764306574E-4</v>
      </c>
      <c r="Q8" s="5">
        <f t="shared" si="5"/>
        <v>6.153223369059456E-6</v>
      </c>
      <c r="R8" s="5">
        <f t="shared" si="6"/>
        <v>1.1275528517061915E-7</v>
      </c>
      <c r="S8" s="8">
        <f t="shared" si="7"/>
        <v>0</v>
      </c>
      <c r="V8" t="s">
        <v>91</v>
      </c>
      <c r="W8" s="3">
        <f>W7*SQRT(12)</f>
        <v>3.7767760747531166E-2</v>
      </c>
    </row>
    <row r="9" spans="1:29" x14ac:dyDescent="0.3">
      <c r="A9" t="s">
        <v>14</v>
      </c>
      <c r="B9">
        <v>-8.1300000000000008</v>
      </c>
      <c r="C9">
        <v>1.07</v>
      </c>
      <c r="D9">
        <v>-3.8</v>
      </c>
      <c r="E9">
        <v>0.12</v>
      </c>
      <c r="F9">
        <v>-4.2104092404300197E-3</v>
      </c>
      <c r="G9">
        <v>6.6873928349231795E-2</v>
      </c>
      <c r="H9">
        <v>-2.6338485763654398E-2</v>
      </c>
      <c r="I9">
        <v>2.28262153906237E-2</v>
      </c>
      <c r="J9" s="3">
        <f t="shared" si="0"/>
        <v>3.7516173274703773E-2</v>
      </c>
      <c r="L9">
        <f t="shared" si="1"/>
        <v>4.6618948824607523E-4</v>
      </c>
      <c r="M9">
        <f t="shared" si="2"/>
        <v>0.42959967961153001</v>
      </c>
      <c r="N9" s="5">
        <f t="shared" si="3"/>
        <v>4.2104092404300197E-3</v>
      </c>
      <c r="P9" s="5">
        <f t="shared" si="4"/>
        <v>1.7727545971898495E-5</v>
      </c>
      <c r="Q9" s="5">
        <f t="shared" si="5"/>
        <v>7.4640223370229393E-8</v>
      </c>
      <c r="R9" s="5">
        <f t="shared" si="6"/>
        <v>3.1426588618577454E-10</v>
      </c>
      <c r="S9" s="8">
        <f t="shared" si="7"/>
        <v>6.1040595015898459E-2</v>
      </c>
    </row>
    <row r="10" spans="1:29" x14ac:dyDescent="0.3">
      <c r="A10" t="s">
        <v>15</v>
      </c>
      <c r="B10">
        <v>-13.39</v>
      </c>
      <c r="C10">
        <v>-4.79</v>
      </c>
      <c r="D10">
        <v>-13.88</v>
      </c>
      <c r="E10">
        <v>0.13</v>
      </c>
      <c r="F10">
        <v>-1.5017626025057899E-2</v>
      </c>
      <c r="G10">
        <v>-7.5211772272417102E-3</v>
      </c>
      <c r="H10">
        <v>-4.1144798695990303E-2</v>
      </c>
      <c r="I10">
        <v>-2.15252698850005E-2</v>
      </c>
      <c r="J10" s="3">
        <f t="shared" si="0"/>
        <v>-1.7948626880373981E-2</v>
      </c>
      <c r="L10">
        <f t="shared" si="1"/>
        <v>4.4915337016779397E-4</v>
      </c>
      <c r="M10">
        <f t="shared" si="2"/>
        <v>0.46314718530648502</v>
      </c>
      <c r="N10" s="5">
        <f t="shared" si="3"/>
        <v>1.5017626025057899E-2</v>
      </c>
      <c r="P10" s="5">
        <f t="shared" si="4"/>
        <v>2.2552909142849631E-4</v>
      </c>
      <c r="Q10" s="5">
        <f t="shared" si="5"/>
        <v>3.3869115528442489E-6</v>
      </c>
      <c r="R10" s="5">
        <f t="shared" si="6"/>
        <v>5.086337108056305E-8</v>
      </c>
      <c r="S10" s="8">
        <f t="shared" si="7"/>
        <v>0</v>
      </c>
      <c r="V10" t="s">
        <v>92</v>
      </c>
      <c r="W10" s="5">
        <f>(W5-Z5)/AC6</f>
        <v>-7.1486790097094535E-2</v>
      </c>
    </row>
    <row r="11" spans="1:29" x14ac:dyDescent="0.3">
      <c r="A11" t="s">
        <v>16</v>
      </c>
      <c r="B11">
        <v>13.65</v>
      </c>
      <c r="C11">
        <v>2.4500000000000002</v>
      </c>
      <c r="D11">
        <v>-1.34</v>
      </c>
      <c r="E11">
        <v>0</v>
      </c>
      <c r="F11">
        <v>-9.3543599143363302E-3</v>
      </c>
      <c r="G11">
        <v>-2.09235732185423E-2</v>
      </c>
      <c r="H11">
        <v>-1.70336182143111E-2</v>
      </c>
      <c r="I11">
        <v>5.7649646920740899E-3</v>
      </c>
      <c r="J11" s="3">
        <f t="shared" si="0"/>
        <v>-1.7156959400837623E-2</v>
      </c>
      <c r="L11">
        <f t="shared" si="1"/>
        <v>4.5135825615353757E-4</v>
      </c>
      <c r="M11">
        <f t="shared" si="2"/>
        <v>0.43132333503895437</v>
      </c>
      <c r="N11" s="5">
        <f t="shared" si="3"/>
        <v>9.3543599143363302E-3</v>
      </c>
      <c r="P11" s="5">
        <f t="shared" si="4"/>
        <v>8.7504049406942399E-5</v>
      </c>
      <c r="Q11" s="5">
        <f t="shared" si="5"/>
        <v>8.1854437211440768E-7</v>
      </c>
      <c r="R11" s="5">
        <f t="shared" si="6"/>
        <v>7.6569586626126163E-9</v>
      </c>
      <c r="S11" s="8">
        <f t="shared" si="7"/>
        <v>0</v>
      </c>
      <c r="V11" t="s">
        <v>93</v>
      </c>
      <c r="W11">
        <f>W10*SQRT(12)</f>
        <v>-0.24763750503635881</v>
      </c>
    </row>
    <row r="12" spans="1:29" x14ac:dyDescent="0.3">
      <c r="A12" t="s">
        <v>17</v>
      </c>
      <c r="B12">
        <v>5.58</v>
      </c>
      <c r="C12">
        <v>2.4900000000000002</v>
      </c>
      <c r="D12">
        <v>-4.8499999999999996</v>
      </c>
      <c r="E12">
        <v>0.01</v>
      </c>
      <c r="F12">
        <v>4.44598437381099E-3</v>
      </c>
      <c r="G12">
        <v>4.4758793266557503E-2</v>
      </c>
      <c r="H12">
        <v>2.7932726858362102E-3</v>
      </c>
      <c r="I12">
        <v>2.3058548289605799E-2</v>
      </c>
      <c r="J12" s="3">
        <f t="shared" si="0"/>
        <v>3.1363632832145452E-2</v>
      </c>
      <c r="L12">
        <f t="shared" si="1"/>
        <v>4.5396435010933514E-4</v>
      </c>
      <c r="M12">
        <f t="shared" si="2"/>
        <v>0.39839280733069987</v>
      </c>
      <c r="N12" s="5">
        <f t="shared" si="3"/>
        <v>0</v>
      </c>
      <c r="P12" s="5">
        <f t="shared" si="4"/>
        <v>0</v>
      </c>
      <c r="Q12" s="5">
        <f t="shared" si="5"/>
        <v>0</v>
      </c>
      <c r="R12" s="5">
        <f t="shared" si="6"/>
        <v>0</v>
      </c>
      <c r="S12" s="8">
        <f t="shared" si="7"/>
        <v>3.8925459933224167E-2</v>
      </c>
      <c r="Y12" t="s">
        <v>94</v>
      </c>
      <c r="Z12" s="5">
        <v>7.0000000000000007E-2</v>
      </c>
    </row>
    <row r="13" spans="1:29" x14ac:dyDescent="0.3">
      <c r="A13" t="s">
        <v>18</v>
      </c>
      <c r="B13">
        <v>2.46</v>
      </c>
      <c r="C13">
        <v>2.69</v>
      </c>
      <c r="D13">
        <v>-2.23</v>
      </c>
      <c r="E13">
        <v>0.01</v>
      </c>
      <c r="F13">
        <v>1.27278880003199E-2</v>
      </c>
      <c r="G13">
        <v>3.1851296571415298E-2</v>
      </c>
      <c r="H13">
        <v>9.2704000018292206E-3</v>
      </c>
      <c r="I13">
        <v>3.6572253740145298E-2</v>
      </c>
      <c r="J13" s="3">
        <f t="shared" si="0"/>
        <v>2.634030707228642E-2</v>
      </c>
      <c r="L13">
        <f t="shared" si="1"/>
        <v>4.4406480332367704E-4</v>
      </c>
      <c r="M13">
        <f t="shared" si="2"/>
        <v>0.44624605250901744</v>
      </c>
      <c r="N13" s="5">
        <f t="shared" si="3"/>
        <v>0</v>
      </c>
      <c r="O13">
        <f t="shared" ref="O13:O44" si="8">SUM(F2:F12)</f>
        <v>-5.3235833384917997E-2</v>
      </c>
      <c r="P13" s="5">
        <f t="shared" si="4"/>
        <v>0</v>
      </c>
      <c r="Q13" s="5">
        <f t="shared" si="5"/>
        <v>0</v>
      </c>
      <c r="R13" s="5">
        <f t="shared" si="6"/>
        <v>0</v>
      </c>
      <c r="S13" s="8">
        <f t="shared" si="7"/>
        <v>2.6017963238081965E-2</v>
      </c>
      <c r="Y13" t="s">
        <v>95</v>
      </c>
    </row>
    <row r="14" spans="1:29" x14ac:dyDescent="0.3">
      <c r="A14" t="s">
        <v>19</v>
      </c>
      <c r="B14">
        <v>5.77</v>
      </c>
      <c r="C14">
        <v>-2.2999999999999998</v>
      </c>
      <c r="D14">
        <v>-1.44</v>
      </c>
      <c r="E14">
        <v>0.01</v>
      </c>
      <c r="F14">
        <v>7.8711646231713096E-3</v>
      </c>
      <c r="G14" s="1">
        <v>7.0836541735644595E-5</v>
      </c>
      <c r="H14">
        <v>3.6133323491902999E-3</v>
      </c>
      <c r="I14">
        <v>5.11731845864246E-2</v>
      </c>
      <c r="J14" s="3">
        <f t="shared" si="0"/>
        <v>6.2802956074707351E-3</v>
      </c>
      <c r="L14">
        <f t="shared" si="1"/>
        <v>4.3895432411738389E-4</v>
      </c>
      <c r="M14">
        <f t="shared" si="2"/>
        <v>0.50017980850032429</v>
      </c>
      <c r="N14" s="5">
        <f t="shared" si="3"/>
        <v>0</v>
      </c>
      <c r="O14">
        <f t="shared" si="8"/>
        <v>-2.9507275489895995E-2</v>
      </c>
      <c r="P14" s="5">
        <f t="shared" si="4"/>
        <v>0</v>
      </c>
      <c r="Q14" s="5">
        <f t="shared" si="5"/>
        <v>0</v>
      </c>
      <c r="R14" s="5">
        <f t="shared" si="6"/>
        <v>0</v>
      </c>
      <c r="S14" s="8">
        <f t="shared" si="7"/>
        <v>0</v>
      </c>
      <c r="Y14" t="s">
        <v>96</v>
      </c>
      <c r="Z14" s="3">
        <f>Z12/12</f>
        <v>5.8333333333333336E-3</v>
      </c>
    </row>
    <row r="15" spans="1:29" x14ac:dyDescent="0.3">
      <c r="A15" t="s">
        <v>20</v>
      </c>
      <c r="B15">
        <v>7.63</v>
      </c>
      <c r="C15">
        <v>-0.28000000000000003</v>
      </c>
      <c r="D15">
        <v>-2.88</v>
      </c>
      <c r="E15">
        <v>0.01</v>
      </c>
      <c r="F15">
        <v>-3.6291015119239299E-3</v>
      </c>
      <c r="G15">
        <v>1.7099263705913598E-2</v>
      </c>
      <c r="H15">
        <v>-1.1468212277291801E-2</v>
      </c>
      <c r="I15">
        <v>6.9120213340919303E-3</v>
      </c>
      <c r="J15" s="3">
        <f t="shared" si="0"/>
        <v>8.4395609178060382E-3</v>
      </c>
      <c r="L15">
        <f t="shared" si="1"/>
        <v>4.4718385691672722E-4</v>
      </c>
      <c r="M15">
        <f t="shared" si="2"/>
        <v>0.5153383982473021</v>
      </c>
      <c r="N15" s="5">
        <f t="shared" si="3"/>
        <v>3.6291015119239299E-3</v>
      </c>
      <c r="O15">
        <f t="shared" si="8"/>
        <v>-2.1191936012138937E-2</v>
      </c>
      <c r="P15" s="5">
        <f t="shared" si="4"/>
        <v>1.3170377783848554E-5</v>
      </c>
      <c r="Q15" s="5">
        <f t="shared" si="5"/>
        <v>4.7796637927974126E-8</v>
      </c>
      <c r="R15" s="5">
        <f t="shared" si="6"/>
        <v>1.7345885096929154E-10</v>
      </c>
      <c r="S15" s="8">
        <f t="shared" si="7"/>
        <v>1.1265930372580266E-2</v>
      </c>
    </row>
    <row r="16" spans="1:29" x14ac:dyDescent="0.3">
      <c r="A16" t="s">
        <v>21</v>
      </c>
      <c r="B16">
        <v>-3.63</v>
      </c>
      <c r="C16">
        <v>-0.03</v>
      </c>
      <c r="D16">
        <v>-2.65</v>
      </c>
      <c r="E16">
        <v>0.01</v>
      </c>
      <c r="F16">
        <v>7.5534412924458203E-3</v>
      </c>
      <c r="G16">
        <v>2.27806810467568E-2</v>
      </c>
      <c r="H16">
        <v>3.86006048104809E-3</v>
      </c>
      <c r="I16">
        <v>1.3088356610691999E-2</v>
      </c>
      <c r="J16" s="3">
        <f t="shared" si="0"/>
        <v>1.6753346619844657E-2</v>
      </c>
      <c r="L16">
        <f t="shared" si="1"/>
        <v>4.5499403846579204E-4</v>
      </c>
      <c r="M16">
        <f t="shared" si="2"/>
        <v>0.53778986302382481</v>
      </c>
      <c r="N16" s="5">
        <f t="shared" si="3"/>
        <v>0</v>
      </c>
      <c r="O16">
        <f t="shared" si="8"/>
        <v>-2.9447495146331975E-2</v>
      </c>
      <c r="P16" s="5">
        <f t="shared" si="4"/>
        <v>0</v>
      </c>
      <c r="Q16" s="5">
        <f t="shared" si="5"/>
        <v>0</v>
      </c>
      <c r="R16" s="5">
        <f t="shared" si="6"/>
        <v>0</v>
      </c>
      <c r="S16" s="8">
        <f t="shared" si="7"/>
        <v>1.6947347713423468E-2</v>
      </c>
      <c r="W16" t="s">
        <v>97</v>
      </c>
      <c r="X16" s="5" t="e">
        <f>AVERAGE(M2:M62)</f>
        <v>#DIV/0!</v>
      </c>
      <c r="Y16" t="s">
        <v>98</v>
      </c>
      <c r="Z16" s="6">
        <f>AVERAGE(P2:P62)</f>
        <v>7.7905146177669761E-5</v>
      </c>
    </row>
    <row r="17" spans="1:26" x14ac:dyDescent="0.3">
      <c r="A17" t="s">
        <v>22</v>
      </c>
      <c r="B17">
        <v>-2.1</v>
      </c>
      <c r="C17">
        <v>4.2699999999999996</v>
      </c>
      <c r="D17">
        <v>4.3099999999999996</v>
      </c>
      <c r="E17">
        <v>0.01</v>
      </c>
      <c r="F17">
        <v>-1.04795142951096E-2</v>
      </c>
      <c r="G17">
        <v>-3.8348673755835901E-2</v>
      </c>
      <c r="H17">
        <v>1.60520155982358E-3</v>
      </c>
      <c r="I17">
        <v>-4.2667433718161799E-2</v>
      </c>
      <c r="J17" s="3">
        <f t="shared" si="0"/>
        <v>-2.8164169996430219E-2</v>
      </c>
      <c r="L17">
        <f t="shared" si="1"/>
        <v>4.5819231181858436E-4</v>
      </c>
      <c r="M17">
        <f t="shared" si="2"/>
        <v>0.58503745147418418</v>
      </c>
      <c r="N17" s="5">
        <f t="shared" si="3"/>
        <v>1.04795142951096E-2</v>
      </c>
      <c r="O17">
        <f t="shared" si="8"/>
        <v>-1.922734436187308E-2</v>
      </c>
      <c r="P17" s="5">
        <f t="shared" si="4"/>
        <v>1.0982021986140647E-4</v>
      </c>
      <c r="Q17" s="5">
        <f t="shared" si="5"/>
        <v>1.1508625639296884E-6</v>
      </c>
      <c r="R17" s="5">
        <f t="shared" si="6"/>
        <v>1.2060480690407656E-8</v>
      </c>
      <c r="S17" s="8">
        <f t="shared" si="7"/>
        <v>0</v>
      </c>
      <c r="Y17" t="s">
        <v>101</v>
      </c>
      <c r="Z17" s="3">
        <f>SQRT(Z16)</f>
        <v>8.826389192510704E-3</v>
      </c>
    </row>
    <row r="18" spans="1:26" x14ac:dyDescent="0.3">
      <c r="A18" t="s">
        <v>23</v>
      </c>
      <c r="B18">
        <v>12.47</v>
      </c>
      <c r="C18">
        <v>5.72</v>
      </c>
      <c r="D18">
        <v>2.15</v>
      </c>
      <c r="E18">
        <v>0.01</v>
      </c>
      <c r="F18">
        <v>-4.4368535667540596E-3</v>
      </c>
      <c r="G18">
        <v>1.0520660147794399E-2</v>
      </c>
      <c r="H18">
        <v>-6.9282796402518197E-4</v>
      </c>
      <c r="I18">
        <v>1.0091893090185201E-2</v>
      </c>
      <c r="J18" s="3">
        <f t="shared" si="0"/>
        <v>7.4930164751526186E-3</v>
      </c>
      <c r="L18">
        <f t="shared" si="1"/>
        <v>4.5159097766734322E-4</v>
      </c>
      <c r="M18">
        <f t="shared" si="2"/>
        <v>0.57240760669819823</v>
      </c>
      <c r="N18" s="5">
        <f t="shared" si="3"/>
        <v>4.4368535667540596E-3</v>
      </c>
      <c r="O18">
        <f t="shared" si="8"/>
        <v>-2.5990781993291218E-2</v>
      </c>
      <c r="P18" s="5">
        <f t="shared" si="4"/>
        <v>1.968566957281822E-5</v>
      </c>
      <c r="Q18" s="5">
        <f t="shared" si="5"/>
        <v>8.7342433258100387E-8</v>
      </c>
      <c r="R18" s="5">
        <f t="shared" si="6"/>
        <v>3.8752558653018108E-10</v>
      </c>
      <c r="S18" s="8">
        <f t="shared" si="7"/>
        <v>4.6873268144610658E-3</v>
      </c>
      <c r="Y18" t="s">
        <v>102</v>
      </c>
      <c r="Z18" s="3">
        <f>Z17*SQRT(12)</f>
        <v>3.057550905761075E-2</v>
      </c>
    </row>
    <row r="19" spans="1:26" x14ac:dyDescent="0.3">
      <c r="A19" t="s">
        <v>24</v>
      </c>
      <c r="B19">
        <v>4.63</v>
      </c>
      <c r="C19">
        <v>4.79</v>
      </c>
      <c r="D19">
        <v>-1.34</v>
      </c>
      <c r="E19">
        <v>0.01</v>
      </c>
      <c r="F19">
        <v>5.0681465749435701E-3</v>
      </c>
      <c r="G19">
        <v>-6.9271704644377104E-3</v>
      </c>
      <c r="H19">
        <v>4.4929167689158004E-3</v>
      </c>
      <c r="I19">
        <v>2.2359110565541699E-3</v>
      </c>
      <c r="J19" s="3">
        <f t="shared" si="0"/>
        <v>-2.9411369469345967E-3</v>
      </c>
      <c r="L19">
        <f t="shared" si="1"/>
        <v>4.6041415423696123E-4</v>
      </c>
      <c r="M19">
        <f t="shared" si="2"/>
        <v>0.59256092795384896</v>
      </c>
      <c r="N19" s="5">
        <f t="shared" si="3"/>
        <v>0</v>
      </c>
      <c r="O19">
        <f t="shared" si="8"/>
        <v>-3.2853974598750516E-2</v>
      </c>
      <c r="P19" s="5">
        <f t="shared" si="4"/>
        <v>0</v>
      </c>
      <c r="Q19" s="5">
        <f t="shared" si="5"/>
        <v>0</v>
      </c>
      <c r="R19" s="5">
        <f t="shared" si="6"/>
        <v>0</v>
      </c>
      <c r="S19" s="8">
        <f t="shared" si="7"/>
        <v>0</v>
      </c>
    </row>
    <row r="20" spans="1:26" x14ac:dyDescent="0.3">
      <c r="A20" t="s">
        <v>25</v>
      </c>
      <c r="B20">
        <v>-0.03</v>
      </c>
      <c r="C20">
        <v>7.5</v>
      </c>
      <c r="D20">
        <v>2.85</v>
      </c>
      <c r="E20">
        <v>0.01</v>
      </c>
      <c r="F20">
        <v>-2.0222753705153401E-2</v>
      </c>
      <c r="G20">
        <v>-4.7040932232203202E-3</v>
      </c>
      <c r="H20">
        <v>-1.2988267234581701E-2</v>
      </c>
      <c r="I20">
        <v>-4.5095966479095799E-2</v>
      </c>
      <c r="J20" s="3">
        <f t="shared" si="0"/>
        <v>-1.1081034722832204E-2</v>
      </c>
      <c r="L20">
        <f t="shared" si="1"/>
        <v>4.7098625870838691E-4</v>
      </c>
      <c r="M20">
        <f t="shared" si="2"/>
        <v>0.57840893528516979</v>
      </c>
      <c r="N20" s="5">
        <f t="shared" si="3"/>
        <v>2.0222753705153401E-2</v>
      </c>
      <c r="O20">
        <f t="shared" si="8"/>
        <v>-9.4612396889202505E-3</v>
      </c>
      <c r="P20" s="5">
        <f t="shared" si="4"/>
        <v>4.0895976741929556E-4</v>
      </c>
      <c r="Q20" s="5">
        <f t="shared" si="5"/>
        <v>8.2702926518372327E-6</v>
      </c>
      <c r="R20" s="5">
        <f t="shared" si="6"/>
        <v>1.6724809136764433E-7</v>
      </c>
      <c r="S20" s="8">
        <f t="shared" si="7"/>
        <v>0</v>
      </c>
      <c r="Y20" t="s">
        <v>103</v>
      </c>
      <c r="Z20" s="5">
        <f>(W5-Z14)/Z17</f>
        <v>-0.89503945880174063</v>
      </c>
    </row>
    <row r="21" spans="1:26" x14ac:dyDescent="0.3">
      <c r="A21" t="s">
        <v>26</v>
      </c>
      <c r="B21">
        <v>2.78</v>
      </c>
      <c r="C21">
        <v>2.0699999999999998</v>
      </c>
      <c r="D21">
        <v>7.1</v>
      </c>
      <c r="E21">
        <v>0</v>
      </c>
      <c r="F21">
        <v>-5.1659817533494697E-3</v>
      </c>
      <c r="G21">
        <v>3.0125925159722299E-2</v>
      </c>
      <c r="H21">
        <v>-1.21717880122909E-2</v>
      </c>
      <c r="I21">
        <v>1.38872531543785E-2</v>
      </c>
      <c r="J21" s="3">
        <f t="shared" si="0"/>
        <v>1.7189978451404086E-2</v>
      </c>
      <c r="L21">
        <f t="shared" si="1"/>
        <v>4.7947216230551342E-4</v>
      </c>
      <c r="M21">
        <f t="shared" si="2"/>
        <v>0.54470377577805751</v>
      </c>
      <c r="N21" s="5">
        <f t="shared" si="3"/>
        <v>5.1659817533494697E-3</v>
      </c>
      <c r="O21">
        <f t="shared" si="8"/>
        <v>-2.547358415364363E-2</v>
      </c>
      <c r="P21" s="5">
        <f t="shared" si="4"/>
        <v>2.6687367475939662E-5</v>
      </c>
      <c r="Q21" s="5">
        <f t="shared" si="5"/>
        <v>1.3786645342563639E-7</v>
      </c>
      <c r="R21" s="5">
        <f t="shared" si="6"/>
        <v>7.1221558279584214E-10</v>
      </c>
      <c r="S21" s="8">
        <f t="shared" si="7"/>
        <v>2.4292591826388966E-2</v>
      </c>
      <c r="Y21" t="s">
        <v>104</v>
      </c>
      <c r="Z21">
        <f>Z20*SQRT(12)</f>
        <v>-3.1005076348471312</v>
      </c>
    </row>
    <row r="22" spans="1:26" x14ac:dyDescent="0.3">
      <c r="A22" t="s">
        <v>27</v>
      </c>
      <c r="B22">
        <v>3.08</v>
      </c>
      <c r="C22">
        <v>-2.2799999999999998</v>
      </c>
      <c r="D22">
        <v>7.27</v>
      </c>
      <c r="E22">
        <v>0</v>
      </c>
      <c r="F22">
        <v>4.0450365641610002E-3</v>
      </c>
      <c r="G22">
        <v>3.6350450355821601E-2</v>
      </c>
      <c r="H22">
        <v>-5.40125242198924E-3</v>
      </c>
      <c r="I22">
        <v>3.6338005632764597E-2</v>
      </c>
      <c r="J22" s="3">
        <f t="shared" si="0"/>
        <v>2.5237814358027057E-2</v>
      </c>
      <c r="L22">
        <f t="shared" si="1"/>
        <v>4.8356710830121328E-4</v>
      </c>
      <c r="M22">
        <f t="shared" si="2"/>
        <v>0.59678775915989513</v>
      </c>
      <c r="N22" s="5">
        <f t="shared" si="3"/>
        <v>0</v>
      </c>
      <c r="O22">
        <f t="shared" si="8"/>
        <v>-1.56219398819352E-2</v>
      </c>
      <c r="P22" s="5">
        <f t="shared" si="4"/>
        <v>0</v>
      </c>
      <c r="Q22" s="5">
        <f t="shared" si="5"/>
        <v>0</v>
      </c>
      <c r="R22" s="5">
        <f t="shared" si="6"/>
        <v>0</v>
      </c>
      <c r="S22" s="8">
        <f t="shared" si="7"/>
        <v>3.0517117022488268E-2</v>
      </c>
    </row>
    <row r="23" spans="1:26" x14ac:dyDescent="0.3">
      <c r="A23" t="s">
        <v>28</v>
      </c>
      <c r="B23">
        <v>4.93</v>
      </c>
      <c r="C23">
        <v>-3.2</v>
      </c>
      <c r="D23">
        <v>-0.95</v>
      </c>
      <c r="E23">
        <v>0</v>
      </c>
      <c r="F23">
        <v>-6.5921036853795901E-3</v>
      </c>
      <c r="G23">
        <v>-2.0786008073907999E-2</v>
      </c>
      <c r="H23">
        <v>-1.0552112772948901E-3</v>
      </c>
      <c r="I23">
        <v>-2.8835942749283999E-2</v>
      </c>
      <c r="J23" s="3">
        <f t="shared" si="0"/>
        <v>-1.6367814608849934E-2</v>
      </c>
      <c r="L23">
        <f t="shared" si="1"/>
        <v>4.7844897000508068E-4</v>
      </c>
      <c r="M23">
        <f t="shared" si="2"/>
        <v>0.66885916490601927</v>
      </c>
      <c r="N23" s="5">
        <f t="shared" si="3"/>
        <v>6.5921036853795901E-3</v>
      </c>
      <c r="O23">
        <f t="shared" si="8"/>
        <v>-2.2225434034378712E-3</v>
      </c>
      <c r="P23" s="5">
        <f t="shared" si="4"/>
        <v>4.3455830998795177E-5</v>
      </c>
      <c r="Q23" s="5">
        <f t="shared" si="5"/>
        <v>2.8646534367839032E-7</v>
      </c>
      <c r="R23" s="5">
        <f t="shared" si="6"/>
        <v>1.8884092477958477E-9</v>
      </c>
      <c r="S23" s="8">
        <f t="shared" si="7"/>
        <v>0</v>
      </c>
      <c r="Y23" t="s">
        <v>105</v>
      </c>
      <c r="Z23" s="5">
        <f>AVERAGE(R2:R62)</f>
        <v>4.6247599411711104E-8</v>
      </c>
    </row>
    <row r="24" spans="1:26" x14ac:dyDescent="0.3">
      <c r="A24" t="s">
        <v>29</v>
      </c>
      <c r="B24">
        <v>0.28999999999999998</v>
      </c>
      <c r="C24">
        <v>-0.27</v>
      </c>
      <c r="D24">
        <v>7.13</v>
      </c>
      <c r="E24">
        <v>0</v>
      </c>
      <c r="F24">
        <v>1.78714707105713E-3</v>
      </c>
      <c r="G24">
        <v>4.7688841670838297E-2</v>
      </c>
      <c r="H24">
        <v>-3.0435981366284601E-3</v>
      </c>
      <c r="I24">
        <v>4.4415252378161201E-3</v>
      </c>
      <c r="J24" s="3">
        <f t="shared" si="0"/>
        <v>2.9736495491314224E-2</v>
      </c>
      <c r="L24">
        <f t="shared" si="1"/>
        <v>4.847646670868493E-4</v>
      </c>
      <c r="M24">
        <f t="shared" si="2"/>
        <v>0.62826033669537218</v>
      </c>
      <c r="N24" s="5">
        <f t="shared" si="3"/>
        <v>0</v>
      </c>
      <c r="O24">
        <f t="shared" si="8"/>
        <v>-1.3260631462628451E-2</v>
      </c>
      <c r="P24" s="5">
        <f t="shared" si="4"/>
        <v>0</v>
      </c>
      <c r="Q24" s="5">
        <f t="shared" si="5"/>
        <v>0</v>
      </c>
      <c r="R24" s="5">
        <f t="shared" si="6"/>
        <v>0</v>
      </c>
      <c r="S24" s="8">
        <f t="shared" si="7"/>
        <v>4.1855508337504961E-2</v>
      </c>
      <c r="Y24" t="s">
        <v>106</v>
      </c>
      <c r="Z24" s="7" t="e">
        <f>Z23/X16</f>
        <v>#DIV/0!</v>
      </c>
    </row>
    <row r="25" spans="1:26" x14ac:dyDescent="0.3">
      <c r="A25" t="s">
        <v>30</v>
      </c>
      <c r="B25">
        <v>2.75</v>
      </c>
      <c r="C25">
        <v>1.6</v>
      </c>
      <c r="D25">
        <v>-7.75</v>
      </c>
      <c r="E25">
        <v>0</v>
      </c>
      <c r="F25">
        <v>8.4129396429741298E-4</v>
      </c>
      <c r="G25">
        <v>-1.2117138131869901E-3</v>
      </c>
      <c r="H25">
        <v>-3.3349282775935298E-3</v>
      </c>
      <c r="I25">
        <v>-5.6956579762774198E-3</v>
      </c>
      <c r="J25" s="3">
        <f t="shared" si="0"/>
        <v>-2.2416700377950374E-3</v>
      </c>
      <c r="L25">
        <f t="shared" si="1"/>
        <v>4.7210937430240837E-4</v>
      </c>
      <c r="M25">
        <f t="shared" si="2"/>
        <v>0.70835564886696978</v>
      </c>
      <c r="N25" s="5">
        <f t="shared" si="3"/>
        <v>0</v>
      </c>
      <c r="O25">
        <f t="shared" si="8"/>
        <v>-2.420137239189122E-2</v>
      </c>
      <c r="P25" s="5">
        <f t="shared" si="4"/>
        <v>0</v>
      </c>
      <c r="Q25" s="5">
        <f t="shared" si="5"/>
        <v>0</v>
      </c>
      <c r="R25" s="5">
        <f t="shared" si="6"/>
        <v>0</v>
      </c>
      <c r="S25" s="8">
        <f t="shared" si="7"/>
        <v>0</v>
      </c>
      <c r="Y25" t="s">
        <v>107</v>
      </c>
    </row>
    <row r="26" spans="1:26" x14ac:dyDescent="0.3">
      <c r="A26" t="s">
        <v>31</v>
      </c>
      <c r="B26">
        <v>1.27</v>
      </c>
      <c r="C26">
        <v>-3.94</v>
      </c>
      <c r="D26">
        <v>-1.81</v>
      </c>
      <c r="E26">
        <v>0</v>
      </c>
      <c r="F26">
        <v>-4.8682938704851996E-3</v>
      </c>
      <c r="G26">
        <v>-8.3244177051595997E-3</v>
      </c>
      <c r="H26">
        <v>-5.6075084107232703E-3</v>
      </c>
      <c r="I26">
        <v>-5.76422898530641E-3</v>
      </c>
      <c r="J26" s="3">
        <f t="shared" si="0"/>
        <v>-7.3436279031053805E-3</v>
      </c>
      <c r="L26">
        <f t="shared" si="1"/>
        <v>4.8486223702300948E-4</v>
      </c>
      <c r="M26">
        <f t="shared" si="2"/>
        <v>0.69715893177441624</v>
      </c>
      <c r="N26" s="5">
        <f t="shared" si="3"/>
        <v>4.8682938704851996E-3</v>
      </c>
      <c r="O26">
        <f t="shared" si="8"/>
        <v>-3.123124305076512E-2</v>
      </c>
      <c r="P26" s="5">
        <f t="shared" si="4"/>
        <v>2.3700285209403766E-5</v>
      </c>
      <c r="Q26" s="5">
        <f t="shared" si="5"/>
        <v>1.153799532136914E-7</v>
      </c>
      <c r="R26" s="5">
        <f t="shared" si="6"/>
        <v>5.6170351900708289E-10</v>
      </c>
      <c r="S26" s="8">
        <f t="shared" si="7"/>
        <v>0</v>
      </c>
    </row>
    <row r="27" spans="1:26" x14ac:dyDescent="0.3">
      <c r="A27" t="s">
        <v>32</v>
      </c>
      <c r="B27">
        <v>2.91</v>
      </c>
      <c r="C27">
        <v>-0.46</v>
      </c>
      <c r="D27">
        <v>-0.1</v>
      </c>
      <c r="E27">
        <v>0</v>
      </c>
      <c r="F27">
        <v>-1.4826498693083199E-3</v>
      </c>
      <c r="G27">
        <v>-1.32686153963581E-2</v>
      </c>
      <c r="H27">
        <v>-3.5839258069605101E-3</v>
      </c>
      <c r="I27">
        <v>-1.10498016843495E-2</v>
      </c>
      <c r="J27" s="3">
        <f t="shared" si="0"/>
        <v>-1.0467534079048416E-2</v>
      </c>
      <c r="L27">
        <f t="shared" si="1"/>
        <v>4.9743143221361711E-4</v>
      </c>
      <c r="M27">
        <f t="shared" si="2"/>
        <v>0.66901185109099159</v>
      </c>
      <c r="N27" s="5">
        <f t="shared" si="3"/>
        <v>1.4826498693083199E-3</v>
      </c>
      <c r="O27">
        <f t="shared" si="8"/>
        <v>-3.2470435409326391E-2</v>
      </c>
      <c r="P27" s="5">
        <f t="shared" si="4"/>
        <v>2.1982506349599781E-6</v>
      </c>
      <c r="Q27" s="5">
        <f t="shared" si="5"/>
        <v>3.2592360166303429E-9</v>
      </c>
      <c r="R27" s="5">
        <f t="shared" si="6"/>
        <v>4.8323058541019467E-12</v>
      </c>
      <c r="S27" s="8">
        <f t="shared" si="7"/>
        <v>0</v>
      </c>
      <c r="Y27" t="s">
        <v>108</v>
      </c>
    </row>
    <row r="28" spans="1:26" x14ac:dyDescent="0.3">
      <c r="A28" t="s">
        <v>33</v>
      </c>
      <c r="B28">
        <v>-4.37</v>
      </c>
      <c r="C28">
        <v>0.67</v>
      </c>
      <c r="D28">
        <v>5.0999999999999996</v>
      </c>
      <c r="E28">
        <v>0</v>
      </c>
      <c r="F28">
        <v>-1.22976222760678E-2</v>
      </c>
      <c r="G28">
        <v>9.6523987974747195E-3</v>
      </c>
      <c r="H28">
        <v>-4.6201874740378797E-2</v>
      </c>
      <c r="I28">
        <v>-7.6183072702597004E-3</v>
      </c>
      <c r="J28" s="3">
        <f t="shared" si="0"/>
        <v>-7.0299225633113412E-3</v>
      </c>
      <c r="L28">
        <f t="shared" si="1"/>
        <v>5.0932016016919145E-4</v>
      </c>
      <c r="M28">
        <f t="shared" si="2"/>
        <v>0.6321481820427014</v>
      </c>
      <c r="N28" s="5">
        <f t="shared" si="3"/>
        <v>1.22976222760678E-2</v>
      </c>
      <c r="O28">
        <f t="shared" si="8"/>
        <v>-4.1506526571080532E-2</v>
      </c>
      <c r="P28" s="5">
        <f t="shared" si="4"/>
        <v>1.5123151364483897E-4</v>
      </c>
      <c r="Q28" s="5">
        <f t="shared" si="5"/>
        <v>1.8597880310422232E-6</v>
      </c>
      <c r="R28" s="5">
        <f t="shared" si="6"/>
        <v>2.2870970719309118E-8</v>
      </c>
      <c r="S28" s="8">
        <f t="shared" si="7"/>
        <v>3.8190654641413859E-3</v>
      </c>
    </row>
    <row r="29" spans="1:26" x14ac:dyDescent="0.3">
      <c r="A29" t="s">
        <v>34</v>
      </c>
      <c r="B29">
        <v>6.65</v>
      </c>
      <c r="C29">
        <v>-2.37</v>
      </c>
      <c r="D29">
        <v>-0.45</v>
      </c>
      <c r="E29">
        <v>0</v>
      </c>
      <c r="F29">
        <v>2.0269970262985402E-3</v>
      </c>
      <c r="G29">
        <v>2.47892095876453E-2</v>
      </c>
      <c r="H29">
        <v>-3.0182772580278402E-3</v>
      </c>
      <c r="I29">
        <v>1.3379204407878801E-2</v>
      </c>
      <c r="J29" s="3">
        <f t="shared" si="0"/>
        <v>1.6214169275922268E-2</v>
      </c>
      <c r="L29">
        <f t="shared" si="1"/>
        <v>5.2331356917655969E-4</v>
      </c>
      <c r="M29">
        <f t="shared" si="2"/>
        <v>0.60325354049801139</v>
      </c>
      <c r="N29" s="5">
        <f t="shared" si="3"/>
        <v>0</v>
      </c>
      <c r="O29">
        <f t="shared" si="8"/>
        <v>-4.3324634552038728E-2</v>
      </c>
      <c r="P29" s="5">
        <f t="shared" si="4"/>
        <v>0</v>
      </c>
      <c r="Q29" s="5">
        <f t="shared" si="5"/>
        <v>0</v>
      </c>
      <c r="R29" s="5">
        <f t="shared" si="6"/>
        <v>0</v>
      </c>
      <c r="S29" s="8">
        <f t="shared" si="7"/>
        <v>1.8955876254311967E-2</v>
      </c>
    </row>
    <row r="30" spans="1:26" x14ac:dyDescent="0.3">
      <c r="A30" t="s">
        <v>35</v>
      </c>
      <c r="B30">
        <v>-1.55</v>
      </c>
      <c r="C30">
        <v>-1.32</v>
      </c>
      <c r="D30">
        <v>-0.41</v>
      </c>
      <c r="E30">
        <v>0</v>
      </c>
      <c r="F30">
        <v>-1.9649277388457301E-2</v>
      </c>
      <c r="G30">
        <v>-2.1196062782400799E-2</v>
      </c>
      <c r="H30">
        <v>-2.3955926592677802E-2</v>
      </c>
      <c r="I30">
        <v>-2.8304873709233801E-2</v>
      </c>
      <c r="J30" s="3">
        <f t="shared" si="0"/>
        <v>-2.268635000799096E-2</v>
      </c>
      <c r="L30">
        <f t="shared" si="1"/>
        <v>5.2975395115631516E-4</v>
      </c>
      <c r="M30">
        <f t="shared" si="2"/>
        <v>0.66582476707711702</v>
      </c>
      <c r="N30" s="5">
        <f t="shared" si="3"/>
        <v>1.9649277388457301E-2</v>
      </c>
      <c r="O30">
        <f t="shared" si="8"/>
        <v>-3.6860783958986121E-2</v>
      </c>
      <c r="P30" s="5">
        <f t="shared" si="4"/>
        <v>3.8609410188853935E-4</v>
      </c>
      <c r="Q30" s="5">
        <f t="shared" si="5"/>
        <v>7.5864701060552053E-6</v>
      </c>
      <c r="R30" s="5">
        <f t="shared" si="6"/>
        <v>1.490686555131178E-7</v>
      </c>
      <c r="S30" s="8">
        <f t="shared" si="7"/>
        <v>0</v>
      </c>
    </row>
    <row r="31" spans="1:26" x14ac:dyDescent="0.3">
      <c r="A31" t="s">
        <v>36</v>
      </c>
      <c r="B31">
        <v>3.1</v>
      </c>
      <c r="C31">
        <v>-1.64</v>
      </c>
      <c r="D31">
        <v>3.22</v>
      </c>
      <c r="E31">
        <v>0.01</v>
      </c>
      <c r="F31">
        <v>-2.5233749904139098E-3</v>
      </c>
      <c r="G31">
        <v>-5.9324986081444103E-3</v>
      </c>
      <c r="H31">
        <v>-9.1313628131801904E-3</v>
      </c>
      <c r="I31">
        <v>-1.4113793511006801E-2</v>
      </c>
      <c r="J31" s="3">
        <f t="shared" si="0"/>
        <v>-7.635201224491934E-3</v>
      </c>
      <c r="L31">
        <f t="shared" si="1"/>
        <v>5.3208814883178327E-4</v>
      </c>
      <c r="M31">
        <f t="shared" si="2"/>
        <v>0.62032131931365553</v>
      </c>
      <c r="N31" s="5">
        <f t="shared" si="3"/>
        <v>2.5233749904139098E-3</v>
      </c>
      <c r="O31">
        <f t="shared" si="8"/>
        <v>-6.1578207922387003E-2</v>
      </c>
      <c r="P31" s="5">
        <f t="shared" si="4"/>
        <v>6.3674213422463993E-6</v>
      </c>
      <c r="Q31" s="5">
        <f t="shared" si="5"/>
        <v>1.6067391768452334E-8</v>
      </c>
      <c r="R31" s="5">
        <f t="shared" si="6"/>
        <v>4.0544054549694938E-11</v>
      </c>
      <c r="S31" s="8">
        <f t="shared" si="7"/>
        <v>0</v>
      </c>
    </row>
    <row r="32" spans="1:26" x14ac:dyDescent="0.3">
      <c r="A32" t="s">
        <v>37</v>
      </c>
      <c r="B32">
        <v>-6.25</v>
      </c>
      <c r="C32">
        <v>-5.96</v>
      </c>
      <c r="D32">
        <v>12.8</v>
      </c>
      <c r="E32">
        <v>0</v>
      </c>
      <c r="F32">
        <v>1.7850895957982602E-2</v>
      </c>
      <c r="G32">
        <v>6.9588093314286795E-2</v>
      </c>
      <c r="H32">
        <v>8.4136710019890298E-3</v>
      </c>
      <c r="I32">
        <v>6.0377394370465999E-2</v>
      </c>
      <c r="J32" s="3">
        <f t="shared" si="0"/>
        <v>5.237540865900403E-2</v>
      </c>
      <c r="L32">
        <f t="shared" si="1"/>
        <v>5.4779663397645155E-4</v>
      </c>
      <c r="M32">
        <f t="shared" si="2"/>
        <v>0.58637565679087844</v>
      </c>
      <c r="N32" s="5">
        <f t="shared" si="3"/>
        <v>0</v>
      </c>
      <c r="O32">
        <f t="shared" si="8"/>
        <v>-4.3878829207647511E-2</v>
      </c>
      <c r="P32" s="5">
        <f t="shared" si="4"/>
        <v>0</v>
      </c>
      <c r="Q32" s="5">
        <f t="shared" si="5"/>
        <v>0</v>
      </c>
      <c r="R32" s="5">
        <f t="shared" si="6"/>
        <v>0</v>
      </c>
      <c r="S32" s="8">
        <f t="shared" si="7"/>
        <v>6.3754759980953465E-2</v>
      </c>
    </row>
    <row r="33" spans="1:25" x14ac:dyDescent="0.3">
      <c r="A33" t="s">
        <v>38</v>
      </c>
      <c r="B33">
        <v>-2.29</v>
      </c>
      <c r="C33">
        <v>2.19</v>
      </c>
      <c r="D33">
        <v>3.1</v>
      </c>
      <c r="E33">
        <v>0</v>
      </c>
      <c r="F33">
        <v>-2.5617240881945602E-3</v>
      </c>
      <c r="G33">
        <v>9.3941999863185709E-3</v>
      </c>
      <c r="H33">
        <v>-4.9894886389611204E-3</v>
      </c>
      <c r="I33">
        <v>5.0674717243523702E-3</v>
      </c>
      <c r="J33" s="3">
        <f t="shared" si="0"/>
        <v>5.1174963123726937E-3</v>
      </c>
      <c r="L33">
        <f t="shared" si="1"/>
        <v>4.6862324408577274E-4</v>
      </c>
      <c r="M33">
        <f t="shared" si="2"/>
        <v>0.51768684817472155</v>
      </c>
      <c r="N33" s="5">
        <f t="shared" si="3"/>
        <v>2.5617240881945602E-3</v>
      </c>
      <c r="O33">
        <f t="shared" si="8"/>
        <v>-2.0861951496315437E-2</v>
      </c>
      <c r="P33" s="5">
        <f t="shared" si="4"/>
        <v>6.5624303040362512E-6</v>
      </c>
      <c r="Q33" s="5">
        <f t="shared" si="5"/>
        <v>1.6811135786947617E-8</v>
      </c>
      <c r="R33" s="5">
        <f t="shared" si="6"/>
        <v>4.3065491495333323E-11</v>
      </c>
      <c r="S33" s="8">
        <f t="shared" si="7"/>
        <v>3.5608666529852373E-3</v>
      </c>
    </row>
    <row r="34" spans="1:25" x14ac:dyDescent="0.3">
      <c r="A34" t="s">
        <v>39</v>
      </c>
      <c r="B34">
        <v>3.06</v>
      </c>
      <c r="C34">
        <v>-1.66</v>
      </c>
      <c r="D34">
        <v>-1.76</v>
      </c>
      <c r="E34">
        <v>0.01</v>
      </c>
      <c r="F34">
        <v>-1.55108593856104E-2</v>
      </c>
      <c r="G34">
        <v>-1.4697707817076E-2</v>
      </c>
      <c r="H34">
        <v>-7.5864560264178402E-3</v>
      </c>
      <c r="I34">
        <v>-3.2060997116747599E-2</v>
      </c>
      <c r="J34" s="3">
        <f t="shared" ref="J34:J62" si="9">(G34*0.631)+(H34*0.267)+(I34*0.103)</f>
        <v>-1.4602120094653523E-2</v>
      </c>
      <c r="L34">
        <f t="shared" ref="L34:L62" si="10">_xlfn.VAR.P(J34:J94)</f>
        <v>4.8266738685426265E-4</v>
      </c>
      <c r="M34">
        <f t="shared" ref="M34:M62" si="11">_xlfn.SKEW.P(J34:J1312)</f>
        <v>0.54711146989276727</v>
      </c>
      <c r="N34" s="5">
        <f t="shared" ref="N34:N62" si="12">MAX($AA$14-F34,0)</f>
        <v>1.55108593856104E-2</v>
      </c>
      <c r="O34">
        <f t="shared" si="8"/>
        <v>-2.7468712148671002E-2</v>
      </c>
      <c r="P34" s="5">
        <f t="shared" ref="P34:P62" si="13">N34^2</f>
        <v>2.4058675888017822E-4</v>
      </c>
      <c r="Q34" s="5">
        <f t="shared" ref="Q34:Q62" si="14">N34^3</f>
        <v>3.7317073870301984E-6</v>
      </c>
      <c r="R34" s="5">
        <f t="shared" ref="R34:R62" si="15">N34^4</f>
        <v>5.7881988548469018E-8</v>
      </c>
      <c r="S34" s="8">
        <f t="shared" ref="S34:S62" si="16">MAX(G34-$Z$14,0)</f>
        <v>0</v>
      </c>
    </row>
    <row r="35" spans="1:25" x14ac:dyDescent="0.3">
      <c r="A35" t="s">
        <v>40</v>
      </c>
      <c r="B35">
        <v>-9.4600000000000009</v>
      </c>
      <c r="C35">
        <v>-1.38</v>
      </c>
      <c r="D35">
        <v>6.17</v>
      </c>
      <c r="E35">
        <v>0.01</v>
      </c>
      <c r="F35">
        <v>-3.7655840612861702E-2</v>
      </c>
      <c r="G35">
        <v>-6.4464259720736494E-2</v>
      </c>
      <c r="H35">
        <v>-3.66497109847174E-2</v>
      </c>
      <c r="I35">
        <v>-8.4178796812307805E-2</v>
      </c>
      <c r="J35" s="3">
        <f t="shared" si="9"/>
        <v>-5.9132836788371973E-2</v>
      </c>
      <c r="L35">
        <f t="shared" si="10"/>
        <v>4.9479552701100951E-4</v>
      </c>
      <c r="M35">
        <f t="shared" si="11"/>
        <v>0.49459390518706586</v>
      </c>
      <c r="N35" s="5">
        <f t="shared" si="12"/>
        <v>3.7655840612861702E-2</v>
      </c>
      <c r="O35">
        <f t="shared" si="8"/>
        <v>-3.6387467848901803E-2</v>
      </c>
      <c r="P35" s="5">
        <f t="shared" si="13"/>
        <v>1.4179623322612448E-3</v>
      </c>
      <c r="Q35" s="5">
        <f t="shared" si="14"/>
        <v>5.3394563578671081E-5</v>
      </c>
      <c r="R35" s="5">
        <f t="shared" si="15"/>
        <v>2.0106171757117487E-6</v>
      </c>
      <c r="S35" s="8">
        <f t="shared" si="16"/>
        <v>0</v>
      </c>
      <c r="W35" t="s">
        <v>109</v>
      </c>
      <c r="X35" s="3">
        <f>-PERCENTILE(F2:F62, 0.05)</f>
        <v>1.8324588334886701E-2</v>
      </c>
      <c r="Y35" t="s">
        <v>110</v>
      </c>
    </row>
    <row r="36" spans="1:25" x14ac:dyDescent="0.3">
      <c r="A36" t="s">
        <v>41</v>
      </c>
      <c r="B36">
        <v>-0.34</v>
      </c>
      <c r="C36">
        <v>-1.96</v>
      </c>
      <c r="D36">
        <v>8.59</v>
      </c>
      <c r="E36">
        <v>0.03</v>
      </c>
      <c r="F36">
        <v>-5.62680458675178E-3</v>
      </c>
      <c r="G36">
        <v>-7.4167863728060099E-3</v>
      </c>
      <c r="H36">
        <v>-1.18867960758011E-2</v>
      </c>
      <c r="I36">
        <v>-1.22179152598305E-2</v>
      </c>
      <c r="J36" s="3">
        <f t="shared" si="9"/>
        <v>-9.112212025242027E-3</v>
      </c>
      <c r="L36">
        <f t="shared" si="10"/>
        <v>3.8962375407957468E-4</v>
      </c>
      <c r="M36">
        <f t="shared" si="11"/>
        <v>1.2916663822209327</v>
      </c>
      <c r="N36" s="5">
        <f t="shared" si="12"/>
        <v>5.62680458675178E-3</v>
      </c>
      <c r="O36">
        <f t="shared" si="8"/>
        <v>-7.583045553282064E-2</v>
      </c>
      <c r="P36" s="5">
        <f t="shared" si="13"/>
        <v>3.166092985749087E-5</v>
      </c>
      <c r="Q36" s="5">
        <f t="shared" si="14"/>
        <v>1.7814986534295599E-7</v>
      </c>
      <c r="R36" s="5">
        <f t="shared" si="15"/>
        <v>1.0024144794409568E-9</v>
      </c>
      <c r="S36" s="8">
        <f t="shared" si="16"/>
        <v>0</v>
      </c>
      <c r="W36" t="s">
        <v>111</v>
      </c>
      <c r="Y36" t="s">
        <v>112</v>
      </c>
    </row>
    <row r="37" spans="1:25" x14ac:dyDescent="0.3">
      <c r="A37" t="s">
        <v>42</v>
      </c>
      <c r="B37">
        <v>-8.44</v>
      </c>
      <c r="C37">
        <v>2.1800000000000002</v>
      </c>
      <c r="D37">
        <v>-6.1</v>
      </c>
      <c r="E37">
        <v>0.06</v>
      </c>
      <c r="F37">
        <v>-8.1576155209947508E-3</v>
      </c>
      <c r="G37">
        <v>-2.49515904814979E-2</v>
      </c>
      <c r="H37">
        <v>9.4912877586284406E-3</v>
      </c>
      <c r="I37">
        <v>-3.3703329291355E-2</v>
      </c>
      <c r="J37" s="3">
        <f t="shared" si="9"/>
        <v>-1.6681722679280947E-2</v>
      </c>
      <c r="L37">
        <f t="shared" si="10"/>
        <v>4.015278184316684E-4</v>
      </c>
      <c r="M37">
        <f t="shared" si="11"/>
        <v>1.2347967865618563</v>
      </c>
      <c r="N37" s="5">
        <f t="shared" si="12"/>
        <v>8.1576155209947508E-3</v>
      </c>
      <c r="O37">
        <f t="shared" si="8"/>
        <v>-8.2298554083869838E-2</v>
      </c>
      <c r="P37" s="5">
        <f t="shared" si="13"/>
        <v>6.6546690988374466E-5</v>
      </c>
      <c r="Q37" s="5">
        <f t="shared" si="14"/>
        <v>5.4286231927760502E-7</v>
      </c>
      <c r="R37" s="5">
        <f t="shared" si="15"/>
        <v>4.4284620815021993E-9</v>
      </c>
      <c r="S37" s="8">
        <f t="shared" si="16"/>
        <v>0</v>
      </c>
    </row>
    <row r="38" spans="1:25" x14ac:dyDescent="0.3">
      <c r="A38" t="s">
        <v>43</v>
      </c>
      <c r="B38">
        <v>9.57</v>
      </c>
      <c r="C38">
        <v>2.8</v>
      </c>
      <c r="D38">
        <v>-4.03</v>
      </c>
      <c r="E38">
        <v>0.08</v>
      </c>
      <c r="F38">
        <v>1.44735832150683E-2</v>
      </c>
      <c r="G38">
        <v>9.9042994693342001E-3</v>
      </c>
      <c r="H38">
        <v>1.03306662971224E-2</v>
      </c>
      <c r="I38">
        <v>3.3025267396881199E-2</v>
      </c>
      <c r="J38" s="3">
        <f t="shared" si="9"/>
        <v>1.2409503408360324E-2</v>
      </c>
      <c r="L38">
        <f t="shared" si="10"/>
        <v>4.0599976270213071E-4</v>
      </c>
      <c r="M38">
        <f t="shared" si="11"/>
        <v>1.1863266401397929</v>
      </c>
      <c r="N38" s="5">
        <f t="shared" si="12"/>
        <v>0</v>
      </c>
      <c r="O38">
        <f t="shared" si="8"/>
        <v>-8.5587875734379398E-2</v>
      </c>
      <c r="P38" s="5">
        <f t="shared" si="13"/>
        <v>0</v>
      </c>
      <c r="Q38" s="5">
        <f t="shared" si="14"/>
        <v>0</v>
      </c>
      <c r="R38" s="5">
        <f t="shared" si="15"/>
        <v>0</v>
      </c>
      <c r="S38" s="8">
        <f t="shared" si="16"/>
        <v>4.0709661360008665E-3</v>
      </c>
    </row>
    <row r="39" spans="1:25" x14ac:dyDescent="0.3">
      <c r="A39" t="s">
        <v>44</v>
      </c>
      <c r="B39">
        <v>-3.77</v>
      </c>
      <c r="C39">
        <v>1.4</v>
      </c>
      <c r="D39">
        <v>0.28999999999999998</v>
      </c>
      <c r="E39">
        <v>0.19</v>
      </c>
      <c r="F39">
        <v>-7.63818381312922E-3</v>
      </c>
      <c r="G39">
        <v>-2.4476200476820802E-2</v>
      </c>
      <c r="H39">
        <v>1.34781987158711E-4</v>
      </c>
      <c r="I39">
        <v>-1.5627870712042E-2</v>
      </c>
      <c r="J39" s="3">
        <f t="shared" si="9"/>
        <v>-1.7018166393642876E-2</v>
      </c>
      <c r="L39">
        <f t="shared" si="10"/>
        <v>4.1694175448151003E-4</v>
      </c>
      <c r="M39">
        <f t="shared" si="11"/>
        <v>1.2513651219847579</v>
      </c>
      <c r="N39" s="5">
        <f t="shared" si="12"/>
        <v>7.63818381312922E-3</v>
      </c>
      <c r="O39">
        <f t="shared" si="8"/>
        <v>-6.9631642650002781E-2</v>
      </c>
      <c r="P39" s="5">
        <f t="shared" si="13"/>
        <v>5.8341851963149228E-5</v>
      </c>
      <c r="Q39" s="5">
        <f t="shared" si="14"/>
        <v>4.4562578929290762E-7</v>
      </c>
      <c r="R39" s="5">
        <f t="shared" si="15"/>
        <v>3.4037716904900193E-9</v>
      </c>
      <c r="S39" s="8">
        <f t="shared" si="16"/>
        <v>0</v>
      </c>
    </row>
    <row r="40" spans="1:25" x14ac:dyDescent="0.3">
      <c r="A40" t="s">
        <v>45</v>
      </c>
      <c r="B40">
        <v>-9.35</v>
      </c>
      <c r="C40">
        <v>-0.82</v>
      </c>
      <c r="D40">
        <v>0.02</v>
      </c>
      <c r="E40">
        <v>0.19</v>
      </c>
      <c r="F40">
        <v>-1.5584488449552699E-2</v>
      </c>
      <c r="G40">
        <v>-6.6503824979864097E-3</v>
      </c>
      <c r="H40">
        <v>-5.3890679663174002E-3</v>
      </c>
      <c r="I40">
        <v>-3.8928371182515402E-2</v>
      </c>
      <c r="J40" s="3">
        <f t="shared" si="9"/>
        <v>-9.644894735035256E-3</v>
      </c>
      <c r="L40">
        <f t="shared" si="10"/>
        <v>4.2163827329782237E-4</v>
      </c>
      <c r="M40">
        <f t="shared" si="11"/>
        <v>1.2002519416907937</v>
      </c>
      <c r="N40" s="5">
        <f t="shared" si="12"/>
        <v>1.5584488449552699E-2</v>
      </c>
      <c r="O40">
        <f t="shared" si="8"/>
        <v>-6.4972204187064189E-2</v>
      </c>
      <c r="P40" s="5">
        <f t="shared" si="13"/>
        <v>2.4287628023424149E-4</v>
      </c>
      <c r="Q40" s="5">
        <f t="shared" si="14"/>
        <v>3.7851025839808609E-6</v>
      </c>
      <c r="R40" s="5">
        <f t="shared" si="15"/>
        <v>5.8988887500421804E-8</v>
      </c>
      <c r="S40" s="8">
        <f t="shared" si="16"/>
        <v>0</v>
      </c>
      <c r="W40" t="s">
        <v>113</v>
      </c>
    </row>
    <row r="41" spans="1:25" x14ac:dyDescent="0.3">
      <c r="A41" t="s">
        <v>46</v>
      </c>
      <c r="B41">
        <v>7.83</v>
      </c>
      <c r="C41">
        <v>7.0000000000000007E-2</v>
      </c>
      <c r="D41">
        <v>8.06</v>
      </c>
      <c r="E41">
        <v>0.23</v>
      </c>
      <c r="F41">
        <v>-7.2492856283685502E-3</v>
      </c>
      <c r="G41">
        <v>-2.46618011030952E-2</v>
      </c>
      <c r="H41">
        <v>9.1360401240513003E-3</v>
      </c>
      <c r="I41">
        <v>-2.7655177454743701E-2</v>
      </c>
      <c r="J41" s="3">
        <f t="shared" si="9"/>
        <v>-1.5970757060769974E-2</v>
      </c>
      <c r="L41">
        <f t="shared" si="10"/>
        <v>4.3548342668569135E-4</v>
      </c>
      <c r="M41">
        <f t="shared" si="11"/>
        <v>1.1322182234710476</v>
      </c>
      <c r="N41" s="5">
        <f t="shared" si="12"/>
        <v>7.2492856283685502E-3</v>
      </c>
      <c r="O41">
        <f t="shared" si="8"/>
        <v>-8.2583689662915419E-2</v>
      </c>
      <c r="P41" s="5">
        <f t="shared" si="13"/>
        <v>5.2552142121670804E-5</v>
      </c>
      <c r="Q41" s="5">
        <f t="shared" si="14"/>
        <v>3.8096548862260971E-7</v>
      </c>
      <c r="R41" s="5">
        <f t="shared" si="15"/>
        <v>2.7617276415762869E-9</v>
      </c>
      <c r="S41" s="8">
        <f t="shared" si="16"/>
        <v>0</v>
      </c>
      <c r="W41" t="s">
        <v>114</v>
      </c>
    </row>
    <row r="42" spans="1:25" x14ac:dyDescent="0.3">
      <c r="A42" t="s">
        <v>47</v>
      </c>
      <c r="B42">
        <v>4.6100000000000003</v>
      </c>
      <c r="C42">
        <v>-3.51</v>
      </c>
      <c r="D42">
        <v>1.41</v>
      </c>
      <c r="E42">
        <v>0.28999999999999998</v>
      </c>
      <c r="F42">
        <v>3.10147410110212E-2</v>
      </c>
      <c r="G42">
        <v>7.9161584839915297E-2</v>
      </c>
      <c r="H42">
        <v>2.66064077042844E-2</v>
      </c>
      <c r="I42">
        <v>0.101323994646194</v>
      </c>
      <c r="J42" s="3">
        <f t="shared" si="9"/>
        <v>6.7491242339588475E-2</v>
      </c>
      <c r="L42">
        <f t="shared" si="10"/>
        <v>4.4113833705164483E-4</v>
      </c>
      <c r="M42">
        <f t="shared" si="11"/>
        <v>1.0720902396959877</v>
      </c>
      <c r="N42" s="5">
        <f t="shared" si="12"/>
        <v>0</v>
      </c>
      <c r="O42">
        <f t="shared" si="8"/>
        <v>-7.018369790282665E-2</v>
      </c>
      <c r="P42" s="5">
        <f t="shared" si="13"/>
        <v>0</v>
      </c>
      <c r="Q42" s="5">
        <f t="shared" si="14"/>
        <v>0</v>
      </c>
      <c r="R42" s="5">
        <f t="shared" si="15"/>
        <v>0</v>
      </c>
      <c r="S42" s="8">
        <f t="shared" si="16"/>
        <v>7.3328251506581968E-2</v>
      </c>
    </row>
    <row r="43" spans="1:25" x14ac:dyDescent="0.3">
      <c r="A43" t="s">
        <v>48</v>
      </c>
      <c r="B43">
        <v>-6.41</v>
      </c>
      <c r="C43">
        <v>-0.69</v>
      </c>
      <c r="D43">
        <v>1.34</v>
      </c>
      <c r="E43">
        <v>0.33</v>
      </c>
      <c r="F43">
        <v>-2.6375529901335199E-3</v>
      </c>
      <c r="G43">
        <v>7.53002860532987E-4</v>
      </c>
      <c r="H43">
        <v>4.16793855808707E-3</v>
      </c>
      <c r="I43">
        <v>-2.17057204853797E-3</v>
      </c>
      <c r="J43" s="3">
        <f t="shared" si="9"/>
        <v>1.3644154790061519E-3</v>
      </c>
      <c r="L43">
        <f t="shared" si="10"/>
        <v>2.3969875961294348E-4</v>
      </c>
      <c r="M43">
        <f t="shared" si="11"/>
        <v>-0.29029801691480051</v>
      </c>
      <c r="N43" s="5">
        <f t="shared" si="12"/>
        <v>2.6375529901335199E-3</v>
      </c>
      <c r="O43">
        <f t="shared" si="8"/>
        <v>-3.6645581901391555E-2</v>
      </c>
      <c r="P43" s="5">
        <f t="shared" si="13"/>
        <v>6.9566857757622716E-6</v>
      </c>
      <c r="Q43" s="5">
        <f t="shared" si="14"/>
        <v>1.8348627369281104E-8</v>
      </c>
      <c r="R43" s="5">
        <f t="shared" si="15"/>
        <v>4.8395476982693122E-11</v>
      </c>
      <c r="S43" s="8">
        <f t="shared" si="16"/>
        <v>0</v>
      </c>
    </row>
    <row r="44" spans="1:25" x14ac:dyDescent="0.3">
      <c r="A44" t="s">
        <v>49</v>
      </c>
      <c r="B44">
        <v>6.64</v>
      </c>
      <c r="C44">
        <v>5.01</v>
      </c>
      <c r="D44">
        <v>-4</v>
      </c>
      <c r="E44">
        <v>0.35</v>
      </c>
      <c r="F44">
        <v>1.45963419499156E-2</v>
      </c>
      <c r="G44">
        <v>1.9381086259652701E-2</v>
      </c>
      <c r="H44">
        <v>1.2627364755910499E-2</v>
      </c>
      <c r="I44">
        <v>3.2490554902844797E-2</v>
      </c>
      <c r="J44" s="3">
        <f t="shared" si="9"/>
        <v>1.8947498974661973E-2</v>
      </c>
      <c r="L44">
        <f t="shared" si="10"/>
        <v>2.5200020250412886E-4</v>
      </c>
      <c r="M44">
        <f t="shared" si="11"/>
        <v>-0.25996425600066314</v>
      </c>
      <c r="N44" s="5">
        <f t="shared" si="12"/>
        <v>0</v>
      </c>
      <c r="O44">
        <f t="shared" si="8"/>
        <v>-5.7134030849507661E-2</v>
      </c>
      <c r="P44" s="5">
        <f t="shared" si="13"/>
        <v>0</v>
      </c>
      <c r="Q44" s="5">
        <f t="shared" si="14"/>
        <v>0</v>
      </c>
      <c r="R44" s="5">
        <f t="shared" si="15"/>
        <v>0</v>
      </c>
      <c r="S44" s="8">
        <f t="shared" si="16"/>
        <v>1.3547752926319368E-2</v>
      </c>
    </row>
    <row r="45" spans="1:25" x14ac:dyDescent="0.3">
      <c r="A45" t="s">
        <v>50</v>
      </c>
      <c r="B45">
        <v>-2.59</v>
      </c>
      <c r="C45">
        <v>1.17</v>
      </c>
      <c r="D45">
        <v>-0.83</v>
      </c>
      <c r="E45">
        <v>0.34</v>
      </c>
      <c r="F45">
        <v>-3.7027766306118701E-3</v>
      </c>
      <c r="G45">
        <v>-1.22011344531965E-2</v>
      </c>
      <c r="H45">
        <v>-6.38683967827074E-3</v>
      </c>
      <c r="I45">
        <v>-1.4392450464102099E-3</v>
      </c>
      <c r="J45" s="3">
        <f t="shared" si="9"/>
        <v>-9.5524442738455298E-3</v>
      </c>
      <c r="L45">
        <f t="shared" si="10"/>
        <v>2.4233136964778583E-4</v>
      </c>
      <c r="M45">
        <f t="shared" si="11"/>
        <v>-0.19494675640942397</v>
      </c>
      <c r="N45" s="5">
        <f t="shared" si="12"/>
        <v>3.7027766306118701E-3</v>
      </c>
      <c r="O45">
        <f t="shared" ref="O45:O62" si="17">SUM(F34:F44)</f>
        <v>-3.9975964811397507E-2</v>
      </c>
      <c r="P45" s="5">
        <f t="shared" si="13"/>
        <v>1.3710554776205394E-5</v>
      </c>
      <c r="Q45" s="5">
        <f t="shared" si="14"/>
        <v>5.076712181805729E-8</v>
      </c>
      <c r="R45" s="5">
        <f t="shared" si="15"/>
        <v>1.8797931227132852E-10</v>
      </c>
      <c r="S45" s="8">
        <f t="shared" si="16"/>
        <v>0</v>
      </c>
    </row>
    <row r="46" spans="1:25" x14ac:dyDescent="0.3">
      <c r="A46" t="s">
        <v>51</v>
      </c>
      <c r="B46">
        <v>2.5099999999999998</v>
      </c>
      <c r="C46">
        <v>-5.51</v>
      </c>
      <c r="D46">
        <v>-8.8699999999999992</v>
      </c>
      <c r="E46">
        <v>0.36</v>
      </c>
      <c r="F46">
        <v>1.39962004298625E-2</v>
      </c>
      <c r="G46">
        <v>1.4286053130952501E-2</v>
      </c>
      <c r="H46">
        <v>2.6278495138236699E-2</v>
      </c>
      <c r="I46">
        <v>2.7702608101020501E-2</v>
      </c>
      <c r="J46" s="3">
        <f t="shared" si="9"/>
        <v>1.8884226361945339E-2</v>
      </c>
      <c r="L46">
        <f t="shared" si="10"/>
        <v>2.5327285251493985E-4</v>
      </c>
      <c r="M46">
        <f t="shared" si="11"/>
        <v>-0.26841750219436045</v>
      </c>
      <c r="N46" s="5">
        <f t="shared" si="12"/>
        <v>0</v>
      </c>
      <c r="O46">
        <f t="shared" si="17"/>
        <v>-2.8167882056398988E-2</v>
      </c>
      <c r="P46" s="5">
        <f t="shared" si="13"/>
        <v>0</v>
      </c>
      <c r="Q46" s="5">
        <f t="shared" si="14"/>
        <v>0</v>
      </c>
      <c r="R46" s="5">
        <f t="shared" si="15"/>
        <v>0</v>
      </c>
      <c r="S46" s="8">
        <f t="shared" si="16"/>
        <v>8.4527197976191661E-3</v>
      </c>
    </row>
    <row r="47" spans="1:25" x14ac:dyDescent="0.3">
      <c r="A47" t="s">
        <v>52</v>
      </c>
      <c r="B47">
        <v>0.61</v>
      </c>
      <c r="C47">
        <v>-3.36</v>
      </c>
      <c r="D47">
        <v>-0.05</v>
      </c>
      <c r="E47">
        <v>0.35</v>
      </c>
      <c r="F47">
        <v>8.4989221893777504E-3</v>
      </c>
      <c r="G47">
        <v>1.90274916477347E-2</v>
      </c>
      <c r="H47">
        <v>-3.3726541330424101E-3</v>
      </c>
      <c r="I47">
        <v>2.0558582449385101E-2</v>
      </c>
      <c r="J47" s="3">
        <f t="shared" si="9"/>
        <v>1.3223382568484937E-2</v>
      </c>
      <c r="L47">
        <f t="shared" si="10"/>
        <v>2.4060945808343989E-4</v>
      </c>
      <c r="M47">
        <f t="shared" si="11"/>
        <v>-0.2058697453643287</v>
      </c>
      <c r="N47" s="5">
        <f t="shared" si="12"/>
        <v>0</v>
      </c>
      <c r="O47">
        <f t="shared" si="17"/>
        <v>2.3484158986325214E-2</v>
      </c>
      <c r="P47" s="5">
        <f t="shared" si="13"/>
        <v>0</v>
      </c>
      <c r="Q47" s="5">
        <f t="shared" si="14"/>
        <v>0</v>
      </c>
      <c r="R47" s="5">
        <f t="shared" si="15"/>
        <v>0</v>
      </c>
      <c r="S47" s="8">
        <f t="shared" si="16"/>
        <v>1.3194158314401367E-2</v>
      </c>
    </row>
    <row r="48" spans="1:25" x14ac:dyDescent="0.3">
      <c r="A48" t="s">
        <v>53</v>
      </c>
      <c r="B48">
        <v>0.35</v>
      </c>
      <c r="C48">
        <v>1.6</v>
      </c>
      <c r="D48">
        <v>-7.74</v>
      </c>
      <c r="E48">
        <v>0.36</v>
      </c>
      <c r="F48">
        <v>-5.5606609390426703E-3</v>
      </c>
      <c r="G48">
        <v>-5.8442491954848602E-2</v>
      </c>
      <c r="H48">
        <v>7.4850024183718902E-3</v>
      </c>
      <c r="I48">
        <v>-1.7404661490331499E-2</v>
      </c>
      <c r="J48" s="3">
        <f t="shared" si="9"/>
        <v>-3.6671396911308315E-2</v>
      </c>
      <c r="L48">
        <f t="shared" si="10"/>
        <v>2.3764561935560625E-4</v>
      </c>
      <c r="M48">
        <f t="shared" si="11"/>
        <v>-9.077436787656315E-2</v>
      </c>
      <c r="N48" s="5">
        <f t="shared" si="12"/>
        <v>5.5606609390426703E-3</v>
      </c>
      <c r="O48">
        <f t="shared" si="17"/>
        <v>3.7609885762454741E-2</v>
      </c>
      <c r="P48" s="5">
        <f t="shared" si="13"/>
        <v>3.092095007899491E-5</v>
      </c>
      <c r="Q48" s="5">
        <f t="shared" si="14"/>
        <v>1.7194091930235536E-7</v>
      </c>
      <c r="R48" s="5">
        <f t="shared" si="15"/>
        <v>9.5610515378769541E-10</v>
      </c>
      <c r="S48" s="8">
        <f t="shared" si="16"/>
        <v>0</v>
      </c>
    </row>
    <row r="49" spans="1:19" x14ac:dyDescent="0.3">
      <c r="A49" t="s">
        <v>54</v>
      </c>
      <c r="B49">
        <v>6.47</v>
      </c>
      <c r="C49">
        <v>1.55</v>
      </c>
      <c r="D49">
        <v>-0.2</v>
      </c>
      <c r="E49">
        <v>0.4</v>
      </c>
      <c r="F49">
        <v>1.17316931320482E-2</v>
      </c>
      <c r="G49">
        <v>3.5613231741408999E-2</v>
      </c>
      <c r="H49">
        <v>1.1061025374995599E-2</v>
      </c>
      <c r="I49">
        <v>3.06813056448406E-2</v>
      </c>
      <c r="J49" s="3">
        <f t="shared" si="9"/>
        <v>2.8585417485371484E-2</v>
      </c>
      <c r="L49">
        <f t="shared" si="10"/>
        <v>1.739979471677432E-4</v>
      </c>
      <c r="M49">
        <f t="shared" si="11"/>
        <v>0.37617183647087465</v>
      </c>
      <c r="N49" s="5">
        <f t="shared" si="12"/>
        <v>0</v>
      </c>
      <c r="O49">
        <f t="shared" si="17"/>
        <v>4.0206840344406823E-2</v>
      </c>
      <c r="P49" s="5">
        <f t="shared" si="13"/>
        <v>0</v>
      </c>
      <c r="Q49" s="5">
        <f t="shared" si="14"/>
        <v>0</v>
      </c>
      <c r="R49" s="5">
        <f t="shared" si="15"/>
        <v>0</v>
      </c>
      <c r="S49" s="8">
        <f t="shared" si="16"/>
        <v>2.9779898408075666E-2</v>
      </c>
    </row>
    <row r="50" spans="1:19" x14ac:dyDescent="0.3">
      <c r="A50" t="s">
        <v>55</v>
      </c>
      <c r="B50">
        <v>3.21</v>
      </c>
      <c r="C50">
        <v>2.0499999999999998</v>
      </c>
      <c r="D50">
        <v>4.1100000000000003</v>
      </c>
      <c r="E50">
        <v>0.45</v>
      </c>
      <c r="F50">
        <v>1.90224732390817E-3</v>
      </c>
      <c r="G50">
        <v>-4.4938812041437303E-4</v>
      </c>
      <c r="H50">
        <v>1.0633833996458101E-2</v>
      </c>
      <c r="I50">
        <v>1.91794488749037E-3</v>
      </c>
      <c r="J50" s="3">
        <f t="shared" si="9"/>
        <v>2.7532180964843517E-3</v>
      </c>
      <c r="L50">
        <f t="shared" si="10"/>
        <v>1.1041466785151719E-4</v>
      </c>
      <c r="M50">
        <f t="shared" si="11"/>
        <v>-0.39573729139293057</v>
      </c>
      <c r="N50" s="5">
        <f t="shared" si="12"/>
        <v>0</v>
      </c>
      <c r="O50">
        <f t="shared" si="17"/>
        <v>3.7464950261386722E-2</v>
      </c>
      <c r="P50" s="5">
        <f t="shared" si="13"/>
        <v>0</v>
      </c>
      <c r="Q50" s="5">
        <f t="shared" si="14"/>
        <v>0</v>
      </c>
      <c r="R50" s="5">
        <f t="shared" si="15"/>
        <v>0</v>
      </c>
      <c r="S50" s="8">
        <f t="shared" si="16"/>
        <v>0</v>
      </c>
    </row>
    <row r="51" spans="1:19" x14ac:dyDescent="0.3">
      <c r="A51" t="s">
        <v>56</v>
      </c>
      <c r="B51">
        <v>-2.39</v>
      </c>
      <c r="C51">
        <v>-3.2</v>
      </c>
      <c r="D51">
        <v>-1.08</v>
      </c>
      <c r="E51">
        <v>0.45</v>
      </c>
      <c r="F51">
        <v>-1.4645001884701001E-3</v>
      </c>
      <c r="G51">
        <v>1.84557007151526E-3</v>
      </c>
      <c r="H51">
        <v>-6.0453336183615798E-3</v>
      </c>
      <c r="I51">
        <v>1.22263588916529E-2</v>
      </c>
      <c r="J51" s="3">
        <f t="shared" si="9"/>
        <v>8.0976560486383572E-4</v>
      </c>
      <c r="L51">
        <f t="shared" si="10"/>
        <v>1.1520007171038643E-4</v>
      </c>
      <c r="M51">
        <f t="shared" si="11"/>
        <v>-0.26227460393399177</v>
      </c>
      <c r="N51" s="5">
        <f t="shared" si="12"/>
        <v>1.4645001884701001E-3</v>
      </c>
      <c r="O51">
        <f t="shared" si="17"/>
        <v>4.7005381398424105E-2</v>
      </c>
      <c r="P51" s="5">
        <f t="shared" si="13"/>
        <v>2.1447608020289585E-6</v>
      </c>
      <c r="Q51" s="5">
        <f t="shared" si="14"/>
        <v>3.1410025987946926E-9</v>
      </c>
      <c r="R51" s="5">
        <f t="shared" si="15"/>
        <v>4.5999988979199008E-12</v>
      </c>
      <c r="S51" s="8">
        <f t="shared" si="16"/>
        <v>0</v>
      </c>
    </row>
    <row r="52" spans="1:19" x14ac:dyDescent="0.3">
      <c r="A52" t="s">
        <v>57</v>
      </c>
      <c r="B52">
        <v>-5.24</v>
      </c>
      <c r="C52">
        <v>-2.4900000000000002</v>
      </c>
      <c r="D52">
        <v>1.45</v>
      </c>
      <c r="E52">
        <v>0.43</v>
      </c>
      <c r="F52">
        <v>-2.4299773234057499E-3</v>
      </c>
      <c r="G52">
        <v>9.4702465814353702E-3</v>
      </c>
      <c r="H52">
        <v>-2.16913298650684E-3</v>
      </c>
      <c r="I52">
        <v>5.3742653361548501E-3</v>
      </c>
      <c r="J52" s="3">
        <f t="shared" si="9"/>
        <v>5.9501164151123413E-3</v>
      </c>
      <c r="L52">
        <f t="shared" si="10"/>
        <v>1.2252573854414989E-4</v>
      </c>
      <c r="M52">
        <f t="shared" si="11"/>
        <v>-0.13393451817254823</v>
      </c>
      <c r="N52" s="5">
        <f t="shared" si="12"/>
        <v>2.4299773234057499E-3</v>
      </c>
      <c r="O52">
        <f t="shared" si="17"/>
        <v>6.1125369659506705E-2</v>
      </c>
      <c r="P52" s="5">
        <f t="shared" si="13"/>
        <v>5.9047897922661725E-6</v>
      </c>
      <c r="Q52" s="5">
        <f t="shared" si="14"/>
        <v>1.4348505294684548E-8</v>
      </c>
      <c r="R52" s="5">
        <f t="shared" si="15"/>
        <v>3.486654249085079E-11</v>
      </c>
      <c r="S52" s="8">
        <f t="shared" si="16"/>
        <v>3.6369132481020366E-3</v>
      </c>
    </row>
    <row r="53" spans="1:19" x14ac:dyDescent="0.3">
      <c r="A53" t="s">
        <v>58</v>
      </c>
      <c r="B53">
        <v>-3.18</v>
      </c>
      <c r="C53">
        <v>-3.88</v>
      </c>
      <c r="D53">
        <v>0.19</v>
      </c>
      <c r="E53">
        <v>0.47</v>
      </c>
      <c r="F53">
        <v>6.26055964641527E-3</v>
      </c>
      <c r="G53">
        <v>-9.2994728763887893E-3</v>
      </c>
      <c r="H53">
        <v>1.7069466902578798E-2</v>
      </c>
      <c r="I53">
        <v>1.37217617257923E-2</v>
      </c>
      <c r="J53" s="3">
        <f t="shared" si="9"/>
        <v>1.0292173574382021E-4</v>
      </c>
      <c r="L53">
        <f t="shared" si="10"/>
        <v>1.2076804337008941E-4</v>
      </c>
      <c r="M53">
        <f t="shared" si="11"/>
        <v>5.0307121352562011E-2</v>
      </c>
      <c r="N53" s="5">
        <f t="shared" si="12"/>
        <v>0</v>
      </c>
      <c r="O53">
        <f t="shared" si="17"/>
        <v>6.5944677964469525E-2</v>
      </c>
      <c r="P53" s="5">
        <f t="shared" si="13"/>
        <v>0</v>
      </c>
      <c r="Q53" s="5">
        <f t="shared" si="14"/>
        <v>0</v>
      </c>
      <c r="R53" s="5">
        <f t="shared" si="15"/>
        <v>0</v>
      </c>
      <c r="S53" s="8">
        <f t="shared" si="16"/>
        <v>0</v>
      </c>
    </row>
    <row r="54" spans="1:19" x14ac:dyDescent="0.3">
      <c r="A54" t="s">
        <v>59</v>
      </c>
      <c r="B54">
        <v>8.83</v>
      </c>
      <c r="C54">
        <v>-0.03</v>
      </c>
      <c r="D54">
        <v>1.66</v>
      </c>
      <c r="E54">
        <v>0.44</v>
      </c>
      <c r="F54">
        <v>3.9297680054688399E-3</v>
      </c>
      <c r="G54">
        <v>-2.8871568541880801E-2</v>
      </c>
      <c r="H54">
        <v>0</v>
      </c>
      <c r="I54">
        <v>1.4255614336904901E-3</v>
      </c>
      <c r="J54" s="3">
        <f t="shared" si="9"/>
        <v>-1.8071126922256667E-2</v>
      </c>
      <c r="L54">
        <f t="shared" si="10"/>
        <v>1.288625327512738E-4</v>
      </c>
      <c r="M54">
        <f t="shared" si="11"/>
        <v>0.222301899402949</v>
      </c>
      <c r="N54" s="5">
        <f t="shared" si="12"/>
        <v>0</v>
      </c>
      <c r="O54">
        <f t="shared" si="17"/>
        <v>4.1190496599863569E-2</v>
      </c>
      <c r="P54" s="5">
        <f t="shared" si="13"/>
        <v>0</v>
      </c>
      <c r="Q54" s="5">
        <f t="shared" si="14"/>
        <v>0</v>
      </c>
      <c r="R54" s="5">
        <f t="shared" si="15"/>
        <v>0</v>
      </c>
      <c r="S54" s="8">
        <f t="shared" si="16"/>
        <v>0</v>
      </c>
    </row>
    <row r="55" spans="1:19" x14ac:dyDescent="0.3">
      <c r="A55" t="s">
        <v>60</v>
      </c>
      <c r="B55">
        <v>4.87</v>
      </c>
      <c r="C55">
        <v>6.36</v>
      </c>
      <c r="D55">
        <v>4.92</v>
      </c>
      <c r="E55">
        <v>0.43</v>
      </c>
      <c r="F55">
        <v>-2.8992001142782199E-3</v>
      </c>
      <c r="G55">
        <v>0</v>
      </c>
      <c r="H55">
        <v>-7.7475592342552899E-3</v>
      </c>
      <c r="I55">
        <v>-3.94845691106254E-3</v>
      </c>
      <c r="J55" s="3">
        <f t="shared" si="9"/>
        <v>-2.475289377385604E-3</v>
      </c>
      <c r="L55">
        <f t="shared" si="10"/>
        <v>1.2833205939907845E-4</v>
      </c>
      <c r="M55">
        <f t="shared" si="11"/>
        <v>4.9942368564851423E-4</v>
      </c>
      <c r="N55" s="5">
        <f t="shared" si="12"/>
        <v>2.8992001142782199E-3</v>
      </c>
      <c r="O55">
        <f t="shared" si="17"/>
        <v>4.7757817595465928E-2</v>
      </c>
      <c r="P55" s="5">
        <f t="shared" si="13"/>
        <v>8.4053613026308427E-6</v>
      </c>
      <c r="Q55" s="5">
        <f t="shared" si="14"/>
        <v>2.4368824449137068E-8</v>
      </c>
      <c r="R55" s="5">
        <f t="shared" si="15"/>
        <v>7.0650098627764054E-11</v>
      </c>
      <c r="S55" s="8">
        <f t="shared" si="16"/>
        <v>0</v>
      </c>
    </row>
    <row r="56" spans="1:19" x14ac:dyDescent="0.3">
      <c r="A56" t="s">
        <v>61</v>
      </c>
      <c r="B56">
        <v>0.7</v>
      </c>
      <c r="C56">
        <v>-5.0199999999999996</v>
      </c>
      <c r="D56">
        <v>-2.4700000000000002</v>
      </c>
      <c r="E56">
        <v>0.47</v>
      </c>
      <c r="F56">
        <v>-1.64519124168412E-2</v>
      </c>
      <c r="G56">
        <v>-2.0064846354900401E-2</v>
      </c>
      <c r="H56">
        <v>-2.1784333618836301E-2</v>
      </c>
      <c r="I56">
        <v>-4.3304379889812603E-2</v>
      </c>
      <c r="J56" s="3">
        <f t="shared" si="9"/>
        <v>-2.2937686254822145E-2</v>
      </c>
      <c r="L56">
        <f t="shared" si="10"/>
        <v>1.4482330564143185E-4</v>
      </c>
      <c r="M56">
        <f t="shared" si="11"/>
        <v>0.117049857508165</v>
      </c>
      <c r="N56" s="5">
        <f t="shared" si="12"/>
        <v>1.64519124168412E-2</v>
      </c>
      <c r="O56">
        <f t="shared" si="17"/>
        <v>3.0262275531272118E-2</v>
      </c>
      <c r="P56" s="5">
        <f t="shared" si="13"/>
        <v>2.7066542217141362E-4</v>
      </c>
      <c r="Q56" s="5">
        <f t="shared" si="14"/>
        <v>4.4529638198314447E-6</v>
      </c>
      <c r="R56" s="5">
        <f t="shared" si="15"/>
        <v>7.325977075922956E-8</v>
      </c>
      <c r="S56" s="8">
        <f t="shared" si="16"/>
        <v>0</v>
      </c>
    </row>
    <row r="57" spans="1:19" x14ac:dyDescent="0.3">
      <c r="A57" t="s">
        <v>62</v>
      </c>
      <c r="B57">
        <v>5.07</v>
      </c>
      <c r="C57">
        <v>-0.22</v>
      </c>
      <c r="D57">
        <v>-3.52</v>
      </c>
      <c r="E57">
        <v>0.42</v>
      </c>
      <c r="F57">
        <v>3.5885663338952201E-3</v>
      </c>
      <c r="G57">
        <v>1.8485560068935598E-2</v>
      </c>
      <c r="H57">
        <v>0</v>
      </c>
      <c r="I57">
        <v>2.36409940057178E-2</v>
      </c>
      <c r="J57" s="3">
        <f t="shared" si="9"/>
        <v>1.4099410786087296E-2</v>
      </c>
      <c r="L57">
        <f t="shared" si="10"/>
        <v>1.1522600907870122E-4</v>
      </c>
      <c r="M57">
        <f t="shared" si="11"/>
        <v>1.9925972702773648E-2</v>
      </c>
      <c r="N57" s="5">
        <f t="shared" si="12"/>
        <v>0</v>
      </c>
      <c r="O57">
        <f t="shared" si="17"/>
        <v>1.7513139745042788E-2</v>
      </c>
      <c r="P57" s="5">
        <f t="shared" si="13"/>
        <v>0</v>
      </c>
      <c r="Q57" s="5">
        <f t="shared" si="14"/>
        <v>0</v>
      </c>
      <c r="R57" s="5">
        <f t="shared" si="15"/>
        <v>0</v>
      </c>
      <c r="S57" s="8">
        <f t="shared" si="16"/>
        <v>1.2652226735602266E-2</v>
      </c>
    </row>
    <row r="58" spans="1:19" x14ac:dyDescent="0.3">
      <c r="A58" t="s">
        <v>63</v>
      </c>
      <c r="B58">
        <v>2.83</v>
      </c>
      <c r="C58">
        <v>-2.5099999999999998</v>
      </c>
      <c r="D58">
        <v>4.21</v>
      </c>
      <c r="E58">
        <v>0.43</v>
      </c>
      <c r="F58">
        <v>-1.9114460452748799E-4</v>
      </c>
      <c r="G58">
        <v>1.173884999106E-3</v>
      </c>
      <c r="H58">
        <v>2.7105183596555999E-3</v>
      </c>
      <c r="I58">
        <v>-2.13796490510725E-3</v>
      </c>
      <c r="J58" s="3">
        <f t="shared" si="9"/>
        <v>1.2442194512378845E-3</v>
      </c>
      <c r="L58">
        <f t="shared" si="10"/>
        <v>6.356741721749449E-5</v>
      </c>
      <c r="M58">
        <f t="shared" si="11"/>
        <v>-0.69434466824054086</v>
      </c>
      <c r="N58" s="5">
        <f t="shared" si="12"/>
        <v>1.9114460452748799E-4</v>
      </c>
      <c r="O58">
        <f t="shared" si="17"/>
        <v>7.1055056490755119E-3</v>
      </c>
      <c r="P58" s="5">
        <f t="shared" si="13"/>
        <v>3.6536259839969781E-8</v>
      </c>
      <c r="Q58" s="5">
        <f t="shared" si="14"/>
        <v>6.9837089380245655E-12</v>
      </c>
      <c r="R58" s="5">
        <f t="shared" si="15"/>
        <v>1.3348982830937886E-15</v>
      </c>
      <c r="S58" s="8">
        <f t="shared" si="16"/>
        <v>0</v>
      </c>
    </row>
    <row r="59" spans="1:19" x14ac:dyDescent="0.3">
      <c r="A59" t="s">
        <v>64</v>
      </c>
      <c r="B59">
        <v>-4.67</v>
      </c>
      <c r="C59">
        <v>-2.39</v>
      </c>
      <c r="D59">
        <v>-0.52</v>
      </c>
      <c r="E59">
        <v>0.47</v>
      </c>
      <c r="F59">
        <v>-1.5968026421488202E-2</v>
      </c>
      <c r="G59">
        <v>-1.5560826701060499E-2</v>
      </c>
      <c r="H59">
        <v>-2.3802365272986799E-2</v>
      </c>
      <c r="I59">
        <v>-4.4834120359059003E-2</v>
      </c>
      <c r="J59" s="3">
        <f t="shared" si="9"/>
        <v>-2.0792027573239731E-2</v>
      </c>
      <c r="L59">
        <f t="shared" si="10"/>
        <v>5.7847646776170304E-5</v>
      </c>
      <c r="M59">
        <f t="shared" si="11"/>
        <v>-0.48611001440269891</v>
      </c>
      <c r="N59" s="5">
        <f t="shared" si="12"/>
        <v>1.5968026421488202E-2</v>
      </c>
      <c r="O59">
        <f t="shared" si="17"/>
        <v>-1.5845611448297282E-3</v>
      </c>
      <c r="P59" s="5">
        <f t="shared" si="13"/>
        <v>2.549778677973453E-4</v>
      </c>
      <c r="Q59" s="5">
        <f t="shared" si="14"/>
        <v>4.0714933298827351E-6</v>
      </c>
      <c r="R59" s="5">
        <f t="shared" si="15"/>
        <v>6.5013713066480499E-8</v>
      </c>
      <c r="S59" s="8">
        <f t="shared" si="16"/>
        <v>0</v>
      </c>
    </row>
    <row r="60" spans="1:19" x14ac:dyDescent="0.3">
      <c r="A60" t="s">
        <v>65</v>
      </c>
      <c r="B60">
        <v>4.34</v>
      </c>
      <c r="C60">
        <v>0.78</v>
      </c>
      <c r="D60">
        <v>-1.66</v>
      </c>
      <c r="E60">
        <v>0.44</v>
      </c>
      <c r="F60">
        <v>9.0669792401037296E-3</v>
      </c>
      <c r="G60">
        <v>-7.8770708743353592E-3</v>
      </c>
      <c r="H60">
        <v>8.5372534857732396E-4</v>
      </c>
      <c r="I60">
        <v>4.9575954400750703E-4</v>
      </c>
      <c r="J60" s="3">
        <f t="shared" si="9"/>
        <v>-4.6914238206026936E-3</v>
      </c>
      <c r="L60">
        <f t="shared" si="10"/>
        <v>1.6900737051165971E-5</v>
      </c>
      <c r="M60">
        <f t="shared" si="11"/>
        <v>-0.20849269023909298</v>
      </c>
      <c r="N60" s="5">
        <f t="shared" si="12"/>
        <v>0</v>
      </c>
      <c r="O60">
        <f t="shared" si="17"/>
        <v>-1.1991926627275258E-2</v>
      </c>
      <c r="P60" s="5">
        <f t="shared" si="13"/>
        <v>0</v>
      </c>
      <c r="Q60" s="5">
        <f t="shared" si="14"/>
        <v>0</v>
      </c>
      <c r="R60" s="5">
        <f t="shared" si="15"/>
        <v>0</v>
      </c>
      <c r="S60" s="8">
        <f t="shared" si="16"/>
        <v>0</v>
      </c>
    </row>
    <row r="61" spans="1:19" x14ac:dyDescent="0.3">
      <c r="A61" t="s">
        <v>66</v>
      </c>
      <c r="B61">
        <v>2.77</v>
      </c>
      <c r="C61">
        <v>-3.06</v>
      </c>
      <c r="D61">
        <v>-3.31</v>
      </c>
      <c r="E61">
        <v>0.41</v>
      </c>
      <c r="F61">
        <v>-3.9429504567680997E-3</v>
      </c>
      <c r="G61">
        <v>-3.63590504661829E-3</v>
      </c>
      <c r="H61">
        <v>7.2499583407455402E-3</v>
      </c>
      <c r="I61">
        <v>-1.8598939844125301E-3</v>
      </c>
      <c r="J61" s="3">
        <f t="shared" si="9"/>
        <v>-5.5008628783157225E-4</v>
      </c>
      <c r="L61">
        <f t="shared" si="10"/>
        <v>2.509960911933004E-5</v>
      </c>
      <c r="M61" t="e">
        <f t="shared" si="11"/>
        <v>#DIV/0!</v>
      </c>
      <c r="N61" s="5">
        <f t="shared" si="12"/>
        <v>3.9429504567680997E-3</v>
      </c>
      <c r="O61">
        <f t="shared" si="17"/>
        <v>-1.465664051921973E-2</v>
      </c>
      <c r="P61" s="5">
        <f t="shared" si="13"/>
        <v>1.5546858304527766E-5</v>
      </c>
      <c r="Q61" s="5">
        <f t="shared" si="14"/>
        <v>6.1300492053146683E-8</v>
      </c>
      <c r="R61" s="5">
        <f t="shared" si="15"/>
        <v>2.4170480314106393E-10</v>
      </c>
      <c r="S61" s="8">
        <f t="shared" si="16"/>
        <v>0</v>
      </c>
    </row>
    <row r="62" spans="1:19" x14ac:dyDescent="0.3">
      <c r="A62" t="s">
        <v>67</v>
      </c>
      <c r="B62">
        <v>1.24</v>
      </c>
      <c r="C62">
        <v>6.84</v>
      </c>
      <c r="D62">
        <v>5.7</v>
      </c>
      <c r="E62">
        <v>0.45</v>
      </c>
      <c r="F62">
        <v>-5.0793787184144797E-3</v>
      </c>
      <c r="G62">
        <v>-1.3087187160969E-2</v>
      </c>
      <c r="H62">
        <v>-5.0483084877583698E-3</v>
      </c>
      <c r="I62">
        <v>-9.3599499259801201E-3</v>
      </c>
      <c r="J62" s="3">
        <f t="shared" si="9"/>
        <v>-1.0569988307178877E-2</v>
      </c>
      <c r="L62">
        <f t="shared" si="10"/>
        <v>0</v>
      </c>
      <c r="M62" t="e">
        <f t="shared" si="11"/>
        <v>#DIV/0!</v>
      </c>
      <c r="N62" s="5">
        <f t="shared" si="12"/>
        <v>5.0793787184144797E-3</v>
      </c>
      <c r="O62">
        <f t="shared" si="17"/>
        <v>-2.0501838299895995E-2</v>
      </c>
      <c r="P62" s="5">
        <f t="shared" si="13"/>
        <v>2.5800088165081921E-5</v>
      </c>
      <c r="Q62" s="5">
        <f t="shared" si="14"/>
        <v>1.310484187589344E-7</v>
      </c>
      <c r="R62" s="5">
        <f t="shared" si="15"/>
        <v>6.656445493260002E-10</v>
      </c>
      <c r="S62" s="8">
        <f t="shared" si="16"/>
        <v>0</v>
      </c>
    </row>
    <row r="67" spans="1:5" x14ac:dyDescent="0.3">
      <c r="A67" t="s">
        <v>68</v>
      </c>
      <c r="B67" t="s">
        <v>69</v>
      </c>
      <c r="C67" t="s">
        <v>70</v>
      </c>
      <c r="E67" t="s">
        <v>115</v>
      </c>
    </row>
    <row r="68" spans="1:5" x14ac:dyDescent="0.3">
      <c r="A68">
        <v>0.76533359466666662</v>
      </c>
      <c r="B68">
        <v>0.13333386666666658</v>
      </c>
      <c r="C68">
        <v>0.10133333866666668</v>
      </c>
      <c r="E68">
        <f>_xlfn.COVARIANCE.P(I2:I62,J2:J62)</f>
        <v>5.6154187635081172E-4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3711-6A1C-4FAD-BABA-D91C09EC3DD1}">
  <dimension ref="A1:AD68"/>
  <sheetViews>
    <sheetView topLeftCell="A52" workbookViewId="0">
      <selection activeCell="G32" sqref="G32"/>
    </sheetView>
  </sheetViews>
  <sheetFormatPr defaultRowHeight="14.4" x14ac:dyDescent="0.3"/>
  <cols>
    <col min="5" max="5" width="10.6640625" customWidth="1"/>
    <col min="6" max="6" width="10.5546875" bestFit="1" customWidth="1"/>
    <col min="9" max="9" width="13.33203125" customWidth="1"/>
    <col min="10" max="10" width="13.6640625" style="3" customWidth="1"/>
    <col min="11" max="11" width="8.44140625" customWidth="1"/>
    <col min="12" max="12" width="10.5546875" bestFit="1" customWidth="1"/>
    <col min="13" max="13" width="13.44140625" customWidth="1"/>
    <col min="14" max="14" width="11.6640625" customWidth="1"/>
    <col min="15" max="17" width="10.5546875" bestFit="1" customWidth="1"/>
    <col min="18" max="18" width="8.88671875" customWidth="1"/>
    <col min="23" max="23" width="15.6640625" customWidth="1"/>
    <col min="25" max="25" width="23.5546875" customWidth="1"/>
  </cols>
  <sheetData>
    <row r="1" spans="1:30" x14ac:dyDescent="0.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75</v>
      </c>
      <c r="G1" t="s">
        <v>1</v>
      </c>
      <c r="H1" t="s">
        <v>2</v>
      </c>
      <c r="I1" t="s">
        <v>6</v>
      </c>
      <c r="J1" s="3" t="s">
        <v>71</v>
      </c>
      <c r="K1" t="s">
        <v>72</v>
      </c>
      <c r="L1" t="s">
        <v>73</v>
      </c>
      <c r="M1" s="9" t="s">
        <v>76</v>
      </c>
      <c r="N1" t="s">
        <v>74</v>
      </c>
      <c r="O1" t="s">
        <v>77</v>
      </c>
      <c r="P1" t="s">
        <v>78</v>
      </c>
      <c r="Q1" t="s">
        <v>79</v>
      </c>
      <c r="R1" t="s">
        <v>80</v>
      </c>
    </row>
    <row r="2" spans="1:30" x14ac:dyDescent="0.3">
      <c r="A2" t="s">
        <v>7</v>
      </c>
      <c r="B2">
        <v>1.19</v>
      </c>
      <c r="C2">
        <v>-1.93</v>
      </c>
      <c r="D2">
        <v>0.47</v>
      </c>
      <c r="E2">
        <v>0.19</v>
      </c>
      <c r="F2">
        <v>-1.10006698947021E-2</v>
      </c>
      <c r="G2">
        <v>-2.2463499441036899E-2</v>
      </c>
      <c r="H2">
        <v>-5.7526251884000203E-3</v>
      </c>
      <c r="I2">
        <v>4.0834843899331501E-2</v>
      </c>
      <c r="J2" s="3">
        <f>(G2*0.631)+(H2*0.267)+(I2*0.103)</f>
        <v>-1.1504430150965944E-2</v>
      </c>
      <c r="K2">
        <f>_xlfn.VAR.P(J2:J62)</f>
        <v>1.4415672814551398E-4</v>
      </c>
      <c r="L2">
        <f t="shared" ref="L2:L33" si="0">_xlfn.SKEW.P(J2:J1280)</f>
        <v>-0.21148403679975006</v>
      </c>
      <c r="M2" s="5">
        <f t="shared" ref="M2:M33" si="1">MAX($Z$14-F2,0)</f>
        <v>1.5167336561368767E-2</v>
      </c>
      <c r="O2" s="5">
        <f t="shared" ref="O2:O33" si="2">M2^2</f>
        <v>2.3004809836583374E-4</v>
      </c>
      <c r="P2" s="5">
        <f t="shared" ref="P2:P33" si="3">M2^3</f>
        <v>3.4892169332174688E-6</v>
      </c>
      <c r="Q2" s="5">
        <f t="shared" ref="Q2:Q33" si="4">M2^4</f>
        <v>5.2922127561736316E-8</v>
      </c>
      <c r="R2" s="8">
        <f t="shared" ref="R2:R33" si="5">MAX(F2-$Z$14,0)</f>
        <v>0</v>
      </c>
    </row>
    <row r="3" spans="1:30" x14ac:dyDescent="0.3">
      <c r="A3" t="s">
        <v>8</v>
      </c>
      <c r="B3">
        <v>-2.58</v>
      </c>
      <c r="C3">
        <v>-2.39</v>
      </c>
      <c r="D3">
        <v>-4.79</v>
      </c>
      <c r="E3">
        <v>0.16</v>
      </c>
      <c r="F3">
        <v>-4.4417485458574199E-4</v>
      </c>
      <c r="G3">
        <v>4.22923918442726E-3</v>
      </c>
      <c r="H3">
        <v>2.30765220610574E-3</v>
      </c>
      <c r="I3">
        <v>6.8502215238798502E-3</v>
      </c>
      <c r="J3" s="3">
        <f t="shared" ref="J3:J62" si="6">(G3*0.631)+(H3*0.267)+(I3*0.103)</f>
        <v>3.990365881363458E-3</v>
      </c>
      <c r="K3">
        <f t="shared" ref="K3:K62" si="7">_xlfn.VAR.P(J3:J63)</f>
        <v>1.4546013560859801E-4</v>
      </c>
      <c r="L3">
        <f t="shared" si="0"/>
        <v>-0.24055353488024236</v>
      </c>
      <c r="M3" s="5">
        <f t="shared" si="1"/>
        <v>4.6108415212524085E-3</v>
      </c>
      <c r="O3" s="5">
        <f t="shared" si="2"/>
        <v>2.1259859534105225E-5</v>
      </c>
      <c r="P3" s="5">
        <f t="shared" si="3"/>
        <v>9.8025843075846248E-8</v>
      </c>
      <c r="Q3" s="5">
        <f t="shared" si="4"/>
        <v>4.5198162740988481E-10</v>
      </c>
      <c r="R3" s="8">
        <f t="shared" si="5"/>
        <v>0</v>
      </c>
    </row>
    <row r="4" spans="1:30" x14ac:dyDescent="0.3">
      <c r="A4" t="s">
        <v>9</v>
      </c>
      <c r="B4">
        <v>1.43</v>
      </c>
      <c r="C4">
        <v>-0.97</v>
      </c>
      <c r="D4">
        <v>6.77</v>
      </c>
      <c r="E4">
        <v>0.18</v>
      </c>
      <c r="F4">
        <v>4.62645762226911E-3</v>
      </c>
      <c r="G4">
        <v>-2.7863700019835701E-2</v>
      </c>
      <c r="H4">
        <v>-8.3613454984118804E-3</v>
      </c>
      <c r="I4">
        <v>-2.6708846959972499E-2</v>
      </c>
      <c r="J4" s="3">
        <f t="shared" si="6"/>
        <v>-2.2565485197469468E-2</v>
      </c>
      <c r="K4">
        <f t="shared" si="7"/>
        <v>1.4700544666013297E-4</v>
      </c>
      <c r="L4">
        <f t="shared" si="0"/>
        <v>-0.2138505581739546</v>
      </c>
      <c r="M4" s="5">
        <f t="shared" si="1"/>
        <v>0</v>
      </c>
      <c r="O4" s="5">
        <f t="shared" si="2"/>
        <v>0</v>
      </c>
      <c r="P4" s="5">
        <f t="shared" si="3"/>
        <v>0</v>
      </c>
      <c r="Q4" s="5">
        <f t="shared" si="4"/>
        <v>0</v>
      </c>
      <c r="R4" s="8">
        <f t="shared" si="5"/>
        <v>4.5979095560244338E-4</v>
      </c>
    </row>
    <row r="5" spans="1:30" x14ac:dyDescent="0.3">
      <c r="A5" t="s">
        <v>10</v>
      </c>
      <c r="B5">
        <v>2.06</v>
      </c>
      <c r="C5">
        <v>0.28999999999999998</v>
      </c>
      <c r="D5">
        <v>-1.9</v>
      </c>
      <c r="E5">
        <v>0.16</v>
      </c>
      <c r="F5">
        <v>-2.6667094920130802E-3</v>
      </c>
      <c r="G5">
        <v>3.5802995000182901E-3</v>
      </c>
      <c r="H5">
        <v>-1.1323805457299101E-2</v>
      </c>
      <c r="I5">
        <v>-7.0409663926168295E-4</v>
      </c>
      <c r="J5" s="3">
        <f t="shared" si="6"/>
        <v>-8.3680902643127253E-4</v>
      </c>
      <c r="K5">
        <f t="shared" si="7"/>
        <v>1.4312450933545758E-4</v>
      </c>
      <c r="L5">
        <f t="shared" si="0"/>
        <v>-0.238710898101538</v>
      </c>
      <c r="M5" s="5">
        <f t="shared" si="1"/>
        <v>6.8333761586797468E-3</v>
      </c>
      <c r="O5" s="5">
        <f t="shared" si="2"/>
        <v>4.6695029726012775E-5</v>
      </c>
      <c r="P5" s="5">
        <f t="shared" si="3"/>
        <v>3.1908470285857777E-7</v>
      </c>
      <c r="Q5" s="5">
        <f t="shared" si="4"/>
        <v>2.1804258011132168E-9</v>
      </c>
      <c r="R5" s="8">
        <f t="shared" si="5"/>
        <v>0</v>
      </c>
      <c r="V5" t="s">
        <v>85</v>
      </c>
      <c r="W5" s="3">
        <f>AVERAGE(F2:F62)</f>
        <v>-2.0666332727049797E-3</v>
      </c>
      <c r="Y5" t="s">
        <v>86</v>
      </c>
      <c r="Z5" s="3">
        <f>AVERAGE(E2:E62)/100</f>
        <v>1.7655737704918031E-3</v>
      </c>
      <c r="AC5" t="s">
        <v>87</v>
      </c>
    </row>
    <row r="6" spans="1:30" x14ac:dyDescent="0.3">
      <c r="A6" t="s">
        <v>11</v>
      </c>
      <c r="B6">
        <v>3.88</v>
      </c>
      <c r="C6">
        <v>0.78</v>
      </c>
      <c r="D6">
        <v>-1.99</v>
      </c>
      <c r="E6">
        <v>0.12</v>
      </c>
      <c r="F6">
        <v>-3.7160766636914599E-3</v>
      </c>
      <c r="G6">
        <v>-3.6899507646774999E-4</v>
      </c>
      <c r="H6">
        <v>-1.5798016767217401E-3</v>
      </c>
      <c r="I6">
        <v>1.3567540821004699E-2</v>
      </c>
      <c r="J6" s="3">
        <f t="shared" si="6"/>
        <v>7.4281376362762917E-4</v>
      </c>
      <c r="K6">
        <f t="shared" si="7"/>
        <v>1.4554321788334257E-4</v>
      </c>
      <c r="L6">
        <f t="shared" si="0"/>
        <v>-0.2270692478622299</v>
      </c>
      <c r="M6" s="5">
        <f t="shared" si="1"/>
        <v>7.8827433303581274E-3</v>
      </c>
      <c r="O6" s="5">
        <f t="shared" si="2"/>
        <v>6.213764241230554E-5</v>
      </c>
      <c r="P6" s="5">
        <f t="shared" si="3"/>
        <v>4.8981508628977976E-7</v>
      </c>
      <c r="Q6" s="5">
        <f t="shared" si="4"/>
        <v>3.861086604559552E-9</v>
      </c>
      <c r="R6" s="8">
        <f t="shared" si="5"/>
        <v>0</v>
      </c>
      <c r="V6" t="s">
        <v>88</v>
      </c>
      <c r="W6" s="3">
        <f>W5*12</f>
        <v>-2.4799599272459755E-2</v>
      </c>
      <c r="Y6" t="s">
        <v>89</v>
      </c>
      <c r="Z6" s="3">
        <f>Z5*12</f>
        <v>2.1186885245901635E-2</v>
      </c>
      <c r="AC6" s="3" cm="1">
        <f t="array" ref="AC6">_xlfn.STDEV.S(B2:B62/100)</f>
        <v>5.3607205443017038E-2</v>
      </c>
    </row>
    <row r="7" spans="1:30" x14ac:dyDescent="0.3">
      <c r="A7" t="s">
        <v>12</v>
      </c>
      <c r="B7">
        <v>2.77</v>
      </c>
      <c r="C7">
        <v>0.73</v>
      </c>
      <c r="D7">
        <v>1.78</v>
      </c>
      <c r="E7">
        <v>0.14000000000000001</v>
      </c>
      <c r="F7">
        <v>2.42633903870524E-3</v>
      </c>
      <c r="G7">
        <v>-1.0720057047298201E-3</v>
      </c>
      <c r="H7">
        <v>5.65574561474233E-4</v>
      </c>
      <c r="I7">
        <v>-5.78955027046924E-3</v>
      </c>
      <c r="J7" s="3">
        <f t="shared" si="6"/>
        <v>-1.1217508696292279E-3</v>
      </c>
      <c r="K7">
        <f t="shared" si="7"/>
        <v>1.4786677928436319E-4</v>
      </c>
      <c r="L7">
        <f t="shared" si="0"/>
        <v>-0.20913392042697354</v>
      </c>
      <c r="M7" s="5">
        <f t="shared" si="1"/>
        <v>1.7403276279614266E-3</v>
      </c>
      <c r="O7" s="5">
        <f t="shared" si="2"/>
        <v>3.0287402526458459E-6</v>
      </c>
      <c r="P7" s="5">
        <f t="shared" si="3"/>
        <v>5.2710003395984369E-9</v>
      </c>
      <c r="Q7" s="5">
        <f t="shared" si="4"/>
        <v>9.1732675179972222E-12</v>
      </c>
      <c r="R7" s="8">
        <f t="shared" si="5"/>
        <v>0</v>
      </c>
      <c r="V7" t="s">
        <v>90</v>
      </c>
      <c r="W7" s="3">
        <f>_xlfn.STDEV.S(F2:F62)</f>
        <v>1.0902613417138251E-2</v>
      </c>
    </row>
    <row r="8" spans="1:30" x14ac:dyDescent="0.3">
      <c r="A8" t="s">
        <v>13</v>
      </c>
      <c r="B8">
        <v>-0.11</v>
      </c>
      <c r="C8">
        <v>-3.13</v>
      </c>
      <c r="D8">
        <v>-6.25</v>
      </c>
      <c r="E8">
        <v>0.13</v>
      </c>
      <c r="F8">
        <v>-1.8324588334886701E-2</v>
      </c>
      <c r="G8">
        <v>-6.5482267300622898E-4</v>
      </c>
      <c r="H8">
        <v>-2.6481016138476601E-2</v>
      </c>
      <c r="I8">
        <v>4.7783610518523999E-2</v>
      </c>
      <c r="J8" s="3">
        <f>(G8*0.631)+(H8*0.267)+(I8*0.103)</f>
        <v>-2.5619125322322118E-3</v>
      </c>
      <c r="K8">
        <f t="shared" si="7"/>
        <v>1.5047380854536272E-4</v>
      </c>
      <c r="L8">
        <f t="shared" si="0"/>
        <v>-0.1981900040261674</v>
      </c>
      <c r="M8" s="5">
        <f t="shared" si="1"/>
        <v>2.2491255001553367E-2</v>
      </c>
      <c r="O8" s="5">
        <f t="shared" si="2"/>
        <v>5.0585655154489933E-4</v>
      </c>
      <c r="P8" s="5">
        <f t="shared" si="3"/>
        <v>1.1377348695002756E-5</v>
      </c>
      <c r="Q8" s="5">
        <f t="shared" si="4"/>
        <v>2.558908507408974E-7</v>
      </c>
      <c r="R8" s="8">
        <f t="shared" si="5"/>
        <v>0</v>
      </c>
      <c r="V8" t="s">
        <v>91</v>
      </c>
      <c r="W8" s="3">
        <f>W7*SQRT(12)</f>
        <v>3.7767760747531166E-2</v>
      </c>
    </row>
    <row r="9" spans="1:30" x14ac:dyDescent="0.3">
      <c r="A9" t="s">
        <v>14</v>
      </c>
      <c r="B9">
        <v>-8.1300000000000008</v>
      </c>
      <c r="C9">
        <v>1.07</v>
      </c>
      <c r="D9">
        <v>-3.8</v>
      </c>
      <c r="E9">
        <v>0.12</v>
      </c>
      <c r="F9">
        <v>-4.2104092404300197E-3</v>
      </c>
      <c r="G9">
        <v>1.02679245212088E-2</v>
      </c>
      <c r="H9">
        <v>-1.8114524621360199E-2</v>
      </c>
      <c r="I9">
        <v>-1.5267571536751101E-2</v>
      </c>
      <c r="J9" s="3">
        <f t="shared" si="6"/>
        <v>6.9922430694215358E-5</v>
      </c>
      <c r="K9">
        <f t="shared" si="7"/>
        <v>1.5325123334484459E-4</v>
      </c>
      <c r="L9">
        <f t="shared" si="0"/>
        <v>-0.19327902693912088</v>
      </c>
      <c r="M9" s="5">
        <f t="shared" si="1"/>
        <v>8.3770759070966871E-3</v>
      </c>
      <c r="O9" s="5">
        <f t="shared" si="2"/>
        <v>7.0175400753259785E-5</v>
      </c>
      <c r="P9" s="5">
        <f t="shared" si="3"/>
        <v>5.8786465892098722E-7</v>
      </c>
      <c r="Q9" s="5">
        <f t="shared" si="4"/>
        <v>4.9245868708806138E-9</v>
      </c>
      <c r="R9" s="8">
        <f t="shared" si="5"/>
        <v>0</v>
      </c>
      <c r="W9" s="3"/>
    </row>
    <row r="10" spans="1:30" x14ac:dyDescent="0.3">
      <c r="A10" t="s">
        <v>15</v>
      </c>
      <c r="B10">
        <v>-13.39</v>
      </c>
      <c r="C10">
        <v>-4.79</v>
      </c>
      <c r="D10">
        <v>-13.88</v>
      </c>
      <c r="E10">
        <v>0.13</v>
      </c>
      <c r="F10">
        <v>-1.5017626025057899E-2</v>
      </c>
      <c r="G10">
        <v>-3.6837722469810201E-2</v>
      </c>
      <c r="H10">
        <v>-3.20194255428881E-2</v>
      </c>
      <c r="I10">
        <v>2.18189728072774E-2</v>
      </c>
      <c r="J10" s="3">
        <f t="shared" si="6"/>
        <v>-2.9546435299251786E-2</v>
      </c>
      <c r="K10">
        <f t="shared" si="7"/>
        <v>1.5592826643072235E-4</v>
      </c>
      <c r="L10">
        <f t="shared" si="0"/>
        <v>-0.17709561291576389</v>
      </c>
      <c r="M10" s="5">
        <f t="shared" si="1"/>
        <v>1.9184292691724565E-2</v>
      </c>
      <c r="O10" s="5">
        <f t="shared" si="2"/>
        <v>3.6803708608175656E-4</v>
      </c>
      <c r="P10" s="5">
        <f t="shared" si="3"/>
        <v>7.0605311808018467E-6</v>
      </c>
      <c r="Q10" s="5">
        <f t="shared" si="4"/>
        <v>1.354512967315503E-7</v>
      </c>
      <c r="R10" s="8">
        <f t="shared" si="5"/>
        <v>0</v>
      </c>
      <c r="V10" t="s">
        <v>92</v>
      </c>
      <c r="W10" s="5">
        <f>(W5-Z5)/AC6</f>
        <v>-7.1486790097094535E-2</v>
      </c>
    </row>
    <row r="11" spans="1:30" x14ac:dyDescent="0.3">
      <c r="A11" t="s">
        <v>16</v>
      </c>
      <c r="B11">
        <v>13.65</v>
      </c>
      <c r="C11">
        <v>2.4500000000000002</v>
      </c>
      <c r="D11">
        <v>-1.34</v>
      </c>
      <c r="E11">
        <v>0</v>
      </c>
      <c r="F11">
        <v>-9.3543599143363302E-3</v>
      </c>
      <c r="G11">
        <v>-3.5355483076614298E-2</v>
      </c>
      <c r="H11">
        <v>-3.5403308129791103E-2</v>
      </c>
      <c r="I11">
        <v>-6.8847678532136603E-3</v>
      </c>
      <c r="J11" s="3">
        <f t="shared" si="6"/>
        <v>-3.2471124180878851E-2</v>
      </c>
      <c r="K11">
        <f t="shared" si="7"/>
        <v>1.4545892199288355E-4</v>
      </c>
      <c r="L11">
        <f t="shared" si="0"/>
        <v>-0.12835840342310639</v>
      </c>
      <c r="M11" s="5">
        <f t="shared" si="1"/>
        <v>1.3521026581002998E-2</v>
      </c>
      <c r="O11" s="5">
        <f t="shared" si="2"/>
        <v>1.8281815980418961E-4</v>
      </c>
      <c r="P11" s="5">
        <f t="shared" si="3"/>
        <v>2.4718891982025014E-6</v>
      </c>
      <c r="Q11" s="5">
        <f t="shared" si="4"/>
        <v>3.3422479554190209E-8</v>
      </c>
      <c r="R11" s="8">
        <f t="shared" si="5"/>
        <v>0</v>
      </c>
      <c r="V11" t="s">
        <v>93</v>
      </c>
      <c r="W11">
        <f>W10*SQRT(12)</f>
        <v>-0.24763750503635881</v>
      </c>
    </row>
    <row r="12" spans="1:30" x14ac:dyDescent="0.3">
      <c r="A12" t="s">
        <v>17</v>
      </c>
      <c r="B12">
        <v>5.58</v>
      </c>
      <c r="C12">
        <v>2.4900000000000002</v>
      </c>
      <c r="D12">
        <v>-4.8499999999999996</v>
      </c>
      <c r="E12">
        <v>0.01</v>
      </c>
      <c r="F12">
        <v>4.44598437381099E-3</v>
      </c>
      <c r="G12">
        <v>2.4678710906532999E-3</v>
      </c>
      <c r="H12">
        <v>-1.75559889562674E-2</v>
      </c>
      <c r="I12">
        <v>-4.1542847292119101E-2</v>
      </c>
      <c r="J12" s="3">
        <f t="shared" si="6"/>
        <v>-7.4091356642094304E-3</v>
      </c>
      <c r="K12">
        <f t="shared" si="7"/>
        <v>1.3074512951259651E-4</v>
      </c>
      <c r="L12">
        <f t="shared" si="0"/>
        <v>3.5388926482325042E-2</v>
      </c>
      <c r="M12" s="5">
        <f t="shared" si="1"/>
        <v>0</v>
      </c>
      <c r="O12" s="5">
        <f t="shared" si="2"/>
        <v>0</v>
      </c>
      <c r="P12" s="5">
        <f t="shared" si="3"/>
        <v>0</v>
      </c>
      <c r="Q12" s="5">
        <f t="shared" si="4"/>
        <v>0</v>
      </c>
      <c r="R12" s="8">
        <f t="shared" si="5"/>
        <v>2.7931770714432341E-4</v>
      </c>
      <c r="Y12" t="s">
        <v>94</v>
      </c>
      <c r="Z12" s="3">
        <f>0.05</f>
        <v>0.05</v>
      </c>
    </row>
    <row r="13" spans="1:30" x14ac:dyDescent="0.3">
      <c r="A13" t="s">
        <v>18</v>
      </c>
      <c r="B13">
        <v>2.46</v>
      </c>
      <c r="C13">
        <v>2.69</v>
      </c>
      <c r="D13">
        <v>-2.23</v>
      </c>
      <c r="E13">
        <v>0.01</v>
      </c>
      <c r="F13">
        <v>1.27278880003199E-2</v>
      </c>
      <c r="G13">
        <v>1.51153679950673E-2</v>
      </c>
      <c r="H13">
        <v>2.1223440992873498E-2</v>
      </c>
      <c r="I13">
        <v>-6.2801040251128301E-2</v>
      </c>
      <c r="J13" s="3">
        <f t="shared" si="6"/>
        <v>8.7359488041184753E-3</v>
      </c>
      <c r="K13">
        <f t="shared" si="7"/>
        <v>1.3281666199048674E-4</v>
      </c>
      <c r="L13">
        <f t="shared" si="0"/>
        <v>1.0181582810466471E-2</v>
      </c>
      <c r="M13" s="5">
        <f t="shared" si="1"/>
        <v>0</v>
      </c>
      <c r="N13" s="4">
        <f>SUM(F2:F12)</f>
        <v>-5.3235833384917997E-2</v>
      </c>
      <c r="O13" s="5">
        <f t="shared" si="2"/>
        <v>0</v>
      </c>
      <c r="P13" s="5">
        <f t="shared" si="3"/>
        <v>0</v>
      </c>
      <c r="Q13" s="5">
        <f t="shared" si="4"/>
        <v>0</v>
      </c>
      <c r="R13" s="8">
        <f t="shared" si="5"/>
        <v>8.5612213336532343E-3</v>
      </c>
      <c r="Y13" t="s">
        <v>95</v>
      </c>
      <c r="Z13" s="3"/>
    </row>
    <row r="14" spans="1:30" x14ac:dyDescent="0.3">
      <c r="A14" t="s">
        <v>19</v>
      </c>
      <c r="B14">
        <v>5.77</v>
      </c>
      <c r="C14">
        <v>-2.2999999999999998</v>
      </c>
      <c r="D14">
        <v>-1.44</v>
      </c>
      <c r="E14">
        <v>0.01</v>
      </c>
      <c r="F14">
        <v>7.8711646231713096E-3</v>
      </c>
      <c r="G14">
        <v>-1.89632217751537E-2</v>
      </c>
      <c r="H14">
        <v>-7.8996557800767395E-3</v>
      </c>
      <c r="I14">
        <v>-5.4156027991735398E-2</v>
      </c>
      <c r="J14" s="3">
        <f t="shared" si="6"/>
        <v>-1.9653071916551221E-2</v>
      </c>
      <c r="K14">
        <f t="shared" si="7"/>
        <v>1.3306170228784877E-4</v>
      </c>
      <c r="L14">
        <f t="shared" si="0"/>
        <v>5.0990852499413854E-2</v>
      </c>
      <c r="M14" s="5">
        <f t="shared" si="1"/>
        <v>0</v>
      </c>
      <c r="N14" s="4">
        <f>SUM(F3:F13)</f>
        <v>-2.9507275489895995E-2</v>
      </c>
      <c r="O14" s="5">
        <f t="shared" si="2"/>
        <v>0</v>
      </c>
      <c r="P14" s="5">
        <f t="shared" si="3"/>
        <v>0</v>
      </c>
      <c r="Q14" s="5">
        <f t="shared" si="4"/>
        <v>0</v>
      </c>
      <c r="R14" s="8">
        <f t="shared" si="5"/>
        <v>3.704497956504643E-3</v>
      </c>
      <c r="Y14" t="s">
        <v>96</v>
      </c>
      <c r="Z14" s="3">
        <f>Z12/12</f>
        <v>4.1666666666666666E-3</v>
      </c>
    </row>
    <row r="15" spans="1:30" x14ac:dyDescent="0.3">
      <c r="A15" t="s">
        <v>20</v>
      </c>
      <c r="B15">
        <v>7.63</v>
      </c>
      <c r="C15">
        <v>-0.28000000000000003</v>
      </c>
      <c r="D15">
        <v>-2.88</v>
      </c>
      <c r="E15">
        <v>0.01</v>
      </c>
      <c r="F15">
        <v>-3.6291015119239299E-3</v>
      </c>
      <c r="G15">
        <v>0</v>
      </c>
      <c r="H15">
        <v>-7.7311098791374398E-3</v>
      </c>
      <c r="I15">
        <v>-2.3149148403314501E-2</v>
      </c>
      <c r="J15" s="3">
        <f t="shared" si="6"/>
        <v>-4.4485686232710901E-3</v>
      </c>
      <c r="K15">
        <f t="shared" si="7"/>
        <v>1.2947894814181109E-4</v>
      </c>
      <c r="L15">
        <f t="shared" si="0"/>
        <v>3.2288937721222731E-2</v>
      </c>
      <c r="M15" s="5">
        <f t="shared" si="1"/>
        <v>7.795768178590597E-3</v>
      </c>
      <c r="N15" s="4">
        <f t="shared" ref="N15:N62" si="8">SUM(F4:F14)</f>
        <v>-2.1191936012138937E-2</v>
      </c>
      <c r="O15" s="5">
        <f t="shared" si="2"/>
        <v>6.0774001494325752E-5</v>
      </c>
      <c r="P15" s="5">
        <f t="shared" si="3"/>
        <v>4.7378002693508206E-7</v>
      </c>
      <c r="Q15" s="5">
        <f t="shared" si="4"/>
        <v>3.6934792576323088E-9</v>
      </c>
      <c r="R15" s="8">
        <f t="shared" si="5"/>
        <v>0</v>
      </c>
    </row>
    <row r="16" spans="1:30" x14ac:dyDescent="0.3">
      <c r="A16" t="s">
        <v>21</v>
      </c>
      <c r="B16">
        <v>-3.63</v>
      </c>
      <c r="C16">
        <v>-0.03</v>
      </c>
      <c r="D16">
        <v>-2.65</v>
      </c>
      <c r="E16">
        <v>0.01</v>
      </c>
      <c r="F16">
        <v>7.5534412924458203E-3</v>
      </c>
      <c r="G16">
        <v>-9.7227498654866001E-3</v>
      </c>
      <c r="H16">
        <v>2.10184709480103E-2</v>
      </c>
      <c r="I16">
        <v>-2.1568627632037801E-2</v>
      </c>
      <c r="J16" s="3">
        <f t="shared" si="6"/>
        <v>-2.744692068103188E-3</v>
      </c>
      <c r="K16">
        <f t="shared" si="7"/>
        <v>1.3210427070066975E-4</v>
      </c>
      <c r="L16">
        <f t="shared" si="0"/>
        <v>1.8641763112143519E-2</v>
      </c>
      <c r="M16" s="5">
        <f t="shared" si="1"/>
        <v>0</v>
      </c>
      <c r="N16" s="4">
        <f t="shared" si="8"/>
        <v>-2.9447495146331975E-2</v>
      </c>
      <c r="O16" s="5">
        <f t="shared" si="2"/>
        <v>0</v>
      </c>
      <c r="P16" s="5">
        <f t="shared" si="3"/>
        <v>0</v>
      </c>
      <c r="Q16" s="5">
        <f t="shared" si="4"/>
        <v>0</v>
      </c>
      <c r="R16" s="8">
        <f t="shared" si="5"/>
        <v>3.3867746257791537E-3</v>
      </c>
      <c r="W16" t="s">
        <v>97</v>
      </c>
      <c r="X16" s="5">
        <f>AVERAGE(M2:M62)</f>
        <v>7.992037632138134E-3</v>
      </c>
      <c r="Y16" t="s">
        <v>98</v>
      </c>
      <c r="Z16" s="6">
        <f>AVERAGE(O2:O62)</f>
        <v>1.3243313433207489E-4</v>
      </c>
      <c r="AA16" t="s">
        <v>99</v>
      </c>
      <c r="AB16" s="5">
        <f>AVERAGE(P2:P62)</f>
        <v>2.9767146387996027E-6</v>
      </c>
      <c r="AC16" t="s">
        <v>100</v>
      </c>
      <c r="AD16" s="5">
        <f>AVERAGE(Q2:Q62)</f>
        <v>8.4161863630260423E-8</v>
      </c>
    </row>
    <row r="17" spans="1:30" x14ac:dyDescent="0.3">
      <c r="A17" t="s">
        <v>22</v>
      </c>
      <c r="B17">
        <v>-2.1</v>
      </c>
      <c r="C17">
        <v>4.2699999999999996</v>
      </c>
      <c r="D17">
        <v>4.3099999999999996</v>
      </c>
      <c r="E17">
        <v>0.01</v>
      </c>
      <c r="F17">
        <v>-1.04795142951096E-2</v>
      </c>
      <c r="G17">
        <v>-1.12416809769564E-2</v>
      </c>
      <c r="H17">
        <v>-4.7496101464055297E-3</v>
      </c>
      <c r="I17">
        <v>6.90499527659659E-2</v>
      </c>
      <c r="J17" s="3">
        <f t="shared" si="6"/>
        <v>-1.2495014706552779E-3</v>
      </c>
      <c r="K17">
        <f t="shared" si="7"/>
        <v>1.3496224796230786E-4</v>
      </c>
      <c r="L17">
        <f t="shared" si="0"/>
        <v>1.4018361697739257E-2</v>
      </c>
      <c r="M17" s="5">
        <f t="shared" si="1"/>
        <v>1.4646180961776268E-2</v>
      </c>
      <c r="N17" s="4">
        <f t="shared" si="8"/>
        <v>-1.922734436187308E-2</v>
      </c>
      <c r="O17" s="5">
        <f t="shared" si="2"/>
        <v>2.145106167650976E-4</v>
      </c>
      <c r="P17" s="5">
        <f t="shared" si="3"/>
        <v>3.1417613113638575E-6</v>
      </c>
      <c r="Q17" s="5">
        <f t="shared" si="4"/>
        <v>4.6014804704942571E-8</v>
      </c>
      <c r="R17" s="8">
        <f t="shared" si="5"/>
        <v>0</v>
      </c>
      <c r="Y17" t="s">
        <v>101</v>
      </c>
      <c r="Z17" s="3">
        <f>SQRT(Z16)</f>
        <v>1.1507959607683497E-2</v>
      </c>
      <c r="AB17" s="3">
        <f>AB16^(1/3)</f>
        <v>1.4385083961271094E-2</v>
      </c>
      <c r="AD17" s="3">
        <f>AD16^(1/4)</f>
        <v>1.7032517189885993E-2</v>
      </c>
    </row>
    <row r="18" spans="1:30" x14ac:dyDescent="0.3">
      <c r="A18" t="s">
        <v>23</v>
      </c>
      <c r="B18">
        <v>12.47</v>
      </c>
      <c r="C18">
        <v>5.72</v>
      </c>
      <c r="D18">
        <v>2.15</v>
      </c>
      <c r="E18">
        <v>0.01</v>
      </c>
      <c r="F18">
        <v>-4.4368535667540596E-3</v>
      </c>
      <c r="G18">
        <v>-1.6322847942633001E-2</v>
      </c>
      <c r="H18">
        <v>-2.0688408454419601E-2</v>
      </c>
      <c r="I18">
        <v>-5.6338662010690698E-3</v>
      </c>
      <c r="J18" s="3">
        <f t="shared" si="6"/>
        <v>-1.6403810327841571E-2</v>
      </c>
      <c r="K18">
        <f t="shared" si="7"/>
        <v>1.3795064906025597E-4</v>
      </c>
      <c r="L18">
        <f t="shared" si="0"/>
        <v>1.7768787366513415E-2</v>
      </c>
      <c r="M18" s="5">
        <f t="shared" si="1"/>
        <v>8.6035202334207271E-3</v>
      </c>
      <c r="N18" s="4">
        <f t="shared" si="8"/>
        <v>-2.5990781993291218E-2</v>
      </c>
      <c r="O18" s="5">
        <f t="shared" si="2"/>
        <v>7.4020560406879836E-5</v>
      </c>
      <c r="P18" s="5">
        <f t="shared" si="3"/>
        <v>6.368373891497318E-7</v>
      </c>
      <c r="Q18" s="5">
        <f t="shared" si="4"/>
        <v>5.4790433629485467E-9</v>
      </c>
      <c r="R18" s="8">
        <f t="shared" si="5"/>
        <v>0</v>
      </c>
      <c r="Y18" t="s">
        <v>102</v>
      </c>
      <c r="Z18" s="3">
        <f>Z17*SQRT(12)</f>
        <v>3.9864741463916442E-2</v>
      </c>
    </row>
    <row r="19" spans="1:30" x14ac:dyDescent="0.3">
      <c r="A19" t="s">
        <v>24</v>
      </c>
      <c r="B19">
        <v>4.63</v>
      </c>
      <c r="C19">
        <v>4.79</v>
      </c>
      <c r="D19">
        <v>-1.34</v>
      </c>
      <c r="E19">
        <v>0.01</v>
      </c>
      <c r="F19">
        <v>5.0681465749435701E-3</v>
      </c>
      <c r="G19">
        <v>1.6987171618292999E-3</v>
      </c>
      <c r="H19">
        <v>1.6286036925943E-2</v>
      </c>
      <c r="I19">
        <v>-8.5276763363538108E-3</v>
      </c>
      <c r="J19" s="3">
        <f t="shared" si="6"/>
        <v>4.541911725696627E-3</v>
      </c>
      <c r="K19">
        <f t="shared" si="7"/>
        <v>1.3623200592069101E-4</v>
      </c>
      <c r="L19">
        <f t="shared" si="0"/>
        <v>-2.2787543921498978E-2</v>
      </c>
      <c r="M19" s="5">
        <f t="shared" si="1"/>
        <v>0</v>
      </c>
      <c r="N19" s="4">
        <f t="shared" si="8"/>
        <v>-3.2853974598750516E-2</v>
      </c>
      <c r="O19" s="5">
        <f t="shared" si="2"/>
        <v>0</v>
      </c>
      <c r="P19" s="5">
        <f t="shared" si="3"/>
        <v>0</v>
      </c>
      <c r="Q19" s="5">
        <f t="shared" si="4"/>
        <v>0</v>
      </c>
      <c r="R19" s="8">
        <f t="shared" si="5"/>
        <v>9.0147990827690351E-4</v>
      </c>
    </row>
    <row r="20" spans="1:30" x14ac:dyDescent="0.3">
      <c r="A20" t="s">
        <v>25</v>
      </c>
      <c r="B20">
        <v>-0.03</v>
      </c>
      <c r="C20">
        <v>7.5</v>
      </c>
      <c r="D20">
        <v>2.85</v>
      </c>
      <c r="E20">
        <v>0.01</v>
      </c>
      <c r="F20">
        <v>-2.0222753705153401E-2</v>
      </c>
      <c r="G20">
        <v>2.08609131440972E-3</v>
      </c>
      <c r="H20">
        <v>-1.4097788237186101E-2</v>
      </c>
      <c r="I20">
        <v>6.0242352155826601E-2</v>
      </c>
      <c r="J20" s="3">
        <f t="shared" si="6"/>
        <v>3.7571764321139844E-3</v>
      </c>
      <c r="K20">
        <f t="shared" si="7"/>
        <v>1.3849530174103435E-4</v>
      </c>
      <c r="L20">
        <f t="shared" si="0"/>
        <v>1.0465175928652787E-2</v>
      </c>
      <c r="M20" s="5">
        <f t="shared" si="1"/>
        <v>2.4389420371820066E-2</v>
      </c>
      <c r="N20" s="4">
        <f t="shared" si="8"/>
        <v>-9.4612396889202505E-3</v>
      </c>
      <c r="O20" s="5">
        <f t="shared" si="2"/>
        <v>5.9484382607335161E-4</v>
      </c>
      <c r="P20" s="5">
        <f t="shared" si="3"/>
        <v>1.4507896129684794E-5</v>
      </c>
      <c r="Q20" s="5">
        <f t="shared" si="4"/>
        <v>3.5383917741758378E-7</v>
      </c>
      <c r="R20" s="8">
        <f t="shared" si="5"/>
        <v>0</v>
      </c>
      <c r="Y20" t="s">
        <v>103</v>
      </c>
      <c r="Z20" s="5">
        <f>(W5-Z14)/Z17</f>
        <v>-0.54165118334355911</v>
      </c>
    </row>
    <row r="21" spans="1:30" x14ac:dyDescent="0.3">
      <c r="A21" t="s">
        <v>26</v>
      </c>
      <c r="B21">
        <v>2.78</v>
      </c>
      <c r="C21">
        <v>2.0699999999999998</v>
      </c>
      <c r="D21">
        <v>7.1</v>
      </c>
      <c r="E21">
        <v>0</v>
      </c>
      <c r="F21">
        <v>-5.1659817533494697E-3</v>
      </c>
      <c r="G21">
        <v>1.19151081296944E-2</v>
      </c>
      <c r="H21">
        <v>-2.5587143077143801E-2</v>
      </c>
      <c r="I21">
        <v>-1.50790085682217E-2</v>
      </c>
      <c r="J21" s="3">
        <f t="shared" si="6"/>
        <v>-8.6647185428706443E-4</v>
      </c>
      <c r="K21">
        <f t="shared" si="7"/>
        <v>1.4104865197359586E-4</v>
      </c>
      <c r="L21">
        <f t="shared" si="0"/>
        <v>4.1259039861182983E-2</v>
      </c>
      <c r="M21" s="5">
        <f t="shared" si="1"/>
        <v>9.3326484200161354E-3</v>
      </c>
      <c r="N21" s="4">
        <f t="shared" si="8"/>
        <v>-2.547358415364363E-2</v>
      </c>
      <c r="O21" s="5">
        <f t="shared" si="2"/>
        <v>8.7098326531629669E-5</v>
      </c>
      <c r="P21" s="5">
        <f t="shared" si="3"/>
        <v>8.1285805949146311E-7</v>
      </c>
      <c r="Q21" s="5">
        <f t="shared" si="4"/>
        <v>7.5861184846103847E-9</v>
      </c>
      <c r="R21" s="8">
        <f t="shared" si="5"/>
        <v>0</v>
      </c>
      <c r="Y21" t="s">
        <v>104</v>
      </c>
      <c r="Z21">
        <f>Z20*SQRT(12)</f>
        <v>-1.8763347390616991</v>
      </c>
    </row>
    <row r="22" spans="1:30" x14ac:dyDescent="0.3">
      <c r="A22" t="s">
        <v>27</v>
      </c>
      <c r="B22">
        <v>3.08</v>
      </c>
      <c r="C22">
        <v>-2.2799999999999998</v>
      </c>
      <c r="D22">
        <v>7.27</v>
      </c>
      <c r="E22">
        <v>0</v>
      </c>
      <c r="F22">
        <v>4.0450365641610002E-3</v>
      </c>
      <c r="G22">
        <v>3.7637839944773899E-3</v>
      </c>
      <c r="H22">
        <v>-1.5205101760097799E-2</v>
      </c>
      <c r="I22">
        <v>-4.6900947968175802E-2</v>
      </c>
      <c r="J22" s="3">
        <f t="shared" si="6"/>
        <v>-6.515612110152987E-3</v>
      </c>
      <c r="K22">
        <f t="shared" si="7"/>
        <v>1.444621967184413E-4</v>
      </c>
      <c r="L22">
        <f t="shared" si="0"/>
        <v>4.7049987165001271E-2</v>
      </c>
      <c r="M22" s="5">
        <f t="shared" si="1"/>
        <v>1.2163010250566646E-4</v>
      </c>
      <c r="N22" s="4">
        <f t="shared" si="8"/>
        <v>-1.56219398819352E-2</v>
      </c>
      <c r="O22" s="5">
        <f t="shared" si="2"/>
        <v>1.479388183553893E-8</v>
      </c>
      <c r="P22" s="5">
        <f t="shared" si="3"/>
        <v>1.7993813641133172E-12</v>
      </c>
      <c r="Q22" s="5">
        <f t="shared" si="4"/>
        <v>2.1885893976388872E-16</v>
      </c>
      <c r="R22" s="8">
        <f t="shared" si="5"/>
        <v>0</v>
      </c>
    </row>
    <row r="23" spans="1:30" x14ac:dyDescent="0.3">
      <c r="A23" t="s">
        <v>28</v>
      </c>
      <c r="B23">
        <v>4.93</v>
      </c>
      <c r="C23">
        <v>-3.2</v>
      </c>
      <c r="D23">
        <v>-0.95</v>
      </c>
      <c r="E23">
        <v>0</v>
      </c>
      <c r="F23">
        <v>-6.5921036853795901E-3</v>
      </c>
      <c r="G23">
        <v>-2.1448670056573001E-3</v>
      </c>
      <c r="H23">
        <v>-1.28878737648327E-2</v>
      </c>
      <c r="I23">
        <v>1.9472035868883401E-2</v>
      </c>
      <c r="J23" s="3">
        <f t="shared" si="6"/>
        <v>-2.7888536812850969E-3</v>
      </c>
      <c r="K23">
        <f t="shared" si="7"/>
        <v>1.4753368220913631E-4</v>
      </c>
      <c r="L23">
        <f t="shared" si="0"/>
        <v>1.9729980232813121E-2</v>
      </c>
      <c r="M23" s="5">
        <f t="shared" si="1"/>
        <v>1.0758770352046258E-2</v>
      </c>
      <c r="N23" s="4">
        <f t="shared" si="8"/>
        <v>-2.2225434034378712E-3</v>
      </c>
      <c r="O23" s="5">
        <f t="shared" si="2"/>
        <v>1.1575113948806956E-4</v>
      </c>
      <c r="P23" s="5">
        <f t="shared" si="3"/>
        <v>1.2453399277398137E-6</v>
      </c>
      <c r="Q23" s="5">
        <f t="shared" si="4"/>
        <v>1.3398326292786535E-8</v>
      </c>
      <c r="R23" s="8">
        <f t="shared" si="5"/>
        <v>0</v>
      </c>
      <c r="Y23" t="s">
        <v>105</v>
      </c>
      <c r="Z23" s="5">
        <f>AVERAGE(R2:R62)</f>
        <v>1.7587376927664896E-3</v>
      </c>
    </row>
    <row r="24" spans="1:30" x14ac:dyDescent="0.3">
      <c r="A24" t="s">
        <v>29</v>
      </c>
      <c r="B24">
        <v>0.28999999999999998</v>
      </c>
      <c r="C24">
        <v>-0.27</v>
      </c>
      <c r="D24">
        <v>7.13</v>
      </c>
      <c r="E24">
        <v>0</v>
      </c>
      <c r="F24">
        <v>1.78714707105713E-3</v>
      </c>
      <c r="G24">
        <v>5.6270187277492299E-3</v>
      </c>
      <c r="H24">
        <v>5.12017159673815E-3</v>
      </c>
      <c r="I24">
        <v>-9.8876551588768895E-3</v>
      </c>
      <c r="J24" s="3">
        <f t="shared" si="6"/>
        <v>3.8993061521745303E-3</v>
      </c>
      <c r="K24">
        <f t="shared" si="7"/>
        <v>1.5129139878761243E-4</v>
      </c>
      <c r="L24">
        <f t="shared" si="0"/>
        <v>1.3377902865748279E-2</v>
      </c>
      <c r="M24" s="5">
        <f t="shared" si="1"/>
        <v>2.3795195956095366E-3</v>
      </c>
      <c r="N24" s="4">
        <f t="shared" si="8"/>
        <v>-1.3260631462628451E-2</v>
      </c>
      <c r="O24" s="5">
        <f t="shared" si="2"/>
        <v>5.6621135058897723E-6</v>
      </c>
      <c r="P24" s="5">
        <f t="shared" si="3"/>
        <v>1.3473110039830126E-8</v>
      </c>
      <c r="Q24" s="5">
        <f t="shared" si="4"/>
        <v>3.205952935357937E-11</v>
      </c>
      <c r="R24" s="8">
        <f t="shared" si="5"/>
        <v>0</v>
      </c>
      <c r="Y24" t="s">
        <v>106</v>
      </c>
      <c r="Z24" s="7">
        <f>Z23/X16</f>
        <v>0.22006123766161112</v>
      </c>
    </row>
    <row r="25" spans="1:30" x14ac:dyDescent="0.3">
      <c r="A25" t="s">
        <v>30</v>
      </c>
      <c r="B25">
        <v>2.75</v>
      </c>
      <c r="C25">
        <v>1.6</v>
      </c>
      <c r="D25">
        <v>-7.75</v>
      </c>
      <c r="E25">
        <v>0</v>
      </c>
      <c r="F25">
        <v>8.4129396429741298E-4</v>
      </c>
      <c r="G25">
        <v>-1.8461277393315E-2</v>
      </c>
      <c r="H25">
        <v>1.8374253722431001E-2</v>
      </c>
      <c r="I25">
        <v>4.3859176551873796E-3</v>
      </c>
      <c r="J25" s="3">
        <f t="shared" si="6"/>
        <v>-6.2913907728083876E-3</v>
      </c>
      <c r="K25">
        <f t="shared" si="7"/>
        <v>1.5440010917554188E-4</v>
      </c>
      <c r="L25">
        <f t="shared" si="0"/>
        <v>4.6914623107042884E-2</v>
      </c>
      <c r="M25" s="5">
        <f t="shared" si="1"/>
        <v>3.3253727023692535E-3</v>
      </c>
      <c r="N25" s="4">
        <f t="shared" si="8"/>
        <v>-2.420137239189122E-2</v>
      </c>
      <c r="O25" s="5">
        <f t="shared" si="2"/>
        <v>1.1058103609662592E-5</v>
      </c>
      <c r="P25" s="5">
        <f t="shared" si="3"/>
        <v>3.6772315883542891E-8</v>
      </c>
      <c r="Q25" s="5">
        <f t="shared" si="4"/>
        <v>1.2228165544203286E-10</v>
      </c>
      <c r="R25" s="8">
        <f t="shared" si="5"/>
        <v>0</v>
      </c>
      <c r="Y25" t="s">
        <v>107</v>
      </c>
      <c r="Z25" s="5">
        <f>(W5-Z14)/AB17</f>
        <v>-0.43331689659605294</v>
      </c>
    </row>
    <row r="26" spans="1:30" x14ac:dyDescent="0.3">
      <c r="A26" t="s">
        <v>31</v>
      </c>
      <c r="B26">
        <v>1.27</v>
      </c>
      <c r="C26">
        <v>-3.94</v>
      </c>
      <c r="D26">
        <v>-1.81</v>
      </c>
      <c r="E26">
        <v>0</v>
      </c>
      <c r="F26">
        <v>-4.8682938704851996E-3</v>
      </c>
      <c r="G26">
        <v>-6.3129079046177396E-3</v>
      </c>
      <c r="H26">
        <v>-7.0969485544379301E-3</v>
      </c>
      <c r="I26">
        <v>1.5710123263078801E-2</v>
      </c>
      <c r="J26" s="3">
        <f t="shared" si="6"/>
        <v>-4.2601874557516052E-3</v>
      </c>
      <c r="K26">
        <f t="shared" si="7"/>
        <v>1.5804617353529625E-4</v>
      </c>
      <c r="L26">
        <f t="shared" si="0"/>
        <v>1.9549102389305614E-2</v>
      </c>
      <c r="M26" s="5">
        <f t="shared" si="1"/>
        <v>9.0349605371518663E-3</v>
      </c>
      <c r="N26" s="4">
        <f t="shared" si="8"/>
        <v>-3.123124305076512E-2</v>
      </c>
      <c r="O26" s="5">
        <f t="shared" si="2"/>
        <v>8.163051190789154E-5</v>
      </c>
      <c r="P26" s="5">
        <f t="shared" si="3"/>
        <v>7.3752845371530557E-7</v>
      </c>
      <c r="Q26" s="5">
        <f t="shared" si="4"/>
        <v>6.6635404743444226E-9</v>
      </c>
      <c r="R26" s="8">
        <f t="shared" si="5"/>
        <v>0</v>
      </c>
    </row>
    <row r="27" spans="1:30" x14ac:dyDescent="0.3">
      <c r="A27" t="s">
        <v>32</v>
      </c>
      <c r="B27">
        <v>2.91</v>
      </c>
      <c r="C27">
        <v>-0.46</v>
      </c>
      <c r="D27">
        <v>-0.1</v>
      </c>
      <c r="E27">
        <v>0</v>
      </c>
      <c r="F27">
        <v>-1.4826498693083199E-3</v>
      </c>
      <c r="G27">
        <v>1.0554206511285399E-2</v>
      </c>
      <c r="H27">
        <v>4.6296620491773702E-3</v>
      </c>
      <c r="I27">
        <v>2.73600337842586E-3</v>
      </c>
      <c r="J27" s="3">
        <f t="shared" si="6"/>
        <v>8.1776324237293075E-3</v>
      </c>
      <c r="K27">
        <f t="shared" si="7"/>
        <v>1.6226589059434166E-4</v>
      </c>
      <c r="L27">
        <f t="shared" si="0"/>
        <v>3.5244734748661418E-3</v>
      </c>
      <c r="M27" s="5">
        <f t="shared" si="1"/>
        <v>5.6493165359749863E-3</v>
      </c>
      <c r="N27" s="4">
        <f t="shared" si="8"/>
        <v>-3.2470435409326391E-2</v>
      </c>
      <c r="O27" s="5">
        <f t="shared" si="2"/>
        <v>3.1914777323640419E-5</v>
      </c>
      <c r="P27" s="5">
        <f t="shared" si="3"/>
        <v>1.8029667927640135E-7</v>
      </c>
      <c r="Q27" s="5">
        <f t="shared" si="4"/>
        <v>1.0185530116175527E-9</v>
      </c>
      <c r="R27" s="8">
        <f t="shared" si="5"/>
        <v>0</v>
      </c>
      <c r="Y27" t="s">
        <v>108</v>
      </c>
      <c r="Z27" s="6">
        <f>Z23/Z17</f>
        <v>0.15282793411894116</v>
      </c>
    </row>
    <row r="28" spans="1:30" x14ac:dyDescent="0.3">
      <c r="A28" t="s">
        <v>33</v>
      </c>
      <c r="B28">
        <v>-4.37</v>
      </c>
      <c r="C28">
        <v>0.67</v>
      </c>
      <c r="D28">
        <v>5.0999999999999996</v>
      </c>
      <c r="E28">
        <v>0</v>
      </c>
      <c r="F28">
        <v>-1.22976222760678E-2</v>
      </c>
      <c r="G28">
        <v>-2.1934137405277099E-2</v>
      </c>
      <c r="H28">
        <v>-1.79840254488659E-2</v>
      </c>
      <c r="I28">
        <v>1.04834892094982E-2</v>
      </c>
      <c r="J28" s="3">
        <f t="shared" si="6"/>
        <v>-1.7562376108998731E-2</v>
      </c>
      <c r="K28">
        <f t="shared" si="7"/>
        <v>1.6400633465156182E-4</v>
      </c>
      <c r="L28">
        <f t="shared" si="0"/>
        <v>5.6711370910678911E-2</v>
      </c>
      <c r="M28" s="5">
        <f t="shared" si="1"/>
        <v>1.6464288942734467E-2</v>
      </c>
      <c r="N28" s="4">
        <f t="shared" si="8"/>
        <v>-4.1506526571080532E-2</v>
      </c>
      <c r="O28" s="5">
        <f t="shared" si="2"/>
        <v>2.7107281038984846E-4</v>
      </c>
      <c r="P28" s="5">
        <f t="shared" si="3"/>
        <v>4.4630210747775384E-6</v>
      </c>
      <c r="Q28" s="5">
        <f t="shared" si="4"/>
        <v>7.3480468532650737E-8</v>
      </c>
      <c r="R28" s="8">
        <f t="shared" si="5"/>
        <v>0</v>
      </c>
    </row>
    <row r="29" spans="1:30" x14ac:dyDescent="0.3">
      <c r="A29" t="s">
        <v>34</v>
      </c>
      <c r="B29">
        <v>6.65</v>
      </c>
      <c r="C29">
        <v>-2.37</v>
      </c>
      <c r="D29">
        <v>-0.45</v>
      </c>
      <c r="E29">
        <v>0</v>
      </c>
      <c r="F29">
        <v>2.0269970262985402E-3</v>
      </c>
      <c r="G29">
        <v>1.0118485168498701E-3</v>
      </c>
      <c r="H29">
        <v>-3.55000601701747E-3</v>
      </c>
      <c r="I29">
        <v>-1.60704255164946E-2</v>
      </c>
      <c r="J29" s="3">
        <f t="shared" si="6"/>
        <v>-1.9646290206103401E-3</v>
      </c>
      <c r="K29">
        <f t="shared" si="7"/>
        <v>1.6152794332753912E-4</v>
      </c>
      <c r="L29">
        <f t="shared" si="0"/>
        <v>5.525347713888777E-3</v>
      </c>
      <c r="M29" s="5">
        <f t="shared" si="1"/>
        <v>2.1396696403681264E-3</v>
      </c>
      <c r="N29" s="4">
        <f t="shared" si="8"/>
        <v>-4.3324634552038728E-2</v>
      </c>
      <c r="O29" s="5">
        <f t="shared" si="2"/>
        <v>4.5781861699130674E-6</v>
      </c>
      <c r="P29" s="5">
        <f t="shared" si="3"/>
        <v>9.7958059557162224E-9</v>
      </c>
      <c r="Q29" s="5">
        <f t="shared" si="4"/>
        <v>2.095978860638328E-11</v>
      </c>
      <c r="R29" s="8">
        <f t="shared" si="5"/>
        <v>0</v>
      </c>
    </row>
    <row r="30" spans="1:30" x14ac:dyDescent="0.3">
      <c r="A30" t="s">
        <v>35</v>
      </c>
      <c r="B30">
        <v>-1.55</v>
      </c>
      <c r="C30">
        <v>-1.32</v>
      </c>
      <c r="D30">
        <v>-0.41</v>
      </c>
      <c r="E30">
        <v>0</v>
      </c>
      <c r="F30">
        <v>-1.9649277388457301E-2</v>
      </c>
      <c r="G30">
        <v>-5.1194190994082199E-2</v>
      </c>
      <c r="H30">
        <v>-1.4462264041136401E-2</v>
      </c>
      <c r="I30">
        <v>4.2077293376578298E-2</v>
      </c>
      <c r="J30" s="3">
        <f t="shared" si="6"/>
        <v>-3.1830997798461727E-2</v>
      </c>
      <c r="K30">
        <f t="shared" si="7"/>
        <v>1.6641800682434566E-4</v>
      </c>
      <c r="L30">
        <f t="shared" si="0"/>
        <v>2.7037611396331187E-3</v>
      </c>
      <c r="M30" s="5">
        <f t="shared" si="1"/>
        <v>2.3815944055123967E-2</v>
      </c>
      <c r="N30" s="4">
        <f t="shared" si="8"/>
        <v>-3.6860783958986121E-2</v>
      </c>
      <c r="O30" s="5">
        <f t="shared" si="2"/>
        <v>5.6719919123679463E-4</v>
      </c>
      <c r="P30" s="5">
        <f t="shared" si="3"/>
        <v>1.3508384206607061E-5</v>
      </c>
      <c r="Q30" s="5">
        <f t="shared" si="4"/>
        <v>3.2171492253967391E-7</v>
      </c>
      <c r="R30" s="8">
        <f t="shared" si="5"/>
        <v>0</v>
      </c>
    </row>
    <row r="31" spans="1:30" x14ac:dyDescent="0.3">
      <c r="A31" t="s">
        <v>36</v>
      </c>
      <c r="B31">
        <v>3.1</v>
      </c>
      <c r="C31">
        <v>-1.64</v>
      </c>
      <c r="D31">
        <v>3.22</v>
      </c>
      <c r="E31">
        <v>0.01</v>
      </c>
      <c r="F31">
        <v>-2.5233749904139098E-3</v>
      </c>
      <c r="G31">
        <v>6.9021129021182197E-3</v>
      </c>
      <c r="H31">
        <v>-7.7335944895301099E-3</v>
      </c>
      <c r="I31">
        <v>2.21286109057016E-2</v>
      </c>
      <c r="J31" s="3">
        <f t="shared" si="6"/>
        <v>4.5696104358193216E-3</v>
      </c>
      <c r="K31">
        <f t="shared" si="7"/>
        <v>1.4209593758083712E-4</v>
      </c>
      <c r="L31">
        <f t="shared" si="0"/>
        <v>0.2765450769953397</v>
      </c>
      <c r="M31" s="5">
        <f t="shared" si="1"/>
        <v>6.6900416570805765E-3</v>
      </c>
      <c r="N31" s="4">
        <f t="shared" si="8"/>
        <v>-6.1578207922387003E-2</v>
      </c>
      <c r="O31" s="5">
        <f t="shared" si="2"/>
        <v>4.4756657373473429E-5</v>
      </c>
      <c r="P31" s="5">
        <f t="shared" si="3"/>
        <v>2.9942390226021978E-7</v>
      </c>
      <c r="Q31" s="5">
        <f t="shared" si="4"/>
        <v>2.0031583792464932E-9</v>
      </c>
      <c r="R31" s="8">
        <f t="shared" si="5"/>
        <v>0</v>
      </c>
    </row>
    <row r="32" spans="1:30" x14ac:dyDescent="0.3">
      <c r="A32" t="s">
        <v>37</v>
      </c>
      <c r="B32">
        <v>-6.25</v>
      </c>
      <c r="C32">
        <v>-5.96</v>
      </c>
      <c r="D32">
        <v>12.8</v>
      </c>
      <c r="E32">
        <v>0</v>
      </c>
      <c r="F32">
        <v>1.7850895957982602E-2</v>
      </c>
      <c r="G32">
        <v>6.0037756959324499E-2</v>
      </c>
      <c r="H32">
        <v>2.1862452244781401E-2</v>
      </c>
      <c r="I32">
        <v>-0.100210955574765</v>
      </c>
      <c r="J32" s="3">
        <f t="shared" si="6"/>
        <v>3.3399370966489601E-2</v>
      </c>
      <c r="K32">
        <f t="shared" si="7"/>
        <v>1.4578354332599086E-4</v>
      </c>
      <c r="L32">
        <f t="shared" si="0"/>
        <v>0.31372688547257205</v>
      </c>
      <c r="M32" s="5">
        <f t="shared" si="1"/>
        <v>0</v>
      </c>
      <c r="N32" s="4">
        <f t="shared" si="8"/>
        <v>-4.3878829207647511E-2</v>
      </c>
      <c r="O32" s="5">
        <f t="shared" si="2"/>
        <v>0</v>
      </c>
      <c r="P32" s="5">
        <f t="shared" si="3"/>
        <v>0</v>
      </c>
      <c r="Q32" s="5">
        <f t="shared" si="4"/>
        <v>0</v>
      </c>
      <c r="R32" s="8">
        <f t="shared" si="5"/>
        <v>1.3684229291315936E-2</v>
      </c>
    </row>
    <row r="33" spans="1:26" x14ac:dyDescent="0.3">
      <c r="A33" t="s">
        <v>38</v>
      </c>
      <c r="B33">
        <v>-2.29</v>
      </c>
      <c r="C33">
        <v>2.19</v>
      </c>
      <c r="D33">
        <v>3.1</v>
      </c>
      <c r="E33">
        <v>0</v>
      </c>
      <c r="F33">
        <v>-2.5617240881945602E-3</v>
      </c>
      <c r="G33">
        <v>-1.0224490792432501E-2</v>
      </c>
      <c r="H33">
        <v>-2.5543307329517002E-2</v>
      </c>
      <c r="I33">
        <v>-1.07448016564663E-2</v>
      </c>
      <c r="J33" s="3">
        <f t="shared" si="6"/>
        <v>-1.4378431317621976E-2</v>
      </c>
      <c r="K33">
        <f t="shared" si="7"/>
        <v>1.1039123188723962E-4</v>
      </c>
      <c r="L33">
        <f t="shared" si="0"/>
        <v>-0.32946567095827323</v>
      </c>
      <c r="M33" s="5">
        <f t="shared" si="1"/>
        <v>6.7283907548612264E-3</v>
      </c>
      <c r="N33" s="4">
        <f t="shared" si="8"/>
        <v>-2.0861951496315437E-2</v>
      </c>
      <c r="O33" s="5">
        <f t="shared" si="2"/>
        <v>4.5271242150102027E-5</v>
      </c>
      <c r="P33" s="5">
        <f t="shared" si="3"/>
        <v>3.0460260714383037E-7</v>
      </c>
      <c r="Q33" s="5">
        <f t="shared" si="4"/>
        <v>2.0494853658131744E-9</v>
      </c>
      <c r="R33" s="8">
        <f t="shared" si="5"/>
        <v>0</v>
      </c>
    </row>
    <row r="34" spans="1:26" x14ac:dyDescent="0.3">
      <c r="A34" t="s">
        <v>39</v>
      </c>
      <c r="B34">
        <v>3.06</v>
      </c>
      <c r="C34">
        <v>-1.66</v>
      </c>
      <c r="D34">
        <v>-1.76</v>
      </c>
      <c r="E34">
        <v>0.01</v>
      </c>
      <c r="F34">
        <v>-1.55108593856104E-2</v>
      </c>
      <c r="G34">
        <v>-2.2820754524140899E-3</v>
      </c>
      <c r="H34">
        <v>-1.64944374232039E-2</v>
      </c>
      <c r="I34">
        <v>4.0921096446940301E-2</v>
      </c>
      <c r="J34" s="3">
        <f t="shared" si="6"/>
        <v>-1.6291314684338818E-3</v>
      </c>
      <c r="K34">
        <f t="shared" si="7"/>
        <v>1.0866547452991844E-4</v>
      </c>
      <c r="L34">
        <f t="shared" ref="L34:L62" si="9">_xlfn.SKEW.P(J34:J1312)</f>
        <v>-0.41383880193954437</v>
      </c>
      <c r="M34" s="5">
        <f t="shared" ref="M34:M62" si="10">MAX($Z$14-F34,0)</f>
        <v>1.9677526052277065E-2</v>
      </c>
      <c r="N34" s="4">
        <f t="shared" si="8"/>
        <v>-2.7468712148671002E-2</v>
      </c>
      <c r="O34" s="5">
        <f t="shared" ref="O34:O62" si="11">M34^2</f>
        <v>3.8720503153804263E-4</v>
      </c>
      <c r="P34" s="5">
        <f t="shared" ref="P34:P62" si="12">M34^3</f>
        <v>7.6192370956625968E-6</v>
      </c>
      <c r="Q34" s="5">
        <f t="shared" ref="Q34:Q62" si="13">M34^4</f>
        <v>1.4992773644837659E-7</v>
      </c>
      <c r="R34" s="8">
        <f t="shared" ref="R34:R62" si="14">MAX(F34-$Z$14,0)</f>
        <v>0</v>
      </c>
    </row>
    <row r="35" spans="1:26" x14ac:dyDescent="0.3">
      <c r="A35" t="s">
        <v>40</v>
      </c>
      <c r="B35">
        <v>-9.4600000000000009</v>
      </c>
      <c r="C35">
        <v>-1.38</v>
      </c>
      <c r="D35">
        <v>6.17</v>
      </c>
      <c r="E35">
        <v>0.01</v>
      </c>
      <c r="F35">
        <v>-3.7655840612861702E-2</v>
      </c>
      <c r="G35">
        <v>-5.1800267435659297E-2</v>
      </c>
      <c r="H35">
        <v>-4.1422822241192703E-2</v>
      </c>
      <c r="I35">
        <v>0.123125634667252</v>
      </c>
      <c r="J35" s="3">
        <f t="shared" si="6"/>
        <v>-3.1063921919572513E-2</v>
      </c>
      <c r="K35">
        <f t="shared" si="7"/>
        <v>1.1254572355333503E-4</v>
      </c>
      <c r="L35">
        <f t="shared" si="9"/>
        <v>-0.40799441961076771</v>
      </c>
      <c r="M35" s="5">
        <f t="shared" si="10"/>
        <v>4.1822507279528368E-2</v>
      </c>
      <c r="N35" s="4">
        <f t="shared" si="8"/>
        <v>-3.6387467848901803E-2</v>
      </c>
      <c r="O35" s="5">
        <f t="shared" si="11"/>
        <v>1.7491221151462032E-3</v>
      </c>
      <c r="P35" s="5">
        <f t="shared" si="12"/>
        <v>7.3152672393486139E-5</v>
      </c>
      <c r="Q35" s="5">
        <f t="shared" si="13"/>
        <v>3.0594281736935276E-6</v>
      </c>
      <c r="R35" s="8">
        <f t="shared" si="14"/>
        <v>0</v>
      </c>
      <c r="W35" t="s">
        <v>109</v>
      </c>
      <c r="X35" s="3">
        <f>-PERCENTILE(F2:F62, 0.05)</f>
        <v>1.8324588334886701E-2</v>
      </c>
      <c r="Y35" t="s">
        <v>110</v>
      </c>
      <c r="Z35" s="6">
        <f>Z5/X35</f>
        <v>9.634998277862919E-2</v>
      </c>
    </row>
    <row r="36" spans="1:26" x14ac:dyDescent="0.3">
      <c r="A36" t="s">
        <v>41</v>
      </c>
      <c r="B36">
        <v>-0.34</v>
      </c>
      <c r="C36">
        <v>-1.96</v>
      </c>
      <c r="D36">
        <v>8.59</v>
      </c>
      <c r="E36">
        <v>0.03</v>
      </c>
      <c r="F36">
        <v>-5.62680458675178E-3</v>
      </c>
      <c r="G36">
        <v>-2.7217597388369801E-2</v>
      </c>
      <c r="H36">
        <v>8.2633239836992997E-4</v>
      </c>
      <c r="I36">
        <v>6.3613108136002204E-3</v>
      </c>
      <c r="J36" s="3">
        <f t="shared" si="6"/>
        <v>-1.6298458187895753E-2</v>
      </c>
      <c r="K36">
        <f t="shared" si="7"/>
        <v>8.312271324991999E-5</v>
      </c>
      <c r="L36">
        <f t="shared" si="9"/>
        <v>0.23527680617386629</v>
      </c>
      <c r="M36" s="5">
        <f t="shared" si="10"/>
        <v>9.7934712534184475E-3</v>
      </c>
      <c r="N36" s="4">
        <f t="shared" si="8"/>
        <v>-7.583045553282064E-2</v>
      </c>
      <c r="O36" s="5">
        <f t="shared" si="11"/>
        <v>9.5912079191533498E-5</v>
      </c>
      <c r="P36" s="5">
        <f t="shared" si="12"/>
        <v>9.3931219041787694E-7</v>
      </c>
      <c r="Q36" s="5">
        <f t="shared" si="13"/>
        <v>9.1991269348429924E-9</v>
      </c>
      <c r="R36" s="8">
        <f t="shared" si="14"/>
        <v>0</v>
      </c>
      <c r="W36" t="s">
        <v>111</v>
      </c>
      <c r="X36" s="3"/>
      <c r="Y36" t="s">
        <v>112</v>
      </c>
      <c r="Z36" s="6" t="e">
        <f>Z5/X36</f>
        <v>#DIV/0!</v>
      </c>
    </row>
    <row r="37" spans="1:26" x14ac:dyDescent="0.3">
      <c r="A37" t="s">
        <v>42</v>
      </c>
      <c r="B37">
        <v>-8.44</v>
      </c>
      <c r="C37">
        <v>2.1800000000000002</v>
      </c>
      <c r="D37">
        <v>-6.1</v>
      </c>
      <c r="E37">
        <v>0.06</v>
      </c>
      <c r="F37">
        <v>-8.1576155209947508E-3</v>
      </c>
      <c r="G37">
        <v>1.7555024449276201E-3</v>
      </c>
      <c r="H37">
        <v>-2.08571030641828E-2</v>
      </c>
      <c r="I37">
        <v>3.7929871485407399E-2</v>
      </c>
      <c r="J37" s="3">
        <f t="shared" si="6"/>
        <v>-5.5434771239051828E-4</v>
      </c>
      <c r="K37">
        <f t="shared" si="7"/>
        <v>7.6218412414802065E-5</v>
      </c>
      <c r="L37">
        <f t="shared" si="9"/>
        <v>0.30021443537210418</v>
      </c>
      <c r="M37" s="5">
        <f t="shared" si="10"/>
        <v>1.2324282187661417E-2</v>
      </c>
      <c r="N37" s="4">
        <f t="shared" si="8"/>
        <v>-8.2298554083869838E-2</v>
      </c>
      <c r="O37" s="5">
        <f t="shared" si="11"/>
        <v>1.5188793144110848E-4</v>
      </c>
      <c r="P37" s="5">
        <f t="shared" si="12"/>
        <v>1.8719097279803916E-6</v>
      </c>
      <c r="Q37" s="5">
        <f t="shared" si="13"/>
        <v>2.3069943717458869E-8</v>
      </c>
      <c r="R37" s="8">
        <f t="shared" si="14"/>
        <v>0</v>
      </c>
      <c r="Z37">
        <f>NORMINV(0.05, 0, 1)</f>
        <v>-1.6448536269514726</v>
      </c>
    </row>
    <row r="38" spans="1:26" x14ac:dyDescent="0.3">
      <c r="A38" t="s">
        <v>43</v>
      </c>
      <c r="B38">
        <v>9.57</v>
      </c>
      <c r="C38">
        <v>2.8</v>
      </c>
      <c r="D38">
        <v>-4.03</v>
      </c>
      <c r="E38">
        <v>0.08</v>
      </c>
      <c r="F38">
        <v>1.44735832150683E-2</v>
      </c>
      <c r="G38">
        <v>8.4612542390627606E-3</v>
      </c>
      <c r="H38">
        <v>1.29211234396429E-2</v>
      </c>
      <c r="I38">
        <v>-5.6139652413993699E-2</v>
      </c>
      <c r="J38" s="3">
        <f t="shared" si="6"/>
        <v>3.0066071845919065E-3</v>
      </c>
      <c r="K38">
        <f t="shared" si="7"/>
        <v>7.9242445427578717E-5</v>
      </c>
      <c r="L38">
        <f t="shared" si="9"/>
        <v>0.28415998454482955</v>
      </c>
      <c r="M38" s="5">
        <f t="shared" si="10"/>
        <v>0</v>
      </c>
      <c r="N38" s="4">
        <f t="shared" si="8"/>
        <v>-8.5587875734379398E-2</v>
      </c>
      <c r="O38" s="5">
        <f t="shared" si="11"/>
        <v>0</v>
      </c>
      <c r="P38" s="5">
        <f t="shared" si="12"/>
        <v>0</v>
      </c>
      <c r="Q38" s="5">
        <f t="shared" si="13"/>
        <v>0</v>
      </c>
      <c r="R38" s="8">
        <f t="shared" si="14"/>
        <v>1.0306916548401632E-2</v>
      </c>
    </row>
    <row r="39" spans="1:26" x14ac:dyDescent="0.3">
      <c r="A39" t="s">
        <v>44</v>
      </c>
      <c r="B39">
        <v>-3.77</v>
      </c>
      <c r="C39">
        <v>1.4</v>
      </c>
      <c r="D39">
        <v>0.28999999999999998</v>
      </c>
      <c r="E39">
        <v>0.19</v>
      </c>
      <c r="F39">
        <v>-7.63818381312922E-3</v>
      </c>
      <c r="G39">
        <v>-1.77257364278453E-2</v>
      </c>
      <c r="H39">
        <v>4.6401000274701298E-3</v>
      </c>
      <c r="I39">
        <v>1.9128582259240901E-2</v>
      </c>
      <c r="J39" s="3">
        <f t="shared" si="6"/>
        <v>-7.9757890059340471E-3</v>
      </c>
      <c r="K39">
        <f t="shared" si="7"/>
        <v>8.2213702883878332E-5</v>
      </c>
      <c r="L39">
        <f t="shared" si="9"/>
        <v>0.31696965224837198</v>
      </c>
      <c r="M39" s="5">
        <f t="shared" si="10"/>
        <v>1.1804850479795886E-2</v>
      </c>
      <c r="N39" s="4">
        <f t="shared" si="8"/>
        <v>-6.9631642650002781E-2</v>
      </c>
      <c r="O39" s="5">
        <f t="shared" si="11"/>
        <v>1.3935449485033715E-4</v>
      </c>
      <c r="P39" s="5">
        <f t="shared" si="12"/>
        <v>1.6450589753957157E-6</v>
      </c>
      <c r="Q39" s="5">
        <f t="shared" si="13"/>
        <v>1.9419675234992642E-8</v>
      </c>
      <c r="R39" s="8">
        <f t="shared" si="14"/>
        <v>0</v>
      </c>
    </row>
    <row r="40" spans="1:26" x14ac:dyDescent="0.3">
      <c r="A40" t="s">
        <v>45</v>
      </c>
      <c r="B40">
        <v>-9.35</v>
      </c>
      <c r="C40">
        <v>-0.82</v>
      </c>
      <c r="D40">
        <v>0.02</v>
      </c>
      <c r="E40">
        <v>0.19</v>
      </c>
      <c r="F40">
        <v>-1.5584488449552699E-2</v>
      </c>
      <c r="G40">
        <v>-9.0388327589581603E-3</v>
      </c>
      <c r="H40">
        <v>-1.0387775200143201E-2</v>
      </c>
      <c r="I40">
        <v>5.3079999344285901E-2</v>
      </c>
      <c r="J40" s="3">
        <f t="shared" si="6"/>
        <v>-3.0097995168793861E-3</v>
      </c>
      <c r="K40">
        <f t="shared" si="7"/>
        <v>8.2805773736680484E-5</v>
      </c>
      <c r="L40">
        <f t="shared" si="9"/>
        <v>0.24168866552139978</v>
      </c>
      <c r="M40" s="5">
        <f t="shared" si="10"/>
        <v>1.9751155116219367E-2</v>
      </c>
      <c r="N40" s="4">
        <f t="shared" si="8"/>
        <v>-6.4972204187064189E-2</v>
      </c>
      <c r="O40" s="5">
        <f t="shared" si="11"/>
        <v>3.9010812842495845E-4</v>
      </c>
      <c r="P40" s="5">
        <f t="shared" si="12"/>
        <v>7.7050861566193805E-6</v>
      </c>
      <c r="Q40" s="5">
        <f t="shared" si="13"/>
        <v>1.5218435186322389E-7</v>
      </c>
      <c r="R40" s="8">
        <f t="shared" si="14"/>
        <v>0</v>
      </c>
      <c r="W40" t="s">
        <v>113</v>
      </c>
      <c r="X40">
        <f>E68/F68</f>
        <v>-1.5132067678118808</v>
      </c>
    </row>
    <row r="41" spans="1:26" x14ac:dyDescent="0.3">
      <c r="A41" t="s">
        <v>46</v>
      </c>
      <c r="B41">
        <v>7.83</v>
      </c>
      <c r="C41">
        <v>7.0000000000000007E-2</v>
      </c>
      <c r="D41">
        <v>8.06</v>
      </c>
      <c r="E41">
        <v>0.23</v>
      </c>
      <c r="F41">
        <v>-7.2492856283685502E-3</v>
      </c>
      <c r="G41">
        <v>-2.2136264792414099E-2</v>
      </c>
      <c r="H41">
        <v>7.8388891786244901E-3</v>
      </c>
      <c r="I41">
        <v>3.3702211270876699E-2</v>
      </c>
      <c r="J41" s="3">
        <f t="shared" si="6"/>
        <v>-8.4036719124202554E-3</v>
      </c>
      <c r="K41">
        <f t="shared" si="7"/>
        <v>8.5989399464306407E-5</v>
      </c>
      <c r="L41">
        <f t="shared" si="9"/>
        <v>0.18981350909530839</v>
      </c>
      <c r="M41" s="5">
        <f t="shared" si="10"/>
        <v>1.1415952295035217E-2</v>
      </c>
      <c r="N41" s="4">
        <f t="shared" si="8"/>
        <v>-8.2583689662915419E-2</v>
      </c>
      <c r="O41" s="5">
        <f t="shared" si="11"/>
        <v>1.3032396680251983E-4</v>
      </c>
      <c r="P41" s="5">
        <f t="shared" si="12"/>
        <v>1.4877721879173197E-6</v>
      </c>
      <c r="Q41" s="5">
        <f t="shared" si="13"/>
        <v>1.698433632314429E-8</v>
      </c>
      <c r="R41" s="8">
        <f t="shared" si="14"/>
        <v>0</v>
      </c>
      <c r="W41" t="s">
        <v>114</v>
      </c>
      <c r="X41" cm="1">
        <f t="array" ref="X41">AVERAGE(J2:J62-(F2:F62+X40)*(B2:B62))</f>
        <v>1.6268092232898426</v>
      </c>
    </row>
    <row r="42" spans="1:26" x14ac:dyDescent="0.3">
      <c r="A42" t="s">
        <v>47</v>
      </c>
      <c r="B42">
        <v>4.6100000000000003</v>
      </c>
      <c r="C42">
        <v>-3.51</v>
      </c>
      <c r="D42">
        <v>1.41</v>
      </c>
      <c r="E42">
        <v>0.28999999999999998</v>
      </c>
      <c r="F42">
        <v>3.10147410110212E-2</v>
      </c>
      <c r="G42">
        <v>3.6946371058717599E-2</v>
      </c>
      <c r="H42">
        <v>1.28754787046855E-2</v>
      </c>
      <c r="I42">
        <v>-0.14673513051463599</v>
      </c>
      <c r="J42" s="3">
        <f t="shared" si="6"/>
        <v>1.1637194509194331E-2</v>
      </c>
      <c r="K42">
        <f t="shared" si="7"/>
        <v>8.6000886093857363E-5</v>
      </c>
      <c r="L42">
        <f t="shared" si="9"/>
        <v>0.10355860923556176</v>
      </c>
      <c r="M42" s="5">
        <f t="shared" si="10"/>
        <v>0</v>
      </c>
      <c r="N42" s="4">
        <f t="shared" si="8"/>
        <v>-7.018369790282665E-2</v>
      </c>
      <c r="O42" s="5">
        <f t="shared" si="11"/>
        <v>0</v>
      </c>
      <c r="P42" s="5">
        <f t="shared" si="12"/>
        <v>0</v>
      </c>
      <c r="Q42" s="5">
        <f t="shared" si="13"/>
        <v>0</v>
      </c>
      <c r="R42" s="8">
        <f t="shared" si="14"/>
        <v>2.6848074344354534E-2</v>
      </c>
    </row>
    <row r="43" spans="1:26" x14ac:dyDescent="0.3">
      <c r="A43" t="s">
        <v>48</v>
      </c>
      <c r="B43">
        <v>-6.41</v>
      </c>
      <c r="C43">
        <v>-0.69</v>
      </c>
      <c r="D43">
        <v>1.34</v>
      </c>
      <c r="E43">
        <v>0.33</v>
      </c>
      <c r="F43">
        <v>-2.6375529901335199E-3</v>
      </c>
      <c r="G43">
        <v>-7.5198836299771102E-3</v>
      </c>
      <c r="H43">
        <v>-1.4558294548607201E-4</v>
      </c>
      <c r="I43">
        <v>2.7810249763641302E-3</v>
      </c>
      <c r="J43" s="3">
        <f t="shared" si="6"/>
        <v>-4.4974716443948329E-3</v>
      </c>
      <c r="K43">
        <f t="shared" si="7"/>
        <v>8.4443225829739313E-5</v>
      </c>
      <c r="L43">
        <f t="shared" si="9"/>
        <v>0.20843022092490923</v>
      </c>
      <c r="M43" s="5">
        <f t="shared" si="10"/>
        <v>6.8042196568001865E-3</v>
      </c>
      <c r="N43" s="4">
        <f t="shared" si="8"/>
        <v>-3.6645581901391555E-2</v>
      </c>
      <c r="O43" s="5">
        <f t="shared" si="11"/>
        <v>4.6297405137986047E-5</v>
      </c>
      <c r="P43" s="5">
        <f t="shared" si="12"/>
        <v>3.150177140987266E-7</v>
      </c>
      <c r="Q43" s="5">
        <f t="shared" si="13"/>
        <v>2.1434497225108167E-9</v>
      </c>
      <c r="R43" s="8">
        <f t="shared" si="14"/>
        <v>0</v>
      </c>
    </row>
    <row r="44" spans="1:26" x14ac:dyDescent="0.3">
      <c r="A44" t="s">
        <v>49</v>
      </c>
      <c r="B44">
        <v>6.64</v>
      </c>
      <c r="C44">
        <v>5.01</v>
      </c>
      <c r="D44">
        <v>-4</v>
      </c>
      <c r="E44">
        <v>0.35</v>
      </c>
      <c r="F44">
        <v>1.45963419499156E-2</v>
      </c>
      <c r="G44">
        <v>1.1107766915931801E-2</v>
      </c>
      <c r="H44">
        <v>2.30906328393919E-2</v>
      </c>
      <c r="I44">
        <v>-4.56882427892987E-2</v>
      </c>
      <c r="J44" s="3">
        <f t="shared" si="6"/>
        <v>8.4683108847728381E-3</v>
      </c>
      <c r="K44">
        <f t="shared" si="7"/>
        <v>8.747830534156695E-5</v>
      </c>
      <c r="L44">
        <f t="shared" si="9"/>
        <v>0.13116712182367718</v>
      </c>
      <c r="M44" s="5">
        <f t="shared" si="10"/>
        <v>0</v>
      </c>
      <c r="N44" s="4">
        <f t="shared" si="8"/>
        <v>-5.7134030849507661E-2</v>
      </c>
      <c r="O44" s="5">
        <f t="shared" si="11"/>
        <v>0</v>
      </c>
      <c r="P44" s="5">
        <f t="shared" si="12"/>
        <v>0</v>
      </c>
      <c r="Q44" s="5">
        <f t="shared" si="13"/>
        <v>0</v>
      </c>
      <c r="R44" s="8">
        <f t="shared" si="14"/>
        <v>1.0429675283248934E-2</v>
      </c>
    </row>
    <row r="45" spans="1:26" x14ac:dyDescent="0.3">
      <c r="A45" t="s">
        <v>50</v>
      </c>
      <c r="B45">
        <v>-2.59</v>
      </c>
      <c r="C45">
        <v>1.17</v>
      </c>
      <c r="D45">
        <v>-0.83</v>
      </c>
      <c r="E45">
        <v>0.34</v>
      </c>
      <c r="F45">
        <v>-3.7027766306118701E-3</v>
      </c>
      <c r="G45">
        <v>9.6278711947687598E-3</v>
      </c>
      <c r="H45">
        <v>-3.8711861269403201E-2</v>
      </c>
      <c r="I45">
        <v>5.1243716063644196E-3</v>
      </c>
      <c r="J45" s="3">
        <f t="shared" si="6"/>
        <v>-3.7330699595760327E-3</v>
      </c>
      <c r="K45">
        <f t="shared" si="7"/>
        <v>8.890029329911795E-5</v>
      </c>
      <c r="L45">
        <f t="shared" si="9"/>
        <v>0.24083079690801579</v>
      </c>
      <c r="M45" s="5">
        <f t="shared" si="10"/>
        <v>7.8694432972785371E-3</v>
      </c>
      <c r="N45" s="4">
        <f t="shared" si="8"/>
        <v>-3.9975964811397507E-2</v>
      </c>
      <c r="O45" s="5">
        <f t="shared" si="11"/>
        <v>6.1928137809082092E-5</v>
      </c>
      <c r="P45" s="5">
        <f t="shared" si="12"/>
        <v>4.8733996899462263E-7</v>
      </c>
      <c r="Q45" s="5">
        <f t="shared" si="13"/>
        <v>3.8350942525006633E-9</v>
      </c>
      <c r="R45" s="8">
        <f t="shared" si="14"/>
        <v>0</v>
      </c>
    </row>
    <row r="46" spans="1:26" x14ac:dyDescent="0.3">
      <c r="A46" t="s">
        <v>51</v>
      </c>
      <c r="B46">
        <v>2.5099999999999998</v>
      </c>
      <c r="C46">
        <v>-5.51</v>
      </c>
      <c r="D46">
        <v>-8.8699999999999992</v>
      </c>
      <c r="E46">
        <v>0.36</v>
      </c>
      <c r="F46">
        <v>1.39962004298625E-2</v>
      </c>
      <c r="G46">
        <v>2.40810757408834E-2</v>
      </c>
      <c r="H46">
        <v>1.84190433792474E-2</v>
      </c>
      <c r="I46">
        <v>-5.0475466562697503E-2</v>
      </c>
      <c r="J46" s="3">
        <f t="shared" si="6"/>
        <v>1.4914070318798638E-2</v>
      </c>
      <c r="K46">
        <f t="shared" si="7"/>
        <v>9.3072865463845493E-5</v>
      </c>
      <c r="L46">
        <f t="shared" si="9"/>
        <v>0.16725673219794027</v>
      </c>
      <c r="M46" s="5">
        <f t="shared" si="10"/>
        <v>0</v>
      </c>
      <c r="N46" s="4">
        <f t="shared" si="8"/>
        <v>-2.8167882056398988E-2</v>
      </c>
      <c r="O46" s="5">
        <f t="shared" si="11"/>
        <v>0</v>
      </c>
      <c r="P46" s="5">
        <f t="shared" si="12"/>
        <v>0</v>
      </c>
      <c r="Q46" s="5">
        <f t="shared" si="13"/>
        <v>0</v>
      </c>
      <c r="R46" s="8">
        <f t="shared" si="14"/>
        <v>9.8295337631958343E-3</v>
      </c>
    </row>
    <row r="47" spans="1:26" x14ac:dyDescent="0.3">
      <c r="A47" t="s">
        <v>52</v>
      </c>
      <c r="B47">
        <v>0.61</v>
      </c>
      <c r="C47">
        <v>-3.36</v>
      </c>
      <c r="D47">
        <v>-0.05</v>
      </c>
      <c r="E47">
        <v>0.35</v>
      </c>
      <c r="F47">
        <v>8.4989221893777504E-3</v>
      </c>
      <c r="G47">
        <v>3.4276005463121997E-2</v>
      </c>
      <c r="H47">
        <v>5.3718724054043999E-3</v>
      </c>
      <c r="I47">
        <v>-2.0506536624890302E-2</v>
      </c>
      <c r="J47" s="3">
        <f t="shared" si="6"/>
        <v>2.0950276107109256E-2</v>
      </c>
      <c r="K47">
        <f t="shared" si="7"/>
        <v>8.5337925244889697E-5</v>
      </c>
      <c r="L47">
        <f t="shared" si="9"/>
        <v>0.26213562097481441</v>
      </c>
      <c r="M47" s="5">
        <f t="shared" si="10"/>
        <v>0</v>
      </c>
      <c r="N47" s="4">
        <f t="shared" si="8"/>
        <v>2.3484158986325214E-2</v>
      </c>
      <c r="O47" s="5">
        <f t="shared" si="11"/>
        <v>0</v>
      </c>
      <c r="P47" s="5">
        <f t="shared" si="12"/>
        <v>0</v>
      </c>
      <c r="Q47" s="5">
        <f t="shared" si="13"/>
        <v>0</v>
      </c>
      <c r="R47" s="8">
        <f t="shared" si="14"/>
        <v>4.3322555227110838E-3</v>
      </c>
    </row>
    <row r="48" spans="1:26" x14ac:dyDescent="0.3">
      <c r="A48" t="s">
        <v>53</v>
      </c>
      <c r="B48">
        <v>0.35</v>
      </c>
      <c r="C48">
        <v>1.6</v>
      </c>
      <c r="D48">
        <v>-7.74</v>
      </c>
      <c r="E48">
        <v>0.36</v>
      </c>
      <c r="F48">
        <v>-5.5606609390426703E-3</v>
      </c>
      <c r="G48">
        <v>-8.83524104912802E-3</v>
      </c>
      <c r="H48">
        <v>-1.35841961859915E-2</v>
      </c>
      <c r="I48">
        <v>2.0592163409590001E-2</v>
      </c>
      <c r="J48" s="3">
        <f t="shared" si="6"/>
        <v>-7.0810246524717416E-3</v>
      </c>
      <c r="K48">
        <f t="shared" si="7"/>
        <v>5.9022881613723721E-5</v>
      </c>
      <c r="L48">
        <f t="shared" si="9"/>
        <v>-0.35910260380343562</v>
      </c>
      <c r="M48" s="5">
        <f t="shared" si="10"/>
        <v>9.7273276057093377E-3</v>
      </c>
      <c r="N48" s="4">
        <f t="shared" si="8"/>
        <v>3.7609885762454741E-2</v>
      </c>
      <c r="O48" s="5">
        <f t="shared" si="11"/>
        <v>9.4620902348794953E-5</v>
      </c>
      <c r="P48" s="5">
        <f t="shared" si="12"/>
        <v>9.2040851549456071E-7</v>
      </c>
      <c r="Q48" s="5">
        <f t="shared" si="13"/>
        <v>8.9531151613001908E-9</v>
      </c>
      <c r="R48" s="8">
        <f t="shared" si="14"/>
        <v>0</v>
      </c>
    </row>
    <row r="49" spans="1:18" x14ac:dyDescent="0.3">
      <c r="A49" t="s">
        <v>54</v>
      </c>
      <c r="B49">
        <v>6.47</v>
      </c>
      <c r="C49">
        <v>1.55</v>
      </c>
      <c r="D49">
        <v>-0.2</v>
      </c>
      <c r="E49">
        <v>0.4</v>
      </c>
      <c r="F49">
        <v>1.17316931320482E-2</v>
      </c>
      <c r="G49">
        <v>1.7225094963287499E-3</v>
      </c>
      <c r="H49">
        <v>-1.70373711398453E-3</v>
      </c>
      <c r="I49">
        <v>-4.5990919095201303E-2</v>
      </c>
      <c r="J49" s="3">
        <f t="shared" si="6"/>
        <v>-4.105058984056162E-3</v>
      </c>
      <c r="K49">
        <f t="shared" si="7"/>
        <v>6.1005197180663469E-5</v>
      </c>
      <c r="L49">
        <f t="shared" si="9"/>
        <v>-0.49085305732798634</v>
      </c>
      <c r="M49" s="5">
        <f t="shared" si="10"/>
        <v>0</v>
      </c>
      <c r="N49" s="4">
        <f t="shared" si="8"/>
        <v>4.0206840344406823E-2</v>
      </c>
      <c r="O49" s="5">
        <f t="shared" si="11"/>
        <v>0</v>
      </c>
      <c r="P49" s="5">
        <f t="shared" si="12"/>
        <v>0</v>
      </c>
      <c r="Q49" s="5">
        <f t="shared" si="13"/>
        <v>0</v>
      </c>
      <c r="R49" s="8">
        <f t="shared" si="14"/>
        <v>7.5650264653815335E-3</v>
      </c>
    </row>
    <row r="50" spans="1:18" x14ac:dyDescent="0.3">
      <c r="A50" t="s">
        <v>55</v>
      </c>
      <c r="B50">
        <v>3.21</v>
      </c>
      <c r="C50">
        <v>2.0499999999999998</v>
      </c>
      <c r="D50">
        <v>4.1100000000000003</v>
      </c>
      <c r="E50">
        <v>0.45</v>
      </c>
      <c r="F50">
        <v>1.90224732390817E-3</v>
      </c>
      <c r="G50">
        <v>-2.47815686664867E-3</v>
      </c>
      <c r="H50">
        <v>7.4460531747052097E-3</v>
      </c>
      <c r="I50">
        <v>-2.9525492154928502E-3</v>
      </c>
      <c r="J50" s="3">
        <f t="shared" si="6"/>
        <v>1.2026664559521694E-4</v>
      </c>
      <c r="K50">
        <f t="shared" si="7"/>
        <v>6.5042716668862484E-5</v>
      </c>
      <c r="L50">
        <f t="shared" si="9"/>
        <v>-0.55739156890036889</v>
      </c>
      <c r="M50" s="5">
        <f t="shared" si="10"/>
        <v>2.2644193427584967E-3</v>
      </c>
      <c r="N50" s="4">
        <f t="shared" si="8"/>
        <v>3.7464950261386722E-2</v>
      </c>
      <c r="O50" s="5">
        <f t="shared" si="11"/>
        <v>5.1275949598588218E-6</v>
      </c>
      <c r="P50" s="5">
        <f t="shared" si="12"/>
        <v>1.1611025208935293E-8</v>
      </c>
      <c r="Q50" s="5">
        <f t="shared" si="13"/>
        <v>2.6292230072369591E-11</v>
      </c>
      <c r="R50" s="8">
        <f t="shared" si="14"/>
        <v>0</v>
      </c>
    </row>
    <row r="51" spans="1:18" x14ac:dyDescent="0.3">
      <c r="A51" t="s">
        <v>56</v>
      </c>
      <c r="B51">
        <v>-2.39</v>
      </c>
      <c r="C51">
        <v>-3.2</v>
      </c>
      <c r="D51">
        <v>-1.08</v>
      </c>
      <c r="E51">
        <v>0.45</v>
      </c>
      <c r="F51">
        <v>-1.4645001884701001E-3</v>
      </c>
      <c r="G51">
        <v>1.4011538843974901E-2</v>
      </c>
      <c r="H51">
        <v>-2.6511748353678301E-3</v>
      </c>
      <c r="I51">
        <v>-6.7531208714569496E-3</v>
      </c>
      <c r="J51" s="3">
        <f t="shared" si="6"/>
        <v>7.4378458797448857E-3</v>
      </c>
      <c r="K51">
        <f t="shared" si="7"/>
        <v>7.0333659165740375E-5</v>
      </c>
      <c r="L51">
        <f t="shared" si="9"/>
        <v>-0.50156912530003572</v>
      </c>
      <c r="M51" s="5">
        <f t="shared" si="10"/>
        <v>5.6311668551367669E-3</v>
      </c>
      <c r="N51" s="4">
        <f t="shared" si="8"/>
        <v>4.7005381398424105E-2</v>
      </c>
      <c r="O51" s="5">
        <f t="shared" si="11"/>
        <v>3.1710040150390906E-5</v>
      </c>
      <c r="P51" s="5">
        <f t="shared" si="12"/>
        <v>1.7856452706993736E-7</v>
      </c>
      <c r="Q51" s="5">
        <f t="shared" si="13"/>
        <v>1.0055266463394033E-9</v>
      </c>
      <c r="R51" s="8">
        <f t="shared" si="14"/>
        <v>0</v>
      </c>
    </row>
    <row r="52" spans="1:18" x14ac:dyDescent="0.3">
      <c r="A52" t="s">
        <v>57</v>
      </c>
      <c r="B52">
        <v>-5.24</v>
      </c>
      <c r="C52">
        <v>-2.4900000000000002</v>
      </c>
      <c r="D52">
        <v>1.45</v>
      </c>
      <c r="E52">
        <v>0.43</v>
      </c>
      <c r="F52">
        <v>-2.4299773234057499E-3</v>
      </c>
      <c r="G52">
        <v>-1.0122261623681E-2</v>
      </c>
      <c r="H52">
        <v>-5.0248937986020897E-3</v>
      </c>
      <c r="I52">
        <v>-1.9550673825965001E-3</v>
      </c>
      <c r="J52" s="3">
        <f t="shared" si="6"/>
        <v>-7.9301656691769078E-3</v>
      </c>
      <c r="K52">
        <f t="shared" si="7"/>
        <v>6.9368862395442687E-5</v>
      </c>
      <c r="L52">
        <f t="shared" si="9"/>
        <v>-0.37629515622904747</v>
      </c>
      <c r="M52" s="5">
        <f t="shared" si="10"/>
        <v>6.5966439900724165E-3</v>
      </c>
      <c r="N52" s="4">
        <f t="shared" si="8"/>
        <v>6.1125369659506705E-2</v>
      </c>
      <c r="O52" s="5">
        <f t="shared" si="11"/>
        <v>4.3515711931758533E-5</v>
      </c>
      <c r="P52" s="5">
        <f t="shared" si="12"/>
        <v>2.8705765958835746E-7</v>
      </c>
      <c r="Q52" s="5">
        <f t="shared" si="13"/>
        <v>1.8936171849277922E-9</v>
      </c>
      <c r="R52" s="8">
        <f t="shared" si="14"/>
        <v>0</v>
      </c>
    </row>
    <row r="53" spans="1:18" x14ac:dyDescent="0.3">
      <c r="A53" t="s">
        <v>58</v>
      </c>
      <c r="B53">
        <v>-3.18</v>
      </c>
      <c r="C53">
        <v>-3.88</v>
      </c>
      <c r="D53">
        <v>0.19</v>
      </c>
      <c r="E53">
        <v>0.47</v>
      </c>
      <c r="F53">
        <v>6.26055964641527E-3</v>
      </c>
      <c r="G53">
        <v>-3.2490090070963501E-4</v>
      </c>
      <c r="H53">
        <v>9.19874691225161E-3</v>
      </c>
      <c r="I53">
        <v>-1.50928970215366E-2</v>
      </c>
      <c r="J53" s="3">
        <f t="shared" si="6"/>
        <v>6.9648456400513061E-4</v>
      </c>
      <c r="K53">
        <f t="shared" si="7"/>
        <v>7.2384031417905526E-5</v>
      </c>
      <c r="L53">
        <f t="shared" si="9"/>
        <v>-0.56465487452272123</v>
      </c>
      <c r="M53" s="5">
        <f t="shared" si="10"/>
        <v>0</v>
      </c>
      <c r="N53" s="4">
        <f t="shared" si="8"/>
        <v>6.5944677964469525E-2</v>
      </c>
      <c r="O53" s="5">
        <f t="shared" si="11"/>
        <v>0</v>
      </c>
      <c r="P53" s="5">
        <f t="shared" si="12"/>
        <v>0</v>
      </c>
      <c r="Q53" s="5">
        <f t="shared" si="13"/>
        <v>0</v>
      </c>
      <c r="R53" s="8">
        <f t="shared" si="14"/>
        <v>2.0938929797486034E-3</v>
      </c>
    </row>
    <row r="54" spans="1:18" x14ac:dyDescent="0.3">
      <c r="A54" t="s">
        <v>59</v>
      </c>
      <c r="B54">
        <v>8.83</v>
      </c>
      <c r="C54">
        <v>-0.03</v>
      </c>
      <c r="D54">
        <v>1.66</v>
      </c>
      <c r="E54">
        <v>0.44</v>
      </c>
      <c r="F54">
        <v>3.9297680054688399E-3</v>
      </c>
      <c r="G54">
        <v>8.9390452054272807E-3</v>
      </c>
      <c r="H54">
        <v>3.7546879003685402E-3</v>
      </c>
      <c r="I54">
        <v>8.1479389226970806E-3</v>
      </c>
      <c r="J54" s="3">
        <f t="shared" si="6"/>
        <v>7.482276903060814E-3</v>
      </c>
      <c r="K54">
        <f t="shared" si="7"/>
        <v>7.9903496933365209E-5</v>
      </c>
      <c r="L54">
        <f t="shared" si="9"/>
        <v>-0.46552217012370395</v>
      </c>
      <c r="M54" s="5">
        <f t="shared" si="10"/>
        <v>2.3689866119782667E-4</v>
      </c>
      <c r="N54" s="4">
        <f t="shared" si="8"/>
        <v>4.1190496599863569E-2</v>
      </c>
      <c r="O54" s="5">
        <f t="shared" si="11"/>
        <v>5.6120975677322669E-8</v>
      </c>
      <c r="P54" s="5">
        <f t="shared" si="12"/>
        <v>1.3294984003073533E-11</v>
      </c>
      <c r="Q54" s="5">
        <f t="shared" si="13"/>
        <v>3.1495639109746427E-15</v>
      </c>
      <c r="R54" s="8">
        <f t="shared" si="14"/>
        <v>0</v>
      </c>
    </row>
    <row r="55" spans="1:18" x14ac:dyDescent="0.3">
      <c r="A55" t="s">
        <v>60</v>
      </c>
      <c r="B55">
        <v>4.87</v>
      </c>
      <c r="C55">
        <v>6.36</v>
      </c>
      <c r="D55">
        <v>4.92</v>
      </c>
      <c r="E55">
        <v>0.43</v>
      </c>
      <c r="F55">
        <v>-2.8992001142782199E-3</v>
      </c>
      <c r="G55">
        <v>-1.6739681979749298E-2</v>
      </c>
      <c r="H55">
        <v>-1.65764861118397E-3</v>
      </c>
      <c r="I55">
        <v>1.3473227842727699E-2</v>
      </c>
      <c r="J55" s="3">
        <f t="shared" si="6"/>
        <v>-9.6175890406069737E-3</v>
      </c>
      <c r="K55">
        <f t="shared" si="7"/>
        <v>7.8314872572647339E-5</v>
      </c>
      <c r="L55">
        <f t="shared" si="9"/>
        <v>-0.28786477536994265</v>
      </c>
      <c r="M55" s="5">
        <f t="shared" si="10"/>
        <v>7.0658667809448865E-3</v>
      </c>
      <c r="N55" s="4">
        <f t="shared" si="8"/>
        <v>4.7757817595465928E-2</v>
      </c>
      <c r="O55" s="5">
        <f t="shared" si="11"/>
        <v>4.992647336606045E-5</v>
      </c>
      <c r="P55" s="5">
        <f t="shared" si="12"/>
        <v>3.5277380964697615E-7</v>
      </c>
      <c r="Q55" s="5">
        <f t="shared" si="13"/>
        <v>2.4926527427719433E-9</v>
      </c>
      <c r="R55" s="8">
        <f t="shared" si="14"/>
        <v>0</v>
      </c>
    </row>
    <row r="56" spans="1:18" x14ac:dyDescent="0.3">
      <c r="A56" t="s">
        <v>61</v>
      </c>
      <c r="B56">
        <v>0.7</v>
      </c>
      <c r="C56">
        <v>-5.0199999999999996</v>
      </c>
      <c r="D56">
        <v>-2.4700000000000002</v>
      </c>
      <c r="E56">
        <v>0.47</v>
      </c>
      <c r="F56">
        <v>-1.64519124168412E-2</v>
      </c>
      <c r="G56">
        <v>-2.18566542042553E-2</v>
      </c>
      <c r="H56">
        <v>-7.4201035600379101E-3</v>
      </c>
      <c r="I56">
        <v>5.7158372954700297E-2</v>
      </c>
      <c r="J56" s="3">
        <f t="shared" si="6"/>
        <v>-9.8854040390810877E-3</v>
      </c>
      <c r="K56">
        <f t="shared" si="7"/>
        <v>8.1746399468695915E-5</v>
      </c>
      <c r="L56">
        <f t="shared" si="9"/>
        <v>-0.57320815212805287</v>
      </c>
      <c r="M56" s="5">
        <f t="shared" si="10"/>
        <v>2.0618579083507865E-2</v>
      </c>
      <c r="N56" s="4">
        <f t="shared" si="8"/>
        <v>3.0262275531272118E-2</v>
      </c>
      <c r="O56" s="5">
        <f t="shared" si="11"/>
        <v>4.2512580342286805E-4</v>
      </c>
      <c r="P56" s="5">
        <f t="shared" si="12"/>
        <v>8.7654899983142235E-6</v>
      </c>
      <c r="Q56" s="5">
        <f t="shared" si="13"/>
        <v>1.8073194873593905E-7</v>
      </c>
      <c r="R56" s="8">
        <f t="shared" si="14"/>
        <v>0</v>
      </c>
    </row>
    <row r="57" spans="1:18" x14ac:dyDescent="0.3">
      <c r="A57" t="s">
        <v>62</v>
      </c>
      <c r="B57">
        <v>5.07</v>
      </c>
      <c r="C57">
        <v>-0.22</v>
      </c>
      <c r="D57">
        <v>-3.52</v>
      </c>
      <c r="E57">
        <v>0.42</v>
      </c>
      <c r="F57">
        <v>3.5885663338952201E-3</v>
      </c>
      <c r="G57">
        <v>1.18046263983462E-2</v>
      </c>
      <c r="H57">
        <v>-1.0559679664758201E-2</v>
      </c>
      <c r="I57">
        <v>-2.3382310422407099E-2</v>
      </c>
      <c r="J57" s="3">
        <f t="shared" si="6"/>
        <v>2.2209068133580813E-3</v>
      </c>
      <c r="K57">
        <f t="shared" si="7"/>
        <v>8.2471064593315496E-5</v>
      </c>
      <c r="L57">
        <f t="shared" si="9"/>
        <v>-0.9914888984940563</v>
      </c>
      <c r="M57" s="5">
        <f t="shared" si="10"/>
        <v>5.7810033277144648E-4</v>
      </c>
      <c r="N57" s="4">
        <f t="shared" si="8"/>
        <v>1.7513139745042788E-2</v>
      </c>
      <c r="O57" s="5">
        <f t="shared" si="11"/>
        <v>3.3419999475045716E-7</v>
      </c>
      <c r="P57" s="5">
        <f t="shared" si="12"/>
        <v>1.9320112817745495E-10</v>
      </c>
      <c r="Q57" s="5">
        <f t="shared" si="13"/>
        <v>1.1168963649120559E-13</v>
      </c>
      <c r="R57" s="8">
        <f t="shared" si="14"/>
        <v>0</v>
      </c>
    </row>
    <row r="58" spans="1:18" x14ac:dyDescent="0.3">
      <c r="A58" t="s">
        <v>63</v>
      </c>
      <c r="B58">
        <v>2.83</v>
      </c>
      <c r="C58">
        <v>-2.5099999999999998</v>
      </c>
      <c r="D58">
        <v>4.21</v>
      </c>
      <c r="E58">
        <v>0.43</v>
      </c>
      <c r="F58">
        <v>-1.9114460452748799E-4</v>
      </c>
      <c r="G58">
        <v>3.6604708983787601E-3</v>
      </c>
      <c r="H58">
        <v>5.8587389072517803E-3</v>
      </c>
      <c r="I58">
        <v>7.6629341155591496E-3</v>
      </c>
      <c r="J58" s="3">
        <f t="shared" si="6"/>
        <v>4.6633226390158152E-3</v>
      </c>
      <c r="K58">
        <f t="shared" si="7"/>
        <v>9.7338159990466658E-5</v>
      </c>
      <c r="L58">
        <f t="shared" si="9"/>
        <v>-0.77307161503079558</v>
      </c>
      <c r="M58" s="5">
        <f t="shared" si="10"/>
        <v>4.3578112711941544E-3</v>
      </c>
      <c r="N58" s="4">
        <f t="shared" si="8"/>
        <v>7.1055056490755119E-3</v>
      </c>
      <c r="O58" s="5">
        <f t="shared" si="11"/>
        <v>1.8990519075346812E-5</v>
      </c>
      <c r="P58" s="5">
        <f t="shared" si="12"/>
        <v>8.2757098072373925E-8</v>
      </c>
      <c r="Q58" s="5">
        <f t="shared" si="13"/>
        <v>3.6063981475111114E-10</v>
      </c>
      <c r="R58" s="8">
        <f t="shared" si="14"/>
        <v>0</v>
      </c>
    </row>
    <row r="59" spans="1:18" x14ac:dyDescent="0.3">
      <c r="A59" t="s">
        <v>64</v>
      </c>
      <c r="B59">
        <v>-4.67</v>
      </c>
      <c r="C59">
        <v>-2.39</v>
      </c>
      <c r="D59">
        <v>-0.52</v>
      </c>
      <c r="E59">
        <v>0.47</v>
      </c>
      <c r="F59">
        <v>-1.5968026421488202E-2</v>
      </c>
      <c r="G59">
        <v>-3.3810102641988297E-2</v>
      </c>
      <c r="H59">
        <v>-9.5625834706344597E-3</v>
      </c>
      <c r="I59">
        <v>5.5044007887358998E-2</v>
      </c>
      <c r="J59" s="3">
        <f t="shared" si="6"/>
        <v>-1.8217851741356039E-2</v>
      </c>
      <c r="K59">
        <f t="shared" si="7"/>
        <v>1.1198803847502762E-4</v>
      </c>
      <c r="L59">
        <f t="shared" si="9"/>
        <v>-0.42264175406777077</v>
      </c>
      <c r="M59" s="5">
        <f t="shared" si="10"/>
        <v>2.0134693088154867E-2</v>
      </c>
      <c r="N59" s="4">
        <f t="shared" si="8"/>
        <v>-1.5845611448297282E-3</v>
      </c>
      <c r="O59" s="5">
        <f t="shared" si="11"/>
        <v>4.0540586575419139E-4</v>
      </c>
      <c r="P59" s="5">
        <f t="shared" si="12"/>
        <v>8.1627226830983575E-6</v>
      </c>
      <c r="Q59" s="5">
        <f t="shared" si="13"/>
        <v>1.6435391598790546E-7</v>
      </c>
      <c r="R59" s="8">
        <f t="shared" si="14"/>
        <v>0</v>
      </c>
    </row>
    <row r="60" spans="1:18" x14ac:dyDescent="0.3">
      <c r="A60" t="s">
        <v>65</v>
      </c>
      <c r="B60">
        <v>4.34</v>
      </c>
      <c r="C60">
        <v>0.78</v>
      </c>
      <c r="D60">
        <v>-1.66</v>
      </c>
      <c r="E60">
        <v>0.44</v>
      </c>
      <c r="F60">
        <v>9.0669792401037296E-3</v>
      </c>
      <c r="G60">
        <v>9.7570096822716008E-3</v>
      </c>
      <c r="H60">
        <v>1.3873910484754001E-2</v>
      </c>
      <c r="I60">
        <v>0</v>
      </c>
      <c r="J60" s="3">
        <f t="shared" si="6"/>
        <v>9.861007208942698E-3</v>
      </c>
      <c r="K60">
        <f t="shared" si="7"/>
        <v>3.6639320752832436E-5</v>
      </c>
      <c r="L60">
        <f t="shared" si="9"/>
        <v>-0.24865469757132663</v>
      </c>
      <c r="M60" s="5">
        <f t="shared" si="10"/>
        <v>0</v>
      </c>
      <c r="N60" s="4">
        <f t="shared" si="8"/>
        <v>-1.1991926627275258E-2</v>
      </c>
      <c r="O60" s="5">
        <f t="shared" si="11"/>
        <v>0</v>
      </c>
      <c r="P60" s="5">
        <f t="shared" si="12"/>
        <v>0</v>
      </c>
      <c r="Q60" s="5">
        <f t="shared" si="13"/>
        <v>0</v>
      </c>
      <c r="R60" s="8">
        <f t="shared" si="14"/>
        <v>4.900312573437063E-3</v>
      </c>
    </row>
    <row r="61" spans="1:18" x14ac:dyDescent="0.3">
      <c r="A61" t="s">
        <v>66</v>
      </c>
      <c r="B61">
        <v>2.77</v>
      </c>
      <c r="C61">
        <v>-3.06</v>
      </c>
      <c r="D61">
        <v>-3.31</v>
      </c>
      <c r="E61">
        <v>0.41</v>
      </c>
      <c r="F61">
        <v>-3.9429504567680997E-3</v>
      </c>
      <c r="G61">
        <v>-2.5814896171884598E-3</v>
      </c>
      <c r="H61">
        <v>1.41606448598342E-2</v>
      </c>
      <c r="I61">
        <v>1.8281998511218998E-2</v>
      </c>
      <c r="J61" s="3">
        <f t="shared" si="6"/>
        <v>4.0350180757853706E-3</v>
      </c>
      <c r="K61">
        <f t="shared" si="7"/>
        <v>1.9778673505401507E-5</v>
      </c>
      <c r="L61" t="e">
        <f t="shared" si="9"/>
        <v>#DIV/0!</v>
      </c>
      <c r="M61" s="5">
        <f t="shared" si="10"/>
        <v>8.1096171234347654E-3</v>
      </c>
      <c r="N61" s="4">
        <f t="shared" si="8"/>
        <v>-1.465664051921973E-2</v>
      </c>
      <c r="O61" s="5">
        <f t="shared" si="11"/>
        <v>6.5765889888706362E-5</v>
      </c>
      <c r="P61" s="5">
        <f t="shared" si="12"/>
        <v>5.3333618677937843E-7</v>
      </c>
      <c r="Q61" s="5">
        <f t="shared" si="13"/>
        <v>4.3251522728534498E-9</v>
      </c>
      <c r="R61" s="8">
        <f t="shared" si="14"/>
        <v>0</v>
      </c>
    </row>
    <row r="62" spans="1:18" x14ac:dyDescent="0.3">
      <c r="A62" t="s">
        <v>67</v>
      </c>
      <c r="B62">
        <v>1.24</v>
      </c>
      <c r="C62">
        <v>6.84</v>
      </c>
      <c r="D62">
        <v>5.7</v>
      </c>
      <c r="E62">
        <v>0.45</v>
      </c>
      <c r="F62">
        <v>-5.0793787184144797E-3</v>
      </c>
      <c r="G62">
        <v>-1.4176140484499201E-3</v>
      </c>
      <c r="H62">
        <v>-1.2725149378958699E-2</v>
      </c>
      <c r="I62">
        <v>-5.5096766550436398E-3</v>
      </c>
      <c r="J62" s="3">
        <f t="shared" si="6"/>
        <v>-4.8596260442233677E-3</v>
      </c>
      <c r="K62">
        <f t="shared" si="7"/>
        <v>0</v>
      </c>
      <c r="L62" t="e">
        <f t="shared" si="9"/>
        <v>#DIV/0!</v>
      </c>
      <c r="M62" s="5">
        <f t="shared" si="10"/>
        <v>9.2460453850811454E-3</v>
      </c>
      <c r="N62" s="4">
        <f t="shared" si="8"/>
        <v>-2.0501838299895995E-2</v>
      </c>
      <c r="O62" s="5">
        <f t="shared" si="11"/>
        <v>8.5489355262980351E-5</v>
      </c>
      <c r="P62" s="5">
        <f t="shared" si="12"/>
        <v>7.9043845870284205E-7</v>
      </c>
      <c r="Q62" s="5">
        <f t="shared" si="13"/>
        <v>7.308429863280066E-9</v>
      </c>
      <c r="R62" s="8">
        <f t="shared" si="14"/>
        <v>0</v>
      </c>
    </row>
    <row r="67" spans="1:9" x14ac:dyDescent="0.3">
      <c r="A67" t="s">
        <v>68</v>
      </c>
      <c r="B67" t="s">
        <v>69</v>
      </c>
      <c r="C67" t="s">
        <v>70</v>
      </c>
      <c r="E67" t="s">
        <v>115</v>
      </c>
      <c r="F67" t="s">
        <v>72</v>
      </c>
    </row>
    <row r="68" spans="1:9" x14ac:dyDescent="0.3">
      <c r="A68" s="2">
        <v>0.63066666621749601</v>
      </c>
      <c r="B68" s="2">
        <v>0.26666666706025455</v>
      </c>
      <c r="C68" s="2">
        <v>0.10266666672225991</v>
      </c>
      <c r="E68">
        <f>_xlfn.COVARIANCE.P(I2:I62,J2:J62)</f>
        <v>-2.181389366554092E-4</v>
      </c>
      <c r="F68">
        <f>_xlfn.VAR.P(J2:J62)</f>
        <v>1.4415672814551398E-4</v>
      </c>
      <c r="I68" s="2"/>
    </row>
  </sheetData>
  <pageMargins left="0.7" right="0.7" top="0.75" bottom="0.75" header="0.3" footer="0.3"/>
  <ignoredErrors>
    <ignoredError sqref="N13 N15:N6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F77D-CCF1-467A-9412-D16C0139E93D}">
  <dimension ref="H2:Q25"/>
  <sheetViews>
    <sheetView topLeftCell="A3" zoomScale="81" workbookViewId="0">
      <selection activeCell="T14" sqref="T14"/>
    </sheetView>
  </sheetViews>
  <sheetFormatPr defaultRowHeight="14.4" x14ac:dyDescent="0.3"/>
  <cols>
    <col min="8" max="8" width="31.77734375" customWidth="1"/>
    <col min="17" max="17" width="12.44140625" customWidth="1"/>
  </cols>
  <sheetData>
    <row r="2" spans="8:17" ht="21" customHeight="1" x14ac:dyDescent="0.3"/>
    <row r="11" spans="8:17" x14ac:dyDescent="0.3">
      <c r="H11" s="107" t="s">
        <v>133</v>
      </c>
      <c r="I11" s="107"/>
      <c r="J11" s="107"/>
      <c r="K11" s="107"/>
      <c r="L11" s="107"/>
      <c r="M11" s="107"/>
      <c r="N11" s="107"/>
      <c r="O11" s="107"/>
      <c r="P11" s="107"/>
      <c r="Q11" s="107"/>
    </row>
    <row r="12" spans="8:17" x14ac:dyDescent="0.3">
      <c r="H12" s="107"/>
      <c r="I12" s="107"/>
      <c r="J12" s="107"/>
      <c r="K12" s="107"/>
      <c r="L12" s="107"/>
      <c r="M12" s="107"/>
      <c r="N12" s="107"/>
      <c r="O12" s="107"/>
      <c r="P12" s="107"/>
      <c r="Q12" s="107"/>
    </row>
    <row r="13" spans="8:17" x14ac:dyDescent="0.3">
      <c r="H13" s="107"/>
      <c r="I13" s="107"/>
      <c r="J13" s="107"/>
      <c r="K13" s="107"/>
      <c r="L13" s="107"/>
      <c r="M13" s="107"/>
      <c r="N13" s="107"/>
      <c r="O13" s="107"/>
      <c r="P13" s="107"/>
      <c r="Q13" s="107"/>
    </row>
    <row r="14" spans="8:17" x14ac:dyDescent="0.3">
      <c r="H14" s="107"/>
      <c r="I14" s="107"/>
      <c r="J14" s="107"/>
      <c r="K14" s="107"/>
      <c r="L14" s="107"/>
      <c r="M14" s="107"/>
      <c r="N14" s="107"/>
      <c r="O14" s="107"/>
      <c r="P14" s="107"/>
      <c r="Q14" s="107"/>
    </row>
    <row r="15" spans="8:17" x14ac:dyDescent="0.3">
      <c r="H15" s="107"/>
      <c r="I15" s="107"/>
      <c r="J15" s="107"/>
      <c r="K15" s="107"/>
      <c r="L15" s="107"/>
      <c r="M15" s="107"/>
      <c r="N15" s="107"/>
      <c r="O15" s="107"/>
      <c r="P15" s="107"/>
      <c r="Q15" s="107"/>
    </row>
    <row r="16" spans="8:17" x14ac:dyDescent="0.3">
      <c r="H16" s="107"/>
      <c r="I16" s="107"/>
      <c r="J16" s="107"/>
      <c r="K16" s="107"/>
      <c r="L16" s="107"/>
      <c r="M16" s="107"/>
      <c r="N16" s="107"/>
      <c r="O16" s="107"/>
      <c r="P16" s="107"/>
      <c r="Q16" s="107"/>
    </row>
    <row r="17" spans="8:17" x14ac:dyDescent="0.3">
      <c r="H17" s="107"/>
      <c r="I17" s="107"/>
      <c r="J17" s="107"/>
      <c r="K17" s="107"/>
      <c r="L17" s="107"/>
      <c r="M17" s="107"/>
      <c r="N17" s="107"/>
      <c r="O17" s="107"/>
      <c r="P17" s="107"/>
      <c r="Q17" s="107"/>
    </row>
    <row r="18" spans="8:17" x14ac:dyDescent="0.3">
      <c r="H18" s="107"/>
      <c r="I18" s="107"/>
      <c r="J18" s="107"/>
      <c r="K18" s="107"/>
      <c r="L18" s="107"/>
      <c r="M18" s="107"/>
      <c r="N18" s="107"/>
      <c r="O18" s="107"/>
      <c r="P18" s="107"/>
      <c r="Q18" s="107"/>
    </row>
    <row r="19" spans="8:17" x14ac:dyDescent="0.3">
      <c r="H19" s="108" t="s">
        <v>134</v>
      </c>
      <c r="I19" s="108"/>
      <c r="J19" s="108"/>
      <c r="K19" s="108"/>
      <c r="L19" s="108"/>
      <c r="M19" s="108"/>
      <c r="N19" s="108"/>
      <c r="O19" s="108"/>
      <c r="P19" s="108"/>
      <c r="Q19" s="108"/>
    </row>
    <row r="20" spans="8:17" x14ac:dyDescent="0.3">
      <c r="H20" s="108"/>
      <c r="I20" s="108"/>
      <c r="J20" s="108"/>
      <c r="K20" s="108"/>
      <c r="L20" s="108"/>
      <c r="M20" s="108"/>
      <c r="N20" s="108"/>
      <c r="O20" s="108"/>
      <c r="P20" s="108"/>
      <c r="Q20" s="108"/>
    </row>
    <row r="21" spans="8:17" ht="21" x14ac:dyDescent="0.4">
      <c r="H21" s="88" t="s">
        <v>135</v>
      </c>
    </row>
    <row r="22" spans="8:17" ht="21" x14ac:dyDescent="0.4">
      <c r="H22" s="88" t="s">
        <v>136</v>
      </c>
    </row>
    <row r="23" spans="8:17" ht="21" x14ac:dyDescent="0.4">
      <c r="H23" s="88" t="s">
        <v>137</v>
      </c>
    </row>
    <row r="24" spans="8:17" ht="21" x14ac:dyDescent="0.4">
      <c r="H24" s="88" t="s">
        <v>138</v>
      </c>
    </row>
    <row r="25" spans="8:17" ht="21" x14ac:dyDescent="0.4">
      <c r="H25" s="88" t="s">
        <v>139</v>
      </c>
    </row>
  </sheetData>
  <mergeCells count="2">
    <mergeCell ref="H11:Q18"/>
    <mergeCell ref="H19:Q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1023-B381-4D23-ABF8-8AB03C2DC5D6}">
  <dimension ref="A1:AQ62"/>
  <sheetViews>
    <sheetView topLeftCell="Y1" zoomScale="95" zoomScaleNormal="90" workbookViewId="0">
      <selection activeCell="AK23" sqref="AK23"/>
    </sheetView>
  </sheetViews>
  <sheetFormatPr defaultRowHeight="14.4" x14ac:dyDescent="0.3"/>
  <cols>
    <col min="1" max="3" width="12.6640625" bestFit="1" customWidth="1"/>
    <col min="4" max="4" width="7.21875" bestFit="1" customWidth="1"/>
    <col min="5" max="5" width="11.5546875" bestFit="1" customWidth="1"/>
    <col min="6" max="9" width="13.21875" bestFit="1" customWidth="1"/>
    <col min="10" max="10" width="14.77734375" bestFit="1" customWidth="1"/>
    <col min="12" max="12" width="13.21875" bestFit="1" customWidth="1"/>
    <col min="13" max="13" width="12" bestFit="1" customWidth="1"/>
    <col min="14" max="14" width="11" bestFit="1" customWidth="1"/>
    <col min="15" max="17" width="6.21875" bestFit="1" customWidth="1"/>
    <col min="18" max="18" width="11.77734375" bestFit="1" customWidth="1"/>
    <col min="19" max="19" width="14.44140625" bestFit="1" customWidth="1"/>
    <col min="21" max="21" width="8.33203125" bestFit="1" customWidth="1"/>
    <col min="22" max="22" width="13.21875" bestFit="1" customWidth="1"/>
    <col min="23" max="23" width="21.88671875" bestFit="1" customWidth="1"/>
    <col min="24" max="24" width="14.44140625" bestFit="1" customWidth="1"/>
    <col min="25" max="25" width="14.109375" bestFit="1" customWidth="1"/>
    <col min="26" max="26" width="11.44140625" bestFit="1" customWidth="1"/>
    <col min="27" max="27" width="10.5546875" bestFit="1" customWidth="1"/>
    <col min="28" max="28" width="13.21875" bestFit="1" customWidth="1"/>
    <col min="29" max="29" width="14.88671875" bestFit="1" customWidth="1"/>
    <col min="30" max="30" width="9.109375" bestFit="1" customWidth="1"/>
    <col min="31" max="31" width="13.21875" bestFit="1" customWidth="1"/>
    <col min="32" max="32" width="18.5546875" bestFit="1" customWidth="1"/>
    <col min="33" max="33" width="12.6640625" bestFit="1" customWidth="1"/>
    <col min="34" max="34" width="13.33203125" bestFit="1" customWidth="1"/>
    <col min="35" max="35" width="6.21875" bestFit="1" customWidth="1"/>
    <col min="36" max="36" width="6.88671875" bestFit="1" customWidth="1"/>
    <col min="37" max="37" width="20.44140625" bestFit="1" customWidth="1"/>
    <col min="38" max="38" width="17.44140625" bestFit="1" customWidth="1"/>
    <col min="39" max="39" width="23.5546875" bestFit="1" customWidth="1"/>
    <col min="40" max="41" width="6.21875" bestFit="1" customWidth="1"/>
    <col min="42" max="42" width="7.44140625" bestFit="1" customWidth="1"/>
    <col min="43" max="43" width="7.109375" bestFit="1" customWidth="1"/>
  </cols>
  <sheetData>
    <row r="1" spans="1:43" s="68" customFormat="1" ht="15" thickBot="1" x14ac:dyDescent="0.35">
      <c r="A1" s="80" t="s">
        <v>0</v>
      </c>
      <c r="B1" s="77" t="s">
        <v>81</v>
      </c>
      <c r="C1" s="80" t="s">
        <v>82</v>
      </c>
      <c r="D1" s="77" t="s">
        <v>83</v>
      </c>
      <c r="E1" s="80" t="s">
        <v>84</v>
      </c>
      <c r="F1" s="77" t="s">
        <v>75</v>
      </c>
      <c r="G1" s="80" t="s">
        <v>3</v>
      </c>
      <c r="H1" s="80" t="s">
        <v>4</v>
      </c>
      <c r="I1" s="80" t="s">
        <v>5</v>
      </c>
      <c r="J1" s="78" t="s">
        <v>71</v>
      </c>
      <c r="K1" s="80" t="s">
        <v>72</v>
      </c>
      <c r="L1" s="77" t="s">
        <v>73</v>
      </c>
      <c r="M1" s="84" t="s">
        <v>76</v>
      </c>
      <c r="N1" s="77" t="s">
        <v>74</v>
      </c>
      <c r="O1" s="80" t="s">
        <v>77</v>
      </c>
      <c r="P1" s="77" t="s">
        <v>78</v>
      </c>
      <c r="Q1" s="80" t="s">
        <v>79</v>
      </c>
      <c r="R1" s="80" t="s">
        <v>80</v>
      </c>
      <c r="S1" s="79" t="s">
        <v>131</v>
      </c>
      <c r="U1" s="44" t="s">
        <v>92</v>
      </c>
      <c r="V1" s="44" t="s">
        <v>93</v>
      </c>
      <c r="W1" s="43" t="s">
        <v>117</v>
      </c>
      <c r="X1" s="44" t="s">
        <v>103</v>
      </c>
      <c r="Y1" s="44" t="s">
        <v>104</v>
      </c>
      <c r="Z1" s="44" t="s">
        <v>106</v>
      </c>
      <c r="AA1" s="44" t="s">
        <v>107</v>
      </c>
      <c r="AB1" s="44" t="s">
        <v>132</v>
      </c>
      <c r="AC1" s="44" t="s">
        <v>108</v>
      </c>
      <c r="AD1" s="44" t="s">
        <v>109</v>
      </c>
      <c r="AE1" s="44" t="s">
        <v>111</v>
      </c>
      <c r="AF1" s="44" t="s">
        <v>124</v>
      </c>
      <c r="AG1" s="44" t="s">
        <v>128</v>
      </c>
      <c r="AH1" s="44" t="s">
        <v>129</v>
      </c>
      <c r="AI1" s="44" t="s">
        <v>86</v>
      </c>
      <c r="AJ1" s="44" t="s">
        <v>89</v>
      </c>
      <c r="AK1" s="42" t="s">
        <v>130</v>
      </c>
      <c r="AL1" s="44" t="s">
        <v>101</v>
      </c>
      <c r="AM1" s="44" t="s">
        <v>102</v>
      </c>
      <c r="AN1" s="44" t="s">
        <v>85</v>
      </c>
      <c r="AO1" s="44" t="s">
        <v>88</v>
      </c>
      <c r="AP1" s="44" t="s">
        <v>90</v>
      </c>
      <c r="AQ1" s="44" t="s">
        <v>91</v>
      </c>
    </row>
    <row r="2" spans="1:43" ht="15" thickBot="1" x14ac:dyDescent="0.35">
      <c r="A2" s="89">
        <v>44957</v>
      </c>
      <c r="B2">
        <v>6.64</v>
      </c>
      <c r="C2" s="66">
        <v>5.01</v>
      </c>
      <c r="D2">
        <v>-4</v>
      </c>
      <c r="E2" s="66">
        <v>0.35</v>
      </c>
      <c r="F2">
        <v>1.45963419499156E-2</v>
      </c>
      <c r="G2" s="66">
        <v>1.9381086259652701E-2</v>
      </c>
      <c r="H2" s="66">
        <v>1.2627364755910499E-2</v>
      </c>
      <c r="I2" s="66">
        <v>3.2490554902844797E-2</v>
      </c>
      <c r="J2" s="69">
        <f t="shared" ref="J2:J20" si="0">(G2*0.631)+(H2*0.267)+(I2*0.103)</f>
        <v>1.8947498974661973E-2</v>
      </c>
      <c r="K2" s="85">
        <f>_xlfn.VAR.P(J2:$J$20)</f>
        <v>2.5200020250412886E-4</v>
      </c>
      <c r="L2">
        <f>_xlfn.SKEW.P(J2:$J$20)</f>
        <v>-0.25996425600066314</v>
      </c>
      <c r="M2" s="61">
        <f t="shared" ref="M2:M20" si="1">MAX($D$36-F2,0)</f>
        <v>0</v>
      </c>
      <c r="N2" s="70" t="s">
        <v>118</v>
      </c>
      <c r="O2" s="61">
        <f t="shared" ref="O2:O20" si="2">M2^2</f>
        <v>0</v>
      </c>
      <c r="P2" s="5">
        <f t="shared" ref="P2:P20" si="3">M2^3</f>
        <v>0</v>
      </c>
      <c r="Q2" s="61">
        <f t="shared" ref="Q2:Q20" si="4">M2^4</f>
        <v>0</v>
      </c>
      <c r="R2" s="81">
        <f t="shared" ref="R2:R20" si="5">MAX(F2-$D$36,0)</f>
        <v>8.7630086165822671E-3</v>
      </c>
      <c r="S2" s="71">
        <f t="shared" ref="S2:S20" si="6">(J2 - E2) / $AG$2</f>
        <v>-0.2947053195601767</v>
      </c>
      <c r="U2" s="102">
        <f>(AN2-AI2)/AK2</f>
        <v>-8.4688695125934382E-2</v>
      </c>
      <c r="V2" s="87">
        <f>U2*SQRT(12)</f>
        <v>-0.29337024556965818</v>
      </c>
      <c r="W2" s="103">
        <f>AE2/AI2</f>
        <v>-1.3213701596738292</v>
      </c>
      <c r="X2" s="83">
        <f>(AN2-D36)/AL2</f>
        <v>-0.53688201882481146</v>
      </c>
      <c r="Y2" s="87">
        <f>X2*SQRT(12)</f>
        <v>-1.8598138685494476</v>
      </c>
      <c r="Z2" s="104">
        <f>D28/D32</f>
        <v>4.2573006483891662</v>
      </c>
      <c r="AA2" s="105">
        <f>(AN2-D36)/E30</f>
        <v>-0.44210785699911509</v>
      </c>
      <c r="AB2" s="27">
        <f>AVERAGE(S2:S20)</f>
        <v>-0.37209308222902299</v>
      </c>
      <c r="AC2" s="67">
        <f>D32/AL2</f>
        <v>0.16386703326918431</v>
      </c>
      <c r="AD2" s="31">
        <f>-PERCENTILE(F2:F64, 0.05)</f>
        <v>1.5992220721255852E-2</v>
      </c>
      <c r="AE2" s="20">
        <f>AVERAGEIF(J2:J20, "&lt;=" &amp; AD2)</f>
        <v>-5.5080271919035412E-3</v>
      </c>
      <c r="AF2" s="30">
        <f>AI2/AD2</f>
        <v>0.260653046583529</v>
      </c>
      <c r="AG2" s="97">
        <f>E40/F40</f>
        <v>1.1233339850105402</v>
      </c>
      <c r="AH2" s="20" cm="1">
        <f t="array" ref="AH2">AVERAGE(J2:J20-(F2:F20+AG2)*(B2:B20))</f>
        <v>-1.9331928557897953</v>
      </c>
      <c r="AI2" s="106">
        <f>AVERAGE(E2:E20)/100</f>
        <v>4.1684210526315791E-3</v>
      </c>
      <c r="AJ2" s="63">
        <f>AI2*12</f>
        <v>5.0021052631578952E-2</v>
      </c>
      <c r="AK2" s="65" cm="1">
        <f t="array" ref="AK2">_xlfn.STDEV.S(B2:B20/100)</f>
        <v>3.9695776580923228E-2</v>
      </c>
      <c r="AL2" s="106">
        <f>SQRT(D29)</f>
        <v>9.3627568536450018E-3</v>
      </c>
      <c r="AM2" s="63">
        <f>AL2*SQRT(12)</f>
        <v>3.243354113885373E-2</v>
      </c>
      <c r="AN2" s="106">
        <f>AVERAGE(F2:F62)</f>
        <v>8.0663753198256577E-4</v>
      </c>
      <c r="AO2" s="63">
        <f>AN2*12</f>
        <v>9.6796503837907888E-3</v>
      </c>
      <c r="AP2" s="63">
        <f>_xlfn.STDEV.S(F2:F62)</f>
        <v>8.5449852567622987E-3</v>
      </c>
      <c r="AQ2" s="63">
        <f>AP2*SQRT(12)</f>
        <v>2.9600697229278577E-2</v>
      </c>
    </row>
    <row r="3" spans="1:43" x14ac:dyDescent="0.3">
      <c r="A3" s="89">
        <v>44985</v>
      </c>
      <c r="B3">
        <v>-2.59</v>
      </c>
      <c r="C3" s="66">
        <v>1.17</v>
      </c>
      <c r="D3">
        <v>-0.83</v>
      </c>
      <c r="E3" s="66">
        <v>0.34</v>
      </c>
      <c r="F3">
        <v>-3.7027766306118701E-3</v>
      </c>
      <c r="G3" s="66">
        <v>-1.22011344531965E-2</v>
      </c>
      <c r="H3" s="66">
        <v>-6.38683967827074E-3</v>
      </c>
      <c r="I3" s="66">
        <v>-1.4392450464102099E-3</v>
      </c>
      <c r="J3" s="69">
        <f t="shared" si="0"/>
        <v>-9.5524442738455298E-3</v>
      </c>
      <c r="K3" s="85">
        <f>_xlfn.VAR.P(J3:$J$20)</f>
        <v>2.4233136964778583E-4</v>
      </c>
      <c r="L3">
        <f>_xlfn.SKEW.P(J3:$J$20)</f>
        <v>-0.19494675640942397</v>
      </c>
      <c r="M3" s="61">
        <f t="shared" si="1"/>
        <v>9.5361099639452041E-3</v>
      </c>
      <c r="N3" s="70" t="s">
        <v>118</v>
      </c>
      <c r="O3" s="61">
        <f t="shared" si="2"/>
        <v>9.0937393244454998E-5</v>
      </c>
      <c r="P3" s="5">
        <f t="shared" si="3"/>
        <v>8.6718898181365062E-7</v>
      </c>
      <c r="Q3" s="61">
        <f t="shared" si="4"/>
        <v>8.2696094900966498E-9</v>
      </c>
      <c r="R3" s="81">
        <f t="shared" si="5"/>
        <v>0</v>
      </c>
      <c r="S3" s="71">
        <f t="shared" si="6"/>
        <v>-0.31117410221552744</v>
      </c>
    </row>
    <row r="4" spans="1:43" x14ac:dyDescent="0.3">
      <c r="A4" s="89">
        <v>45016</v>
      </c>
      <c r="B4">
        <v>2.5099999999999998</v>
      </c>
      <c r="C4" s="66">
        <v>-5.51</v>
      </c>
      <c r="D4">
        <v>-8.8699999999999992</v>
      </c>
      <c r="E4" s="66">
        <v>0.36</v>
      </c>
      <c r="F4">
        <v>1.39962004298625E-2</v>
      </c>
      <c r="G4" s="66">
        <v>1.4286053130952501E-2</v>
      </c>
      <c r="H4" s="66">
        <v>2.6278495138236699E-2</v>
      </c>
      <c r="I4" s="66">
        <v>2.7702608101020501E-2</v>
      </c>
      <c r="J4" s="69">
        <f t="shared" si="0"/>
        <v>1.8884226361945339E-2</v>
      </c>
      <c r="K4" s="85">
        <f>_xlfn.VAR.P(J4:$J$20)</f>
        <v>2.5327285251493985E-4</v>
      </c>
      <c r="L4">
        <f>_xlfn.SKEW.P(J4:$J$20)</f>
        <v>-0.26841750219436045</v>
      </c>
      <c r="M4" s="61">
        <f t="shared" si="1"/>
        <v>0</v>
      </c>
      <c r="N4" s="70" t="s">
        <v>118</v>
      </c>
      <c r="O4" s="61">
        <f t="shared" si="2"/>
        <v>0</v>
      </c>
      <c r="P4" s="5">
        <f t="shared" si="3"/>
        <v>0</v>
      </c>
      <c r="Q4" s="61">
        <f t="shared" si="4"/>
        <v>0</v>
      </c>
      <c r="R4" s="81">
        <f t="shared" si="5"/>
        <v>8.1628670965291673E-3</v>
      </c>
      <c r="S4" s="71">
        <f t="shared" si="6"/>
        <v>-0.30366371728249103</v>
      </c>
    </row>
    <row r="5" spans="1:43" x14ac:dyDescent="0.3">
      <c r="A5" s="89">
        <v>45046</v>
      </c>
      <c r="B5">
        <v>0.61</v>
      </c>
      <c r="C5" s="66">
        <v>-3.36</v>
      </c>
      <c r="D5">
        <v>-0.05</v>
      </c>
      <c r="E5" s="66">
        <v>0.35</v>
      </c>
      <c r="F5">
        <v>8.4989221893777504E-3</v>
      </c>
      <c r="G5" s="66">
        <v>1.90274916477347E-2</v>
      </c>
      <c r="H5" s="66">
        <v>-3.3726541330424101E-3</v>
      </c>
      <c r="I5" s="66">
        <v>2.0558582449385101E-2</v>
      </c>
      <c r="J5" s="69">
        <f t="shared" si="0"/>
        <v>1.3223382568484937E-2</v>
      </c>
      <c r="K5" s="85">
        <f>_xlfn.VAR.P(J5:$J$20)</f>
        <v>2.4060945808343989E-4</v>
      </c>
      <c r="L5">
        <f>_xlfn.SKEW.P(J5:$J$20)</f>
        <v>-0.2058697453643287</v>
      </c>
      <c r="M5" s="61">
        <f t="shared" si="1"/>
        <v>0</v>
      </c>
      <c r="N5" s="70" t="s">
        <v>118</v>
      </c>
      <c r="O5" s="61">
        <f t="shared" si="2"/>
        <v>0</v>
      </c>
      <c r="P5" s="5">
        <f t="shared" si="3"/>
        <v>0</v>
      </c>
      <c r="Q5" s="61">
        <f t="shared" si="4"/>
        <v>0</v>
      </c>
      <c r="R5" s="81">
        <f t="shared" si="5"/>
        <v>2.6655888560444168E-3</v>
      </c>
      <c r="S5" s="71">
        <f t="shared" si="6"/>
        <v>-0.29980096919114851</v>
      </c>
    </row>
    <row r="6" spans="1:43" x14ac:dyDescent="0.3">
      <c r="A6" s="89">
        <v>45077</v>
      </c>
      <c r="B6">
        <v>0.35</v>
      </c>
      <c r="C6" s="66">
        <v>1.6</v>
      </c>
      <c r="D6">
        <v>-7.74</v>
      </c>
      <c r="E6" s="66">
        <v>0.36</v>
      </c>
      <c r="F6">
        <v>-5.5606609390426703E-3</v>
      </c>
      <c r="G6" s="66">
        <v>-5.8442491954848602E-2</v>
      </c>
      <c r="H6" s="66">
        <v>7.4850024183718902E-3</v>
      </c>
      <c r="I6" s="66">
        <v>-1.7404661490331499E-2</v>
      </c>
      <c r="J6" s="69">
        <f t="shared" si="0"/>
        <v>-3.6671396911308315E-2</v>
      </c>
      <c r="K6" s="85">
        <f>_xlfn.VAR.P(J6:$J$20)</f>
        <v>2.3764561935560625E-4</v>
      </c>
      <c r="L6">
        <f>_xlfn.SKEW.P(J6:$J$20)</f>
        <v>-9.077436787656315E-2</v>
      </c>
      <c r="M6" s="61">
        <f t="shared" si="1"/>
        <v>1.1393994272376005E-2</v>
      </c>
      <c r="N6" s="70" t="s">
        <v>118</v>
      </c>
      <c r="O6" s="61">
        <f t="shared" si="2"/>
        <v>1.2982310547893721E-4</v>
      </c>
      <c r="P6" s="5">
        <f t="shared" si="3"/>
        <v>1.4792037202490765E-6</v>
      </c>
      <c r="Q6" s="61">
        <f t="shared" si="4"/>
        <v>1.6854038716195257E-8</v>
      </c>
      <c r="R6" s="81">
        <f t="shared" si="5"/>
        <v>0</v>
      </c>
      <c r="S6" s="71">
        <f t="shared" si="6"/>
        <v>-0.35311973304857003</v>
      </c>
    </row>
    <row r="7" spans="1:43" x14ac:dyDescent="0.3">
      <c r="A7" s="89">
        <v>45107</v>
      </c>
      <c r="B7">
        <v>6.47</v>
      </c>
      <c r="C7" s="66">
        <v>1.55</v>
      </c>
      <c r="D7">
        <v>-0.2</v>
      </c>
      <c r="E7" s="66">
        <v>0.4</v>
      </c>
      <c r="F7">
        <v>1.17316931320482E-2</v>
      </c>
      <c r="G7" s="66">
        <v>3.5613231741408999E-2</v>
      </c>
      <c r="H7" s="66">
        <v>1.1061025374995599E-2</v>
      </c>
      <c r="I7" s="66">
        <v>3.06813056448406E-2</v>
      </c>
      <c r="J7" s="69">
        <f t="shared" si="0"/>
        <v>2.8585417485371484E-2</v>
      </c>
      <c r="K7" s="85">
        <f>_xlfn.VAR.P(J7:$J$20)</f>
        <v>1.739979471677432E-4</v>
      </c>
      <c r="L7">
        <f>_xlfn.SKEW.P(J7:$J$20)</f>
        <v>0.37617183647087465</v>
      </c>
      <c r="M7" s="61">
        <f t="shared" si="1"/>
        <v>0</v>
      </c>
      <c r="N7" s="70" t="s">
        <v>118</v>
      </c>
      <c r="O7" s="61">
        <f t="shared" si="2"/>
        <v>0</v>
      </c>
      <c r="P7" s="5">
        <f t="shared" si="3"/>
        <v>0</v>
      </c>
      <c r="Q7" s="61">
        <f t="shared" si="4"/>
        <v>0</v>
      </c>
      <c r="R7" s="81">
        <f t="shared" si="5"/>
        <v>5.8983597987148665E-3</v>
      </c>
      <c r="S7" s="71">
        <f t="shared" si="6"/>
        <v>-0.33063593505643257</v>
      </c>
    </row>
    <row r="8" spans="1:43" x14ac:dyDescent="0.3">
      <c r="A8" s="89">
        <v>45138</v>
      </c>
      <c r="B8">
        <v>3.21</v>
      </c>
      <c r="C8" s="66">
        <v>2.0499999999999998</v>
      </c>
      <c r="D8">
        <v>4.1100000000000003</v>
      </c>
      <c r="E8" s="66">
        <v>0.45</v>
      </c>
      <c r="F8">
        <v>1.90224732390817E-3</v>
      </c>
      <c r="G8" s="66">
        <v>-4.4938812041437303E-4</v>
      </c>
      <c r="H8" s="66">
        <v>1.0633833996458101E-2</v>
      </c>
      <c r="I8" s="66">
        <v>1.91794488749037E-3</v>
      </c>
      <c r="J8" s="69">
        <f t="shared" si="0"/>
        <v>2.7532180964843517E-3</v>
      </c>
      <c r="K8" s="85">
        <f>_xlfn.VAR.P(J8:$J$20)</f>
        <v>1.1041466785151719E-4</v>
      </c>
      <c r="L8">
        <f>_xlfn.SKEW.P(J8:$J$20)</f>
        <v>-0.39573729139293057</v>
      </c>
      <c r="M8" s="61">
        <f t="shared" si="1"/>
        <v>3.9310860094251641E-3</v>
      </c>
      <c r="N8" s="70" t="s">
        <v>118</v>
      </c>
      <c r="O8" s="61">
        <f t="shared" si="2"/>
        <v>1.5453437213498261E-5</v>
      </c>
      <c r="P8" s="5">
        <f t="shared" si="3"/>
        <v>6.0748790827513208E-8</v>
      </c>
      <c r="Q8" s="61">
        <f t="shared" si="4"/>
        <v>2.3880872171153291E-10</v>
      </c>
      <c r="R8" s="81">
        <f t="shared" si="5"/>
        <v>0</v>
      </c>
      <c r="S8" s="71">
        <f t="shared" si="6"/>
        <v>-0.39814230484562357</v>
      </c>
    </row>
    <row r="9" spans="1:43" x14ac:dyDescent="0.3">
      <c r="A9" s="89">
        <v>45169</v>
      </c>
      <c r="B9">
        <v>-2.39</v>
      </c>
      <c r="C9" s="66">
        <v>-3.2</v>
      </c>
      <c r="D9">
        <v>-1.08</v>
      </c>
      <c r="E9" s="66">
        <v>0.45</v>
      </c>
      <c r="F9">
        <v>-1.4645001884701001E-3</v>
      </c>
      <c r="G9" s="66">
        <v>1.84557007151526E-3</v>
      </c>
      <c r="H9" s="66">
        <v>-6.0453336183615798E-3</v>
      </c>
      <c r="I9" s="66">
        <v>1.22263588916529E-2</v>
      </c>
      <c r="J9" s="69">
        <f t="shared" si="0"/>
        <v>8.0976560486383572E-4</v>
      </c>
      <c r="K9" s="85">
        <f>_xlfn.VAR.P(J9:$J$20)</f>
        <v>1.1520007171038643E-4</v>
      </c>
      <c r="L9">
        <f>_xlfn.SKEW.P(J9:$J$20)</f>
        <v>-0.26227460393399177</v>
      </c>
      <c r="M9" s="61">
        <f t="shared" si="1"/>
        <v>7.2978335218034339E-3</v>
      </c>
      <c r="N9" s="70" t="s">
        <v>118</v>
      </c>
      <c r="O9" s="61">
        <f t="shared" si="2"/>
        <v>5.3258374111957908E-5</v>
      </c>
      <c r="P9" s="5">
        <f t="shared" si="3"/>
        <v>3.8867074791099464E-7</v>
      </c>
      <c r="Q9" s="61">
        <f t="shared" si="4"/>
        <v>2.8364544130492682E-9</v>
      </c>
      <c r="R9" s="81">
        <f t="shared" si="5"/>
        <v>0</v>
      </c>
      <c r="S9" s="71">
        <f t="shared" si="6"/>
        <v>-0.39987238024399435</v>
      </c>
      <c r="W9" s="3"/>
    </row>
    <row r="10" spans="1:43" x14ac:dyDescent="0.3">
      <c r="A10" s="89">
        <v>45199</v>
      </c>
      <c r="B10">
        <v>-5.24</v>
      </c>
      <c r="C10" s="66">
        <v>-2.4900000000000002</v>
      </c>
      <c r="D10">
        <v>1.45</v>
      </c>
      <c r="E10" s="66">
        <v>0.43</v>
      </c>
      <c r="F10">
        <v>-2.4299773234057499E-3</v>
      </c>
      <c r="G10" s="66">
        <v>9.4702465814353702E-3</v>
      </c>
      <c r="H10" s="66">
        <v>-2.16913298650684E-3</v>
      </c>
      <c r="I10" s="66">
        <v>5.3742653361548501E-3</v>
      </c>
      <c r="J10" s="69">
        <f t="shared" si="0"/>
        <v>5.9501164151123413E-3</v>
      </c>
      <c r="K10" s="85">
        <f>_xlfn.VAR.P(J10:$J$20)</f>
        <v>1.2252573854414989E-4</v>
      </c>
      <c r="L10">
        <f>_xlfn.SKEW.P(J10:$J$20)</f>
        <v>-0.13393451817254823</v>
      </c>
      <c r="M10" s="61">
        <f t="shared" si="1"/>
        <v>8.2633106567390827E-3</v>
      </c>
      <c r="N10" s="70" t="s">
        <v>118</v>
      </c>
      <c r="O10" s="61">
        <f t="shared" si="2"/>
        <v>6.8282303009777691E-5</v>
      </c>
      <c r="P10" s="5">
        <f t="shared" si="3"/>
        <v>5.6423788212738308E-7</v>
      </c>
      <c r="Q10" s="61">
        <f t="shared" si="4"/>
        <v>4.6624729043190955E-9</v>
      </c>
      <c r="R10" s="81">
        <f t="shared" si="5"/>
        <v>0</v>
      </c>
      <c r="S10" s="71">
        <f t="shared" si="6"/>
        <v>-0.37749225897488431</v>
      </c>
    </row>
    <row r="11" spans="1:43" x14ac:dyDescent="0.3">
      <c r="A11" s="89">
        <v>45230</v>
      </c>
      <c r="B11">
        <v>-3.18</v>
      </c>
      <c r="C11" s="66">
        <v>-3.88</v>
      </c>
      <c r="D11">
        <v>0.19</v>
      </c>
      <c r="E11" s="66">
        <v>0.47</v>
      </c>
      <c r="F11">
        <v>6.26055964641527E-3</v>
      </c>
      <c r="G11" s="66">
        <v>-9.2994728763887893E-3</v>
      </c>
      <c r="H11" s="66">
        <v>1.7069466902578798E-2</v>
      </c>
      <c r="I11" s="66">
        <v>1.37217617257923E-2</v>
      </c>
      <c r="J11" s="69">
        <f t="shared" si="0"/>
        <v>1.0292173574382021E-4</v>
      </c>
      <c r="K11" s="85">
        <f>_xlfn.VAR.P(J11:$J$20)</f>
        <v>1.2076804337008941E-4</v>
      </c>
      <c r="L11">
        <f>_xlfn.SKEW.P(J11:$J$20)</f>
        <v>5.0307121352562011E-2</v>
      </c>
      <c r="M11" s="61">
        <f t="shared" si="1"/>
        <v>0</v>
      </c>
      <c r="N11" s="70" t="s">
        <v>118</v>
      </c>
      <c r="O11" s="61">
        <f t="shared" si="2"/>
        <v>0</v>
      </c>
      <c r="P11" s="5">
        <f t="shared" si="3"/>
        <v>0</v>
      </c>
      <c r="Q11" s="61">
        <f t="shared" si="4"/>
        <v>0</v>
      </c>
      <c r="R11" s="81">
        <f t="shared" si="5"/>
        <v>4.2722631308193641E-4</v>
      </c>
      <c r="S11" s="71">
        <f t="shared" si="6"/>
        <v>-0.41830576171862827</v>
      </c>
    </row>
    <row r="12" spans="1:43" x14ac:dyDescent="0.3">
      <c r="A12" s="89">
        <v>45260</v>
      </c>
      <c r="B12">
        <v>8.83</v>
      </c>
      <c r="C12" s="66">
        <v>-0.03</v>
      </c>
      <c r="D12">
        <v>1.66</v>
      </c>
      <c r="E12" s="66">
        <v>0.44</v>
      </c>
      <c r="F12">
        <v>3.9297680054688399E-3</v>
      </c>
      <c r="G12" s="66">
        <v>-2.8871568541880801E-2</v>
      </c>
      <c r="H12" s="66">
        <v>0</v>
      </c>
      <c r="I12" s="66">
        <v>1.4255614336904901E-3</v>
      </c>
      <c r="J12" s="69">
        <f t="shared" si="0"/>
        <v>-1.8071126922256667E-2</v>
      </c>
      <c r="K12" s="85">
        <f>_xlfn.VAR.P(J12:$J$20)</f>
        <v>1.288625327512738E-4</v>
      </c>
      <c r="L12">
        <f>_xlfn.SKEW.P(J12:$J$20)</f>
        <v>0.222301899402949</v>
      </c>
      <c r="M12" s="61">
        <f t="shared" si="1"/>
        <v>1.9035653278644937E-3</v>
      </c>
      <c r="N12" s="70">
        <f t="shared" ref="N12:N20" si="7">SUM(F2:F12)</f>
        <v>4.7757817595465928E-2</v>
      </c>
      <c r="O12" s="61">
        <f t="shared" si="2"/>
        <v>3.6235609574478573E-6</v>
      </c>
      <c r="P12" s="5">
        <f t="shared" si="3"/>
        <v>6.8976850020012093E-9</v>
      </c>
      <c r="Q12" s="61">
        <f t="shared" si="4"/>
        <v>1.3130194012340433E-11</v>
      </c>
      <c r="R12" s="81">
        <f t="shared" si="5"/>
        <v>0</v>
      </c>
      <c r="S12" s="71">
        <f t="shared" si="6"/>
        <v>-0.40777821470251219</v>
      </c>
    </row>
    <row r="13" spans="1:43" x14ac:dyDescent="0.3">
      <c r="A13" s="89">
        <v>45291</v>
      </c>
      <c r="B13">
        <v>4.87</v>
      </c>
      <c r="C13" s="66">
        <v>6.36</v>
      </c>
      <c r="D13">
        <v>4.92</v>
      </c>
      <c r="E13" s="66">
        <v>0.43</v>
      </c>
      <c r="F13">
        <v>-2.8992001142782199E-3</v>
      </c>
      <c r="G13" s="66">
        <v>0</v>
      </c>
      <c r="H13" s="66">
        <v>-7.7475592342552899E-3</v>
      </c>
      <c r="I13" s="66">
        <v>-3.94845691106254E-3</v>
      </c>
      <c r="J13" s="69">
        <f t="shared" si="0"/>
        <v>-2.475289377385604E-3</v>
      </c>
      <c r="K13" s="85">
        <f>_xlfn.VAR.P(J13:$J$20)</f>
        <v>1.2833205939907845E-4</v>
      </c>
      <c r="L13">
        <f>_xlfn.SKEW.P(J13:$J$20)</f>
        <v>4.9942368564851423E-4</v>
      </c>
      <c r="M13" s="61">
        <f t="shared" si="1"/>
        <v>8.7325334476115526E-3</v>
      </c>
      <c r="N13" s="70">
        <f t="shared" si="7"/>
        <v>3.0262275531272118E-2</v>
      </c>
      <c r="O13" s="61">
        <f t="shared" si="2"/>
        <v>7.6257140413654511E-5</v>
      </c>
      <c r="P13" s="5">
        <f t="shared" si="3"/>
        <v>6.6591802928144874E-7</v>
      </c>
      <c r="Q13" s="61">
        <f t="shared" si="4"/>
        <v>5.8151514640678199E-9</v>
      </c>
      <c r="R13" s="81">
        <f t="shared" si="5"/>
        <v>0</v>
      </c>
      <c r="S13" s="71">
        <f t="shared" si="6"/>
        <v>-0.38499261586332911</v>
      </c>
    </row>
    <row r="14" spans="1:43" x14ac:dyDescent="0.3">
      <c r="A14" s="89">
        <v>45322</v>
      </c>
      <c r="B14">
        <v>0.7</v>
      </c>
      <c r="C14" s="66">
        <v>-5.0199999999999996</v>
      </c>
      <c r="D14">
        <v>-2.4700000000000002</v>
      </c>
      <c r="E14" s="66">
        <v>0.47</v>
      </c>
      <c r="F14">
        <v>-1.64519124168412E-2</v>
      </c>
      <c r="G14" s="66">
        <v>-2.0064846354900401E-2</v>
      </c>
      <c r="H14" s="66">
        <v>-2.1784333618836301E-2</v>
      </c>
      <c r="I14" s="66">
        <v>-4.3304379889812603E-2</v>
      </c>
      <c r="J14" s="69">
        <f t="shared" si="0"/>
        <v>-2.2937686254822145E-2</v>
      </c>
      <c r="K14" s="85">
        <f>_xlfn.VAR.P(J14:$J$20)</f>
        <v>1.4482330564143185E-4</v>
      </c>
      <c r="L14">
        <f>_xlfn.SKEW.P(J14:$J$20)</f>
        <v>0.117049857508165</v>
      </c>
      <c r="M14" s="61">
        <f t="shared" si="1"/>
        <v>2.2285245750174532E-2</v>
      </c>
      <c r="N14" s="70">
        <f t="shared" si="7"/>
        <v>1.7513139745042788E-2</v>
      </c>
      <c r="O14" s="61">
        <f t="shared" si="2"/>
        <v>4.9663217814567204E-4</v>
      </c>
      <c r="P14" s="5">
        <f t="shared" si="3"/>
        <v>1.1067570137420759E-5</v>
      </c>
      <c r="Q14" s="61">
        <f t="shared" si="4"/>
        <v>2.4664352036971453E-7</v>
      </c>
      <c r="R14" s="81">
        <f t="shared" si="5"/>
        <v>0</v>
      </c>
      <c r="S14" s="71">
        <f t="shared" si="6"/>
        <v>-0.43881667681423964</v>
      </c>
    </row>
    <row r="15" spans="1:43" x14ac:dyDescent="0.3">
      <c r="A15" s="89">
        <v>45351</v>
      </c>
      <c r="B15">
        <v>5.07</v>
      </c>
      <c r="C15" s="66">
        <v>-0.22</v>
      </c>
      <c r="D15">
        <v>-3.52</v>
      </c>
      <c r="E15" s="66">
        <v>0.42</v>
      </c>
      <c r="F15">
        <v>3.5885663338952201E-3</v>
      </c>
      <c r="G15" s="66">
        <v>1.8485560068935598E-2</v>
      </c>
      <c r="H15" s="66">
        <v>0</v>
      </c>
      <c r="I15" s="66">
        <v>2.36409940057178E-2</v>
      </c>
      <c r="J15" s="69">
        <f t="shared" si="0"/>
        <v>1.4099410786087296E-2</v>
      </c>
      <c r="K15" s="85">
        <f>_xlfn.VAR.P(J15:$J$20)</f>
        <v>1.1522600907870122E-4</v>
      </c>
      <c r="L15">
        <f>_xlfn.SKEW.P(J15:$J$20)</f>
        <v>1.9925972702773648E-2</v>
      </c>
      <c r="M15" s="61">
        <f t="shared" si="1"/>
        <v>2.2447669994381135E-3</v>
      </c>
      <c r="N15" s="70">
        <f t="shared" si="7"/>
        <v>7.1055056490755119E-3</v>
      </c>
      <c r="O15" s="61">
        <f t="shared" si="2"/>
        <v>5.0389788817663915E-6</v>
      </c>
      <c r="P15" s="5">
        <f t="shared" si="3"/>
        <v>1.1311333504654764E-8</v>
      </c>
      <c r="Q15" s="61">
        <f t="shared" si="4"/>
        <v>2.5391308170887674E-11</v>
      </c>
      <c r="R15" s="81">
        <f t="shared" si="5"/>
        <v>0</v>
      </c>
      <c r="S15" s="71">
        <f t="shared" si="6"/>
        <v>-0.36133562647452899</v>
      </c>
    </row>
    <row r="16" spans="1:43" x14ac:dyDescent="0.3">
      <c r="A16" s="89">
        <v>45382</v>
      </c>
      <c r="B16">
        <v>2.83</v>
      </c>
      <c r="C16" s="66">
        <v>-2.5099999999999998</v>
      </c>
      <c r="D16">
        <v>4.21</v>
      </c>
      <c r="E16" s="66">
        <v>0.43</v>
      </c>
      <c r="F16">
        <v>-1.9114460452748799E-4</v>
      </c>
      <c r="G16" s="66">
        <v>1.173884999106E-3</v>
      </c>
      <c r="H16" s="66">
        <v>2.7105183596555999E-3</v>
      </c>
      <c r="I16" s="66">
        <v>-2.13796490510725E-3</v>
      </c>
      <c r="J16" s="69">
        <f t="shared" si="0"/>
        <v>1.2442194512378845E-3</v>
      </c>
      <c r="K16" s="85">
        <f>_xlfn.VAR.P(J16:$J$20)</f>
        <v>6.356741721749449E-5</v>
      </c>
      <c r="L16">
        <f>_xlfn.SKEW.P(J16:$J$20)</f>
        <v>-0.69434466824054086</v>
      </c>
      <c r="M16" s="61">
        <f t="shared" si="1"/>
        <v>6.0244779378608214E-3</v>
      </c>
      <c r="N16" s="70">
        <f t="shared" si="7"/>
        <v>-1.5845611448297282E-3</v>
      </c>
      <c r="O16" s="61">
        <f t="shared" si="2"/>
        <v>3.6294334423771778E-5</v>
      </c>
      <c r="P16" s="5">
        <f t="shared" si="3"/>
        <v>2.1865441700535563E-7</v>
      </c>
      <c r="Q16" s="61">
        <f t="shared" si="4"/>
        <v>1.3172787112645851E-9</v>
      </c>
      <c r="R16" s="81">
        <f t="shared" si="5"/>
        <v>0</v>
      </c>
      <c r="S16" s="71">
        <f t="shared" si="6"/>
        <v>-0.38168148232846277</v>
      </c>
    </row>
    <row r="17" spans="1:19" x14ac:dyDescent="0.3">
      <c r="A17" s="89">
        <v>45412</v>
      </c>
      <c r="B17">
        <v>-4.67</v>
      </c>
      <c r="C17" s="66">
        <v>-2.39</v>
      </c>
      <c r="D17">
        <v>-0.52</v>
      </c>
      <c r="E17" s="66">
        <v>0.47</v>
      </c>
      <c r="F17">
        <v>-1.5968026421488202E-2</v>
      </c>
      <c r="G17" s="66">
        <v>-1.5560826701060499E-2</v>
      </c>
      <c r="H17" s="66">
        <v>-2.3802365272986799E-2</v>
      </c>
      <c r="I17" s="66">
        <v>-4.4834120359059003E-2</v>
      </c>
      <c r="J17" s="69">
        <f t="shared" si="0"/>
        <v>-2.0792027573239731E-2</v>
      </c>
      <c r="K17" s="85">
        <f>_xlfn.VAR.P(J17:$J$20)</f>
        <v>5.7847646776170304E-5</v>
      </c>
      <c r="L17">
        <f>_xlfn.SKEW.P(J17:$J$20)</f>
        <v>-0.48611001440269891</v>
      </c>
      <c r="M17" s="61">
        <f t="shared" si="1"/>
        <v>2.1801359754821534E-2</v>
      </c>
      <c r="N17" s="70">
        <f t="shared" si="7"/>
        <v>-1.1991926627275258E-2</v>
      </c>
      <c r="O17" s="61">
        <f t="shared" si="2"/>
        <v>4.7529928715915208E-4</v>
      </c>
      <c r="P17" s="5">
        <f t="shared" si="3"/>
        <v>1.0362170750566903E-5</v>
      </c>
      <c r="Q17" s="61">
        <f t="shared" si="4"/>
        <v>2.2590941237399811E-7</v>
      </c>
      <c r="R17" s="81">
        <f t="shared" si="5"/>
        <v>0</v>
      </c>
      <c r="S17" s="71">
        <f t="shared" si="6"/>
        <v>-0.43690659600994325</v>
      </c>
    </row>
    <row r="18" spans="1:19" x14ac:dyDescent="0.3">
      <c r="A18" s="89">
        <v>45443</v>
      </c>
      <c r="B18">
        <v>4.34</v>
      </c>
      <c r="C18" s="66">
        <v>0.78</v>
      </c>
      <c r="D18">
        <v>-1.66</v>
      </c>
      <c r="E18" s="66">
        <v>0.44</v>
      </c>
      <c r="F18">
        <v>9.0669792401037296E-3</v>
      </c>
      <c r="G18" s="66">
        <v>-7.8770708743353592E-3</v>
      </c>
      <c r="H18" s="66">
        <v>8.5372534857732396E-4</v>
      </c>
      <c r="I18" s="66">
        <v>4.9575954400750703E-4</v>
      </c>
      <c r="J18" s="69">
        <f t="shared" si="0"/>
        <v>-4.6914238206026936E-3</v>
      </c>
      <c r="K18" s="85">
        <f>_xlfn.VAR.P(J18:$J$20)</f>
        <v>1.6900737051165971E-5</v>
      </c>
      <c r="L18">
        <f>_xlfn.SKEW.P(J18:$J$20)</f>
        <v>-0.20849269023909298</v>
      </c>
      <c r="M18" s="61">
        <f t="shared" si="1"/>
        <v>0</v>
      </c>
      <c r="N18" s="70">
        <f t="shared" si="7"/>
        <v>-1.465664051921973E-2</v>
      </c>
      <c r="O18" s="61">
        <f t="shared" si="2"/>
        <v>0</v>
      </c>
      <c r="P18" s="5">
        <f t="shared" si="3"/>
        <v>0</v>
      </c>
      <c r="Q18" s="61">
        <f t="shared" si="4"/>
        <v>0</v>
      </c>
      <c r="R18" s="81">
        <f t="shared" si="5"/>
        <v>3.233645906770396E-3</v>
      </c>
      <c r="S18" s="71">
        <f t="shared" si="6"/>
        <v>-0.3958675066849599</v>
      </c>
    </row>
    <row r="19" spans="1:19" x14ac:dyDescent="0.3">
      <c r="A19" s="89">
        <v>45473</v>
      </c>
      <c r="B19">
        <v>2.77</v>
      </c>
      <c r="C19" s="66">
        <v>-3.06</v>
      </c>
      <c r="D19">
        <v>-3.31</v>
      </c>
      <c r="E19" s="66">
        <v>0.41</v>
      </c>
      <c r="F19">
        <v>-3.9429504567680997E-3</v>
      </c>
      <c r="G19" s="66">
        <v>-3.63590504661829E-3</v>
      </c>
      <c r="H19" s="66">
        <v>7.2499583407455402E-3</v>
      </c>
      <c r="I19" s="66">
        <v>-1.8598939844125301E-3</v>
      </c>
      <c r="J19" s="69">
        <f t="shared" si="0"/>
        <v>-5.5008628783157225E-4</v>
      </c>
      <c r="K19" s="85">
        <f>_xlfn.VAR.P(J19:$J$20)</f>
        <v>2.509960911933004E-5</v>
      </c>
      <c r="M19" s="61">
        <f t="shared" si="1"/>
        <v>9.7762837901014324E-3</v>
      </c>
      <c r="N19" s="70">
        <f t="shared" si="7"/>
        <v>-2.0501838299895995E-2</v>
      </c>
      <c r="O19" s="61">
        <f t="shared" si="2"/>
        <v>9.5575724744600033E-5</v>
      </c>
      <c r="P19" s="5">
        <f t="shared" si="3"/>
        <v>9.3437540854782962E-7</v>
      </c>
      <c r="Q19" s="61">
        <f t="shared" si="4"/>
        <v>9.1347191604555507E-9</v>
      </c>
      <c r="R19" s="81">
        <f t="shared" si="5"/>
        <v>0</v>
      </c>
      <c r="S19" s="71">
        <f t="shared" si="6"/>
        <v>-0.3654746422400631</v>
      </c>
    </row>
    <row r="20" spans="1:19" ht="15" thickBot="1" x14ac:dyDescent="0.35">
      <c r="A20" s="90">
        <v>45504</v>
      </c>
      <c r="B20" s="72">
        <v>1.24</v>
      </c>
      <c r="C20" s="87">
        <v>6.84</v>
      </c>
      <c r="D20" s="72">
        <v>5.7</v>
      </c>
      <c r="E20" s="87">
        <v>0.45</v>
      </c>
      <c r="F20" s="72">
        <v>-5.0793787184144797E-3</v>
      </c>
      <c r="G20" s="87">
        <v>-1.3087187160969E-2</v>
      </c>
      <c r="H20" s="87">
        <v>-5.0483084877583698E-3</v>
      </c>
      <c r="I20" s="87">
        <v>-9.3599499259801201E-3</v>
      </c>
      <c r="J20" s="73">
        <f t="shared" si="0"/>
        <v>-1.0569988307178877E-2</v>
      </c>
      <c r="K20" s="86">
        <f>_xlfn.VAR.P(J20:$J$20)</f>
        <v>0</v>
      </c>
      <c r="L20" s="72"/>
      <c r="M20" s="83">
        <f t="shared" si="1"/>
        <v>1.0912712051747812E-2</v>
      </c>
      <c r="N20" s="75">
        <f t="shared" si="7"/>
        <v>-2.4116716829840377E-2</v>
      </c>
      <c r="O20" s="83">
        <f t="shared" si="2"/>
        <v>1.1908728432436195E-4</v>
      </c>
      <c r="P20" s="74">
        <f t="shared" si="3"/>
        <v>1.2995652428563831E-6</v>
      </c>
      <c r="Q20" s="83">
        <f t="shared" si="4"/>
        <v>1.4181781287751424E-8</v>
      </c>
      <c r="R20" s="82">
        <f t="shared" si="5"/>
        <v>0</v>
      </c>
      <c r="S20" s="76">
        <f t="shared" si="6"/>
        <v>-0.41000271909592173</v>
      </c>
    </row>
    <row r="23" spans="1:19" s="10" customFormat="1" x14ac:dyDescent="0.3"/>
    <row r="24" spans="1:19" s="10" customFormat="1" x14ac:dyDescent="0.3"/>
    <row r="25" spans="1:19" s="10" customFormat="1" ht="25.8" x14ac:dyDescent="0.5">
      <c r="H25" s="93"/>
      <c r="I25" s="93"/>
      <c r="J25" s="93"/>
      <c r="K25" s="93"/>
      <c r="L25" s="93"/>
    </row>
    <row r="26" spans="1:19" s="10" customFormat="1" ht="15" thickBot="1" x14ac:dyDescent="0.35"/>
    <row r="27" spans="1:19" s="10" customFormat="1" ht="16.2" thickBot="1" x14ac:dyDescent="0.35">
      <c r="C27" s="109" t="s">
        <v>123</v>
      </c>
      <c r="D27" s="110"/>
      <c r="E27" s="110"/>
      <c r="F27" s="111"/>
      <c r="H27" s="37"/>
      <c r="K27" s="37"/>
      <c r="L27" s="37"/>
    </row>
    <row r="28" spans="1:19" s="10" customFormat="1" x14ac:dyDescent="0.3">
      <c r="C28" s="35" t="s">
        <v>119</v>
      </c>
      <c r="D28" s="59">
        <f>AVERAGE(M2:M20)</f>
        <v>6.5317515517846932E-3</v>
      </c>
      <c r="E28" s="26"/>
      <c r="F28" s="15"/>
      <c r="H28" s="37"/>
      <c r="K28" s="37"/>
      <c r="N28" s="37"/>
      <c r="Q28" s="37"/>
    </row>
    <row r="29" spans="1:19" s="10" customFormat="1" x14ac:dyDescent="0.3">
      <c r="C29" s="38" t="s">
        <v>77</v>
      </c>
      <c r="D29" s="60">
        <f>AVERAGE(O2:O20)</f>
        <v>8.7661215900476465E-5</v>
      </c>
      <c r="E29" s="23"/>
      <c r="F29" s="16"/>
      <c r="H29" s="37"/>
      <c r="K29" s="37"/>
      <c r="N29" s="37"/>
      <c r="Q29" s="37"/>
    </row>
    <row r="30" spans="1:19" s="10" customFormat="1" x14ac:dyDescent="0.3">
      <c r="C30" s="38" t="s">
        <v>78</v>
      </c>
      <c r="D30" s="61">
        <f>AVERAGE(P2:P20)</f>
        <v>1.4698164803744184E-6</v>
      </c>
      <c r="E30" s="62">
        <f>D30^(1/3)</f>
        <v>1.1369840462620028E-2</v>
      </c>
      <c r="F30" s="16" t="s">
        <v>121</v>
      </c>
      <c r="H30" s="37"/>
      <c r="K30" s="37"/>
      <c r="N30" s="37"/>
      <c r="Q30" s="37"/>
    </row>
    <row r="31" spans="1:19" s="10" customFormat="1" x14ac:dyDescent="0.3">
      <c r="C31" s="38" t="s">
        <v>120</v>
      </c>
      <c r="D31" s="61">
        <f>AVERAGE(Q2:Q20)</f>
        <v>2.8205356269200366E-8</v>
      </c>
      <c r="E31" s="62">
        <f>D31^(1/4)</f>
        <v>1.2959340397555429E-2</v>
      </c>
      <c r="F31" s="16" t="s">
        <v>122</v>
      </c>
      <c r="H31" s="37"/>
      <c r="K31" s="37"/>
      <c r="N31" s="37"/>
      <c r="Q31" s="37"/>
    </row>
    <row r="32" spans="1:19" s="10" customFormat="1" x14ac:dyDescent="0.3">
      <c r="C32" s="38" t="s">
        <v>105</v>
      </c>
      <c r="D32" s="22">
        <f>AVERAGE(R2:R64)</f>
        <v>1.5342471888275288E-3</v>
      </c>
      <c r="E32" s="23"/>
      <c r="F32" s="16"/>
      <c r="H32" s="37"/>
      <c r="K32" s="37"/>
      <c r="N32" s="37"/>
      <c r="Q32" s="37"/>
    </row>
    <row r="33" spans="1:19" s="10" customFormat="1" ht="15" thickBot="1" x14ac:dyDescent="0.35">
      <c r="C33" s="38"/>
      <c r="D33" s="64"/>
      <c r="E33" s="23"/>
      <c r="F33" s="16"/>
      <c r="H33" s="37"/>
      <c r="K33" s="37"/>
      <c r="N33" s="37"/>
    </row>
    <row r="34" spans="1:19" s="10" customFormat="1" x14ac:dyDescent="0.3">
      <c r="C34" s="35" t="s">
        <v>127</v>
      </c>
      <c r="D34" s="62">
        <f>0.07</f>
        <v>7.0000000000000007E-2</v>
      </c>
      <c r="E34" s="26"/>
      <c r="F34" s="15"/>
      <c r="K34" s="37"/>
    </row>
    <row r="35" spans="1:19" s="10" customFormat="1" x14ac:dyDescent="0.3">
      <c r="C35" s="38" t="s">
        <v>95</v>
      </c>
      <c r="D35" s="62"/>
      <c r="E35" s="23"/>
      <c r="F35" s="16"/>
      <c r="J35" s="94"/>
      <c r="K35" s="37"/>
      <c r="M35" s="12"/>
      <c r="N35" s="101"/>
      <c r="O35" s="12"/>
      <c r="P35" s="12"/>
      <c r="Q35" s="12"/>
      <c r="R35" s="14"/>
      <c r="S35" s="14"/>
    </row>
    <row r="36" spans="1:19" s="10" customFormat="1" ht="15" thickBot="1" x14ac:dyDescent="0.35">
      <c r="C36" s="36" t="s">
        <v>96</v>
      </c>
      <c r="D36" s="63">
        <f>D34/12</f>
        <v>5.8333333333333336E-3</v>
      </c>
      <c r="E36" s="27"/>
      <c r="F36" s="20"/>
      <c r="J36" s="94"/>
      <c r="K36" s="37"/>
      <c r="M36" s="12"/>
      <c r="N36" s="101"/>
      <c r="O36" s="12"/>
      <c r="P36" s="12"/>
      <c r="Q36" s="12"/>
      <c r="R36" s="14"/>
      <c r="S36" s="14"/>
    </row>
    <row r="37" spans="1:19" s="10" customFormat="1" x14ac:dyDescent="0.3">
      <c r="J37" s="94"/>
      <c r="K37" s="37"/>
      <c r="M37" s="12"/>
      <c r="N37" s="101"/>
      <c r="O37" s="12"/>
      <c r="P37" s="12"/>
      <c r="Q37" s="12"/>
      <c r="R37" s="14"/>
      <c r="S37" s="14"/>
    </row>
    <row r="38" spans="1:19" s="10" customFormat="1" ht="15" thickBot="1" x14ac:dyDescent="0.35">
      <c r="J38" s="11"/>
      <c r="M38" s="12"/>
      <c r="N38" s="13"/>
      <c r="O38" s="12"/>
      <c r="P38" s="12"/>
      <c r="Q38" s="12"/>
      <c r="R38" s="14"/>
      <c r="S38" s="14"/>
    </row>
    <row r="39" spans="1:19" s="10" customFormat="1" ht="15" thickBot="1" x14ac:dyDescent="0.35">
      <c r="A39" s="45" t="s">
        <v>68</v>
      </c>
      <c r="B39" s="45" t="s">
        <v>69</v>
      </c>
      <c r="C39" s="46" t="s">
        <v>70</v>
      </c>
      <c r="E39" s="44" t="s">
        <v>115</v>
      </c>
      <c r="F39" s="43" t="s">
        <v>116</v>
      </c>
      <c r="J39" s="11"/>
      <c r="M39" s="12"/>
      <c r="N39" s="13"/>
      <c r="O39" s="12"/>
      <c r="P39" s="12"/>
      <c r="Q39" s="12"/>
      <c r="R39" s="14"/>
      <c r="S39" s="14"/>
    </row>
    <row r="40" spans="1:19" s="10" customFormat="1" ht="15" thickBot="1" x14ac:dyDescent="0.35">
      <c r="A40" s="58">
        <v>0.76533359466666662</v>
      </c>
      <c r="B40" s="58">
        <v>0.13333386666666658</v>
      </c>
      <c r="C40" s="58">
        <v>0.10133333866666668</v>
      </c>
      <c r="E40" s="27">
        <f>_xlfn.COVARIANCE.P(I2:I20,J2:J20)</f>
        <v>2.830803917024262E-4</v>
      </c>
      <c r="F40" s="39">
        <f>_xlfn.VAR.P(J2:J20)</f>
        <v>2.5200020250412886E-4</v>
      </c>
      <c r="J40" s="11"/>
      <c r="M40" s="12"/>
      <c r="N40" s="13"/>
      <c r="O40" s="12"/>
      <c r="P40" s="12"/>
      <c r="Q40" s="12"/>
      <c r="R40" s="14"/>
      <c r="S40" s="14"/>
    </row>
    <row r="41" spans="1:19" x14ac:dyDescent="0.3">
      <c r="M41" s="5"/>
      <c r="N41" s="4"/>
      <c r="O41" s="5"/>
      <c r="P41" s="5"/>
      <c r="Q41" s="5"/>
      <c r="R41" s="8"/>
      <c r="S41" s="8"/>
    </row>
    <row r="42" spans="1:19" x14ac:dyDescent="0.3">
      <c r="M42" s="5"/>
      <c r="N42" s="4"/>
      <c r="O42" s="5"/>
      <c r="P42" s="5"/>
      <c r="Q42" s="5"/>
      <c r="R42" s="8"/>
      <c r="S42" s="8"/>
    </row>
    <row r="43" spans="1:19" x14ac:dyDescent="0.3">
      <c r="M43" s="5"/>
      <c r="N43" s="4"/>
      <c r="O43" s="5"/>
      <c r="P43" s="5"/>
      <c r="Q43" s="5"/>
      <c r="R43" s="8"/>
      <c r="S43" s="8"/>
    </row>
    <row r="44" spans="1:19" x14ac:dyDescent="0.3">
      <c r="M44" s="5"/>
      <c r="N44" s="4"/>
      <c r="O44" s="5"/>
      <c r="P44" s="5"/>
      <c r="Q44" s="5"/>
      <c r="R44" s="8"/>
      <c r="S44" s="8"/>
    </row>
    <row r="45" spans="1:19" x14ac:dyDescent="0.3">
      <c r="M45" s="5"/>
      <c r="N45" s="4"/>
      <c r="O45" s="5"/>
      <c r="P45" s="5"/>
      <c r="Q45" s="5"/>
      <c r="R45" s="8"/>
      <c r="S45" s="8"/>
    </row>
    <row r="46" spans="1:19" x14ac:dyDescent="0.3">
      <c r="M46" s="5"/>
      <c r="N46" s="4"/>
      <c r="O46" s="5"/>
      <c r="P46" s="5"/>
      <c r="Q46" s="5"/>
      <c r="R46" s="8"/>
      <c r="S46" s="8"/>
    </row>
    <row r="47" spans="1:19" x14ac:dyDescent="0.3">
      <c r="M47" s="5"/>
      <c r="N47" s="4"/>
      <c r="O47" s="5"/>
      <c r="P47" s="5"/>
      <c r="Q47" s="5"/>
      <c r="R47" s="8"/>
      <c r="S47" s="8"/>
    </row>
    <row r="48" spans="1:19" x14ac:dyDescent="0.3">
      <c r="M48" s="5"/>
      <c r="N48" s="4"/>
      <c r="O48" s="5"/>
      <c r="P48" s="5"/>
      <c r="Q48" s="5"/>
      <c r="R48" s="8"/>
      <c r="S48" s="8"/>
    </row>
    <row r="49" spans="13:19" x14ac:dyDescent="0.3">
      <c r="M49" s="5"/>
      <c r="N49" s="4"/>
      <c r="O49" s="5"/>
      <c r="P49" s="5"/>
      <c r="Q49" s="5"/>
      <c r="R49" s="8"/>
      <c r="S49" s="8"/>
    </row>
    <row r="50" spans="13:19" x14ac:dyDescent="0.3">
      <c r="M50" s="5"/>
      <c r="N50" s="4"/>
      <c r="O50" s="5"/>
      <c r="P50" s="5"/>
      <c r="Q50" s="5"/>
      <c r="R50" s="8"/>
      <c r="S50" s="8"/>
    </row>
    <row r="51" spans="13:19" x14ac:dyDescent="0.3">
      <c r="M51" s="5"/>
      <c r="N51" s="4"/>
      <c r="O51" s="5"/>
      <c r="P51" s="5"/>
      <c r="Q51" s="5"/>
      <c r="R51" s="8"/>
      <c r="S51" s="8"/>
    </row>
    <row r="52" spans="13:19" x14ac:dyDescent="0.3">
      <c r="M52" s="5"/>
      <c r="N52" s="4"/>
      <c r="O52" s="5"/>
      <c r="P52" s="5"/>
      <c r="Q52" s="5"/>
      <c r="R52" s="8"/>
      <c r="S52" s="8"/>
    </row>
    <row r="53" spans="13:19" x14ac:dyDescent="0.3">
      <c r="M53" s="5"/>
      <c r="N53" s="4"/>
      <c r="O53" s="5"/>
      <c r="P53" s="5"/>
      <c r="Q53" s="5"/>
      <c r="R53" s="8"/>
      <c r="S53" s="8"/>
    </row>
    <row r="54" spans="13:19" x14ac:dyDescent="0.3">
      <c r="M54" s="5"/>
      <c r="N54" s="4"/>
      <c r="O54" s="5"/>
      <c r="P54" s="5"/>
      <c r="Q54" s="5"/>
      <c r="R54" s="8"/>
      <c r="S54" s="8"/>
    </row>
    <row r="55" spans="13:19" x14ac:dyDescent="0.3">
      <c r="M55" s="5"/>
      <c r="N55" s="4"/>
      <c r="O55" s="5"/>
      <c r="P55" s="5"/>
      <c r="Q55" s="5"/>
      <c r="R55" s="8"/>
      <c r="S55" s="8"/>
    </row>
    <row r="56" spans="13:19" x14ac:dyDescent="0.3">
      <c r="M56" s="5"/>
      <c r="N56" s="4"/>
      <c r="O56" s="5"/>
      <c r="P56" s="5"/>
      <c r="Q56" s="5"/>
      <c r="R56" s="8"/>
      <c r="S56" s="8"/>
    </row>
    <row r="57" spans="13:19" x14ac:dyDescent="0.3">
      <c r="M57" s="5"/>
      <c r="N57" s="4"/>
      <c r="O57" s="5"/>
      <c r="P57" s="5"/>
      <c r="Q57" s="5"/>
      <c r="R57" s="8"/>
      <c r="S57" s="8"/>
    </row>
    <row r="58" spans="13:19" x14ac:dyDescent="0.3">
      <c r="M58" s="5"/>
      <c r="N58" s="4"/>
      <c r="O58" s="5"/>
      <c r="P58" s="5"/>
      <c r="Q58" s="5"/>
      <c r="R58" s="8"/>
      <c r="S58" s="8"/>
    </row>
    <row r="59" spans="13:19" x14ac:dyDescent="0.3">
      <c r="M59" s="5"/>
      <c r="N59" s="4"/>
      <c r="O59" s="5"/>
      <c r="P59" s="5"/>
      <c r="Q59" s="5"/>
      <c r="R59" s="8"/>
      <c r="S59" s="8"/>
    </row>
    <row r="60" spans="13:19" x14ac:dyDescent="0.3">
      <c r="M60" s="5"/>
      <c r="N60" s="4"/>
      <c r="O60" s="5"/>
      <c r="P60" s="5"/>
      <c r="Q60" s="5"/>
      <c r="R60" s="8"/>
      <c r="S60" s="8"/>
    </row>
    <row r="61" spans="13:19" x14ac:dyDescent="0.3">
      <c r="M61" s="5"/>
      <c r="N61" s="4"/>
      <c r="O61" s="5"/>
      <c r="P61" s="5"/>
      <c r="Q61" s="5"/>
      <c r="R61" s="8"/>
      <c r="S61" s="8"/>
    </row>
    <row r="62" spans="13:19" x14ac:dyDescent="0.3">
      <c r="M62" s="5"/>
      <c r="N62" s="4"/>
      <c r="O62" s="5"/>
      <c r="P62" s="5"/>
      <c r="Q62" s="5"/>
      <c r="R62" s="8"/>
      <c r="S62" s="8"/>
    </row>
  </sheetData>
  <mergeCells count="1">
    <mergeCell ref="C27:F27"/>
  </mergeCells>
  <pageMargins left="0.7" right="0.7" top="0.75" bottom="0.75" header="0.3" footer="0.3"/>
  <ignoredErrors>
    <ignoredError sqref="N12:N20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2F65-C93F-4207-949F-B4241C8B5A81}">
  <dimension ref="A1:AQ64"/>
  <sheetViews>
    <sheetView tabSelected="1" zoomScale="85" zoomScaleNormal="90" workbookViewId="0">
      <selection activeCell="L27" sqref="L27"/>
    </sheetView>
  </sheetViews>
  <sheetFormatPr defaultRowHeight="14.4" x14ac:dyDescent="0.3"/>
  <cols>
    <col min="1" max="1" width="7.21875" style="10" bestFit="1" customWidth="1"/>
    <col min="2" max="2" width="7" style="10" bestFit="1" customWidth="1"/>
    <col min="3" max="3" width="10.77734375" style="10" bestFit="1" customWidth="1"/>
    <col min="4" max="4" width="8.21875" style="10" bestFit="1" customWidth="1"/>
    <col min="5" max="7" width="13" style="10" bestFit="1" customWidth="1"/>
    <col min="8" max="8" width="16.5546875" style="10" bestFit="1" customWidth="1"/>
    <col min="9" max="9" width="13" style="10" bestFit="1" customWidth="1"/>
    <col min="10" max="10" width="14.6640625" style="10" bestFit="1" customWidth="1"/>
    <col min="11" max="11" width="8.77734375" style="10" bestFit="1" customWidth="1"/>
    <col min="12" max="12" width="13" style="10" bestFit="1" customWidth="1"/>
    <col min="13" max="13" width="12.44140625" style="10" bestFit="1" customWidth="1"/>
    <col min="14" max="14" width="11" style="10" bestFit="1" customWidth="1"/>
    <col min="15" max="17" width="9.77734375" style="10" bestFit="1" customWidth="1"/>
    <col min="18" max="18" width="11.88671875" style="10" bestFit="1" customWidth="1"/>
    <col min="19" max="19" width="14.77734375" style="10" bestFit="1" customWidth="1"/>
    <col min="20" max="20" width="8.88671875" style="10"/>
    <col min="21" max="22" width="13" style="10" bestFit="1" customWidth="1"/>
    <col min="23" max="23" width="22.33203125" style="10" bestFit="1" customWidth="1"/>
    <col min="24" max="24" width="14.77734375" style="10" bestFit="1" customWidth="1"/>
    <col min="25" max="25" width="14.33203125" style="10" bestFit="1" customWidth="1"/>
    <col min="26" max="26" width="11.77734375" style="10" bestFit="1" customWidth="1"/>
    <col min="27" max="27" width="10.5546875" style="10" bestFit="1" customWidth="1"/>
    <col min="28" max="28" width="12.44140625" style="10" bestFit="1" customWidth="1"/>
    <col min="29" max="29" width="14.88671875" style="10" bestFit="1" customWidth="1"/>
    <col min="30" max="30" width="9.21875" style="10" bestFit="1" customWidth="1"/>
    <col min="31" max="31" width="13" style="10" bestFit="1" customWidth="1"/>
    <col min="32" max="32" width="18.77734375" style="10" bestFit="1" customWidth="1"/>
    <col min="33" max="33" width="13" style="10" bestFit="1" customWidth="1"/>
    <col min="34" max="34" width="13.21875" style="10" bestFit="1" customWidth="1"/>
    <col min="35" max="35" width="6.109375" style="10" bestFit="1" customWidth="1"/>
    <col min="36" max="36" width="7" style="10" bestFit="1" customWidth="1"/>
    <col min="37" max="37" width="20.88671875" style="10" bestFit="1" customWidth="1"/>
    <col min="38" max="38" width="17.6640625" style="10" bestFit="1" customWidth="1"/>
    <col min="39" max="39" width="23.88671875" style="10" bestFit="1" customWidth="1"/>
    <col min="40" max="40" width="6.109375" style="10" bestFit="1" customWidth="1"/>
    <col min="41" max="41" width="8.21875" style="10" bestFit="1" customWidth="1"/>
    <col min="42" max="42" width="7.5546875" style="10" bestFit="1" customWidth="1"/>
    <col min="43" max="43" width="7.21875" style="10" bestFit="1" customWidth="1"/>
    <col min="44" max="16384" width="8.88671875" style="10"/>
  </cols>
  <sheetData>
    <row r="1" spans="1:43" ht="15" thickBot="1" x14ac:dyDescent="0.35">
      <c r="A1" s="42" t="s">
        <v>0</v>
      </c>
      <c r="B1" s="50" t="s">
        <v>81</v>
      </c>
      <c r="C1" s="50" t="s">
        <v>82</v>
      </c>
      <c r="D1" s="50" t="s">
        <v>83</v>
      </c>
      <c r="E1" s="50" t="s">
        <v>84</v>
      </c>
      <c r="F1" s="50" t="s">
        <v>75</v>
      </c>
      <c r="G1" s="50" t="s">
        <v>125</v>
      </c>
      <c r="H1" s="50" t="s">
        <v>126</v>
      </c>
      <c r="I1" s="50" t="s">
        <v>6</v>
      </c>
      <c r="J1" s="51" t="s">
        <v>71</v>
      </c>
      <c r="K1" s="50" t="s">
        <v>72</v>
      </c>
      <c r="L1" s="50" t="s">
        <v>73</v>
      </c>
      <c r="M1" s="52" t="s">
        <v>76</v>
      </c>
      <c r="N1" s="44" t="s">
        <v>74</v>
      </c>
      <c r="O1" s="44" t="s">
        <v>77</v>
      </c>
      <c r="P1" s="44" t="s">
        <v>78</v>
      </c>
      <c r="Q1" s="44" t="s">
        <v>79</v>
      </c>
      <c r="R1" s="44" t="s">
        <v>80</v>
      </c>
      <c r="S1" s="43" t="s">
        <v>131</v>
      </c>
      <c r="U1" s="44" t="s">
        <v>92</v>
      </c>
      <c r="V1" s="44" t="s">
        <v>93</v>
      </c>
      <c r="W1" s="43" t="s">
        <v>117</v>
      </c>
      <c r="X1" s="44" t="s">
        <v>103</v>
      </c>
      <c r="Y1" s="44" t="s">
        <v>104</v>
      </c>
      <c r="Z1" s="44" t="s">
        <v>106</v>
      </c>
      <c r="AA1" s="44" t="s">
        <v>107</v>
      </c>
      <c r="AB1" s="44" t="s">
        <v>132</v>
      </c>
      <c r="AC1" s="44" t="s">
        <v>108</v>
      </c>
      <c r="AD1" s="44" t="s">
        <v>109</v>
      </c>
      <c r="AE1" s="44" t="s">
        <v>111</v>
      </c>
      <c r="AF1" s="44" t="s">
        <v>124</v>
      </c>
      <c r="AG1" s="44" t="s">
        <v>128</v>
      </c>
      <c r="AH1" s="44" t="s">
        <v>129</v>
      </c>
      <c r="AI1" s="44" t="s">
        <v>86</v>
      </c>
      <c r="AJ1" s="44" t="s">
        <v>89</v>
      </c>
      <c r="AK1" s="42" t="s">
        <v>130</v>
      </c>
      <c r="AL1" s="44" t="s">
        <v>101</v>
      </c>
      <c r="AM1" s="44" t="s">
        <v>102</v>
      </c>
      <c r="AN1" s="44" t="s">
        <v>85</v>
      </c>
      <c r="AO1" s="44" t="s">
        <v>88</v>
      </c>
      <c r="AP1" s="44" t="s">
        <v>90</v>
      </c>
      <c r="AQ1" s="44" t="s">
        <v>91</v>
      </c>
    </row>
    <row r="2" spans="1:43" ht="15" thickBot="1" x14ac:dyDescent="0.35">
      <c r="A2" s="91">
        <v>44957</v>
      </c>
      <c r="B2" s="10">
        <v>6.64</v>
      </c>
      <c r="C2" s="10">
        <v>5.01</v>
      </c>
      <c r="D2" s="10">
        <v>-4</v>
      </c>
      <c r="E2" s="10">
        <v>0.35</v>
      </c>
      <c r="F2" s="10">
        <v>1.45963419499156E-2</v>
      </c>
      <c r="G2" s="10">
        <v>1.1107766915931801E-2</v>
      </c>
      <c r="H2" s="10">
        <v>2.30906328393919E-2</v>
      </c>
      <c r="I2" s="10">
        <v>-4.56882427892987E-2</v>
      </c>
      <c r="J2" s="17">
        <f t="shared" ref="J2:J20" si="0">(G2*0.631)+(H2*0.267)+(I2*0.103)</f>
        <v>8.4683108847728381E-3</v>
      </c>
      <c r="K2" s="47">
        <f>_xlfn.VAR.P(J2:$J$20)</f>
        <v>8.747830534156695E-5</v>
      </c>
      <c r="L2" s="10">
        <f>_xlfn.SKEW.P(J2:$J$20)</f>
        <v>0.13116712182367718</v>
      </c>
      <c r="M2" s="12">
        <f t="shared" ref="M2:M20" si="1">MAX($D$36-F2,0)</f>
        <v>0</v>
      </c>
      <c r="N2" s="55" t="s">
        <v>118</v>
      </c>
      <c r="O2" s="53">
        <f t="shared" ref="O2:O20" si="2">M2^2</f>
        <v>0</v>
      </c>
      <c r="P2" s="53">
        <f t="shared" ref="P2:P20" si="3">M2^3</f>
        <v>0</v>
      </c>
      <c r="Q2" s="53">
        <f t="shared" ref="Q2:Q20" si="4">M2^4</f>
        <v>0</v>
      </c>
      <c r="R2" s="53">
        <f t="shared" ref="R2:R20" si="5">MAX(F2-$D$36,0)</f>
        <v>1.0429675283248934E-2</v>
      </c>
      <c r="S2" s="16">
        <f>(J2 - E2) / AG2</f>
        <v>0.18214520617413563</v>
      </c>
      <c r="U2" s="27">
        <f>(AN2-AI2)/AK2</f>
        <v>-6.9885335855426306E-2</v>
      </c>
      <c r="V2" s="27">
        <f>U2*SQRT(12)</f>
        <v>-0.24208990481122669</v>
      </c>
      <c r="W2" s="19">
        <f>AI2/AE2</f>
        <v>-11.749797000829725</v>
      </c>
      <c r="X2" s="96">
        <f>(AN2-D36)/AL2</f>
        <v>-0.40455065693346759</v>
      </c>
      <c r="Y2" s="20">
        <f>X2*SQRT(12)</f>
        <v>-1.4014045840882647</v>
      </c>
      <c r="Z2" s="98">
        <f>D32/D28</f>
        <v>0.38219436889788555</v>
      </c>
      <c r="AA2" s="99">
        <f>(AN2-D36)/E30</f>
        <v>-0.32437013519078023</v>
      </c>
      <c r="AB2" s="20">
        <f>AVERAGE(S2:S20)</f>
        <v>0.20653412275353569</v>
      </c>
      <c r="AC2" s="30">
        <f>D32/AL2</f>
        <v>0.25026800538882688</v>
      </c>
      <c r="AD2" s="29">
        <f>-PERCENTILE(F2:F64, 0.05)</f>
        <v>1.5992220721255852E-2</v>
      </c>
      <c r="AE2" s="20">
        <f>AVERAGEIF(J2:J20, "&lt;=" &amp; AD2)</f>
        <v>-3.0723778874826779E-4</v>
      </c>
      <c r="AF2" s="30">
        <f>AI2/AD2</f>
        <v>0.22573360583860586</v>
      </c>
      <c r="AG2" s="20">
        <f>E40/F40</f>
        <v>-1.8750517583686162</v>
      </c>
      <c r="AH2" s="20" cm="1">
        <f t="array" ref="AH2">AVERAGE(J2:J20-(F2:F20+AG2)*(B2:B20))</f>
        <v>3.1770638705965948</v>
      </c>
      <c r="AI2" s="29">
        <f>AVERAGE(E2:E64)/100</f>
        <v>3.6099816487759535E-3</v>
      </c>
      <c r="AJ2" s="29">
        <f>AI2*12</f>
        <v>4.3319779785311444E-2</v>
      </c>
      <c r="AK2" s="29" cm="1">
        <f t="array" ref="AK2">_xlfn.STDEV.S(B2:B20/100)</f>
        <v>3.9695776580923228E-2</v>
      </c>
      <c r="AL2" s="29">
        <f>SQRT(D29)</f>
        <v>8.233425503590984E-3</v>
      </c>
      <c r="AM2" s="29">
        <f>AL2*SQRT(12)</f>
        <v>2.8521422585105906E-2</v>
      </c>
      <c r="AN2" s="29">
        <f>AVERAGE(F2:F20)</f>
        <v>8.3582897037616771E-4</v>
      </c>
      <c r="AO2" s="100">
        <f>AN2*12</f>
        <v>1.0029947644514012E-2</v>
      </c>
      <c r="AP2" s="29">
        <f>_xlfn.STDEV.S(F2:F20)</f>
        <v>8.7781131688697799E-3</v>
      </c>
      <c r="AQ2" s="29">
        <f>AP2*SQRT(12)</f>
        <v>3.0408276006143795E-2</v>
      </c>
    </row>
    <row r="3" spans="1:43" x14ac:dyDescent="0.3">
      <c r="A3" s="91">
        <v>44985</v>
      </c>
      <c r="B3" s="10">
        <v>-2.59</v>
      </c>
      <c r="C3" s="10">
        <v>1.17</v>
      </c>
      <c r="D3" s="10">
        <v>-0.83</v>
      </c>
      <c r="E3" s="10">
        <v>0.34</v>
      </c>
      <c r="F3" s="10">
        <v>-3.7027766306118701E-3</v>
      </c>
      <c r="G3" s="10">
        <v>9.6278711947687598E-3</v>
      </c>
      <c r="H3" s="10">
        <v>-3.8711861269403201E-2</v>
      </c>
      <c r="I3" s="10">
        <v>5.1243716063644196E-3</v>
      </c>
      <c r="J3" s="17">
        <f t="shared" si="0"/>
        <v>-3.7330699595760327E-3</v>
      </c>
      <c r="K3" s="47">
        <f>_xlfn.VAR.P(J3:$J$20)</f>
        <v>8.890029329911795E-5</v>
      </c>
      <c r="L3" s="10">
        <f>_xlfn.SKEW.P(J3:$J$20)</f>
        <v>0.24083079690801579</v>
      </c>
      <c r="M3" s="12">
        <f t="shared" si="1"/>
        <v>7.8694432972785371E-3</v>
      </c>
      <c r="N3" s="55" t="s">
        <v>118</v>
      </c>
      <c r="O3" s="53">
        <f t="shared" si="2"/>
        <v>6.1928137809082092E-5</v>
      </c>
      <c r="P3" s="53">
        <f t="shared" si="3"/>
        <v>4.8733996899462263E-7</v>
      </c>
      <c r="Q3" s="53">
        <f t="shared" si="4"/>
        <v>3.8350942525006633E-9</v>
      </c>
      <c r="R3" s="53">
        <f t="shared" si="5"/>
        <v>0</v>
      </c>
      <c r="S3" s="16">
        <f>(J3 - E3) / AH2</f>
        <v>-0.10819205529381731</v>
      </c>
    </row>
    <row r="4" spans="1:43" x14ac:dyDescent="0.3">
      <c r="A4" s="91">
        <v>45016</v>
      </c>
      <c r="B4" s="10">
        <v>2.5099999999999998</v>
      </c>
      <c r="C4" s="10">
        <v>-5.51</v>
      </c>
      <c r="D4" s="10">
        <v>-8.8699999999999992</v>
      </c>
      <c r="E4" s="10">
        <v>0.36</v>
      </c>
      <c r="F4" s="10">
        <v>1.39962004298625E-2</v>
      </c>
      <c r="G4" s="10">
        <v>2.40810757408834E-2</v>
      </c>
      <c r="H4" s="10">
        <v>1.84190433792474E-2</v>
      </c>
      <c r="I4" s="10">
        <v>-5.0475466562697503E-2</v>
      </c>
      <c r="J4" s="17">
        <f t="shared" si="0"/>
        <v>1.4914070318798638E-2</v>
      </c>
      <c r="K4" s="47">
        <f>_xlfn.VAR.P(J4:$J$20)</f>
        <v>9.3072865463845493E-5</v>
      </c>
      <c r="L4" s="10">
        <f>_xlfn.SKEW.P(J4:$J$20)</f>
        <v>0.16725673219794027</v>
      </c>
      <c r="M4" s="12">
        <f t="shared" si="1"/>
        <v>0</v>
      </c>
      <c r="N4" s="55" t="s">
        <v>118</v>
      </c>
      <c r="O4" s="53">
        <f t="shared" si="2"/>
        <v>0</v>
      </c>
      <c r="P4" s="53">
        <f t="shared" si="3"/>
        <v>0</v>
      </c>
      <c r="Q4" s="53">
        <f t="shared" si="4"/>
        <v>0</v>
      </c>
      <c r="R4" s="53">
        <f t="shared" si="5"/>
        <v>9.8295337631958343E-3</v>
      </c>
      <c r="S4" s="16">
        <f>(J4 - E4) / AG2</f>
        <v>0.18404074881721796</v>
      </c>
    </row>
    <row r="5" spans="1:43" x14ac:dyDescent="0.3">
      <c r="A5" s="91">
        <v>45046</v>
      </c>
      <c r="B5" s="10">
        <v>0.61</v>
      </c>
      <c r="C5" s="10">
        <v>-3.36</v>
      </c>
      <c r="D5" s="10">
        <v>-0.05</v>
      </c>
      <c r="E5" s="10">
        <v>0.35</v>
      </c>
      <c r="F5" s="10">
        <v>8.4989221893777504E-3</v>
      </c>
      <c r="G5" s="10">
        <v>3.4276005463121997E-2</v>
      </c>
      <c r="H5" s="10">
        <v>5.3718724054043999E-3</v>
      </c>
      <c r="I5" s="10">
        <v>-2.0506536624890302E-2</v>
      </c>
      <c r="J5" s="17">
        <f t="shared" si="0"/>
        <v>2.0950276107109256E-2</v>
      </c>
      <c r="K5" s="47">
        <f>_xlfn.VAR.P(J5:$J$20)</f>
        <v>8.5337925244889697E-5</v>
      </c>
      <c r="L5" s="10">
        <f>_xlfn.SKEW.P(J5:$J$20)</f>
        <v>0.26213562097481441</v>
      </c>
      <c r="M5" s="12">
        <f t="shared" si="1"/>
        <v>0</v>
      </c>
      <c r="N5" s="55" t="s">
        <v>118</v>
      </c>
      <c r="O5" s="53">
        <f t="shared" si="2"/>
        <v>0</v>
      </c>
      <c r="P5" s="53">
        <f t="shared" si="3"/>
        <v>0</v>
      </c>
      <c r="Q5" s="53">
        <f t="shared" si="4"/>
        <v>0</v>
      </c>
      <c r="R5" s="53">
        <f t="shared" si="5"/>
        <v>4.3322555227110838E-3</v>
      </c>
      <c r="S5" s="16">
        <f>(J5 - E5) / AG2</f>
        <v>0.17548834181472386</v>
      </c>
    </row>
    <row r="6" spans="1:43" x14ac:dyDescent="0.3">
      <c r="A6" s="91">
        <v>45077</v>
      </c>
      <c r="B6" s="10">
        <v>0.35</v>
      </c>
      <c r="C6" s="10">
        <v>1.6</v>
      </c>
      <c r="D6" s="10">
        <v>-7.74</v>
      </c>
      <c r="E6" s="10">
        <v>0.36</v>
      </c>
      <c r="F6" s="10">
        <v>-5.5606609390426703E-3</v>
      </c>
      <c r="G6" s="10">
        <v>-8.83524104912802E-3</v>
      </c>
      <c r="H6" s="10">
        <v>-1.35841961859915E-2</v>
      </c>
      <c r="I6" s="10">
        <v>2.0592163409590001E-2</v>
      </c>
      <c r="J6" s="17">
        <f t="shared" si="0"/>
        <v>-7.0810246524717416E-3</v>
      </c>
      <c r="K6" s="47">
        <f>_xlfn.VAR.P(J6:$J$20)</f>
        <v>5.9022881613723721E-5</v>
      </c>
      <c r="L6" s="10">
        <f>_xlfn.SKEW.P(J6:$J$20)</f>
        <v>-0.35910260380343562</v>
      </c>
      <c r="M6" s="12">
        <f t="shared" si="1"/>
        <v>9.7273276057093377E-3</v>
      </c>
      <c r="N6" s="55" t="s">
        <v>118</v>
      </c>
      <c r="O6" s="53">
        <f t="shared" si="2"/>
        <v>9.4620902348794953E-5</v>
      </c>
      <c r="P6" s="53">
        <f t="shared" si="3"/>
        <v>9.2040851549456071E-7</v>
      </c>
      <c r="Q6" s="53">
        <f t="shared" si="4"/>
        <v>8.9531151613001908E-9</v>
      </c>
      <c r="R6" s="53">
        <f t="shared" si="5"/>
        <v>0</v>
      </c>
      <c r="S6" s="16">
        <f>(J6 - E6) / AG2</f>
        <v>0.19577114232401222</v>
      </c>
    </row>
    <row r="7" spans="1:43" x14ac:dyDescent="0.3">
      <c r="A7" s="91">
        <v>45107</v>
      </c>
      <c r="B7" s="10">
        <v>6.47</v>
      </c>
      <c r="C7" s="10">
        <v>1.55</v>
      </c>
      <c r="D7" s="10">
        <v>-0.2</v>
      </c>
      <c r="E7" s="10">
        <v>0.4</v>
      </c>
      <c r="F7" s="10">
        <v>1.17316931320482E-2</v>
      </c>
      <c r="G7" s="10">
        <v>1.7225094963287499E-3</v>
      </c>
      <c r="H7" s="10">
        <v>-1.70373711398453E-3</v>
      </c>
      <c r="I7" s="10">
        <v>-4.5990919095201303E-2</v>
      </c>
      <c r="J7" s="17">
        <f t="shared" si="0"/>
        <v>-4.105058984056162E-3</v>
      </c>
      <c r="K7" s="47">
        <f>_xlfn.VAR.P(J7:$J$20)</f>
        <v>6.1005197180663469E-5</v>
      </c>
      <c r="L7" s="10">
        <f>_xlfn.SKEW.P(J7:$J$20)</f>
        <v>-0.49085305732798634</v>
      </c>
      <c r="M7" s="12">
        <f t="shared" si="1"/>
        <v>0</v>
      </c>
      <c r="N7" s="55" t="s">
        <v>118</v>
      </c>
      <c r="O7" s="53">
        <f t="shared" si="2"/>
        <v>0</v>
      </c>
      <c r="P7" s="53">
        <f t="shared" si="3"/>
        <v>0</v>
      </c>
      <c r="Q7" s="53">
        <f t="shared" si="4"/>
        <v>0</v>
      </c>
      <c r="R7" s="53">
        <f t="shared" si="5"/>
        <v>7.5650264653815335E-3</v>
      </c>
      <c r="S7" s="16">
        <f>(J7 - E7) / AG2</f>
        <v>0.21551674890065262</v>
      </c>
    </row>
    <row r="8" spans="1:43" x14ac:dyDescent="0.3">
      <c r="A8" s="91">
        <v>45138</v>
      </c>
      <c r="B8" s="10">
        <v>3.21</v>
      </c>
      <c r="C8" s="10">
        <v>2.0499999999999998</v>
      </c>
      <c r="D8" s="10">
        <v>4.1100000000000003</v>
      </c>
      <c r="E8" s="10">
        <v>0.45</v>
      </c>
      <c r="F8" s="10">
        <v>1.90224732390817E-3</v>
      </c>
      <c r="G8" s="10">
        <v>-2.47815686664867E-3</v>
      </c>
      <c r="H8" s="10">
        <v>7.4460531747052097E-3</v>
      </c>
      <c r="I8" s="10">
        <v>-2.9525492154928502E-3</v>
      </c>
      <c r="J8" s="17">
        <f t="shared" si="0"/>
        <v>1.2026664559521694E-4</v>
      </c>
      <c r="K8" s="47">
        <f>_xlfn.VAR.P(J8:$J$20)</f>
        <v>6.5042716668862484E-5</v>
      </c>
      <c r="L8" s="10">
        <f>_xlfn.SKEW.P(J8:$J$20)</f>
        <v>-0.55739156890036889</v>
      </c>
      <c r="M8" s="12">
        <f t="shared" si="1"/>
        <v>2.2644193427584967E-3</v>
      </c>
      <c r="N8" s="55" t="s">
        <v>118</v>
      </c>
      <c r="O8" s="53">
        <f t="shared" si="2"/>
        <v>5.1275949598588218E-6</v>
      </c>
      <c r="P8" s="53">
        <f t="shared" si="3"/>
        <v>1.1611025208935293E-8</v>
      </c>
      <c r="Q8" s="53">
        <f t="shared" si="4"/>
        <v>2.6292230072369591E-11</v>
      </c>
      <c r="R8" s="53">
        <f t="shared" si="5"/>
        <v>0</v>
      </c>
      <c r="S8" s="16">
        <f>(J8 - E8) / AG2</f>
        <v>0.23992923467127195</v>
      </c>
    </row>
    <row r="9" spans="1:43" x14ac:dyDescent="0.3">
      <c r="A9" s="91">
        <v>45169</v>
      </c>
      <c r="B9" s="10">
        <v>-2.39</v>
      </c>
      <c r="C9" s="10">
        <v>-3.2</v>
      </c>
      <c r="D9" s="10">
        <v>-1.08</v>
      </c>
      <c r="E9" s="10">
        <v>0.45</v>
      </c>
      <c r="F9" s="10">
        <v>-1.4645001884701001E-3</v>
      </c>
      <c r="G9" s="10">
        <v>1.4011538843974901E-2</v>
      </c>
      <c r="H9" s="10">
        <v>-2.6511748353678301E-3</v>
      </c>
      <c r="I9" s="10">
        <v>-6.7531208714569496E-3</v>
      </c>
      <c r="J9" s="17">
        <f t="shared" si="0"/>
        <v>7.4378458797448857E-3</v>
      </c>
      <c r="K9" s="47">
        <f>_xlfn.VAR.P(J9:$J$20)</f>
        <v>7.0333659165740375E-5</v>
      </c>
      <c r="L9" s="10">
        <f>_xlfn.SKEW.P(J9:$J$20)</f>
        <v>-0.50156912530003572</v>
      </c>
      <c r="M9" s="12">
        <f t="shared" si="1"/>
        <v>5.6311668551367669E-3</v>
      </c>
      <c r="N9" s="55" t="s">
        <v>118</v>
      </c>
      <c r="O9" s="53">
        <f t="shared" si="2"/>
        <v>3.1710040150390906E-5</v>
      </c>
      <c r="P9" s="53">
        <f t="shared" si="3"/>
        <v>1.7856452706993736E-7</v>
      </c>
      <c r="Q9" s="53">
        <f t="shared" si="4"/>
        <v>1.0055266463394033E-9</v>
      </c>
      <c r="R9" s="53">
        <f t="shared" si="5"/>
        <v>0</v>
      </c>
      <c r="S9" s="16">
        <f>(J9 - E9) / AG2</f>
        <v>0.23602663347560346</v>
      </c>
      <c r="W9" s="11"/>
    </row>
    <row r="10" spans="1:43" x14ac:dyDescent="0.3">
      <c r="A10" s="91">
        <v>45199</v>
      </c>
      <c r="B10" s="10">
        <v>-5.24</v>
      </c>
      <c r="C10" s="10">
        <v>-2.4900000000000002</v>
      </c>
      <c r="D10" s="10">
        <v>1.45</v>
      </c>
      <c r="E10" s="10">
        <v>0.43</v>
      </c>
      <c r="F10" s="10">
        <v>-2.4299773234057499E-3</v>
      </c>
      <c r="G10" s="10">
        <v>-1.0122261623681E-2</v>
      </c>
      <c r="H10" s="10">
        <v>-5.0248937986020897E-3</v>
      </c>
      <c r="I10" s="10">
        <v>-1.9550673825965001E-3</v>
      </c>
      <c r="J10" s="17">
        <f t="shared" si="0"/>
        <v>-7.9301656691769078E-3</v>
      </c>
      <c r="K10" s="47">
        <f>_xlfn.VAR.P(J10:$J$20)</f>
        <v>6.9368862395442687E-5</v>
      </c>
      <c r="L10" s="10">
        <f>_xlfn.SKEW.P(J10:$J$20)</f>
        <v>-0.37629515622904747</v>
      </c>
      <c r="M10" s="12">
        <f t="shared" si="1"/>
        <v>6.5966439900724165E-3</v>
      </c>
      <c r="N10" s="55" t="s">
        <v>118</v>
      </c>
      <c r="O10" s="53">
        <f t="shared" si="2"/>
        <v>4.3515711931758533E-5</v>
      </c>
      <c r="P10" s="53">
        <f t="shared" si="3"/>
        <v>2.8705765958835746E-7</v>
      </c>
      <c r="Q10" s="53">
        <f t="shared" si="4"/>
        <v>1.8936171849277922E-9</v>
      </c>
      <c r="R10" s="53">
        <f t="shared" si="5"/>
        <v>0</v>
      </c>
      <c r="S10" s="16">
        <f>(J10 - E10) / AG2</f>
        <v>0.23355630782704201</v>
      </c>
    </row>
    <row r="11" spans="1:43" x14ac:dyDescent="0.3">
      <c r="A11" s="91">
        <v>45230</v>
      </c>
      <c r="B11" s="10">
        <v>-3.18</v>
      </c>
      <c r="C11" s="10">
        <v>-3.88</v>
      </c>
      <c r="D11" s="10">
        <v>0.19</v>
      </c>
      <c r="E11" s="10">
        <v>0.47</v>
      </c>
      <c r="F11" s="10">
        <v>6.26055964641527E-3</v>
      </c>
      <c r="G11" s="10">
        <v>-3.2490090070963501E-4</v>
      </c>
      <c r="H11" s="10">
        <v>9.19874691225161E-3</v>
      </c>
      <c r="I11" s="10">
        <v>-1.50928970215366E-2</v>
      </c>
      <c r="J11" s="17">
        <f t="shared" si="0"/>
        <v>6.9648456400513061E-4</v>
      </c>
      <c r="K11" s="47">
        <f>_xlfn.VAR.P(J11:$J$20)</f>
        <v>7.2384031417905526E-5</v>
      </c>
      <c r="L11" s="10">
        <f>_xlfn.SKEW.P(J11:$J$20)</f>
        <v>-0.56465487452272123</v>
      </c>
      <c r="M11" s="12">
        <f t="shared" si="1"/>
        <v>0</v>
      </c>
      <c r="N11" s="55" t="s">
        <v>118</v>
      </c>
      <c r="O11" s="53">
        <f t="shared" si="2"/>
        <v>0</v>
      </c>
      <c r="P11" s="53">
        <f t="shared" si="3"/>
        <v>0</v>
      </c>
      <c r="Q11" s="53">
        <f t="shared" si="4"/>
        <v>0</v>
      </c>
      <c r="R11" s="53">
        <f t="shared" si="5"/>
        <v>2.0938929797486034E-3</v>
      </c>
      <c r="S11" s="16">
        <f>(J11 - E11) / AG2</f>
        <v>0.25028829915837159</v>
      </c>
    </row>
    <row r="12" spans="1:43" x14ac:dyDescent="0.3">
      <c r="A12" s="91">
        <v>45260</v>
      </c>
      <c r="B12" s="10">
        <v>8.83</v>
      </c>
      <c r="C12" s="10">
        <v>-0.03</v>
      </c>
      <c r="D12" s="10">
        <v>1.66</v>
      </c>
      <c r="E12" s="10">
        <v>0.44</v>
      </c>
      <c r="F12" s="10">
        <v>3.9297680054688399E-3</v>
      </c>
      <c r="G12" s="10">
        <v>8.9390452054272807E-3</v>
      </c>
      <c r="H12" s="10">
        <v>3.7546879003685402E-3</v>
      </c>
      <c r="I12" s="10">
        <v>8.1479389226970806E-3</v>
      </c>
      <c r="J12" s="17">
        <f t="shared" si="0"/>
        <v>7.482276903060814E-3</v>
      </c>
      <c r="K12" s="47">
        <f>_xlfn.VAR.P(J12:$J$20)</f>
        <v>7.9903496933365209E-5</v>
      </c>
      <c r="L12" s="10">
        <f>_xlfn.SKEW.P(J12:$J$20)</f>
        <v>-0.46552217012370395</v>
      </c>
      <c r="M12" s="12">
        <f t="shared" si="1"/>
        <v>2.3689866119782667E-4</v>
      </c>
      <c r="N12" s="55">
        <f t="shared" ref="N12:N20" si="6">SUM(F2:F12)</f>
        <v>4.7757817595465928E-2</v>
      </c>
      <c r="O12" s="53">
        <f t="shared" si="2"/>
        <v>5.6120975677322669E-8</v>
      </c>
      <c r="P12" s="53">
        <f t="shared" si="3"/>
        <v>1.3294984003073533E-11</v>
      </c>
      <c r="Q12" s="53">
        <f t="shared" si="4"/>
        <v>3.1495639109746427E-15</v>
      </c>
      <c r="R12" s="53">
        <f t="shared" si="5"/>
        <v>0</v>
      </c>
      <c r="S12" s="16">
        <f>(J12 - E12) / AG2</f>
        <v>0.23066975147035412</v>
      </c>
    </row>
    <row r="13" spans="1:43" x14ac:dyDescent="0.3">
      <c r="A13" s="91">
        <v>45291</v>
      </c>
      <c r="B13" s="10">
        <v>4.87</v>
      </c>
      <c r="C13" s="10">
        <v>6.36</v>
      </c>
      <c r="D13" s="10">
        <v>4.92</v>
      </c>
      <c r="E13" s="10">
        <v>0.43</v>
      </c>
      <c r="F13" s="10">
        <v>-2.8992001142782199E-3</v>
      </c>
      <c r="G13" s="10">
        <v>-1.6739681979749298E-2</v>
      </c>
      <c r="H13" s="10">
        <v>-1.65764861118397E-3</v>
      </c>
      <c r="I13" s="10">
        <v>1.3473227842727699E-2</v>
      </c>
      <c r="J13" s="17">
        <f t="shared" si="0"/>
        <v>-9.6175890406069737E-3</v>
      </c>
      <c r="K13" s="47">
        <f>_xlfn.VAR.P(J13:$J$20)</f>
        <v>7.8314872572647339E-5</v>
      </c>
      <c r="L13" s="10">
        <f>_xlfn.SKEW.P(J13:$J$20)</f>
        <v>-0.28786477536994265</v>
      </c>
      <c r="M13" s="12">
        <f t="shared" si="1"/>
        <v>7.0658667809448865E-3</v>
      </c>
      <c r="N13" s="55">
        <f t="shared" si="6"/>
        <v>3.0262275531272118E-2</v>
      </c>
      <c r="O13" s="53">
        <f t="shared" si="2"/>
        <v>4.992647336606045E-5</v>
      </c>
      <c r="P13" s="53">
        <f t="shared" si="3"/>
        <v>3.5277380964697615E-7</v>
      </c>
      <c r="Q13" s="53">
        <f t="shared" si="4"/>
        <v>2.4926527427719433E-9</v>
      </c>
      <c r="R13" s="53">
        <f t="shared" si="5"/>
        <v>0</v>
      </c>
      <c r="S13" s="16">
        <f>(J13 - E13) / AG2</f>
        <v>0.23445624211626837</v>
      </c>
    </row>
    <row r="14" spans="1:43" x14ac:dyDescent="0.3">
      <c r="A14" s="91">
        <v>45322</v>
      </c>
      <c r="B14" s="10">
        <v>0.7</v>
      </c>
      <c r="C14" s="10">
        <v>-5.0199999999999996</v>
      </c>
      <c r="D14" s="10">
        <v>-2.4700000000000002</v>
      </c>
      <c r="E14" s="10">
        <v>0.47</v>
      </c>
      <c r="F14" s="10">
        <v>-1.64519124168412E-2</v>
      </c>
      <c r="G14" s="10">
        <v>-2.18566542042553E-2</v>
      </c>
      <c r="H14" s="10">
        <v>-7.4201035600379101E-3</v>
      </c>
      <c r="I14" s="10">
        <v>5.7158372954700297E-2</v>
      </c>
      <c r="J14" s="17">
        <f t="shared" si="0"/>
        <v>-9.8854040390810877E-3</v>
      </c>
      <c r="K14" s="47">
        <f>_xlfn.VAR.P(J14:$J$20)</f>
        <v>8.1746399468695915E-5</v>
      </c>
      <c r="L14" s="10">
        <f>_xlfn.SKEW.P(J14:$J$20)</f>
        <v>-0.57320815212805287</v>
      </c>
      <c r="M14" s="12">
        <f t="shared" si="1"/>
        <v>2.0618579083507865E-2</v>
      </c>
      <c r="N14" s="55">
        <f t="shared" si="6"/>
        <v>1.7513139745042788E-2</v>
      </c>
      <c r="O14" s="53">
        <f t="shared" si="2"/>
        <v>4.2512580342286805E-4</v>
      </c>
      <c r="P14" s="53">
        <f t="shared" si="3"/>
        <v>8.7654899983142235E-6</v>
      </c>
      <c r="Q14" s="53">
        <f t="shared" si="4"/>
        <v>1.8073194873593905E-7</v>
      </c>
      <c r="R14" s="53">
        <f t="shared" si="5"/>
        <v>0</v>
      </c>
      <c r="S14" s="16">
        <f>(J14 - E14) / AG2</f>
        <v>0.25593181729372855</v>
      </c>
    </row>
    <row r="15" spans="1:43" x14ac:dyDescent="0.3">
      <c r="A15" s="91">
        <v>45351</v>
      </c>
      <c r="B15" s="10">
        <v>5.07</v>
      </c>
      <c r="C15" s="10">
        <v>-0.22</v>
      </c>
      <c r="D15" s="10">
        <v>-3.52</v>
      </c>
      <c r="E15" s="10">
        <v>0.42</v>
      </c>
      <c r="F15" s="10">
        <v>3.5885663338952201E-3</v>
      </c>
      <c r="G15" s="10">
        <v>1.18046263983462E-2</v>
      </c>
      <c r="H15" s="10">
        <v>-1.0559679664758201E-2</v>
      </c>
      <c r="I15" s="10">
        <v>-2.3382310422407099E-2</v>
      </c>
      <c r="J15" s="17">
        <f t="shared" si="0"/>
        <v>2.2209068133580813E-3</v>
      </c>
      <c r="K15" s="47">
        <f>_xlfn.VAR.P(J15:$J$20)</f>
        <v>8.2471064593315496E-5</v>
      </c>
      <c r="L15" s="10">
        <f>_xlfn.SKEW.P(J15:$J$20)</f>
        <v>-0.9914888984940563</v>
      </c>
      <c r="M15" s="12">
        <f t="shared" si="1"/>
        <v>5.7810033277144648E-4</v>
      </c>
      <c r="N15" s="55">
        <f t="shared" si="6"/>
        <v>7.1055056490755119E-3</v>
      </c>
      <c r="O15" s="53">
        <f t="shared" si="2"/>
        <v>3.3419999475045716E-7</v>
      </c>
      <c r="P15" s="53">
        <f t="shared" si="3"/>
        <v>1.9320112817745495E-10</v>
      </c>
      <c r="Q15" s="53">
        <f t="shared" si="4"/>
        <v>1.1168963649120559E-13</v>
      </c>
      <c r="R15" s="53">
        <f t="shared" si="5"/>
        <v>0</v>
      </c>
      <c r="S15" s="16">
        <f>(J15 - E15) / AG2</f>
        <v>0.22280936583325545</v>
      </c>
    </row>
    <row r="16" spans="1:43" x14ac:dyDescent="0.3">
      <c r="A16" s="91">
        <v>45382</v>
      </c>
      <c r="B16" s="10">
        <v>2.83</v>
      </c>
      <c r="C16" s="10">
        <v>-2.5099999999999998</v>
      </c>
      <c r="D16" s="10">
        <v>4.21</v>
      </c>
      <c r="E16" s="10">
        <v>0.43</v>
      </c>
      <c r="F16" s="10">
        <v>-1.9114460452748799E-4</v>
      </c>
      <c r="G16" s="10">
        <v>3.6604708983787601E-3</v>
      </c>
      <c r="H16" s="10">
        <v>5.8587389072517803E-3</v>
      </c>
      <c r="I16" s="10">
        <v>7.6629341155591496E-3</v>
      </c>
      <c r="J16" s="17">
        <f t="shared" si="0"/>
        <v>4.6633226390158152E-3</v>
      </c>
      <c r="K16" s="47">
        <f>_xlfn.VAR.P(J16:$J$20)</f>
        <v>9.7338159990466658E-5</v>
      </c>
      <c r="L16" s="10">
        <f>_xlfn.SKEW.P(J16:$J$20)</f>
        <v>-0.77307161503079558</v>
      </c>
      <c r="M16" s="12">
        <f t="shared" si="1"/>
        <v>4.3578112711941544E-3</v>
      </c>
      <c r="N16" s="55">
        <f t="shared" si="6"/>
        <v>-1.5845611448297282E-3</v>
      </c>
      <c r="O16" s="53">
        <f t="shared" si="2"/>
        <v>1.8990519075346812E-5</v>
      </c>
      <c r="P16" s="53">
        <f t="shared" si="3"/>
        <v>8.2757098072373925E-8</v>
      </c>
      <c r="Q16" s="53">
        <f t="shared" si="4"/>
        <v>3.6063981475111114E-10</v>
      </c>
      <c r="R16" s="53">
        <f t="shared" si="5"/>
        <v>0</v>
      </c>
      <c r="S16" s="16">
        <f>(J16 - E16) / AG2</f>
        <v>0.22683996613034685</v>
      </c>
    </row>
    <row r="17" spans="1:19" x14ac:dyDescent="0.3">
      <c r="A17" s="91">
        <v>45412</v>
      </c>
      <c r="B17" s="10">
        <v>-4.67</v>
      </c>
      <c r="C17" s="10">
        <v>-2.39</v>
      </c>
      <c r="D17" s="10">
        <v>-0.52</v>
      </c>
      <c r="E17" s="10">
        <v>0.47</v>
      </c>
      <c r="F17" s="10">
        <v>-1.5968026421488202E-2</v>
      </c>
      <c r="G17" s="10">
        <v>-3.3810102641988297E-2</v>
      </c>
      <c r="H17" s="10">
        <v>-9.5625834706344597E-3</v>
      </c>
      <c r="I17" s="10">
        <v>5.5044007887358998E-2</v>
      </c>
      <c r="J17" s="17">
        <f t="shared" si="0"/>
        <v>-1.8217851741356039E-2</v>
      </c>
      <c r="K17" s="47">
        <f>_xlfn.VAR.P(J17:$J$20)</f>
        <v>1.1198803847502762E-4</v>
      </c>
      <c r="L17" s="10">
        <f>_xlfn.SKEW.P(J17:$J$20)</f>
        <v>-0.42264175406777077</v>
      </c>
      <c r="M17" s="12">
        <f t="shared" si="1"/>
        <v>2.0134693088154867E-2</v>
      </c>
      <c r="N17" s="55">
        <f t="shared" si="6"/>
        <v>-1.1991926627275258E-2</v>
      </c>
      <c r="O17" s="53">
        <f t="shared" si="2"/>
        <v>4.0540586575419139E-4</v>
      </c>
      <c r="P17" s="53">
        <f t="shared" si="3"/>
        <v>8.1627226830983575E-6</v>
      </c>
      <c r="Q17" s="53">
        <f t="shared" si="4"/>
        <v>1.6435391598790546E-7</v>
      </c>
      <c r="R17" s="53">
        <f t="shared" si="5"/>
        <v>0</v>
      </c>
      <c r="S17" s="16">
        <f>(J17 - E17) / AG2</f>
        <v>0.26037566673152995</v>
      </c>
    </row>
    <row r="18" spans="1:19" x14ac:dyDescent="0.3">
      <c r="A18" s="91">
        <v>45443</v>
      </c>
      <c r="B18" s="10">
        <v>4.34</v>
      </c>
      <c r="C18" s="10">
        <v>0.78</v>
      </c>
      <c r="D18" s="10">
        <v>-1.66</v>
      </c>
      <c r="E18" s="10">
        <v>0.44</v>
      </c>
      <c r="F18" s="10">
        <v>9.0669792401037296E-3</v>
      </c>
      <c r="G18" s="10">
        <v>9.7570096822716008E-3</v>
      </c>
      <c r="H18" s="10">
        <v>1.3873910484754001E-2</v>
      </c>
      <c r="I18" s="10">
        <v>0</v>
      </c>
      <c r="J18" s="17">
        <f t="shared" si="0"/>
        <v>9.861007208942698E-3</v>
      </c>
      <c r="K18" s="47">
        <f>_xlfn.VAR.P(J18:$J$20)</f>
        <v>3.6639320752832436E-5</v>
      </c>
      <c r="L18" s="10">
        <f>_xlfn.SKEW.P(J18:$J$20)</f>
        <v>-0.24865469757132663</v>
      </c>
      <c r="M18" s="12">
        <f t="shared" si="1"/>
        <v>0</v>
      </c>
      <c r="N18" s="55">
        <f t="shared" si="6"/>
        <v>-1.465664051921973E-2</v>
      </c>
      <c r="O18" s="53">
        <f t="shared" si="2"/>
        <v>0</v>
      </c>
      <c r="P18" s="53">
        <f t="shared" si="3"/>
        <v>0</v>
      </c>
      <c r="Q18" s="53">
        <f t="shared" si="4"/>
        <v>0</v>
      </c>
      <c r="R18" s="53">
        <f t="shared" si="5"/>
        <v>4.900312573437063E-3</v>
      </c>
      <c r="S18" s="16">
        <f>(J18 - E18) / AG2</f>
        <v>0.22940113032682288</v>
      </c>
    </row>
    <row r="19" spans="1:19" x14ac:dyDescent="0.3">
      <c r="A19" s="91">
        <v>45473</v>
      </c>
      <c r="B19" s="10">
        <v>2.77</v>
      </c>
      <c r="C19" s="10">
        <v>-3.06</v>
      </c>
      <c r="D19" s="10">
        <v>-3.31</v>
      </c>
      <c r="E19" s="10">
        <v>0.41</v>
      </c>
      <c r="F19" s="10">
        <v>-3.9429504567680997E-3</v>
      </c>
      <c r="G19" s="10">
        <v>-2.5814896171884598E-3</v>
      </c>
      <c r="H19" s="10">
        <v>1.41606448598342E-2</v>
      </c>
      <c r="I19" s="10">
        <v>1.8281998511218998E-2</v>
      </c>
      <c r="J19" s="17">
        <f t="shared" si="0"/>
        <v>4.0350180757853706E-3</v>
      </c>
      <c r="K19" s="47">
        <f>_xlfn.VAR.P(J19:$J$20)</f>
        <v>1.9778673505401507E-5</v>
      </c>
      <c r="M19" s="12">
        <f t="shared" si="1"/>
        <v>8.1096171234347654E-3</v>
      </c>
      <c r="N19" s="55">
        <f t="shared" si="6"/>
        <v>-2.0501838299895995E-2</v>
      </c>
      <c r="O19" s="53">
        <f t="shared" si="2"/>
        <v>6.5765889888706362E-5</v>
      </c>
      <c r="P19" s="53">
        <f t="shared" si="3"/>
        <v>5.3333618677937843E-7</v>
      </c>
      <c r="Q19" s="53">
        <f t="shared" si="4"/>
        <v>4.3251522728534498E-9</v>
      </c>
      <c r="R19" s="53">
        <f t="shared" si="5"/>
        <v>0</v>
      </c>
      <c r="S19" s="16">
        <f>(J19 - E19) / AG2</f>
        <v>0.21650868042033322</v>
      </c>
    </row>
    <row r="20" spans="1:19" ht="15" thickBot="1" x14ac:dyDescent="0.35">
      <c r="A20" s="92">
        <v>45504</v>
      </c>
      <c r="B20" s="19">
        <v>1.24</v>
      </c>
      <c r="C20" s="19">
        <v>6.84</v>
      </c>
      <c r="D20" s="19">
        <v>5.7</v>
      </c>
      <c r="E20" s="19">
        <v>0.45</v>
      </c>
      <c r="F20" s="19">
        <v>-5.0793787184144797E-3</v>
      </c>
      <c r="G20" s="19">
        <v>-1.4176140484499201E-3</v>
      </c>
      <c r="H20" s="19">
        <v>-1.2725149378958699E-2</v>
      </c>
      <c r="I20" s="19">
        <v>-5.5096766550436398E-3</v>
      </c>
      <c r="J20" s="18">
        <f t="shared" si="0"/>
        <v>-4.8596260442233677E-3</v>
      </c>
      <c r="K20" s="48">
        <f>_xlfn.VAR.P(J20:$J$20)</f>
        <v>0</v>
      </c>
      <c r="L20" s="19"/>
      <c r="M20" s="49">
        <f t="shared" si="1"/>
        <v>9.2460453850811454E-3</v>
      </c>
      <c r="N20" s="56">
        <f t="shared" si="6"/>
        <v>-2.4116716829840377E-2</v>
      </c>
      <c r="O20" s="54">
        <f t="shared" si="2"/>
        <v>8.5489355262980351E-5</v>
      </c>
      <c r="P20" s="54">
        <f t="shared" si="3"/>
        <v>7.9043845870284205E-7</v>
      </c>
      <c r="Q20" s="54">
        <f t="shared" si="4"/>
        <v>7.308429863280066E-9</v>
      </c>
      <c r="R20" s="54">
        <f t="shared" si="5"/>
        <v>0</v>
      </c>
      <c r="S20" s="20">
        <f>(J20 - E20) / AG2</f>
        <v>0.24258510412532441</v>
      </c>
    </row>
    <row r="25" spans="1:19" ht="25.8" x14ac:dyDescent="0.5">
      <c r="H25" s="93"/>
      <c r="I25" s="93"/>
      <c r="J25" s="93"/>
      <c r="K25" s="93"/>
      <c r="L25" s="93"/>
    </row>
    <row r="26" spans="1:19" ht="15" thickBot="1" x14ac:dyDescent="0.35"/>
    <row r="27" spans="1:19" ht="16.2" thickBot="1" x14ac:dyDescent="0.35">
      <c r="C27" s="109" t="s">
        <v>123</v>
      </c>
      <c r="D27" s="110"/>
      <c r="E27" s="110"/>
      <c r="F27" s="111"/>
      <c r="K27" s="37"/>
      <c r="L27" s="37"/>
    </row>
    <row r="28" spans="1:19" x14ac:dyDescent="0.3">
      <c r="C28" s="32" t="s">
        <v>119</v>
      </c>
      <c r="D28" s="21">
        <f>AVERAGE(M2:M20)</f>
        <v>5.3914006745917108E-3</v>
      </c>
      <c r="E28" s="26"/>
      <c r="F28" s="15"/>
      <c r="L28" s="12"/>
    </row>
    <row r="29" spans="1:19" x14ac:dyDescent="0.3">
      <c r="C29" s="33" t="s">
        <v>77</v>
      </c>
      <c r="D29" s="57">
        <f>AVERAGE(O2:O20)</f>
        <v>6.7789295523182434E-5</v>
      </c>
      <c r="E29" s="23"/>
      <c r="F29" s="16"/>
      <c r="H29" s="37"/>
    </row>
    <row r="30" spans="1:19" x14ac:dyDescent="0.3">
      <c r="C30" s="33" t="s">
        <v>78</v>
      </c>
      <c r="D30" s="22">
        <f>AVERAGE(P2:P20)</f>
        <v>1.0827740224780394E-6</v>
      </c>
      <c r="E30" s="24">
        <f>D30^(1/3)</f>
        <v>1.0268632450800216E-2</v>
      </c>
      <c r="F30" s="16" t="s">
        <v>121</v>
      </c>
      <c r="L30" s="95"/>
      <c r="Q30" s="37"/>
    </row>
    <row r="31" spans="1:19" x14ac:dyDescent="0.3">
      <c r="C31" s="33" t="s">
        <v>120</v>
      </c>
      <c r="D31" s="22">
        <f>AVERAGE(Q2:Q20)</f>
        <v>1.9751921038517995E-8</v>
      </c>
      <c r="E31" s="24">
        <f>D31^(1/4)</f>
        <v>1.18550212065472E-2</v>
      </c>
      <c r="F31" s="16" t="s">
        <v>122</v>
      </c>
      <c r="K31" s="37"/>
      <c r="N31" s="37"/>
      <c r="Q31" s="37"/>
    </row>
    <row r="32" spans="1:19" x14ac:dyDescent="0.3">
      <c r="C32" s="33" t="s">
        <v>105</v>
      </c>
      <c r="D32" s="22">
        <f>AVERAGE(R2:R64)</f>
        <v>2.0605629783012132E-3</v>
      </c>
      <c r="E32" s="23"/>
      <c r="F32" s="16"/>
      <c r="L32" s="12"/>
    </row>
    <row r="33" spans="1:19" ht="15" thickBot="1" x14ac:dyDescent="0.35">
      <c r="C33" s="33"/>
      <c r="D33" s="23"/>
      <c r="E33" s="23"/>
      <c r="F33" s="16"/>
    </row>
    <row r="34" spans="1:19" x14ac:dyDescent="0.3">
      <c r="C34" s="32" t="s">
        <v>127</v>
      </c>
      <c r="D34" s="28">
        <f>0.05</f>
        <v>0.05</v>
      </c>
      <c r="E34" s="26"/>
      <c r="F34" s="15"/>
    </row>
    <row r="35" spans="1:19" x14ac:dyDescent="0.3">
      <c r="C35" s="33" t="s">
        <v>95</v>
      </c>
      <c r="D35" s="24"/>
      <c r="E35" s="23"/>
      <c r="F35" s="16"/>
      <c r="J35" s="11"/>
      <c r="M35" s="12"/>
      <c r="N35" s="13"/>
      <c r="O35" s="12"/>
      <c r="P35" s="12"/>
      <c r="Q35" s="12"/>
      <c r="R35" s="14"/>
      <c r="S35" s="14"/>
    </row>
    <row r="36" spans="1:19" ht="15" thickBot="1" x14ac:dyDescent="0.35">
      <c r="C36" s="34" t="s">
        <v>96</v>
      </c>
      <c r="D36" s="25">
        <f>D34/12</f>
        <v>4.1666666666666666E-3</v>
      </c>
      <c r="E36" s="27"/>
      <c r="F36" s="20"/>
      <c r="J36" s="11"/>
      <c r="M36" s="12"/>
      <c r="N36" s="13"/>
      <c r="O36" s="12"/>
      <c r="P36" s="12"/>
      <c r="Q36" s="12"/>
      <c r="R36" s="14"/>
      <c r="S36" s="14"/>
    </row>
    <row r="37" spans="1:19" x14ac:dyDescent="0.3">
      <c r="J37" s="11"/>
      <c r="M37" s="12"/>
      <c r="N37" s="13"/>
      <c r="O37" s="12"/>
      <c r="P37" s="12"/>
      <c r="Q37" s="12"/>
      <c r="R37" s="14"/>
      <c r="S37" s="14"/>
    </row>
    <row r="38" spans="1:19" ht="15" thickBot="1" x14ac:dyDescent="0.35">
      <c r="J38" s="11"/>
      <c r="M38" s="12"/>
      <c r="N38" s="13"/>
      <c r="O38" s="12"/>
      <c r="P38" s="12"/>
      <c r="Q38" s="12"/>
      <c r="R38" s="14"/>
      <c r="S38" s="14"/>
    </row>
    <row r="39" spans="1:19" ht="15" thickBot="1" x14ac:dyDescent="0.35">
      <c r="A39" s="45" t="s">
        <v>68</v>
      </c>
      <c r="B39" s="45" t="s">
        <v>69</v>
      </c>
      <c r="C39" s="46" t="s">
        <v>70</v>
      </c>
      <c r="E39" s="44" t="s">
        <v>115</v>
      </c>
      <c r="F39" s="43" t="s">
        <v>116</v>
      </c>
      <c r="J39" s="11"/>
      <c r="M39" s="12"/>
      <c r="N39" s="13"/>
      <c r="O39" s="12"/>
      <c r="P39" s="12"/>
      <c r="Q39" s="12"/>
      <c r="R39" s="14"/>
      <c r="S39" s="14"/>
    </row>
    <row r="40" spans="1:19" ht="15" thickBot="1" x14ac:dyDescent="0.35">
      <c r="A40" s="41">
        <v>0.63066666621749601</v>
      </c>
      <c r="B40" s="41">
        <v>0.26666666706025455</v>
      </c>
      <c r="C40" s="40">
        <v>0.10266666672225991</v>
      </c>
      <c r="E40" s="27">
        <f>_xlfn.COVARIANCE.P(I2:I20,J2:J20)</f>
        <v>-1.6402635024981182E-4</v>
      </c>
      <c r="F40" s="39">
        <f>_xlfn.VAR.P(J2:J20)</f>
        <v>8.747830534156695E-5</v>
      </c>
      <c r="J40" s="11"/>
      <c r="M40" s="12"/>
      <c r="N40" s="13"/>
      <c r="O40" s="12"/>
      <c r="P40" s="12"/>
      <c r="Q40" s="12"/>
      <c r="R40" s="14"/>
      <c r="S40" s="14"/>
    </row>
    <row r="41" spans="1:19" x14ac:dyDescent="0.3">
      <c r="J41" s="11"/>
      <c r="M41" s="12"/>
      <c r="N41" s="13"/>
      <c r="O41" s="12"/>
      <c r="P41" s="12"/>
      <c r="Q41" s="12"/>
      <c r="R41" s="14"/>
      <c r="S41" s="14"/>
    </row>
    <row r="42" spans="1:19" x14ac:dyDescent="0.3">
      <c r="J42" s="11"/>
      <c r="M42" s="12"/>
      <c r="N42" s="13"/>
      <c r="O42" s="12"/>
      <c r="P42" s="12"/>
      <c r="Q42" s="12"/>
      <c r="R42" s="14"/>
      <c r="S42" s="14"/>
    </row>
    <row r="43" spans="1:19" x14ac:dyDescent="0.3">
      <c r="J43" s="11"/>
      <c r="M43" s="12"/>
      <c r="N43" s="13"/>
      <c r="O43" s="12"/>
      <c r="P43" s="12"/>
      <c r="Q43" s="12"/>
      <c r="R43" s="14"/>
      <c r="S43" s="14"/>
    </row>
    <row r="44" spans="1:19" x14ac:dyDescent="0.3">
      <c r="J44" s="11"/>
    </row>
    <row r="45" spans="1:19" x14ac:dyDescent="0.3">
      <c r="J45" s="11"/>
    </row>
    <row r="46" spans="1:19" x14ac:dyDescent="0.3">
      <c r="J46" s="11"/>
    </row>
    <row r="47" spans="1:19" x14ac:dyDescent="0.3">
      <c r="J47" s="11"/>
    </row>
    <row r="48" spans="1:19" x14ac:dyDescent="0.3">
      <c r="J48" s="11"/>
    </row>
    <row r="49" spans="10:10" x14ac:dyDescent="0.3">
      <c r="J49" s="11"/>
    </row>
    <row r="50" spans="10:10" x14ac:dyDescent="0.3">
      <c r="J50" s="11"/>
    </row>
    <row r="51" spans="10:10" x14ac:dyDescent="0.3">
      <c r="J51" s="11"/>
    </row>
    <row r="52" spans="10:10" x14ac:dyDescent="0.3">
      <c r="J52" s="11"/>
    </row>
    <row r="53" spans="10:10" x14ac:dyDescent="0.3">
      <c r="J53" s="11"/>
    </row>
    <row r="54" spans="10:10" x14ac:dyDescent="0.3">
      <c r="J54" s="11"/>
    </row>
    <row r="55" spans="10:10" x14ac:dyDescent="0.3">
      <c r="J55" s="11"/>
    </row>
    <row r="56" spans="10:10" x14ac:dyDescent="0.3">
      <c r="J56" s="11"/>
    </row>
    <row r="57" spans="10:10" x14ac:dyDescent="0.3">
      <c r="J57" s="11"/>
    </row>
    <row r="58" spans="10:10" x14ac:dyDescent="0.3">
      <c r="J58" s="11"/>
    </row>
    <row r="59" spans="10:10" x14ac:dyDescent="0.3">
      <c r="J59" s="11"/>
    </row>
    <row r="60" spans="10:10" x14ac:dyDescent="0.3">
      <c r="J60" s="11"/>
    </row>
    <row r="61" spans="10:10" x14ac:dyDescent="0.3">
      <c r="J61" s="11"/>
    </row>
    <row r="62" spans="10:10" x14ac:dyDescent="0.3">
      <c r="J62" s="11"/>
    </row>
    <row r="63" spans="10:10" x14ac:dyDescent="0.3">
      <c r="J63" s="11"/>
    </row>
    <row r="64" spans="10:10" x14ac:dyDescent="0.3">
      <c r="J64" s="11"/>
    </row>
  </sheetData>
  <mergeCells count="1">
    <mergeCell ref="C27:F27"/>
  </mergeCells>
  <pageMargins left="0.7" right="0.7" top="0.75" bottom="0.75" header="0.3" footer="0.3"/>
  <ignoredErrors>
    <ignoredError sqref="N12 N13:N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log_returns_2019_2024</vt:lpstr>
      <vt:lpstr>Sheet1</vt:lpstr>
      <vt:lpstr>Introduction</vt:lpstr>
      <vt:lpstr>Tech</vt:lpstr>
      <vt:lpstr>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 Koranne</cp:lastModifiedBy>
  <dcterms:created xsi:type="dcterms:W3CDTF">2024-09-23T20:09:33Z</dcterms:created>
  <dcterms:modified xsi:type="dcterms:W3CDTF">2025-06-18T22:12:59Z</dcterms:modified>
</cp:coreProperties>
</file>