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upaerotlse-my.sharepoint.com/personal/rajashree_srikanth_student_isae-supaero_fr/Documents/Documents/MAV Paper/FYP/5_Layout/"/>
    </mc:Choice>
  </mc:AlternateContent>
  <xr:revisionPtr revIDLastSave="22" documentId="13_ncr:1_{7F7FF7D6-7D6C-4953-9544-A3C68C78D5DF}" xr6:coauthVersionLast="47" xr6:coauthVersionMax="47" xr10:uidLastSave="{AC9218F9-9BDA-41C9-A675-C53AFECABF1D}"/>
  <bookViews>
    <workbookView xWindow="-110" yWindow="-110" windowWidth="22620" windowHeight="13500" tabRatio="41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9" i="2" l="1"/>
  <c r="Z9" i="2"/>
  <c r="W9" i="2" s="1"/>
  <c r="N9" i="2"/>
  <c r="R9" i="2"/>
  <c r="S9" i="2" s="1"/>
  <c r="AB23" i="2"/>
  <c r="N23" i="2"/>
  <c r="AB22" i="2"/>
  <c r="V22" i="2"/>
  <c r="R22" i="2"/>
  <c r="S22" i="2" s="1"/>
  <c r="N22" i="2"/>
  <c r="AB21" i="2"/>
  <c r="N21" i="2"/>
  <c r="AB20" i="2"/>
  <c r="V20" i="2"/>
  <c r="N20" i="2"/>
  <c r="R20" i="2"/>
  <c r="S20" i="2" s="1"/>
  <c r="AB3" i="2"/>
  <c r="N3" i="2"/>
  <c r="AB2" i="2"/>
  <c r="V2" i="2"/>
  <c r="Z2" i="2" s="1"/>
  <c r="AB5" i="2"/>
  <c r="N5" i="2"/>
  <c r="AB4" i="2"/>
  <c r="V4" i="2"/>
  <c r="Z4" i="2" s="1"/>
  <c r="R2" i="2"/>
  <c r="S2" i="2" s="1"/>
  <c r="R3" i="2"/>
  <c r="R4" i="2"/>
  <c r="R5" i="2"/>
  <c r="S5" i="2" s="1"/>
  <c r="N4" i="2"/>
  <c r="AB7" i="2"/>
  <c r="R7" i="2"/>
  <c r="S7" i="2" s="1"/>
  <c r="N7" i="2"/>
  <c r="AB6" i="2"/>
  <c r="Z3" i="2"/>
  <c r="W3" i="2" s="1"/>
  <c r="Z5" i="2"/>
  <c r="X5" i="2" s="1"/>
  <c r="Z7" i="2"/>
  <c r="W7" i="2" s="1"/>
  <c r="X7" i="2"/>
  <c r="V6" i="2"/>
  <c r="Z6" i="2" s="1"/>
  <c r="S3" i="2"/>
  <c r="S4" i="2"/>
  <c r="R6" i="2"/>
  <c r="S6" i="2" s="1"/>
  <c r="N6" i="2"/>
  <c r="AB19" i="2"/>
  <c r="N19" i="2"/>
  <c r="AB18" i="2"/>
  <c r="AB17" i="2"/>
  <c r="AB16" i="2"/>
  <c r="AB15" i="2"/>
  <c r="AB14" i="2"/>
  <c r="AB13" i="2"/>
  <c r="AB8" i="2"/>
  <c r="AB10" i="2"/>
  <c r="AB11" i="2"/>
  <c r="AB12" i="2"/>
  <c r="V18" i="2"/>
  <c r="N18" i="2"/>
  <c r="R18" i="2"/>
  <c r="S18" i="2" s="1"/>
  <c r="N17" i="2"/>
  <c r="V16" i="2"/>
  <c r="N16" i="2"/>
  <c r="R16" i="2"/>
  <c r="S16" i="2" s="1"/>
  <c r="N15" i="2"/>
  <c r="V14" i="2"/>
  <c r="X9" i="2" l="1"/>
  <c r="B3" i="2"/>
  <c r="I3" i="2" s="1"/>
  <c r="J3" i="2" s="1"/>
  <c r="B2" i="2"/>
  <c r="X3" i="2"/>
  <c r="W2" i="2"/>
  <c r="X2" i="2"/>
  <c r="W5" i="2"/>
  <c r="X6" i="2"/>
  <c r="W6" i="2"/>
  <c r="W4" i="2"/>
  <c r="X4" i="2"/>
  <c r="R14" i="2"/>
  <c r="S14" i="2" s="1"/>
  <c r="N14" i="2"/>
  <c r="N13" i="2"/>
  <c r="Z13" i="2"/>
  <c r="W13" i="2" s="1"/>
  <c r="Z14" i="2"/>
  <c r="W14" i="2" s="1"/>
  <c r="Z15" i="2"/>
  <c r="W15" i="2" s="1"/>
  <c r="Z16" i="2"/>
  <c r="X16" i="2" s="1"/>
  <c r="Z17" i="2"/>
  <c r="X17" i="2" s="1"/>
  <c r="Z18" i="2"/>
  <c r="W18" i="2" s="1"/>
  <c r="Z19" i="2"/>
  <c r="B21" i="2" s="1"/>
  <c r="Z20" i="2"/>
  <c r="Z21" i="2"/>
  <c r="Z22" i="2"/>
  <c r="Z23" i="2"/>
  <c r="W23" i="2" s="1"/>
  <c r="V12" i="2"/>
  <c r="Z12" i="2" s="1"/>
  <c r="V10" i="2"/>
  <c r="Z10" i="2" s="1"/>
  <c r="W10" i="2" s="1"/>
  <c r="V11" i="2"/>
  <c r="Z11" i="2" s="1"/>
  <c r="B12" i="2" s="1"/>
  <c r="V8" i="2"/>
  <c r="Z8" i="2" s="1"/>
  <c r="B9" i="2" s="1"/>
  <c r="R12" i="2"/>
  <c r="S12" i="2" s="1"/>
  <c r="R13" i="2"/>
  <c r="S13" i="2" s="1"/>
  <c r="R15" i="2"/>
  <c r="S15" i="2" s="1"/>
  <c r="R17" i="2"/>
  <c r="S17" i="2" s="1"/>
  <c r="R19" i="2"/>
  <c r="S19" i="2" s="1"/>
  <c r="R21" i="2"/>
  <c r="S21" i="2" s="1"/>
  <c r="R23" i="2"/>
  <c r="S23" i="2" s="1"/>
  <c r="N12" i="2"/>
  <c r="R11" i="2"/>
  <c r="S11" i="2" s="1"/>
  <c r="N11" i="2"/>
  <c r="R10" i="2"/>
  <c r="S10" i="2" s="1"/>
  <c r="N10" i="2"/>
  <c r="N8" i="2"/>
  <c r="C8" i="3"/>
  <c r="C9" i="3"/>
  <c r="C10" i="3"/>
  <c r="C11" i="3"/>
  <c r="C12" i="3"/>
  <c r="C13" i="3"/>
  <c r="C14" i="3"/>
  <c r="C17" i="3"/>
  <c r="C28" i="3"/>
  <c r="C29" i="3"/>
  <c r="C30" i="3"/>
  <c r="C31" i="3"/>
  <c r="C32" i="3"/>
  <c r="C33" i="3"/>
  <c r="C34" i="3"/>
  <c r="C35" i="3"/>
  <c r="C36" i="3"/>
  <c r="C37" i="3"/>
  <c r="C48" i="3"/>
  <c r="C49" i="3"/>
  <c r="C50" i="3"/>
  <c r="C51" i="3"/>
  <c r="C52" i="3"/>
  <c r="C53" i="3"/>
  <c r="C54" i="3"/>
  <c r="C55" i="3"/>
  <c r="C56" i="3"/>
  <c r="C57" i="3"/>
  <c r="C68" i="3"/>
  <c r="C69" i="3"/>
  <c r="C70" i="3"/>
  <c r="C71" i="3"/>
  <c r="C72" i="3"/>
  <c r="C73" i="3"/>
  <c r="C74" i="3"/>
  <c r="C75" i="3"/>
  <c r="C76" i="3"/>
  <c r="C77" i="3"/>
  <c r="C88" i="3"/>
  <c r="C89" i="3"/>
  <c r="C90" i="3"/>
  <c r="C91" i="3"/>
  <c r="C92" i="3"/>
  <c r="C93" i="3"/>
  <c r="C94" i="3"/>
  <c r="C95" i="3"/>
  <c r="C96" i="3"/>
  <c r="C97" i="3"/>
  <c r="C108" i="3"/>
  <c r="C109" i="3"/>
  <c r="C110" i="3"/>
  <c r="C111" i="3"/>
  <c r="C112" i="3"/>
  <c r="C113" i="3"/>
  <c r="C114" i="3"/>
  <c r="C115" i="3"/>
  <c r="C116" i="3"/>
  <c r="C117" i="3"/>
  <c r="C128" i="3"/>
  <c r="C129" i="3"/>
  <c r="C130" i="3"/>
  <c r="C131" i="3"/>
  <c r="C132" i="3"/>
  <c r="C133" i="3"/>
  <c r="C134" i="3"/>
  <c r="C135" i="3"/>
  <c r="C136" i="3"/>
  <c r="C137" i="3"/>
  <c r="C148" i="3"/>
  <c r="C149" i="3"/>
  <c r="C150" i="3"/>
  <c r="C151" i="3"/>
  <c r="C152" i="3"/>
  <c r="C2" i="3"/>
  <c r="B3" i="3"/>
  <c r="C3" i="3" s="1"/>
  <c r="B4" i="3"/>
  <c r="C4" i="3" s="1"/>
  <c r="B5" i="3"/>
  <c r="C5" i="3" s="1"/>
  <c r="B6" i="3"/>
  <c r="C6" i="3" s="1"/>
  <c r="B7" i="3"/>
  <c r="C7" i="3" s="1"/>
  <c r="B8" i="3"/>
  <c r="B9" i="3"/>
  <c r="B10" i="3"/>
  <c r="B11" i="3"/>
  <c r="B12" i="3"/>
  <c r="B13" i="3"/>
  <c r="B14" i="3"/>
  <c r="B15" i="3"/>
  <c r="C15" i="3" s="1"/>
  <c r="B16" i="3"/>
  <c r="C16" i="3" s="1"/>
  <c r="B17" i="3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B28" i="3"/>
  <c r="B29" i="3"/>
  <c r="B30" i="3"/>
  <c r="B31" i="3"/>
  <c r="B32" i="3"/>
  <c r="B33" i="3"/>
  <c r="B34" i="3"/>
  <c r="B35" i="3"/>
  <c r="B36" i="3"/>
  <c r="B37" i="3"/>
  <c r="B38" i="3"/>
  <c r="C38" i="3" s="1"/>
  <c r="B39" i="3"/>
  <c r="C39" i="3" s="1"/>
  <c r="B40" i="3"/>
  <c r="C40" i="3" s="1"/>
  <c r="B41" i="3"/>
  <c r="C41" i="3" s="1"/>
  <c r="B42" i="3"/>
  <c r="C42" i="3" s="1"/>
  <c r="B43" i="3"/>
  <c r="C43" i="3" s="1"/>
  <c r="B44" i="3"/>
  <c r="C44" i="3" s="1"/>
  <c r="B45" i="3"/>
  <c r="C45" i="3" s="1"/>
  <c r="B46" i="3"/>
  <c r="C46" i="3" s="1"/>
  <c r="B47" i="3"/>
  <c r="C47" i="3" s="1"/>
  <c r="B48" i="3"/>
  <c r="B49" i="3"/>
  <c r="B50" i="3"/>
  <c r="B51" i="3"/>
  <c r="B52" i="3"/>
  <c r="B53" i="3"/>
  <c r="B54" i="3"/>
  <c r="B55" i="3"/>
  <c r="B56" i="3"/>
  <c r="B57" i="3"/>
  <c r="B58" i="3"/>
  <c r="C58" i="3" s="1"/>
  <c r="B59" i="3"/>
  <c r="C59" i="3" s="1"/>
  <c r="B60" i="3"/>
  <c r="C60" i="3" s="1"/>
  <c r="B61" i="3"/>
  <c r="C61" i="3" s="1"/>
  <c r="B62" i="3"/>
  <c r="C62" i="3" s="1"/>
  <c r="B63" i="3"/>
  <c r="C63" i="3" s="1"/>
  <c r="B64" i="3"/>
  <c r="C64" i="3" s="1"/>
  <c r="B65" i="3"/>
  <c r="C65" i="3" s="1"/>
  <c r="B66" i="3"/>
  <c r="C66" i="3" s="1"/>
  <c r="B67" i="3"/>
  <c r="C67" i="3" s="1"/>
  <c r="B68" i="3"/>
  <c r="B69" i="3"/>
  <c r="B70" i="3"/>
  <c r="B71" i="3"/>
  <c r="B72" i="3"/>
  <c r="B73" i="3"/>
  <c r="B74" i="3"/>
  <c r="B75" i="3"/>
  <c r="B76" i="3"/>
  <c r="B77" i="3"/>
  <c r="B78" i="3"/>
  <c r="C78" i="3" s="1"/>
  <c r="B79" i="3"/>
  <c r="C79" i="3" s="1"/>
  <c r="B80" i="3"/>
  <c r="C80" i="3" s="1"/>
  <c r="B81" i="3"/>
  <c r="C81" i="3" s="1"/>
  <c r="B82" i="3"/>
  <c r="C82" i="3" s="1"/>
  <c r="B83" i="3"/>
  <c r="C83" i="3" s="1"/>
  <c r="B84" i="3"/>
  <c r="C84" i="3" s="1"/>
  <c r="B85" i="3"/>
  <c r="C85" i="3" s="1"/>
  <c r="B86" i="3"/>
  <c r="C86" i="3" s="1"/>
  <c r="B87" i="3"/>
  <c r="C87" i="3" s="1"/>
  <c r="B88" i="3"/>
  <c r="B89" i="3"/>
  <c r="B90" i="3"/>
  <c r="B91" i="3"/>
  <c r="B92" i="3"/>
  <c r="B93" i="3"/>
  <c r="B94" i="3"/>
  <c r="B95" i="3"/>
  <c r="B96" i="3"/>
  <c r="B97" i="3"/>
  <c r="B98" i="3"/>
  <c r="C98" i="3" s="1"/>
  <c r="B99" i="3"/>
  <c r="C99" i="3" s="1"/>
  <c r="B100" i="3"/>
  <c r="C100" i="3" s="1"/>
  <c r="B101" i="3"/>
  <c r="C101" i="3" s="1"/>
  <c r="B102" i="3"/>
  <c r="C102" i="3" s="1"/>
  <c r="B103" i="3"/>
  <c r="C103" i="3" s="1"/>
  <c r="B104" i="3"/>
  <c r="C104" i="3" s="1"/>
  <c r="B105" i="3"/>
  <c r="C105" i="3" s="1"/>
  <c r="B106" i="3"/>
  <c r="C106" i="3" s="1"/>
  <c r="B107" i="3"/>
  <c r="C107" i="3" s="1"/>
  <c r="B108" i="3"/>
  <c r="B109" i="3"/>
  <c r="B110" i="3"/>
  <c r="B111" i="3"/>
  <c r="B112" i="3"/>
  <c r="B113" i="3"/>
  <c r="B114" i="3"/>
  <c r="B115" i="3"/>
  <c r="B116" i="3"/>
  <c r="B117" i="3"/>
  <c r="B118" i="3"/>
  <c r="C118" i="3" s="1"/>
  <c r="B119" i="3"/>
  <c r="C119" i="3" s="1"/>
  <c r="B120" i="3"/>
  <c r="C120" i="3" s="1"/>
  <c r="B121" i="3"/>
  <c r="C121" i="3" s="1"/>
  <c r="B122" i="3"/>
  <c r="C122" i="3" s="1"/>
  <c r="B123" i="3"/>
  <c r="C123" i="3" s="1"/>
  <c r="B124" i="3"/>
  <c r="C124" i="3" s="1"/>
  <c r="B125" i="3"/>
  <c r="C125" i="3" s="1"/>
  <c r="B126" i="3"/>
  <c r="C126" i="3" s="1"/>
  <c r="B127" i="3"/>
  <c r="C127" i="3" s="1"/>
  <c r="B128" i="3"/>
  <c r="B129" i="3"/>
  <c r="B130" i="3"/>
  <c r="B131" i="3"/>
  <c r="B132" i="3"/>
  <c r="B133" i="3"/>
  <c r="B134" i="3"/>
  <c r="B135" i="3"/>
  <c r="B136" i="3"/>
  <c r="B137" i="3"/>
  <c r="B138" i="3"/>
  <c r="C138" i="3" s="1"/>
  <c r="B139" i="3"/>
  <c r="C139" i="3" s="1"/>
  <c r="B140" i="3"/>
  <c r="C140" i="3" s="1"/>
  <c r="B141" i="3"/>
  <c r="C141" i="3" s="1"/>
  <c r="B142" i="3"/>
  <c r="C142" i="3" s="1"/>
  <c r="B143" i="3"/>
  <c r="C143" i="3" s="1"/>
  <c r="B144" i="3"/>
  <c r="C144" i="3" s="1"/>
  <c r="B145" i="3"/>
  <c r="C145" i="3" s="1"/>
  <c r="B146" i="3"/>
  <c r="C146" i="3" s="1"/>
  <c r="B147" i="3"/>
  <c r="C147" i="3" s="1"/>
  <c r="B148" i="3"/>
  <c r="B149" i="3"/>
  <c r="B150" i="3"/>
  <c r="B151" i="3"/>
  <c r="B152" i="3"/>
  <c r="B2" i="3"/>
  <c r="R8" i="2"/>
  <c r="S8" i="2" s="1"/>
  <c r="J8" i="2"/>
  <c r="B8" i="2"/>
  <c r="C8" i="2" s="1"/>
  <c r="D8" i="2" s="1"/>
  <c r="F8" i="2" s="1"/>
  <c r="K2" i="1"/>
  <c r="K3" i="1"/>
  <c r="L3" i="1" s="1"/>
  <c r="M3" i="1" s="1"/>
  <c r="U3" i="1"/>
  <c r="P3" i="1"/>
  <c r="D2" i="1"/>
  <c r="I2" i="1" s="1"/>
  <c r="I9" i="2" l="1"/>
  <c r="C9" i="2"/>
  <c r="D9" i="2" s="1"/>
  <c r="R3" i="1"/>
  <c r="AA3" i="2"/>
  <c r="C3" i="2"/>
  <c r="D3" i="2" s="1"/>
  <c r="F3" i="2" s="1"/>
  <c r="B10" i="2"/>
  <c r="B6" i="2"/>
  <c r="B4" i="2"/>
  <c r="B5" i="2"/>
  <c r="W19" i="2"/>
  <c r="I2" i="2"/>
  <c r="C2" i="2"/>
  <c r="D2" i="2" s="1"/>
  <c r="I21" i="2"/>
  <c r="J21" i="2" s="1"/>
  <c r="C21" i="2"/>
  <c r="D21" i="2" s="1"/>
  <c r="F21" i="2" s="1"/>
  <c r="W22" i="2"/>
  <c r="X21" i="2"/>
  <c r="B22" i="2"/>
  <c r="X20" i="2"/>
  <c r="X22" i="2"/>
  <c r="W20" i="2"/>
  <c r="X18" i="2"/>
  <c r="W16" i="2"/>
  <c r="X13" i="2"/>
  <c r="AA8" i="2"/>
  <c r="B7" i="2"/>
  <c r="X19" i="2"/>
  <c r="B20" i="2"/>
  <c r="X12" i="2"/>
  <c r="W12" i="2"/>
  <c r="B23" i="2"/>
  <c r="I23" i="2" s="1"/>
  <c r="B19" i="2"/>
  <c r="I19" i="2" s="1"/>
  <c r="W21" i="2"/>
  <c r="W17" i="2"/>
  <c r="X15" i="2"/>
  <c r="B16" i="2"/>
  <c r="B18" i="2"/>
  <c r="B14" i="2"/>
  <c r="B15" i="2"/>
  <c r="B17" i="2"/>
  <c r="I17" i="2" s="1"/>
  <c r="J17" i="2" s="1"/>
  <c r="X14" i="2"/>
  <c r="X23" i="2"/>
  <c r="C12" i="2"/>
  <c r="D12" i="2" s="1"/>
  <c r="F12" i="2" s="1"/>
  <c r="I12" i="2"/>
  <c r="J12" i="2" s="1"/>
  <c r="W11" i="2"/>
  <c r="X10" i="2"/>
  <c r="X11" i="2"/>
  <c r="B13" i="2"/>
  <c r="I13" i="2" s="1"/>
  <c r="AA13" i="2" s="1"/>
  <c r="B11" i="2"/>
  <c r="X8" i="2"/>
  <c r="W8" i="2"/>
  <c r="E8" i="2"/>
  <c r="G8" i="2"/>
  <c r="S3" i="1"/>
  <c r="N3" i="1"/>
  <c r="L2" i="1"/>
  <c r="F2" i="1"/>
  <c r="AA9" i="2" l="1"/>
  <c r="J9" i="2"/>
  <c r="E9" i="2"/>
  <c r="G9" i="2"/>
  <c r="F9" i="2"/>
  <c r="E3" i="2"/>
  <c r="G3" i="2"/>
  <c r="C4" i="2"/>
  <c r="D4" i="2" s="1"/>
  <c r="I4" i="2"/>
  <c r="I22" i="2"/>
  <c r="C22" i="2"/>
  <c r="D22" i="2" s="1"/>
  <c r="J2" i="2"/>
  <c r="AA2" i="2"/>
  <c r="I7" i="2"/>
  <c r="J7" i="2" s="1"/>
  <c r="C7" i="2"/>
  <c r="D7" i="2" s="1"/>
  <c r="I20" i="2"/>
  <c r="C20" i="2"/>
  <c r="D20" i="2" s="1"/>
  <c r="G2" i="2"/>
  <c r="F2" i="2"/>
  <c r="E2" i="2"/>
  <c r="I5" i="2"/>
  <c r="C5" i="2"/>
  <c r="D5" i="2" s="1"/>
  <c r="E21" i="2"/>
  <c r="AA21" i="2"/>
  <c r="AA17" i="2"/>
  <c r="I6" i="2"/>
  <c r="C6" i="2"/>
  <c r="D6" i="2" s="1"/>
  <c r="F6" i="2" s="1"/>
  <c r="C18" i="2"/>
  <c r="D18" i="2" s="1"/>
  <c r="F18" i="2" s="1"/>
  <c r="I18" i="2"/>
  <c r="C19" i="2"/>
  <c r="D19" i="2" s="1"/>
  <c r="F19" i="2" s="1"/>
  <c r="G21" i="2"/>
  <c r="I14" i="2"/>
  <c r="C14" i="2"/>
  <c r="D14" i="2" s="1"/>
  <c r="F14" i="2" s="1"/>
  <c r="C23" i="2"/>
  <c r="D23" i="2" s="1"/>
  <c r="E23" i="2" s="1"/>
  <c r="C16" i="2"/>
  <c r="D16" i="2" s="1"/>
  <c r="F16" i="2" s="1"/>
  <c r="I16" i="2"/>
  <c r="I15" i="2"/>
  <c r="C15" i="2"/>
  <c r="D15" i="2" s="1"/>
  <c r="F15" i="2" s="1"/>
  <c r="AA12" i="2"/>
  <c r="C17" i="2"/>
  <c r="D17" i="2" s="1"/>
  <c r="F17" i="2" s="1"/>
  <c r="E12" i="2"/>
  <c r="G12" i="2"/>
  <c r="I10" i="2"/>
  <c r="C10" i="2"/>
  <c r="D10" i="2" s="1"/>
  <c r="F10" i="2" s="1"/>
  <c r="C13" i="2"/>
  <c r="D13" i="2" s="1"/>
  <c r="F13" i="2" s="1"/>
  <c r="J13" i="2"/>
  <c r="I11" i="2"/>
  <c r="C11" i="2"/>
  <c r="D11" i="2" s="1"/>
  <c r="F11" i="2" s="1"/>
  <c r="M2" i="1"/>
  <c r="N2" i="1" s="1"/>
  <c r="R2" i="1"/>
  <c r="S2" i="1" s="1"/>
  <c r="C2" i="1"/>
  <c r="G2" i="1"/>
  <c r="AA7" i="2" l="1"/>
  <c r="F7" i="2"/>
  <c r="G7" i="2"/>
  <c r="E7" i="2"/>
  <c r="J22" i="2"/>
  <c r="AA22" i="2"/>
  <c r="J5" i="2"/>
  <c r="AA5" i="2"/>
  <c r="G20" i="2"/>
  <c r="F20" i="2"/>
  <c r="E20" i="2"/>
  <c r="J4" i="2"/>
  <c r="AA4" i="2"/>
  <c r="E22" i="2"/>
  <c r="G22" i="2"/>
  <c r="F22" i="2"/>
  <c r="E5" i="2"/>
  <c r="F5" i="2"/>
  <c r="G5" i="2"/>
  <c r="J20" i="2"/>
  <c r="AA20" i="2"/>
  <c r="E4" i="2"/>
  <c r="F4" i="2"/>
  <c r="G4" i="2"/>
  <c r="G17" i="2"/>
  <c r="E17" i="2"/>
  <c r="E6" i="2"/>
  <c r="G6" i="2"/>
  <c r="J6" i="2"/>
  <c r="AA6" i="2"/>
  <c r="J18" i="2"/>
  <c r="AA18" i="2"/>
  <c r="E18" i="2"/>
  <c r="G18" i="2"/>
  <c r="E16" i="2"/>
  <c r="G16" i="2"/>
  <c r="G15" i="2"/>
  <c r="E15" i="2"/>
  <c r="J23" i="2"/>
  <c r="AA23" i="2"/>
  <c r="J15" i="2"/>
  <c r="AA15" i="2"/>
  <c r="G23" i="2"/>
  <c r="F23" i="2"/>
  <c r="G19" i="2"/>
  <c r="E19" i="2"/>
  <c r="J14" i="2"/>
  <c r="AA14" i="2"/>
  <c r="J16" i="2"/>
  <c r="AA16" i="2"/>
  <c r="E14" i="2"/>
  <c r="G14" i="2"/>
  <c r="J19" i="2"/>
  <c r="AA19" i="2"/>
  <c r="G13" i="2"/>
  <c r="E13" i="2"/>
  <c r="G10" i="2"/>
  <c r="E10" i="2"/>
  <c r="J11" i="2"/>
  <c r="AA11" i="2"/>
  <c r="J10" i="2"/>
  <c r="AA10" i="2"/>
  <c r="E11" i="2"/>
  <c r="G11" i="2"/>
  <c r="J2" i="1"/>
  <c r="Z8" i="1" l="1"/>
  <c r="Z6" i="1"/>
  <c r="Z7" i="1"/>
  <c r="U2" i="1"/>
  <c r="V2" i="1" l="1"/>
  <c r="Z9" i="1"/>
  <c r="Z10" i="1" s="1"/>
  <c r="AB10" i="1" s="1"/>
  <c r="P2" i="1"/>
  <c r="Q2" i="1" l="1"/>
  <c r="D3" i="1"/>
  <c r="I3" i="1" s="1"/>
  <c r="J3" i="1" s="1"/>
  <c r="AB8" i="1"/>
  <c r="E3" i="1" l="1"/>
  <c r="F3" i="1" s="1"/>
  <c r="G3" i="1"/>
  <c r="Q3" i="1" l="1"/>
  <c r="V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Sandhitha Patnaik</author>
  </authors>
  <commentList>
    <comment ref="H2" authorId="0" shapeId="0" xr:uid="{3CFE2769-86E9-450B-87DF-264A15DE34CC}">
      <text>
        <r>
          <rPr>
            <b/>
            <sz val="9"/>
            <color indexed="81"/>
            <rFont val="Tahoma"/>
            <family val="2"/>
          </rPr>
          <t>Sandhitha Patnaik:</t>
        </r>
        <r>
          <rPr>
            <sz val="9"/>
            <color indexed="81"/>
            <rFont val="Tahoma"/>
            <family val="2"/>
          </rPr>
          <t xml:space="preserve">
0.3 st
10 m/s 
f is 9
gamma/2 is 43
6.85216</t>
        </r>
      </text>
    </comment>
    <comment ref="O2" authorId="0" shapeId="0" xr:uid="{BBD27EA0-C639-4D93-BEB4-203FCFE6F443}">
      <text>
        <r>
          <rPr>
            <b/>
            <sz val="9"/>
            <color indexed="81"/>
            <rFont val="Tahoma"/>
            <family val="2"/>
          </rPr>
          <t>Sandhitha Patnaik:</t>
        </r>
        <r>
          <rPr>
            <sz val="9"/>
            <color indexed="81"/>
            <rFont val="Tahoma"/>
            <family val="2"/>
          </rPr>
          <t xml:space="preserve">
2000 mah</t>
        </r>
      </text>
    </comment>
    <comment ref="H3" authorId="0" shapeId="0" xr:uid="{17FABF5F-5FEC-4FFD-A676-E0D6163CBC56}">
      <text>
        <r>
          <rPr>
            <b/>
            <sz val="9"/>
            <color indexed="81"/>
            <rFont val="Tahoma"/>
            <family val="2"/>
          </rPr>
          <t>Sandhitha Patnaik:</t>
        </r>
        <r>
          <rPr>
            <sz val="9"/>
            <color indexed="81"/>
            <rFont val="Tahoma"/>
            <family val="2"/>
          </rPr>
          <t xml:space="preserve">
0.23 st 
9m/s
f 5
gamma/2 is 25
</t>
        </r>
      </text>
    </comment>
  </commentList>
</comments>
</file>

<file path=xl/sharedStrings.xml><?xml version="1.0" encoding="utf-8"?>
<sst xmlns="http://schemas.openxmlformats.org/spreadsheetml/2006/main" count="68" uniqueCount="54">
  <si>
    <t>W in kg</t>
  </si>
  <si>
    <t>T/W</t>
  </si>
  <si>
    <t>W in N</t>
  </si>
  <si>
    <t>P in W</t>
  </si>
  <si>
    <t>P/W in W/N</t>
  </si>
  <si>
    <t>S in m2</t>
  </si>
  <si>
    <t>st</t>
  </si>
  <si>
    <t>bt</t>
  </si>
  <si>
    <t>e</t>
  </si>
  <si>
    <t>total</t>
  </si>
  <si>
    <t>diff</t>
  </si>
  <si>
    <t>diff error</t>
  </si>
  <si>
    <t>W/S in N/m2</t>
  </si>
  <si>
    <t>P/W new</t>
  </si>
  <si>
    <t>T/W new</t>
  </si>
  <si>
    <t>Energy in J</t>
  </si>
  <si>
    <t>Energy in Wh</t>
  </si>
  <si>
    <t>Battery mAh needed 3.7</t>
  </si>
  <si>
    <t># battery</t>
  </si>
  <si>
    <t>Wb</t>
  </si>
  <si>
    <t>Battery mAh needed 7.4</t>
  </si>
  <si>
    <t>W new</t>
  </si>
  <si>
    <t>b in m</t>
  </si>
  <si>
    <t>include tip beta&lt;10deg</t>
  </si>
  <si>
    <t>New W/S</t>
  </si>
  <si>
    <t>reduced area righter design point lesser power and for a higher st  higher velocity</t>
  </si>
  <si>
    <t>yy</t>
  </si>
  <si>
    <t>W in g</t>
  </si>
  <si>
    <t># b</t>
  </si>
  <si>
    <t>Ws</t>
  </si>
  <si>
    <t>Welec</t>
  </si>
  <si>
    <t>Wp</t>
  </si>
  <si>
    <t>Wb*</t>
  </si>
  <si>
    <t>Ws*</t>
  </si>
  <si>
    <t>Welec*</t>
  </si>
  <si>
    <t>W*</t>
  </si>
  <si>
    <t>(W/S)* in N/m2</t>
  </si>
  <si>
    <t>eff</t>
  </si>
  <si>
    <t>V in m/s</t>
  </si>
  <si>
    <t>f in Hz</t>
  </si>
  <si>
    <t>gamma in deg</t>
  </si>
  <si>
    <t>E in Wh</t>
  </si>
  <si>
    <t>mAh req</t>
  </si>
  <si>
    <t>mAh available</t>
  </si>
  <si>
    <t>theta a in deg</t>
  </si>
  <si>
    <t>time in mins</t>
  </si>
  <si>
    <t>cl</t>
  </si>
  <si>
    <t>alpha</t>
  </si>
  <si>
    <t>2000 &amp; 1000</t>
  </si>
  <si>
    <t>2000 &amp; 650</t>
  </si>
  <si>
    <t>2000 &amp; 1200</t>
  </si>
  <si>
    <t>2000 &amp; 180</t>
  </si>
  <si>
    <t>2000 &amp; 750</t>
  </si>
  <si>
    <t>2000 &amp;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</si>
</sst>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57EFD2"/>
        <bgColor indexed="64"/>
      </patternFill>
    </fill>
    <fill>
      <patternFill patternType="solid">
        <fgColor rgb="FFBA91F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2" fontId="4" fillId="4" borderId="2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9" borderId="3" xfId="0" applyNumberFormat="1" applyFont="1" applyFill="1" applyBorder="1" applyAlignment="1">
      <alignment horizontal="center" vertical="center"/>
    </xf>
    <xf numFmtId="2" fontId="4" fillId="8" borderId="3" xfId="0" applyNumberFormat="1" applyFont="1" applyFill="1" applyBorder="1" applyAlignment="1">
      <alignment horizontal="center" vertical="center"/>
    </xf>
    <xf numFmtId="2" fontId="4" fillId="6" borderId="3" xfId="0" applyNumberFormat="1" applyFont="1" applyFill="1" applyBorder="1" applyAlignment="1">
      <alignment horizontal="center" vertical="center"/>
    </xf>
    <xf numFmtId="2" fontId="4" fillId="4" borderId="4" xfId="0" applyNumberFormat="1" applyFont="1" applyFill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10" borderId="5" xfId="0" applyNumberFormat="1" applyFont="1" applyFill="1" applyBorder="1" applyAlignment="1">
      <alignment horizontal="center" vertical="center"/>
    </xf>
    <xf numFmtId="2" fontId="4" fillId="3" borderId="5" xfId="0" applyNumberFormat="1" applyFont="1" applyFill="1" applyBorder="1" applyAlignment="1">
      <alignment horizontal="center" vertical="center"/>
    </xf>
    <xf numFmtId="2" fontId="4" fillId="7" borderId="5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5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EFD2"/>
      <color rgb="FFFFBDFF"/>
      <color rgb="FFBA91F7"/>
      <color rgb="FFFF66FF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Sheet3!$A$2:$A$152</c:f>
              <c:numCache>
                <c:formatCode>General</c:formatCode>
                <c:ptCount val="1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</c:numCache>
            </c:numRef>
          </c:xVal>
          <c:yVal>
            <c:numRef>
              <c:f>Sheet3!$C$2:$C$152</c:f>
              <c:numCache>
                <c:formatCode>General</c:formatCode>
                <c:ptCount val="151"/>
                <c:pt idx="0">
                  <c:v>-5.4831135561607548E-2</c:v>
                </c:pt>
                <c:pt idx="1">
                  <c:v>-4.386490844928604E-2</c:v>
                </c:pt>
                <c:pt idx="2">
                  <c:v>-3.2898681336964525E-2</c:v>
                </c:pt>
                <c:pt idx="3">
                  <c:v>-2.193245422464302E-2</c:v>
                </c:pt>
                <c:pt idx="4">
                  <c:v>-1.0966227112321507E-2</c:v>
                </c:pt>
                <c:pt idx="5">
                  <c:v>0</c:v>
                </c:pt>
                <c:pt idx="6">
                  <c:v>1.0966227112321507E-2</c:v>
                </c:pt>
                <c:pt idx="7">
                  <c:v>2.1932454224643013E-2</c:v>
                </c:pt>
                <c:pt idx="8">
                  <c:v>3.2898681336964532E-2</c:v>
                </c:pt>
                <c:pt idx="9">
                  <c:v>4.386490844928604E-2</c:v>
                </c:pt>
                <c:pt idx="10">
                  <c:v>5.4831135561607548E-2</c:v>
                </c:pt>
                <c:pt idx="11">
                  <c:v>6.5797362673929063E-2</c:v>
                </c:pt>
                <c:pt idx="12">
                  <c:v>7.6763589786250558E-2</c:v>
                </c:pt>
                <c:pt idx="13">
                  <c:v>8.772981689857208E-2</c:v>
                </c:pt>
                <c:pt idx="14">
                  <c:v>9.869604401089356E-2</c:v>
                </c:pt>
                <c:pt idx="15">
                  <c:v>0.1096622711232151</c:v>
                </c:pt>
                <c:pt idx="16">
                  <c:v>0.12062849823553662</c:v>
                </c:pt>
                <c:pt idx="17">
                  <c:v>0.1315947253478581</c:v>
                </c:pt>
                <c:pt idx="18">
                  <c:v>0.14256095246017961</c:v>
                </c:pt>
                <c:pt idx="19">
                  <c:v>0.15352717957250112</c:v>
                </c:pt>
                <c:pt idx="20">
                  <c:v>0.16449340668482265</c:v>
                </c:pt>
                <c:pt idx="21">
                  <c:v>0.17545963379714416</c:v>
                </c:pt>
                <c:pt idx="22">
                  <c:v>0.18642586090946567</c:v>
                </c:pt>
                <c:pt idx="23">
                  <c:v>0.19739208802178712</c:v>
                </c:pt>
                <c:pt idx="24">
                  <c:v>0.20835831513410866</c:v>
                </c:pt>
                <c:pt idx="25">
                  <c:v>0.21932454224643019</c:v>
                </c:pt>
                <c:pt idx="26">
                  <c:v>0.2302907693587517</c:v>
                </c:pt>
                <c:pt idx="27">
                  <c:v>0.24125699647107324</c:v>
                </c:pt>
                <c:pt idx="28">
                  <c:v>0.25222322358339472</c:v>
                </c:pt>
                <c:pt idx="29">
                  <c:v>0.2631894506957162</c:v>
                </c:pt>
                <c:pt idx="30">
                  <c:v>0.27415567780803773</c:v>
                </c:pt>
                <c:pt idx="31">
                  <c:v>0.28512190492035921</c:v>
                </c:pt>
                <c:pt idx="32">
                  <c:v>0.29608813203268075</c:v>
                </c:pt>
                <c:pt idx="33">
                  <c:v>0.30705435914500223</c:v>
                </c:pt>
                <c:pt idx="34">
                  <c:v>0.31802058625732377</c:v>
                </c:pt>
                <c:pt idx="35">
                  <c:v>0.3289868133696453</c:v>
                </c:pt>
                <c:pt idx="36">
                  <c:v>0.33995304048196678</c:v>
                </c:pt>
                <c:pt idx="37">
                  <c:v>0.35091926759428832</c:v>
                </c:pt>
                <c:pt idx="38">
                  <c:v>0.3618854947066098</c:v>
                </c:pt>
                <c:pt idx="39">
                  <c:v>0.37285172181893128</c:v>
                </c:pt>
                <c:pt idx="40">
                  <c:v>0.38381794893125282</c:v>
                </c:pt>
                <c:pt idx="41">
                  <c:v>0.39478417604357424</c:v>
                </c:pt>
                <c:pt idx="42">
                  <c:v>0.40575040315589589</c:v>
                </c:pt>
                <c:pt idx="43">
                  <c:v>0.41671663026821731</c:v>
                </c:pt>
                <c:pt idx="44">
                  <c:v>0.42768285738053891</c:v>
                </c:pt>
                <c:pt idx="45">
                  <c:v>0.43864908449286039</c:v>
                </c:pt>
                <c:pt idx="46">
                  <c:v>0.44961531160518181</c:v>
                </c:pt>
                <c:pt idx="47">
                  <c:v>0.4605815387175034</c:v>
                </c:pt>
                <c:pt idx="48">
                  <c:v>0.47154776582982483</c:v>
                </c:pt>
                <c:pt idx="49">
                  <c:v>0.48251399294214647</c:v>
                </c:pt>
                <c:pt idx="50">
                  <c:v>0.4934802200544679</c:v>
                </c:pt>
                <c:pt idx="51">
                  <c:v>0.50444644716678944</c:v>
                </c:pt>
                <c:pt idx="52">
                  <c:v>0.51541267427911097</c:v>
                </c:pt>
                <c:pt idx="53">
                  <c:v>0.5263789013914324</c:v>
                </c:pt>
                <c:pt idx="54">
                  <c:v>0.53734512850375404</c:v>
                </c:pt>
                <c:pt idx="55">
                  <c:v>0.54831135561607547</c:v>
                </c:pt>
                <c:pt idx="56">
                  <c:v>0.559277582728397</c:v>
                </c:pt>
                <c:pt idx="57">
                  <c:v>0.57024380984071843</c:v>
                </c:pt>
                <c:pt idx="58">
                  <c:v>0.58121003695303997</c:v>
                </c:pt>
                <c:pt idx="59">
                  <c:v>0.5921762640653615</c:v>
                </c:pt>
                <c:pt idx="60">
                  <c:v>0.60314249117768293</c:v>
                </c:pt>
                <c:pt idx="61">
                  <c:v>0.61410871829000446</c:v>
                </c:pt>
                <c:pt idx="62">
                  <c:v>0.625074945402326</c:v>
                </c:pt>
                <c:pt idx="63">
                  <c:v>0.63604117251464753</c:v>
                </c:pt>
                <c:pt idx="64">
                  <c:v>0.64700739962696907</c:v>
                </c:pt>
                <c:pt idx="65">
                  <c:v>0.65797362673929061</c:v>
                </c:pt>
                <c:pt idx="66">
                  <c:v>0.66893985385161203</c:v>
                </c:pt>
                <c:pt idx="67">
                  <c:v>0.67990608096393357</c:v>
                </c:pt>
                <c:pt idx="68">
                  <c:v>0.6908723080762551</c:v>
                </c:pt>
                <c:pt idx="69">
                  <c:v>0.70183853518857664</c:v>
                </c:pt>
                <c:pt idx="70">
                  <c:v>0.71280476230089806</c:v>
                </c:pt>
                <c:pt idx="71">
                  <c:v>0.7237709894132196</c:v>
                </c:pt>
                <c:pt idx="72">
                  <c:v>0.73473721652554103</c:v>
                </c:pt>
                <c:pt idx="73">
                  <c:v>0.74570344363786256</c:v>
                </c:pt>
                <c:pt idx="74">
                  <c:v>0.7566696707501841</c:v>
                </c:pt>
                <c:pt idx="75">
                  <c:v>0.76763589786250563</c:v>
                </c:pt>
                <c:pt idx="76">
                  <c:v>0.77860212497482706</c:v>
                </c:pt>
                <c:pt idx="77">
                  <c:v>0.78956835208714871</c:v>
                </c:pt>
                <c:pt idx="78">
                  <c:v>0.80053457919947024</c:v>
                </c:pt>
                <c:pt idx="79">
                  <c:v>0.81150080631179178</c:v>
                </c:pt>
                <c:pt idx="80">
                  <c:v>0.82246703342411309</c:v>
                </c:pt>
                <c:pt idx="81">
                  <c:v>0.83343326053643463</c:v>
                </c:pt>
                <c:pt idx="82">
                  <c:v>0.84439948764875616</c:v>
                </c:pt>
                <c:pt idx="83">
                  <c:v>0.85536571476107781</c:v>
                </c:pt>
                <c:pt idx="84">
                  <c:v>0.86633194187339924</c:v>
                </c:pt>
                <c:pt idx="85">
                  <c:v>0.87729816898572077</c:v>
                </c:pt>
                <c:pt idx="86">
                  <c:v>0.8882643960980422</c:v>
                </c:pt>
                <c:pt idx="87">
                  <c:v>0.89923062321036362</c:v>
                </c:pt>
                <c:pt idx="88">
                  <c:v>0.91019685032268527</c:v>
                </c:pt>
                <c:pt idx="89">
                  <c:v>0.92116307743500681</c:v>
                </c:pt>
                <c:pt idx="90">
                  <c:v>0.93212930454732834</c:v>
                </c:pt>
                <c:pt idx="91">
                  <c:v>0.94309553165964966</c:v>
                </c:pt>
                <c:pt idx="92">
                  <c:v>0.95406175877197119</c:v>
                </c:pt>
                <c:pt idx="93">
                  <c:v>0.96502798588429295</c:v>
                </c:pt>
                <c:pt idx="94">
                  <c:v>0.97599421299661426</c:v>
                </c:pt>
                <c:pt idx="95">
                  <c:v>0.9869604401089358</c:v>
                </c:pt>
                <c:pt idx="96">
                  <c:v>0.99792666722125734</c:v>
                </c:pt>
                <c:pt idx="97">
                  <c:v>1.0088928943335789</c:v>
                </c:pt>
                <c:pt idx="98">
                  <c:v>1.0198591214459003</c:v>
                </c:pt>
                <c:pt idx="99">
                  <c:v>1.0308253485582219</c:v>
                </c:pt>
                <c:pt idx="100">
                  <c:v>1.0417915756705434</c:v>
                </c:pt>
                <c:pt idx="101">
                  <c:v>1.0527578027828648</c:v>
                </c:pt>
                <c:pt idx="102">
                  <c:v>1.0637240298951862</c:v>
                </c:pt>
                <c:pt idx="103">
                  <c:v>1.0746902570075081</c:v>
                </c:pt>
                <c:pt idx="104">
                  <c:v>1.0856564841198295</c:v>
                </c:pt>
                <c:pt idx="105">
                  <c:v>1.0966227112321509</c:v>
                </c:pt>
                <c:pt idx="106">
                  <c:v>1.1075889383444724</c:v>
                </c:pt>
                <c:pt idx="107">
                  <c:v>1.118555165456794</c:v>
                </c:pt>
                <c:pt idx="108">
                  <c:v>1.1295213925691154</c:v>
                </c:pt>
                <c:pt idx="109">
                  <c:v>1.1404876196814369</c:v>
                </c:pt>
                <c:pt idx="110">
                  <c:v>1.1514538467937585</c:v>
                </c:pt>
                <c:pt idx="111">
                  <c:v>1.1624200739060799</c:v>
                </c:pt>
                <c:pt idx="112">
                  <c:v>1.1733863010184014</c:v>
                </c:pt>
                <c:pt idx="113">
                  <c:v>1.184352528130723</c:v>
                </c:pt>
                <c:pt idx="114">
                  <c:v>1.1953187552430447</c:v>
                </c:pt>
                <c:pt idx="115">
                  <c:v>1.2062849823553659</c:v>
                </c:pt>
                <c:pt idx="116">
                  <c:v>1.2172512094676875</c:v>
                </c:pt>
                <c:pt idx="117">
                  <c:v>1.2282174365800089</c:v>
                </c:pt>
                <c:pt idx="118">
                  <c:v>1.2391836636923306</c:v>
                </c:pt>
                <c:pt idx="119">
                  <c:v>1.250149890804652</c:v>
                </c:pt>
                <c:pt idx="120">
                  <c:v>1.2611161179169736</c:v>
                </c:pt>
                <c:pt idx="121">
                  <c:v>1.2720823450292951</c:v>
                </c:pt>
                <c:pt idx="122">
                  <c:v>1.2830485721416165</c:v>
                </c:pt>
                <c:pt idx="123">
                  <c:v>1.2940147992539381</c:v>
                </c:pt>
                <c:pt idx="124">
                  <c:v>1.3049810263662596</c:v>
                </c:pt>
                <c:pt idx="125">
                  <c:v>1.3159472534785812</c:v>
                </c:pt>
                <c:pt idx="126">
                  <c:v>1.3269134805909024</c:v>
                </c:pt>
                <c:pt idx="127">
                  <c:v>1.3378797077032241</c:v>
                </c:pt>
                <c:pt idx="128">
                  <c:v>1.3488459348155457</c:v>
                </c:pt>
                <c:pt idx="129">
                  <c:v>1.3598121619278671</c:v>
                </c:pt>
                <c:pt idx="130">
                  <c:v>1.3707783890401886</c:v>
                </c:pt>
                <c:pt idx="131">
                  <c:v>1.3817446161525102</c:v>
                </c:pt>
                <c:pt idx="132">
                  <c:v>1.3927108432648314</c:v>
                </c:pt>
                <c:pt idx="133">
                  <c:v>1.4036770703771533</c:v>
                </c:pt>
                <c:pt idx="134">
                  <c:v>1.4146432974894747</c:v>
                </c:pt>
                <c:pt idx="135">
                  <c:v>1.4256095246017961</c:v>
                </c:pt>
                <c:pt idx="136">
                  <c:v>1.4365757517141176</c:v>
                </c:pt>
                <c:pt idx="137">
                  <c:v>1.4475419788264392</c:v>
                </c:pt>
                <c:pt idx="138">
                  <c:v>1.4585082059387608</c:v>
                </c:pt>
                <c:pt idx="139">
                  <c:v>1.4694744330510821</c:v>
                </c:pt>
                <c:pt idx="140">
                  <c:v>1.4804406601634037</c:v>
                </c:pt>
                <c:pt idx="141">
                  <c:v>1.4914068872757251</c:v>
                </c:pt>
                <c:pt idx="142">
                  <c:v>1.5023731143880468</c:v>
                </c:pt>
                <c:pt idx="143">
                  <c:v>1.5133393415003682</c:v>
                </c:pt>
                <c:pt idx="144">
                  <c:v>1.5243055686126898</c:v>
                </c:pt>
                <c:pt idx="145">
                  <c:v>1.5352717957250113</c:v>
                </c:pt>
                <c:pt idx="146">
                  <c:v>1.5462380228373327</c:v>
                </c:pt>
                <c:pt idx="147">
                  <c:v>1.5572042499496541</c:v>
                </c:pt>
                <c:pt idx="148">
                  <c:v>1.5681704770619758</c:v>
                </c:pt>
                <c:pt idx="149">
                  <c:v>1.5791367041742974</c:v>
                </c:pt>
                <c:pt idx="150">
                  <c:v>1.5901029312866188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F1-46E4-B23E-9A6AC57C9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17679"/>
        <c:axId val="105420175"/>
      </c:scatterChart>
      <c:valAx>
        <c:axId val="10541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20175"/>
        <c:crosses val="autoZero"/>
        <c:crossBetween val="midCat"/>
      </c:valAx>
      <c:valAx>
        <c:axId val="10542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17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4</xdr:row>
      <xdr:rowOff>63500</xdr:rowOff>
    </xdr:from>
    <xdr:to>
      <xdr:col>13</xdr:col>
      <xdr:colOff>231775</xdr:colOff>
      <xdr:row>19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06D0DD-0BEA-435B-BB2D-23EC984B1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opLeftCell="O1" workbookViewId="0">
      <selection activeCell="U2" sqref="U2"/>
    </sheetView>
  </sheetViews>
  <sheetFormatPr defaultColWidth="7.26953125" defaultRowHeight="14.5" x14ac:dyDescent="0.35"/>
  <cols>
    <col min="1" max="1" width="11.54296875" style="1" bestFit="1" customWidth="1"/>
    <col min="2" max="2" width="8.81640625" style="1" hidden="1" customWidth="1"/>
    <col min="3" max="3" width="10.81640625" style="1" hidden="1" customWidth="1"/>
    <col min="4" max="6" width="11.81640625" style="1" bestFit="1" customWidth="1"/>
    <col min="7" max="7" width="11.81640625" style="1" customWidth="1"/>
    <col min="8" max="8" width="6.81640625" style="1" bestFit="1" customWidth="1"/>
    <col min="9" max="10" width="11.81640625" style="1" customWidth="1"/>
    <col min="11" max="11" width="9.54296875" style="1" bestFit="1" customWidth="1"/>
    <col min="12" max="12" width="11.81640625" style="1" customWidth="1"/>
    <col min="13" max="13" width="21.1796875" style="1" bestFit="1" customWidth="1"/>
    <col min="14" max="14" width="11.81640625" style="1" hidden="1" customWidth="1"/>
    <col min="15" max="15" width="11.81640625" style="1" bestFit="1" customWidth="1"/>
    <col min="16" max="16" width="11.81640625" style="2" bestFit="1" customWidth="1"/>
    <col min="17" max="17" width="11.81640625" style="3" bestFit="1" customWidth="1"/>
    <col min="18" max="18" width="21.1796875" style="1" customWidth="1"/>
    <col min="19" max="20" width="11.81640625" style="1" customWidth="1"/>
    <col min="21" max="21" width="11.81640625" style="2" customWidth="1"/>
    <col min="22" max="22" width="11.81640625" style="3" bestFit="1" customWidth="1"/>
    <col min="23" max="23" width="4.6328125" style="1" bestFit="1" customWidth="1"/>
    <col min="24" max="24" width="11.81640625" style="1" bestFit="1" customWidth="1"/>
    <col min="25" max="25" width="8.36328125" style="1" bestFit="1" customWidth="1"/>
    <col min="26" max="26" width="11.81640625" style="1" bestFit="1" customWidth="1"/>
    <col min="27" max="27" width="4.6328125" style="1" bestFit="1" customWidth="1"/>
    <col min="28" max="28" width="11.81640625" style="1" bestFit="1" customWidth="1"/>
    <col min="29" max="16384" width="7.26953125" style="1"/>
  </cols>
  <sheetData>
    <row r="1" spans="1:29" x14ac:dyDescent="0.35">
      <c r="A1" s="1" t="s">
        <v>12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22</v>
      </c>
      <c r="G1" s="1" t="s">
        <v>0</v>
      </c>
      <c r="H1" s="1" t="s">
        <v>3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2" t="s">
        <v>21</v>
      </c>
      <c r="Q1" s="3" t="s">
        <v>24</v>
      </c>
      <c r="R1" s="1" t="s">
        <v>20</v>
      </c>
      <c r="S1" s="1" t="s">
        <v>18</v>
      </c>
      <c r="T1" s="1" t="s">
        <v>19</v>
      </c>
      <c r="U1" s="2" t="s">
        <v>21</v>
      </c>
      <c r="V1" s="3" t="s">
        <v>24</v>
      </c>
    </row>
    <row r="2" spans="1:29" x14ac:dyDescent="0.35">
      <c r="A2" s="1">
        <v>13</v>
      </c>
      <c r="B2" s="1">
        <v>0.36753799999999998</v>
      </c>
      <c r="C2" s="1">
        <f>B2*10</f>
        <v>3.6753799999999996</v>
      </c>
      <c r="D2" s="1">
        <f>(A2*E2)</f>
        <v>0.33592</v>
      </c>
      <c r="E2" s="1">
        <v>2.5839999999999998E-2</v>
      </c>
      <c r="F2" s="1">
        <f>SQRT(8.28*E2)</f>
        <v>0.46255291589179282</v>
      </c>
      <c r="G2" s="1">
        <f>D2/9.83059051650778</f>
        <v>3.4170887235707208E-2</v>
      </c>
      <c r="H2" s="1">
        <v>6.9</v>
      </c>
      <c r="I2" s="1">
        <f>H2/D2</f>
        <v>20.540604905929985</v>
      </c>
      <c r="J2" s="1">
        <f>I2/(10)</f>
        <v>2.0540604905929984</v>
      </c>
      <c r="K2" s="1">
        <f>(30*60)*H2</f>
        <v>12420</v>
      </c>
      <c r="L2" s="1">
        <f>(1/3600)*K2</f>
        <v>3.45</v>
      </c>
      <c r="M2" s="1">
        <f>(1000*L2)/3.7</f>
        <v>932.43243243243239</v>
      </c>
      <c r="N2" s="1">
        <f>M2/300</f>
        <v>3.1081081081081079</v>
      </c>
      <c r="O2" s="1">
        <v>20</v>
      </c>
      <c r="P2" s="2">
        <f>(O2/0.5572)^(1/0.7561)</f>
        <v>113.92820364307484</v>
      </c>
      <c r="Q2" s="3">
        <f>(P2*9.83059051650778)/(E2*1000)</f>
        <v>43.342938014565732</v>
      </c>
      <c r="R2" s="1">
        <f>(1000*L2)/7.4</f>
        <v>466.2162162162162</v>
      </c>
      <c r="S2" s="1">
        <f>R2/180</f>
        <v>2.5900900900900901</v>
      </c>
      <c r="T2" s="1">
        <v>30</v>
      </c>
      <c r="U2" s="2">
        <f>(T2/0.5572)^(1/0.7561)</f>
        <v>194.77149127217285</v>
      </c>
      <c r="V2" s="3">
        <f>(U2*9.83059051650778)/(1000*E2)</f>
        <v>74.099023799779417</v>
      </c>
      <c r="AA2" s="1">
        <v>40</v>
      </c>
      <c r="AC2" s="1" t="s">
        <v>23</v>
      </c>
    </row>
    <row r="3" spans="1:29" x14ac:dyDescent="0.35">
      <c r="A3" s="1">
        <v>20</v>
      </c>
      <c r="D3" s="1">
        <f>(P2/1000)*9.83059051650778</f>
        <v>1.1199815182963786</v>
      </c>
      <c r="E3" s="1">
        <f>D3/A3</f>
        <v>5.5999075914818931E-2</v>
      </c>
      <c r="F3" s="1">
        <f>SQRT(8.28*E3)</f>
        <v>0.68093490773692955</v>
      </c>
      <c r="G3" s="1">
        <f>D3/9.83059051650778</f>
        <v>0.11392820364307484</v>
      </c>
      <c r="H3" s="1">
        <v>14.222300000000001</v>
      </c>
      <c r="I3" s="1">
        <f>H3/D3</f>
        <v>12.698691690585898</v>
      </c>
      <c r="J3" s="1">
        <f>I3/(10)</f>
        <v>1.2698691690585897</v>
      </c>
      <c r="K3" s="1">
        <f>(30*60)*H3</f>
        <v>25600.14</v>
      </c>
      <c r="L3" s="1">
        <f>(1/3600)*K3</f>
        <v>7.1111499999999994</v>
      </c>
      <c r="M3" s="1">
        <f>(1000*L3)/3.7</f>
        <v>1921.9324324324323</v>
      </c>
      <c r="N3" s="1">
        <f>M3/300</f>
        <v>6.4064414414414408</v>
      </c>
      <c r="O3" s="1">
        <v>33</v>
      </c>
      <c r="P3" s="2">
        <f>(O3/0.5572)^(1/0.7561)</f>
        <v>220.937979030376</v>
      </c>
      <c r="Q3" s="3">
        <f>(P3*9.83059051650778)/(E3*1000)</f>
        <v>38.785475758496396</v>
      </c>
      <c r="R3" s="1">
        <f>(1000*L3)/7.4</f>
        <v>960.96621621621614</v>
      </c>
      <c r="S3" s="1">
        <f>R3/180</f>
        <v>5.338701201201201</v>
      </c>
      <c r="T3" s="1">
        <v>30</v>
      </c>
      <c r="U3" s="2">
        <f>(T3/0.5572)^(1/0.7561)</f>
        <v>194.77149127217285</v>
      </c>
      <c r="V3" s="3">
        <f>(U3*9.83059051650778)/(1000*E3)</f>
        <v>34.191970915713121</v>
      </c>
      <c r="AA3" s="1">
        <v>20</v>
      </c>
    </row>
    <row r="6" spans="1:29" x14ac:dyDescent="0.35">
      <c r="D6" s="1" t="s">
        <v>25</v>
      </c>
      <c r="Z6" s="1">
        <f>0.1137*(AB6^1.2667)</f>
        <v>106.02350510323039</v>
      </c>
      <c r="AA6" s="1" t="s">
        <v>6</v>
      </c>
      <c r="AB6" s="1">
        <v>221</v>
      </c>
    </row>
    <row r="7" spans="1:29" x14ac:dyDescent="0.35">
      <c r="Z7" s="1">
        <f>1.0816*(AB6^0.7233)</f>
        <v>53.674203713101512</v>
      </c>
      <c r="AA7" s="1" t="s">
        <v>8</v>
      </c>
    </row>
    <row r="8" spans="1:29" x14ac:dyDescent="0.35">
      <c r="Z8" s="1">
        <f>0.5572*(AB6^0.7561)</f>
        <v>33.007004005631018</v>
      </c>
      <c r="AA8" s="1" t="s">
        <v>7</v>
      </c>
      <c r="AB8" s="1">
        <f>Z8+Z10</f>
        <v>61.302291183668103</v>
      </c>
    </row>
    <row r="9" spans="1:29" x14ac:dyDescent="0.35">
      <c r="Z9" s="1">
        <f>SUM(Z6:Z8)</f>
        <v>192.70471282196291</v>
      </c>
      <c r="AA9" s="1" t="s">
        <v>9</v>
      </c>
    </row>
    <row r="10" spans="1:29" x14ac:dyDescent="0.35">
      <c r="Z10" s="1">
        <f>AB6-Z9</f>
        <v>28.295287178037086</v>
      </c>
      <c r="AA10" s="1" t="s">
        <v>10</v>
      </c>
      <c r="AB10" s="1">
        <f>(Z10/AB6)*100</f>
        <v>12.803297365627643</v>
      </c>
      <c r="AC10" s="1" t="s">
        <v>11</v>
      </c>
    </row>
    <row r="11" spans="1:29" x14ac:dyDescent="0.35">
      <c r="AB11" s="1" t="s">
        <v>26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C8E3-691A-4BDE-B7F4-C39E5F1AF790}">
  <dimension ref="A1:AB23"/>
  <sheetViews>
    <sheetView tabSelected="1" zoomScale="90" zoomScaleNormal="90" workbookViewId="0">
      <selection activeCell="D9" sqref="D9:AB9"/>
    </sheetView>
  </sheetViews>
  <sheetFormatPr defaultColWidth="15" defaultRowHeight="14" x14ac:dyDescent="0.35"/>
  <cols>
    <col min="1" max="1" width="6.81640625" style="6" customWidth="1"/>
    <col min="2" max="3" width="12" style="6" hidden="1" customWidth="1"/>
    <col min="4" max="4" width="12.08984375" style="6" bestFit="1" customWidth="1"/>
    <col min="5" max="7" width="12" style="6" hidden="1" customWidth="1"/>
    <col min="8" max="8" width="2.81640625" style="6" hidden="1" customWidth="1"/>
    <col min="9" max="9" width="7" style="6" customWidth="1"/>
    <col min="10" max="10" width="7.54296875" style="6" hidden="1" customWidth="1"/>
    <col min="11" max="11" width="5.6328125" style="6" customWidth="1"/>
    <col min="12" max="12" width="5.90625" style="6" customWidth="1"/>
    <col min="13" max="13" width="5.90625" style="6" bestFit="1" customWidth="1"/>
    <col min="14" max="14" width="7" style="6" customWidth="1"/>
    <col min="15" max="15" width="5.36328125" style="6" hidden="1" customWidth="1"/>
    <col min="16" max="16" width="5.90625" style="6" customWidth="1"/>
    <col min="17" max="17" width="5.81640625" style="6" hidden="1" customWidth="1"/>
    <col min="18" max="18" width="8.81640625" style="6" hidden="1" customWidth="1"/>
    <col min="19" max="19" width="8.54296875" style="6" customWidth="1"/>
    <col min="20" max="20" width="11.54296875" style="6" bestFit="1" customWidth="1"/>
    <col min="21" max="21" width="2.26953125" style="6" hidden="1" customWidth="1"/>
    <col min="22" max="22" width="6.453125" style="6" bestFit="1" customWidth="1"/>
    <col min="23" max="23" width="6.90625" style="6" hidden="1" customWidth="1"/>
    <col min="24" max="24" width="7.7265625" style="6" hidden="1" customWidth="1"/>
    <col min="25" max="25" width="2.81640625" style="6" hidden="1" customWidth="1"/>
    <col min="26" max="26" width="9.54296875" style="6" customWidth="1"/>
    <col min="27" max="27" width="7.453125" style="6" customWidth="1"/>
    <col min="28" max="28" width="6.81640625" style="6" customWidth="1"/>
    <col min="29" max="16384" width="15" style="6"/>
  </cols>
  <sheetData>
    <row r="1" spans="1:28" s="7" customFormat="1" ht="40" customHeight="1" thickBot="1" x14ac:dyDescent="0.4">
      <c r="A1" s="8" t="s">
        <v>12</v>
      </c>
      <c r="B1" s="9" t="s">
        <v>2</v>
      </c>
      <c r="C1" s="9" t="s">
        <v>0</v>
      </c>
      <c r="D1" s="9" t="s">
        <v>27</v>
      </c>
      <c r="E1" s="9" t="s">
        <v>19</v>
      </c>
      <c r="F1" s="9" t="s">
        <v>29</v>
      </c>
      <c r="G1" s="9" t="s">
        <v>30</v>
      </c>
      <c r="H1" s="9" t="s">
        <v>31</v>
      </c>
      <c r="I1" s="9" t="s">
        <v>5</v>
      </c>
      <c r="J1" s="9" t="s">
        <v>22</v>
      </c>
      <c r="K1" s="9" t="s">
        <v>38</v>
      </c>
      <c r="L1" s="9" t="s">
        <v>39</v>
      </c>
      <c r="M1" s="9" t="s">
        <v>6</v>
      </c>
      <c r="N1" s="9" t="s">
        <v>40</v>
      </c>
      <c r="O1" s="9" t="s">
        <v>44</v>
      </c>
      <c r="P1" s="9" t="s">
        <v>3</v>
      </c>
      <c r="Q1" s="9" t="s">
        <v>37</v>
      </c>
      <c r="R1" s="9" t="s">
        <v>41</v>
      </c>
      <c r="S1" s="9" t="s">
        <v>42</v>
      </c>
      <c r="T1" s="9" t="s">
        <v>43</v>
      </c>
      <c r="U1" s="9" t="s">
        <v>28</v>
      </c>
      <c r="V1" s="9" t="s">
        <v>32</v>
      </c>
      <c r="W1" s="9" t="s">
        <v>33</v>
      </c>
      <c r="X1" s="9" t="s">
        <v>34</v>
      </c>
      <c r="Y1" s="9" t="s">
        <v>31</v>
      </c>
      <c r="Z1" s="9" t="s">
        <v>35</v>
      </c>
      <c r="AA1" s="9" t="s">
        <v>36</v>
      </c>
      <c r="AB1" s="9" t="s">
        <v>45</v>
      </c>
    </row>
    <row r="2" spans="1:28" s="4" customFormat="1" x14ac:dyDescent="0.35">
      <c r="A2" s="10">
        <v>10</v>
      </c>
      <c r="B2" s="11">
        <f>(Z5*9.83059051650778)/1000</f>
        <v>2.1719508013924091</v>
      </c>
      <c r="C2" s="11">
        <f>B2/9.83059051650778</f>
        <v>0.22093797903037601</v>
      </c>
      <c r="D2" s="11">
        <f t="shared" ref="D2:D5" si="0">C2*1000</f>
        <v>220.93797903037603</v>
      </c>
      <c r="E2" s="11">
        <f t="shared" ref="E2:E5" si="1">0.5572*(D2^0.7561)</f>
        <v>33.000000000000007</v>
      </c>
      <c r="F2" s="11">
        <f t="shared" ref="F2:F5" si="2">0.1137*(D2^1.2667)</f>
        <v>105.98581685495402</v>
      </c>
      <c r="G2" s="11">
        <f t="shared" ref="G2:G5" si="3">1.0816*(D2^0.7233)</f>
        <v>53.66330821180005</v>
      </c>
      <c r="H2" s="11">
        <v>3</v>
      </c>
      <c r="I2" s="11">
        <f>B2/A2</f>
        <v>0.21719508013924091</v>
      </c>
      <c r="J2" s="11">
        <f t="shared" ref="J2:J7" si="4">SQRT(8.28*I2)</f>
        <v>1.3410351462780215</v>
      </c>
      <c r="K2" s="11">
        <v>10</v>
      </c>
      <c r="L2" s="11">
        <v>2.8866999999999998</v>
      </c>
      <c r="M2" s="12">
        <v>0.3</v>
      </c>
      <c r="N2" s="11">
        <v>50.800800000000002</v>
      </c>
      <c r="O2" s="11">
        <v>5.5</v>
      </c>
      <c r="P2" s="11">
        <v>90.433400000000006</v>
      </c>
      <c r="Q2" s="11">
        <v>38.667929999999998</v>
      </c>
      <c r="R2" s="11">
        <f t="shared" ref="R2:R5" si="5">(P2*30*60)/3600</f>
        <v>45.21670000000001</v>
      </c>
      <c r="S2" s="11">
        <f t="shared" ref="S2:S7" si="6">(R2*1000)/3.7</f>
        <v>12220.729729729732</v>
      </c>
      <c r="T2" s="11" t="s">
        <v>53</v>
      </c>
      <c r="U2" s="11">
        <v>7</v>
      </c>
      <c r="V2" s="11">
        <f>9+(33*6)</f>
        <v>207</v>
      </c>
      <c r="W2" s="11">
        <f t="shared" ref="W2:W7" si="7">0.1137*(Z2^1.2667)</f>
        <v>2297.377946418278</v>
      </c>
      <c r="X2" s="11">
        <f t="shared" ref="X2:X7" si="8">1.0816*(Z2^0.7233)</f>
        <v>310.84206553179496</v>
      </c>
      <c r="Y2" s="11">
        <v>3</v>
      </c>
      <c r="Z2" s="13">
        <f t="shared" ref="Z2:Z7" si="9">(V2/0.5572)^(1/0.7561)</f>
        <v>2505.9210382928982</v>
      </c>
      <c r="AA2" s="14">
        <f t="shared" ref="AA2:AA7" si="10">(Z2*9.83059051650778)/(I2*1000)</f>
        <v>113.4219227174323</v>
      </c>
      <c r="AB2" s="11">
        <f>(12300*3600*3.7)/(1000*60*P2)</f>
        <v>30.194596244307967</v>
      </c>
    </row>
    <row r="3" spans="1:28" s="5" customFormat="1" ht="14.5" thickBot="1" x14ac:dyDescent="0.4">
      <c r="A3" s="15"/>
      <c r="B3" s="16">
        <f>(Z5*9.83059051650778)/1000</f>
        <v>2.1719508013924091</v>
      </c>
      <c r="C3" s="16">
        <f t="shared" ref="C3:C5" si="11">B3/9.83059051650778</f>
        <v>0.22093797903037601</v>
      </c>
      <c r="D3" s="16">
        <f t="shared" si="0"/>
        <v>220.93797903037603</v>
      </c>
      <c r="E3" s="16">
        <f t="shared" si="1"/>
        <v>33.000000000000007</v>
      </c>
      <c r="F3" s="16">
        <f t="shared" si="2"/>
        <v>105.98581685495402</v>
      </c>
      <c r="G3" s="16">
        <f t="shared" si="3"/>
        <v>53.66330821180005</v>
      </c>
      <c r="H3" s="16">
        <v>3</v>
      </c>
      <c r="I3" s="16">
        <f>B3/A2</f>
        <v>0.21719508013924091</v>
      </c>
      <c r="J3" s="16">
        <f t="shared" si="4"/>
        <v>1.3410351462780215</v>
      </c>
      <c r="K3" s="16">
        <v>7</v>
      </c>
      <c r="L3" s="16">
        <v>2.8866999999999998</v>
      </c>
      <c r="M3" s="17">
        <v>0.23499999999999999</v>
      </c>
      <c r="N3" s="16">
        <f>25.1464*2</f>
        <v>50.2928</v>
      </c>
      <c r="O3" s="16">
        <v>5.5</v>
      </c>
      <c r="P3" s="16">
        <v>14.5207</v>
      </c>
      <c r="Q3" s="16">
        <v>31.134699999999999</v>
      </c>
      <c r="R3" s="16">
        <f t="shared" si="5"/>
        <v>7.2603499999999999</v>
      </c>
      <c r="S3" s="16">
        <f t="shared" si="6"/>
        <v>1962.2567567567564</v>
      </c>
      <c r="T3" s="16">
        <v>2000</v>
      </c>
      <c r="U3" s="16">
        <v>1</v>
      </c>
      <c r="V3" s="16">
        <v>33</v>
      </c>
      <c r="W3" s="16">
        <f t="shared" si="7"/>
        <v>105.98581685495402</v>
      </c>
      <c r="X3" s="16">
        <f t="shared" si="8"/>
        <v>53.66330821180005</v>
      </c>
      <c r="Y3" s="16">
        <v>3</v>
      </c>
      <c r="Z3" s="18">
        <f t="shared" si="9"/>
        <v>220.937979030376</v>
      </c>
      <c r="AA3" s="19">
        <f t="shared" si="10"/>
        <v>10</v>
      </c>
      <c r="AB3" s="19">
        <f>(2000*3600*3.7)/(1000*60*P3)</f>
        <v>30.577038297051796</v>
      </c>
    </row>
    <row r="4" spans="1:28" s="4" customFormat="1" x14ac:dyDescent="0.35">
      <c r="A4" s="10">
        <v>11</v>
      </c>
      <c r="B4" s="11">
        <f>(Z8*9.83059051650778)/1000</f>
        <v>2.1719508013924091</v>
      </c>
      <c r="C4" s="11">
        <f t="shared" si="11"/>
        <v>0.22093797903037601</v>
      </c>
      <c r="D4" s="11">
        <f t="shared" si="0"/>
        <v>220.93797903037603</v>
      </c>
      <c r="E4" s="11">
        <f t="shared" si="1"/>
        <v>33.000000000000007</v>
      </c>
      <c r="F4" s="11">
        <f t="shared" si="2"/>
        <v>105.98581685495402</v>
      </c>
      <c r="G4" s="11">
        <f t="shared" si="3"/>
        <v>53.66330821180005</v>
      </c>
      <c r="H4" s="11">
        <v>3</v>
      </c>
      <c r="I4" s="11">
        <f>B4/A4</f>
        <v>0.19745007285385538</v>
      </c>
      <c r="J4" s="11">
        <f t="shared" si="4"/>
        <v>1.2786268428395842</v>
      </c>
      <c r="K4" s="11">
        <v>10</v>
      </c>
      <c r="L4" s="11">
        <v>3.1192000000000002</v>
      </c>
      <c r="M4" s="12">
        <v>0.3</v>
      </c>
      <c r="N4" s="11">
        <f>48.7823*2</f>
        <v>97.564599999999999</v>
      </c>
      <c r="O4" s="11">
        <v>5.5</v>
      </c>
      <c r="P4" s="11">
        <v>79.724000000000004</v>
      </c>
      <c r="Q4" s="11">
        <v>37.875799999999998</v>
      </c>
      <c r="R4" s="11">
        <f t="shared" si="5"/>
        <v>39.862000000000002</v>
      </c>
      <c r="S4" s="11">
        <f t="shared" si="6"/>
        <v>10773.513513513513</v>
      </c>
      <c r="T4" s="11" t="s">
        <v>52</v>
      </c>
      <c r="U4" s="11">
        <v>6</v>
      </c>
      <c r="V4" s="11">
        <f xml:space="preserve"> (33*5)+18</f>
        <v>183</v>
      </c>
      <c r="W4" s="11">
        <f t="shared" si="7"/>
        <v>1868.8361972148778</v>
      </c>
      <c r="X4" s="11">
        <f t="shared" si="8"/>
        <v>276.27540408614834</v>
      </c>
      <c r="Y4" s="11">
        <v>3</v>
      </c>
      <c r="Z4" s="13">
        <f t="shared" si="9"/>
        <v>2129.0412640070194</v>
      </c>
      <c r="AA4" s="14">
        <f t="shared" si="10"/>
        <v>106.00012730657481</v>
      </c>
      <c r="AB4" s="11">
        <f>(10750*3600*3.7)/(1000*60*P4)</f>
        <v>29.934524108173196</v>
      </c>
    </row>
    <row r="5" spans="1:28" s="5" customFormat="1" ht="14.5" thickBot="1" x14ac:dyDescent="0.4">
      <c r="A5" s="15"/>
      <c r="B5" s="16">
        <f>(Z8*9.83059051650778)/1000</f>
        <v>2.1719508013924091</v>
      </c>
      <c r="C5" s="16">
        <f t="shared" si="11"/>
        <v>0.22093797903037601</v>
      </c>
      <c r="D5" s="16">
        <f t="shared" si="0"/>
        <v>220.93797903037603</v>
      </c>
      <c r="E5" s="16">
        <f t="shared" si="1"/>
        <v>33.000000000000007</v>
      </c>
      <c r="F5" s="16">
        <f t="shared" si="2"/>
        <v>105.98581685495402</v>
      </c>
      <c r="G5" s="16">
        <f t="shared" si="3"/>
        <v>53.66330821180005</v>
      </c>
      <c r="H5" s="16">
        <v>3</v>
      </c>
      <c r="I5" s="16">
        <f>B5/A4</f>
        <v>0.19745007285385538</v>
      </c>
      <c r="J5" s="16">
        <f t="shared" si="4"/>
        <v>1.2786268428395842</v>
      </c>
      <c r="K5" s="16">
        <v>8</v>
      </c>
      <c r="L5" s="16">
        <v>3.1192000000000002</v>
      </c>
      <c r="M5" s="17">
        <v>0.2</v>
      </c>
      <c r="N5" s="16">
        <f>23.6519*2</f>
        <v>47.303800000000003</v>
      </c>
      <c r="O5" s="16">
        <v>5.5</v>
      </c>
      <c r="P5" s="16">
        <v>14.5031</v>
      </c>
      <c r="Q5" s="16">
        <v>29.923999999999999</v>
      </c>
      <c r="R5" s="16">
        <f t="shared" si="5"/>
        <v>7.2515500000000008</v>
      </c>
      <c r="S5" s="16">
        <f t="shared" si="6"/>
        <v>1959.8783783783786</v>
      </c>
      <c r="T5" s="16">
        <v>2000</v>
      </c>
      <c r="U5" s="16">
        <v>1</v>
      </c>
      <c r="V5" s="16">
        <v>33</v>
      </c>
      <c r="W5" s="16">
        <f t="shared" si="7"/>
        <v>105.98581685495402</v>
      </c>
      <c r="X5" s="16">
        <f t="shared" si="8"/>
        <v>53.66330821180005</v>
      </c>
      <c r="Y5" s="16">
        <v>3</v>
      </c>
      <c r="Z5" s="18">
        <f t="shared" si="9"/>
        <v>220.937979030376</v>
      </c>
      <c r="AA5" s="19">
        <f t="shared" si="10"/>
        <v>11</v>
      </c>
      <c r="AB5" s="19">
        <f>(2000*3600*3.7)/(1000*60*P5)</f>
        <v>30.614144562197048</v>
      </c>
    </row>
    <row r="6" spans="1:28" s="4" customFormat="1" x14ac:dyDescent="0.35">
      <c r="A6" s="10">
        <v>12</v>
      </c>
      <c r="B6" s="11">
        <f>(Z8*9.83059051650778)/1000</f>
        <v>2.1719508013924091</v>
      </c>
      <c r="C6" s="11">
        <f>B6/9.83059051650778</f>
        <v>0.22093797903037601</v>
      </c>
      <c r="D6" s="11">
        <f>C6*1000</f>
        <v>220.93797903037603</v>
      </c>
      <c r="E6" s="11">
        <f>0.5572*(D6^0.7561)</f>
        <v>33.000000000000007</v>
      </c>
      <c r="F6" s="11">
        <f>0.1137*(D6^1.2667)</f>
        <v>105.98581685495402</v>
      </c>
      <c r="G6" s="11">
        <f>1.0816*(D6^0.7233)</f>
        <v>53.66330821180005</v>
      </c>
      <c r="H6" s="11">
        <v>3</v>
      </c>
      <c r="I6" s="11">
        <f>B6/A6</f>
        <v>0.18099590011603409</v>
      </c>
      <c r="J6" s="11">
        <f t="shared" si="4"/>
        <v>1.2241920000395208</v>
      </c>
      <c r="K6" s="11">
        <v>10</v>
      </c>
      <c r="L6" s="11">
        <v>3.3477000000000001</v>
      </c>
      <c r="M6" s="12">
        <v>0.3</v>
      </c>
      <c r="N6" s="11">
        <f>47.0572*2</f>
        <v>94.114400000000003</v>
      </c>
      <c r="O6" s="11">
        <v>5.5</v>
      </c>
      <c r="P6" s="11">
        <v>71.069100000000006</v>
      </c>
      <c r="Q6" s="11">
        <v>37.868400000000001</v>
      </c>
      <c r="R6" s="11">
        <f>(P6*30*60)/3600</f>
        <v>35.534550000000003</v>
      </c>
      <c r="S6" s="11">
        <f t="shared" si="6"/>
        <v>9603.9324324324334</v>
      </c>
      <c r="T6" s="11">
        <v>2000</v>
      </c>
      <c r="U6" s="11">
        <v>4</v>
      </c>
      <c r="V6" s="11">
        <f>33*5</f>
        <v>165</v>
      </c>
      <c r="W6" s="11">
        <f t="shared" si="7"/>
        <v>1571.2216013093259</v>
      </c>
      <c r="X6" s="11">
        <f t="shared" si="8"/>
        <v>250.22216346910173</v>
      </c>
      <c r="Y6" s="11">
        <v>3</v>
      </c>
      <c r="Z6" s="13">
        <f t="shared" si="9"/>
        <v>1856.5711364103922</v>
      </c>
      <c r="AA6" s="14">
        <f t="shared" si="10"/>
        <v>100.83759132177842</v>
      </c>
      <c r="AB6" s="11">
        <f>(10000*3600*3.7)/(1000*60*P6)</f>
        <v>31.237204354635136</v>
      </c>
    </row>
    <row r="7" spans="1:28" ht="14.5" thickBot="1" x14ac:dyDescent="0.4">
      <c r="A7" s="15"/>
      <c r="B7" s="20">
        <f>(Z8*9.83059051650778)/1000</f>
        <v>2.1719508013924091</v>
      </c>
      <c r="C7" s="20">
        <f>B7/9.83059051650778</f>
        <v>0.22093797903037601</v>
      </c>
      <c r="D7" s="20">
        <f>C7*1000</f>
        <v>220.93797903037603</v>
      </c>
      <c r="E7" s="20">
        <f>0.5572*(D7^0.7561)</f>
        <v>33.000000000000007</v>
      </c>
      <c r="F7" s="20">
        <f>0.1137*(D7^1.2667)</f>
        <v>105.98581685495402</v>
      </c>
      <c r="G7" s="20">
        <f>1.0816*(D7^0.7233)</f>
        <v>53.66330821180005</v>
      </c>
      <c r="H7" s="20">
        <v>3</v>
      </c>
      <c r="I7" s="20">
        <f>B7/A6</f>
        <v>0.18099590011603409</v>
      </c>
      <c r="J7" s="20">
        <f t="shared" si="4"/>
        <v>1.2241920000395208</v>
      </c>
      <c r="K7" s="20">
        <v>7.5</v>
      </c>
      <c r="L7" s="20">
        <v>3.3477000000000001</v>
      </c>
      <c r="M7" s="17">
        <v>0.23499999999999999</v>
      </c>
      <c r="N7" s="20">
        <f>25.472*2</f>
        <v>50.944000000000003</v>
      </c>
      <c r="O7" s="20">
        <v>5.5</v>
      </c>
      <c r="P7" s="20">
        <v>14.7362</v>
      </c>
      <c r="Q7" s="20">
        <v>30.4025</v>
      </c>
      <c r="R7" s="20">
        <f>(P7*30*60)/3600</f>
        <v>7.3681000000000001</v>
      </c>
      <c r="S7" s="20">
        <f t="shared" si="6"/>
        <v>1991.3783783783783</v>
      </c>
      <c r="T7" s="20">
        <v>2000</v>
      </c>
      <c r="U7" s="20">
        <v>1</v>
      </c>
      <c r="V7" s="20">
        <v>33</v>
      </c>
      <c r="W7" s="20">
        <f t="shared" si="7"/>
        <v>105.98581685495402</v>
      </c>
      <c r="X7" s="20">
        <f t="shared" si="8"/>
        <v>53.66330821180005</v>
      </c>
      <c r="Y7" s="20">
        <v>3</v>
      </c>
      <c r="Z7" s="18">
        <f t="shared" si="9"/>
        <v>220.937979030376</v>
      </c>
      <c r="AA7" s="19">
        <f t="shared" si="10"/>
        <v>12.000000000000002</v>
      </c>
      <c r="AB7" s="19">
        <f>(2000*3600*3.7)/(1000*60*P7)</f>
        <v>30.129884230670051</v>
      </c>
    </row>
    <row r="8" spans="1:28" s="4" customFormat="1" x14ac:dyDescent="0.35">
      <c r="A8" s="10">
        <v>13</v>
      </c>
      <c r="B8" s="21">
        <f>A8*I8</f>
        <v>0.33592</v>
      </c>
      <c r="C8" s="21">
        <f>B8/9.83059051650778</f>
        <v>3.4170887235707208E-2</v>
      </c>
      <c r="D8" s="21">
        <f>C8*1000</f>
        <v>34.170887235707205</v>
      </c>
      <c r="E8" s="21">
        <f>0.5572*(D8^0.7561)</f>
        <v>8.0465293986290032</v>
      </c>
      <c r="F8" s="21">
        <f>0.1137*(D8^1.2667)</f>
        <v>9.9642093419370461</v>
      </c>
      <c r="G8" s="21">
        <f>1.0816*(D8^0.7233)</f>
        <v>13.911060776545714</v>
      </c>
      <c r="H8" s="21">
        <v>3</v>
      </c>
      <c r="I8" s="21">
        <v>2.5839999999999998E-2</v>
      </c>
      <c r="J8" s="21">
        <f>SQRT(8.28*I8)</f>
        <v>0.46255291589179282</v>
      </c>
      <c r="K8" s="21">
        <v>10</v>
      </c>
      <c r="L8" s="21">
        <v>8.0839999999999996</v>
      </c>
      <c r="M8" s="12">
        <v>0.3</v>
      </c>
      <c r="N8" s="21">
        <f>53.3494*2</f>
        <v>106.69880000000001</v>
      </c>
      <c r="O8" s="21">
        <v>5.5</v>
      </c>
      <c r="P8" s="21">
        <v>10.369899999999999</v>
      </c>
      <c r="Q8" s="21">
        <v>35.204099999999997</v>
      </c>
      <c r="R8" s="21">
        <f>(P8*30*60)/3600</f>
        <v>5.1849499999999997</v>
      </c>
      <c r="S8" s="21">
        <f>(R8*1000)/3.7</f>
        <v>1401.3378378378377</v>
      </c>
      <c r="T8" s="21">
        <v>2000</v>
      </c>
      <c r="U8" s="21">
        <v>1</v>
      </c>
      <c r="V8" s="21">
        <f>33</f>
        <v>33</v>
      </c>
      <c r="W8" s="21">
        <f>0.1137*(Z8^1.2667)</f>
        <v>105.98581685495402</v>
      </c>
      <c r="X8" s="21">
        <f>1.0816*(Z8^0.7233)</f>
        <v>53.66330821180005</v>
      </c>
      <c r="Y8" s="21">
        <v>3</v>
      </c>
      <c r="Z8" s="21">
        <f>(V8/0.5572)^(1/0.7561)</f>
        <v>220.937979030376</v>
      </c>
      <c r="AA8" s="14">
        <f>(Z8*9.83059051650778)/(I8*1000)</f>
        <v>84.053823583297572</v>
      </c>
      <c r="AB8" s="11">
        <f>(2000*3600*3.7)/(1000*60*P8)</f>
        <v>42.816227736043743</v>
      </c>
    </row>
    <row r="9" spans="1:28" s="5" customFormat="1" ht="14.5" thickBot="1" x14ac:dyDescent="0.4">
      <c r="A9" s="15"/>
      <c r="B9" s="16">
        <f>(Z8*9.83059051650778)/1000</f>
        <v>2.1719508013924091</v>
      </c>
      <c r="C9" s="16">
        <f>B9/9.83059051650778</f>
        <v>0.22093797903037601</v>
      </c>
      <c r="D9" s="16">
        <f>C9*1000</f>
        <v>220.93797903037603</v>
      </c>
      <c r="E9" s="16">
        <f>0.5572*(D9^0.7561)</f>
        <v>33.000000000000007</v>
      </c>
      <c r="F9" s="16">
        <f>0.1137*(D9^1.2667)</f>
        <v>105.98581685495402</v>
      </c>
      <c r="G9" s="16">
        <f>1.0816*(D9^0.7233)</f>
        <v>53.66330821180005</v>
      </c>
      <c r="H9" s="16">
        <v>3</v>
      </c>
      <c r="I9" s="16">
        <f>B9/A8</f>
        <v>0.16707313856864686</v>
      </c>
      <c r="J9" s="16">
        <f>SQRT(8.28*I9)</f>
        <v>1.1761656292157137</v>
      </c>
      <c r="K9" s="16">
        <v>8</v>
      </c>
      <c r="L9" s="16">
        <v>3.5726</v>
      </c>
      <c r="M9" s="17">
        <v>0.22</v>
      </c>
      <c r="N9" s="16">
        <f>24.7621*2</f>
        <v>49.5242</v>
      </c>
      <c r="O9" s="16">
        <v>5.5</v>
      </c>
      <c r="P9" s="16">
        <v>14.3969</v>
      </c>
      <c r="Q9" s="16">
        <v>30.337299999999999</v>
      </c>
      <c r="R9" s="16">
        <f>(P9*30*60)/3600</f>
        <v>7.1984500000000002</v>
      </c>
      <c r="S9" s="16">
        <f>(R9*1000)/3.7</f>
        <v>1945.5270270270269</v>
      </c>
      <c r="T9" s="16">
        <v>2000</v>
      </c>
      <c r="U9" s="16">
        <v>1</v>
      </c>
      <c r="V9" s="16">
        <v>33</v>
      </c>
      <c r="W9" s="16">
        <f>0.1137*(Z9^1.2667)</f>
        <v>105.98581685495402</v>
      </c>
      <c r="X9" s="16">
        <f>1.0816*(Z9^0.7233)</f>
        <v>53.66330821180005</v>
      </c>
      <c r="Y9" s="16">
        <v>3</v>
      </c>
      <c r="Z9" s="18">
        <f>(V9/0.5572)^(1/0.7561)</f>
        <v>220.937979030376</v>
      </c>
      <c r="AA9" s="19">
        <f>(Z9*9.83059051650778)/(I9*1000)</f>
        <v>13</v>
      </c>
      <c r="AB9" s="19">
        <f>(2000*3600*3.7)/(1000*60*P9)</f>
        <v>30.839972494078587</v>
      </c>
    </row>
    <row r="10" spans="1:28" x14ac:dyDescent="0.35">
      <c r="A10" s="10">
        <v>14</v>
      </c>
      <c r="B10" s="20">
        <f>(Z8*9.83059051650778)/1000</f>
        <v>2.1719508013924091</v>
      </c>
      <c r="C10" s="20">
        <f>B10/9.83059051650778</f>
        <v>0.22093797903037601</v>
      </c>
      <c r="D10" s="20">
        <f>C10*1000</f>
        <v>220.93797903037603</v>
      </c>
      <c r="E10" s="20">
        <f>0.5572*(D10^0.7561)</f>
        <v>33.000000000000007</v>
      </c>
      <c r="F10" s="20">
        <f>0.1137*(D10^1.2667)</f>
        <v>105.98581685495402</v>
      </c>
      <c r="G10" s="20">
        <f>1.0816*(D10^0.7233)</f>
        <v>53.66330821180005</v>
      </c>
      <c r="H10" s="20">
        <v>3</v>
      </c>
      <c r="I10" s="20">
        <f>B10/A10</f>
        <v>0.15513934295660065</v>
      </c>
      <c r="J10" s="20">
        <f>SQRT(8.28*I10)</f>
        <v>1.1333815596173484</v>
      </c>
      <c r="K10" s="20">
        <v>10</v>
      </c>
      <c r="L10" s="20">
        <v>3.7942999999999998</v>
      </c>
      <c r="M10" s="12">
        <v>0.3</v>
      </c>
      <c r="N10" s="20">
        <f>44.2353*2</f>
        <v>88.470600000000005</v>
      </c>
      <c r="O10" s="20">
        <v>5.5</v>
      </c>
      <c r="P10" s="20">
        <v>58.231900000000003</v>
      </c>
      <c r="Q10" s="20">
        <v>36.616700000000002</v>
      </c>
      <c r="R10" s="20">
        <f t="shared" ref="R10:R23" si="12">(P10*30*60)/3600</f>
        <v>29.115950000000005</v>
      </c>
      <c r="S10" s="20">
        <f t="shared" ref="S10:S23" si="13">(R10*1000)/3.7</f>
        <v>7869.1756756756768</v>
      </c>
      <c r="T10" s="20">
        <v>2000</v>
      </c>
      <c r="U10" s="20">
        <v>4</v>
      </c>
      <c r="V10" s="20">
        <f>33*4</f>
        <v>132</v>
      </c>
      <c r="W10" s="20">
        <f t="shared" ref="W10:W23" si="14">0.1137*(Z10^1.2667)</f>
        <v>1081.1435698809116</v>
      </c>
      <c r="X10" s="20">
        <f t="shared" ref="X10:X23" si="15">1.0816*(Z10^0.7233)</f>
        <v>202.12487627965152</v>
      </c>
      <c r="Y10" s="20">
        <v>3</v>
      </c>
      <c r="Z10" s="13">
        <f t="shared" ref="Z10:Z23" si="16">(V10/0.5572)^(1/0.7561)</f>
        <v>1382.1039247704439</v>
      </c>
      <c r="AA10" s="14">
        <f>(Z10*9.83059051650778)/(I10*1000)</f>
        <v>87.578672674135063</v>
      </c>
      <c r="AB10" s="11">
        <f>(8000*3600*3.7)/(1000*60*P10)</f>
        <v>30.498747250218521</v>
      </c>
    </row>
    <row r="11" spans="1:28" s="5" customFormat="1" ht="14.5" thickBot="1" x14ac:dyDescent="0.4">
      <c r="A11" s="15"/>
      <c r="B11" s="16">
        <f>(Z8*9.83059051650778)/1000</f>
        <v>2.1719508013924091</v>
      </c>
      <c r="C11" s="16">
        <f t="shared" ref="C11:C23" si="17">B11/9.83059051650778</f>
        <v>0.22093797903037601</v>
      </c>
      <c r="D11" s="16">
        <f t="shared" ref="D11:D23" si="18">C11*1000</f>
        <v>220.93797903037603</v>
      </c>
      <c r="E11" s="16">
        <f t="shared" ref="E11:E23" si="19">0.5572*(D11^0.7561)</f>
        <v>33.000000000000007</v>
      </c>
      <c r="F11" s="16">
        <f t="shared" ref="F11:F23" si="20">0.1137*(D11^1.2667)</f>
        <v>105.98581685495402</v>
      </c>
      <c r="G11" s="16">
        <f t="shared" ref="G11:G23" si="21">1.0816*(D11^0.7233)</f>
        <v>53.66330821180005</v>
      </c>
      <c r="H11" s="16">
        <v>3</v>
      </c>
      <c r="I11" s="16">
        <f>B11/A10</f>
        <v>0.15513934295660065</v>
      </c>
      <c r="J11" s="16">
        <f t="shared" ref="J11:J23" si="22">SQRT(8.28*I11)</f>
        <v>1.1333815596173484</v>
      </c>
      <c r="K11" s="16">
        <v>8.6999999999999993</v>
      </c>
      <c r="L11" s="16">
        <v>3.7942999999999998</v>
      </c>
      <c r="M11" s="17">
        <v>0.2</v>
      </c>
      <c r="N11" s="16">
        <f>23.8668*2</f>
        <v>47.733600000000003</v>
      </c>
      <c r="O11" s="16">
        <v>5.5</v>
      </c>
      <c r="P11" s="16">
        <v>14.5166</v>
      </c>
      <c r="Q11" s="16">
        <v>28.617000000000001</v>
      </c>
      <c r="R11" s="16">
        <f t="shared" si="12"/>
        <v>7.2583000000000002</v>
      </c>
      <c r="S11" s="16">
        <f t="shared" si="13"/>
        <v>1961.7027027027027</v>
      </c>
      <c r="T11" s="16">
        <v>2000</v>
      </c>
      <c r="U11" s="16">
        <v>1</v>
      </c>
      <c r="V11" s="16">
        <f>33</f>
        <v>33</v>
      </c>
      <c r="W11" s="16">
        <f t="shared" si="14"/>
        <v>105.98581685495402</v>
      </c>
      <c r="X11" s="16">
        <f t="shared" si="15"/>
        <v>53.66330821180005</v>
      </c>
      <c r="Y11" s="16">
        <v>3</v>
      </c>
      <c r="Z11" s="18">
        <f t="shared" si="16"/>
        <v>220.937979030376</v>
      </c>
      <c r="AA11" s="19">
        <f>(Z11*9.83059051650778)/(I11*1000)</f>
        <v>14.000000000000002</v>
      </c>
      <c r="AB11" s="19">
        <f>(2000*3600*3.7)/(1000*60*P11)</f>
        <v>30.585674331455024</v>
      </c>
    </row>
    <row r="12" spans="1:28" s="4" customFormat="1" x14ac:dyDescent="0.35">
      <c r="A12" s="10">
        <v>15</v>
      </c>
      <c r="B12" s="11">
        <f>(Z11*9.83059051650778)/1000</f>
        <v>2.1719508013924091</v>
      </c>
      <c r="C12" s="11">
        <f>B12/9.83059051650778</f>
        <v>0.22093797903037601</v>
      </c>
      <c r="D12" s="11">
        <f>C12*1000</f>
        <v>220.93797903037603</v>
      </c>
      <c r="E12" s="11">
        <f t="shared" si="19"/>
        <v>33.000000000000007</v>
      </c>
      <c r="F12" s="11">
        <f t="shared" si="20"/>
        <v>105.98581685495402</v>
      </c>
      <c r="G12" s="11">
        <f t="shared" si="21"/>
        <v>53.66330821180005</v>
      </c>
      <c r="H12" s="11">
        <v>3</v>
      </c>
      <c r="I12" s="11">
        <f>B12/A12</f>
        <v>0.14479672009282726</v>
      </c>
      <c r="J12" s="11">
        <f t="shared" si="22"/>
        <v>1.0949506118399175</v>
      </c>
      <c r="K12" s="11">
        <v>10</v>
      </c>
      <c r="L12" s="11">
        <v>4.0130999999999997</v>
      </c>
      <c r="M12" s="12">
        <v>0.3</v>
      </c>
      <c r="N12" s="11">
        <f>43.0571*2</f>
        <v>86.114199999999997</v>
      </c>
      <c r="O12" s="11">
        <v>5.5</v>
      </c>
      <c r="P12" s="11">
        <v>53.424700000000001</v>
      </c>
      <c r="Q12" s="11">
        <v>36.062800000000003</v>
      </c>
      <c r="R12" s="11">
        <f t="shared" si="12"/>
        <v>26.712349999999997</v>
      </c>
      <c r="S12" s="11">
        <f t="shared" si="13"/>
        <v>7219.5540540540533</v>
      </c>
      <c r="T12" s="11" t="s">
        <v>50</v>
      </c>
      <c r="U12" s="11">
        <v>4</v>
      </c>
      <c r="V12" s="11">
        <f>(33*3)+20.5</f>
        <v>119.5</v>
      </c>
      <c r="W12" s="11">
        <f t="shared" si="14"/>
        <v>915.16623917162394</v>
      </c>
      <c r="X12" s="11">
        <f t="shared" si="15"/>
        <v>183.77568085053798</v>
      </c>
      <c r="Y12" s="11">
        <v>3</v>
      </c>
      <c r="Z12" s="13">
        <f t="shared" si="16"/>
        <v>1211.7064814206594</v>
      </c>
      <c r="AA12" s="14">
        <f t="shared" ref="AA12:AA23" si="23">(Z12*9.83059051650778)/(I12*1000)</f>
        <v>82.265608208586855</v>
      </c>
      <c r="AB12" s="11">
        <f>(7200*3600*3.7)/(1000*60*P12)</f>
        <v>29.918745449202333</v>
      </c>
    </row>
    <row r="13" spans="1:28" s="5" customFormat="1" ht="14.5" thickBot="1" x14ac:dyDescent="0.4">
      <c r="A13" s="15"/>
      <c r="B13" s="16">
        <f>(Z11*9.83059051650778)/1000</f>
        <v>2.1719508013924091</v>
      </c>
      <c r="C13" s="16">
        <f t="shared" si="17"/>
        <v>0.22093797903037601</v>
      </c>
      <c r="D13" s="16">
        <f t="shared" si="18"/>
        <v>220.93797903037603</v>
      </c>
      <c r="E13" s="16">
        <f t="shared" si="19"/>
        <v>33.000000000000007</v>
      </c>
      <c r="F13" s="16">
        <f t="shared" si="20"/>
        <v>105.98581685495402</v>
      </c>
      <c r="G13" s="16">
        <f t="shared" si="21"/>
        <v>53.66330821180005</v>
      </c>
      <c r="H13" s="16">
        <v>3</v>
      </c>
      <c r="I13" s="16">
        <f>B13/A12</f>
        <v>0.14479672009282726</v>
      </c>
      <c r="J13" s="16">
        <f t="shared" si="22"/>
        <v>1.0949506118399175</v>
      </c>
      <c r="K13" s="16">
        <v>8.9</v>
      </c>
      <c r="L13" s="16">
        <v>4.0130999999999997</v>
      </c>
      <c r="M13" s="17">
        <v>0.2</v>
      </c>
      <c r="N13" s="16">
        <f>23.8964*2</f>
        <v>47.7928</v>
      </c>
      <c r="O13" s="16">
        <v>5.5</v>
      </c>
      <c r="P13" s="16">
        <v>14.4331</v>
      </c>
      <c r="Q13" s="16">
        <v>28.411100000000001</v>
      </c>
      <c r="R13" s="16">
        <f t="shared" si="12"/>
        <v>7.2165499999999998</v>
      </c>
      <c r="S13" s="16">
        <f t="shared" si="13"/>
        <v>1950.418918918919</v>
      </c>
      <c r="T13" s="16">
        <v>2000</v>
      </c>
      <c r="U13" s="16">
        <v>1</v>
      </c>
      <c r="V13" s="16">
        <v>33</v>
      </c>
      <c r="W13" s="16">
        <f t="shared" si="14"/>
        <v>105.98581685495402</v>
      </c>
      <c r="X13" s="16">
        <f t="shared" si="15"/>
        <v>53.66330821180005</v>
      </c>
      <c r="Y13" s="16">
        <v>3</v>
      </c>
      <c r="Z13" s="18">
        <f t="shared" si="16"/>
        <v>220.937979030376</v>
      </c>
      <c r="AA13" s="19">
        <f t="shared" si="23"/>
        <v>15.000000000000002</v>
      </c>
      <c r="AB13" s="19">
        <f>(2000*3600*3.7)/(1000*60*P13)</f>
        <v>30.762622028531638</v>
      </c>
    </row>
    <row r="14" spans="1:28" s="4" customFormat="1" x14ac:dyDescent="0.35">
      <c r="A14" s="10">
        <v>16</v>
      </c>
      <c r="B14" s="11">
        <f>(Z13*9.83059051650778)/1000</f>
        <v>2.1719508013924091</v>
      </c>
      <c r="C14" s="11">
        <f t="shared" si="17"/>
        <v>0.22093797903037601</v>
      </c>
      <c r="D14" s="11">
        <f t="shared" si="18"/>
        <v>220.93797903037603</v>
      </c>
      <c r="E14" s="11">
        <f t="shared" si="19"/>
        <v>33.000000000000007</v>
      </c>
      <c r="F14" s="11">
        <f t="shared" si="20"/>
        <v>105.98581685495402</v>
      </c>
      <c r="G14" s="11">
        <f t="shared" si="21"/>
        <v>53.66330821180005</v>
      </c>
      <c r="H14" s="11">
        <v>3</v>
      </c>
      <c r="I14" s="11">
        <f>B14/A14</f>
        <v>0.13574692508702557</v>
      </c>
      <c r="J14" s="11">
        <f t="shared" si="22"/>
        <v>1.0601813711439056</v>
      </c>
      <c r="K14" s="11">
        <v>10</v>
      </c>
      <c r="L14" s="11">
        <v>4.2291999999999996</v>
      </c>
      <c r="M14" s="12">
        <v>0.3</v>
      </c>
      <c r="N14" s="11">
        <f>41.9973
*2</f>
        <v>83.994600000000005</v>
      </c>
      <c r="O14" s="11">
        <v>5.5</v>
      </c>
      <c r="P14" s="11">
        <v>49.2577</v>
      </c>
      <c r="Q14" s="11">
        <v>35.547600000000003</v>
      </c>
      <c r="R14" s="11">
        <f t="shared" si="12"/>
        <v>24.62885</v>
      </c>
      <c r="S14" s="11">
        <f t="shared" si="13"/>
        <v>6656.4459459459449</v>
      </c>
      <c r="T14" s="11" t="s">
        <v>49</v>
      </c>
      <c r="U14" s="11">
        <v>4</v>
      </c>
      <c r="V14" s="11">
        <f>(33*3) + 13</f>
        <v>112</v>
      </c>
      <c r="W14" s="11">
        <f t="shared" si="14"/>
        <v>820.99456297062784</v>
      </c>
      <c r="X14" s="11">
        <f t="shared" si="15"/>
        <v>172.72663562845136</v>
      </c>
      <c r="Y14" s="11">
        <v>3</v>
      </c>
      <c r="Z14" s="13">
        <f t="shared" si="16"/>
        <v>1112.159462124783</v>
      </c>
      <c r="AA14" s="14">
        <f t="shared" si="23"/>
        <v>80.540934936089073</v>
      </c>
      <c r="AB14" s="11">
        <f>(6650*3600*3.7)/(1000*60*P14)</f>
        <v>29.970948704466508</v>
      </c>
    </row>
    <row r="15" spans="1:28" s="5" customFormat="1" ht="14.5" thickBot="1" x14ac:dyDescent="0.4">
      <c r="A15" s="15"/>
      <c r="B15" s="16">
        <f t="shared" ref="B15" si="24">(Z13*9.83059051650778)/1000</f>
        <v>2.1719508013924091</v>
      </c>
      <c r="C15" s="16">
        <f t="shared" si="17"/>
        <v>0.22093797903037601</v>
      </c>
      <c r="D15" s="16">
        <f t="shared" si="18"/>
        <v>220.93797903037603</v>
      </c>
      <c r="E15" s="16">
        <f t="shared" si="19"/>
        <v>33.000000000000007</v>
      </c>
      <c r="F15" s="16">
        <f t="shared" si="20"/>
        <v>105.98581685495402</v>
      </c>
      <c r="G15" s="16">
        <f t="shared" si="21"/>
        <v>53.66330821180005</v>
      </c>
      <c r="H15" s="16">
        <v>3</v>
      </c>
      <c r="I15" s="16">
        <f>B15/A14</f>
        <v>0.13574692508702557</v>
      </c>
      <c r="J15" s="16">
        <f t="shared" si="22"/>
        <v>1.0601813711439056</v>
      </c>
      <c r="K15" s="16">
        <v>8</v>
      </c>
      <c r="L15" s="16">
        <v>4.2291999999999996</v>
      </c>
      <c r="M15" s="17">
        <v>0.249</v>
      </c>
      <c r="N15" s="16">
        <f>26.3772*2</f>
        <v>52.754399999999997</v>
      </c>
      <c r="O15" s="16">
        <v>5.5</v>
      </c>
      <c r="P15" s="16">
        <v>14.863799999999999</v>
      </c>
      <c r="Q15" s="16">
        <v>30.058499999999999</v>
      </c>
      <c r="R15" s="16">
        <f t="shared" si="12"/>
        <v>7.4318999999999997</v>
      </c>
      <c r="S15" s="16">
        <f t="shared" si="13"/>
        <v>2008.6216216216214</v>
      </c>
      <c r="T15" s="16">
        <v>2000</v>
      </c>
      <c r="U15" s="16">
        <v>1</v>
      </c>
      <c r="V15" s="16">
        <v>33</v>
      </c>
      <c r="W15" s="16">
        <f t="shared" si="14"/>
        <v>105.98581685495402</v>
      </c>
      <c r="X15" s="16">
        <f t="shared" si="15"/>
        <v>53.66330821180005</v>
      </c>
      <c r="Y15" s="16">
        <v>3</v>
      </c>
      <c r="Z15" s="18">
        <f t="shared" si="16"/>
        <v>220.937979030376</v>
      </c>
      <c r="AA15" s="19">
        <f t="shared" si="23"/>
        <v>16</v>
      </c>
      <c r="AB15" s="19">
        <f>(2000*3600*3.7)/(1000*60*P15)</f>
        <v>29.871230775441003</v>
      </c>
    </row>
    <row r="16" spans="1:28" s="4" customFormat="1" x14ac:dyDescent="0.35">
      <c r="A16" s="10">
        <v>17</v>
      </c>
      <c r="B16" s="11">
        <f>(Z15*9.83059051650778)/1000</f>
        <v>2.1719508013924091</v>
      </c>
      <c r="C16" s="11">
        <f t="shared" si="17"/>
        <v>0.22093797903037601</v>
      </c>
      <c r="D16" s="11">
        <f t="shared" si="18"/>
        <v>220.93797903037603</v>
      </c>
      <c r="E16" s="11">
        <f t="shared" si="19"/>
        <v>33.000000000000007</v>
      </c>
      <c r="F16" s="11">
        <f t="shared" si="20"/>
        <v>105.98581685495402</v>
      </c>
      <c r="G16" s="11">
        <f t="shared" si="21"/>
        <v>53.66330821180005</v>
      </c>
      <c r="H16" s="11">
        <v>3</v>
      </c>
      <c r="I16" s="11">
        <f>B16/A16</f>
        <v>0.12776181184661231</v>
      </c>
      <c r="J16" s="11">
        <f t="shared" si="22"/>
        <v>1.0285270060090546</v>
      </c>
      <c r="K16" s="11">
        <v>10</v>
      </c>
      <c r="L16" s="11">
        <v>4.4427000000000003</v>
      </c>
      <c r="M16" s="12">
        <v>0.3</v>
      </c>
      <c r="N16" s="11">
        <f>41.0364*2</f>
        <v>82.072800000000001</v>
      </c>
      <c r="O16" s="11">
        <v>5.5</v>
      </c>
      <c r="P16" s="11">
        <v>45.6678</v>
      </c>
      <c r="Q16" s="11">
        <v>35.065800000000003</v>
      </c>
      <c r="R16" s="11">
        <f t="shared" si="12"/>
        <v>22.833900000000003</v>
      </c>
      <c r="S16" s="11">
        <f t="shared" si="13"/>
        <v>6171.3243243243251</v>
      </c>
      <c r="T16" s="11" t="s">
        <v>51</v>
      </c>
      <c r="U16" s="11">
        <v>4</v>
      </c>
      <c r="V16" s="11">
        <f>(33*3)+5.6</f>
        <v>104.6</v>
      </c>
      <c r="W16" s="11">
        <f t="shared" si="14"/>
        <v>732.16090644470262</v>
      </c>
      <c r="X16" s="11">
        <f t="shared" si="15"/>
        <v>161.79339350039263</v>
      </c>
      <c r="Y16" s="11">
        <v>3</v>
      </c>
      <c r="Z16" s="13">
        <f t="shared" si="16"/>
        <v>1016.0255084532542</v>
      </c>
      <c r="AA16" s="14">
        <f t="shared" si="23"/>
        <v>78.177747979357562</v>
      </c>
      <c r="AB16" s="11">
        <f>(6180*3600*3.7)/(1000*60*P16)</f>
        <v>30.042174135824368</v>
      </c>
    </row>
    <row r="17" spans="1:28" s="5" customFormat="1" ht="14.5" thickBot="1" x14ac:dyDescent="0.4">
      <c r="A17" s="15"/>
      <c r="B17" s="16">
        <f t="shared" ref="B17" si="25">(Z15*9.83059051650778)/1000</f>
        <v>2.1719508013924091</v>
      </c>
      <c r="C17" s="16">
        <f t="shared" si="17"/>
        <v>0.22093797903037601</v>
      </c>
      <c r="D17" s="16">
        <f t="shared" si="18"/>
        <v>220.93797903037603</v>
      </c>
      <c r="E17" s="16">
        <f t="shared" si="19"/>
        <v>33.000000000000007</v>
      </c>
      <c r="F17" s="16">
        <f t="shared" si="20"/>
        <v>105.98581685495402</v>
      </c>
      <c r="G17" s="16">
        <f t="shared" si="21"/>
        <v>53.66330821180005</v>
      </c>
      <c r="H17" s="16">
        <v>3</v>
      </c>
      <c r="I17" s="16">
        <f>B17/A16</f>
        <v>0.12776181184661231</v>
      </c>
      <c r="J17" s="16">
        <f t="shared" si="22"/>
        <v>1.0285270060090546</v>
      </c>
      <c r="K17" s="16">
        <v>8</v>
      </c>
      <c r="L17" s="16">
        <v>4.4427000000000003</v>
      </c>
      <c r="M17" s="17">
        <v>0.25700000000000001</v>
      </c>
      <c r="N17" s="16">
        <f>26.7403*2</f>
        <v>53.480600000000003</v>
      </c>
      <c r="O17" s="16">
        <v>5.5</v>
      </c>
      <c r="P17" s="16">
        <v>14.8169</v>
      </c>
      <c r="Q17" s="16">
        <v>29.058716</v>
      </c>
      <c r="R17" s="16">
        <f t="shared" si="12"/>
        <v>7.4084500000000002</v>
      </c>
      <c r="S17" s="16">
        <f t="shared" si="13"/>
        <v>2002.2837837837837</v>
      </c>
      <c r="T17" s="16">
        <v>2000</v>
      </c>
      <c r="U17" s="16">
        <v>1</v>
      </c>
      <c r="V17" s="16">
        <v>33</v>
      </c>
      <c r="W17" s="16">
        <f t="shared" si="14"/>
        <v>105.98581685495402</v>
      </c>
      <c r="X17" s="16">
        <f t="shared" si="15"/>
        <v>53.66330821180005</v>
      </c>
      <c r="Y17" s="16">
        <v>3</v>
      </c>
      <c r="Z17" s="18">
        <f t="shared" si="16"/>
        <v>220.937979030376</v>
      </c>
      <c r="AA17" s="19">
        <f t="shared" si="23"/>
        <v>16.999999999999996</v>
      </c>
      <c r="AB17" s="19">
        <f>(2000*3600*3.7)/(1000*60*P17)</f>
        <v>29.965782316139002</v>
      </c>
    </row>
    <row r="18" spans="1:28" s="4" customFormat="1" x14ac:dyDescent="0.35">
      <c r="A18" s="10">
        <v>18</v>
      </c>
      <c r="B18" s="11">
        <f t="shared" ref="B18" si="26">(Z17*9.83059051650778)/1000</f>
        <v>2.1719508013924091</v>
      </c>
      <c r="C18" s="11">
        <f t="shared" si="17"/>
        <v>0.22093797903037601</v>
      </c>
      <c r="D18" s="11">
        <f t="shared" si="18"/>
        <v>220.93797903037603</v>
      </c>
      <c r="E18" s="11">
        <f>0.5572*(D18^0.7561)</f>
        <v>33.000000000000007</v>
      </c>
      <c r="F18" s="11">
        <f t="shared" si="20"/>
        <v>105.98581685495402</v>
      </c>
      <c r="G18" s="11">
        <f t="shared" si="21"/>
        <v>53.66330821180005</v>
      </c>
      <c r="H18" s="11">
        <v>3</v>
      </c>
      <c r="I18" s="11">
        <f>B18/A18</f>
        <v>0.1206639334106894</v>
      </c>
      <c r="J18" s="11">
        <f t="shared" si="22"/>
        <v>0.99954858243134337</v>
      </c>
      <c r="K18" s="11">
        <v>10</v>
      </c>
      <c r="L18" s="11">
        <v>4.6539000000000001</v>
      </c>
      <c r="M18" s="12">
        <v>0.3</v>
      </c>
      <c r="N18" s="11">
        <f>40.1593*2</f>
        <v>80.318600000000004</v>
      </c>
      <c r="O18" s="11">
        <v>5.5</v>
      </c>
      <c r="P18" s="11">
        <v>42.544400000000003</v>
      </c>
      <c r="Q18" s="11">
        <v>34.613199999999999</v>
      </c>
      <c r="R18" s="11">
        <f t="shared" si="12"/>
        <v>21.272200000000005</v>
      </c>
      <c r="S18" s="11">
        <f t="shared" si="13"/>
        <v>5749.2432432432443</v>
      </c>
      <c r="T18" s="11">
        <v>2000</v>
      </c>
      <c r="U18" s="11">
        <v>1</v>
      </c>
      <c r="V18" s="11">
        <f>33*3</f>
        <v>99</v>
      </c>
      <c r="W18" s="11">
        <f t="shared" si="14"/>
        <v>667.68645701048138</v>
      </c>
      <c r="X18" s="11">
        <f t="shared" si="15"/>
        <v>153.49736902744331</v>
      </c>
      <c r="Y18" s="11">
        <v>3</v>
      </c>
      <c r="Z18" s="13">
        <f t="shared" si="16"/>
        <v>944.71253617774937</v>
      </c>
      <c r="AA18" s="14">
        <f t="shared" si="23"/>
        <v>76.966512167025627</v>
      </c>
      <c r="AB18" s="11">
        <f>(6000*3600*3.7)/(1000*60*P18)</f>
        <v>31.308468329556888</v>
      </c>
    </row>
    <row r="19" spans="1:28" s="5" customFormat="1" ht="14.5" thickBot="1" x14ac:dyDescent="0.4">
      <c r="A19" s="15"/>
      <c r="B19" s="16">
        <f t="shared" ref="B19" si="27">(Z17*9.83059051650778)/1000</f>
        <v>2.1719508013924091</v>
      </c>
      <c r="C19" s="16">
        <f t="shared" si="17"/>
        <v>0.22093797903037601</v>
      </c>
      <c r="D19" s="16">
        <f t="shared" si="18"/>
        <v>220.93797903037603</v>
      </c>
      <c r="E19" s="16">
        <f>0.5572*(D19^0.7561)</f>
        <v>33.000000000000007</v>
      </c>
      <c r="F19" s="16">
        <f t="shared" si="20"/>
        <v>105.98581685495402</v>
      </c>
      <c r="G19" s="16">
        <f t="shared" si="21"/>
        <v>53.66330821180005</v>
      </c>
      <c r="H19" s="16">
        <v>3</v>
      </c>
      <c r="I19" s="16">
        <f>B19/A18</f>
        <v>0.1206639334106894</v>
      </c>
      <c r="J19" s="16">
        <f t="shared" si="22"/>
        <v>0.99954858243134337</v>
      </c>
      <c r="K19" s="16">
        <v>8</v>
      </c>
      <c r="L19" s="16">
        <v>4.6539000000000001</v>
      </c>
      <c r="M19" s="17">
        <v>0.26500000000000001</v>
      </c>
      <c r="N19" s="16">
        <f>27.1126*2</f>
        <v>54.225200000000001</v>
      </c>
      <c r="O19" s="16">
        <v>5.5</v>
      </c>
      <c r="P19" s="16">
        <v>14.874499999999999</v>
      </c>
      <c r="Q19" s="16">
        <v>29.741499999999998</v>
      </c>
      <c r="R19" s="16">
        <f t="shared" si="12"/>
        <v>7.4372499999999997</v>
      </c>
      <c r="S19" s="16">
        <f t="shared" si="13"/>
        <v>2010.0675675675675</v>
      </c>
      <c r="T19" s="16">
        <v>2000</v>
      </c>
      <c r="U19" s="16">
        <v>1</v>
      </c>
      <c r="V19" s="16">
        <v>33</v>
      </c>
      <c r="W19" s="16">
        <f t="shared" si="14"/>
        <v>105.98581685495402</v>
      </c>
      <c r="X19" s="16">
        <f t="shared" si="15"/>
        <v>53.66330821180005</v>
      </c>
      <c r="Y19" s="16">
        <v>3</v>
      </c>
      <c r="Z19" s="18">
        <f t="shared" si="16"/>
        <v>220.937979030376</v>
      </c>
      <c r="AA19" s="19">
        <f t="shared" si="23"/>
        <v>18</v>
      </c>
      <c r="AB19" s="19">
        <f>(2000*3600*3.7)/(1000*60*P19)</f>
        <v>29.849742848499108</v>
      </c>
    </row>
    <row r="20" spans="1:28" s="4" customFormat="1" x14ac:dyDescent="0.35">
      <c r="A20" s="10">
        <v>19</v>
      </c>
      <c r="B20" s="11">
        <f t="shared" ref="B20" si="28">(Z19*9.83059051650778)/1000</f>
        <v>2.1719508013924091</v>
      </c>
      <c r="C20" s="11">
        <f t="shared" si="17"/>
        <v>0.22093797903037601</v>
      </c>
      <c r="D20" s="11">
        <f t="shared" si="18"/>
        <v>220.93797903037603</v>
      </c>
      <c r="E20" s="11">
        <f t="shared" si="19"/>
        <v>33.000000000000007</v>
      </c>
      <c r="F20" s="11">
        <f t="shared" si="20"/>
        <v>105.98581685495402</v>
      </c>
      <c r="G20" s="11">
        <f t="shared" si="21"/>
        <v>53.66330821180005</v>
      </c>
      <c r="H20" s="11">
        <v>3</v>
      </c>
      <c r="I20" s="11">
        <f>B20/A20</f>
        <v>0.11431320007328469</v>
      </c>
      <c r="J20" s="11">
        <f>SQRT(8.28*I20)</f>
        <v>0.97288914918751002</v>
      </c>
      <c r="K20" s="11">
        <v>10</v>
      </c>
      <c r="L20" s="11">
        <v>4.8628999999999998</v>
      </c>
      <c r="M20" s="12">
        <v>0.3</v>
      </c>
      <c r="N20" s="11">
        <f>39.354*2</f>
        <v>78.707999999999998</v>
      </c>
      <c r="O20" s="11">
        <v>5.5</v>
      </c>
      <c r="P20" s="11">
        <v>39.849899999999998</v>
      </c>
      <c r="Q20" s="11">
        <v>34.186399999999999</v>
      </c>
      <c r="R20" s="11">
        <f t="shared" si="12"/>
        <v>19.924949999999999</v>
      </c>
      <c r="S20" s="11">
        <f t="shared" si="13"/>
        <v>5385.1216216216217</v>
      </c>
      <c r="T20" s="11" t="s">
        <v>50</v>
      </c>
      <c r="U20" s="11">
        <v>3</v>
      </c>
      <c r="V20" s="11">
        <f>(33*2)+20.5</f>
        <v>86.5</v>
      </c>
      <c r="W20" s="11">
        <f t="shared" si="14"/>
        <v>532.55880700185924</v>
      </c>
      <c r="X20" s="11">
        <f t="shared" si="15"/>
        <v>134.90398368261069</v>
      </c>
      <c r="Y20" s="11">
        <v>3</v>
      </c>
      <c r="Z20" s="13">
        <f t="shared" si="16"/>
        <v>790.26265356093461</v>
      </c>
      <c r="AA20" s="14">
        <f t="shared" si="23"/>
        <v>67.960205318947885</v>
      </c>
      <c r="AB20" s="11">
        <f>(5200*3600*3.7)/(1000*60*P20)</f>
        <v>28.968705065759263</v>
      </c>
    </row>
    <row r="21" spans="1:28" s="5" customFormat="1" ht="14.5" thickBot="1" x14ac:dyDescent="0.4">
      <c r="A21" s="15"/>
      <c r="B21" s="16">
        <f t="shared" ref="B21" si="29">(Z19*9.83059051650778)/1000</f>
        <v>2.1719508013924091</v>
      </c>
      <c r="C21" s="16">
        <f t="shared" si="17"/>
        <v>0.22093797903037601</v>
      </c>
      <c r="D21" s="16">
        <f t="shared" si="18"/>
        <v>220.93797903037603</v>
      </c>
      <c r="E21" s="16">
        <f t="shared" si="19"/>
        <v>33.000000000000007</v>
      </c>
      <c r="F21" s="16">
        <f t="shared" si="20"/>
        <v>105.98581685495402</v>
      </c>
      <c r="G21" s="16">
        <f t="shared" si="21"/>
        <v>53.66330821180005</v>
      </c>
      <c r="H21" s="16">
        <v>3</v>
      </c>
      <c r="I21" s="16">
        <f>B21/A20</f>
        <v>0.11431320007328469</v>
      </c>
      <c r="J21" s="16">
        <f t="shared" si="22"/>
        <v>0.97288914918751002</v>
      </c>
      <c r="K21" s="16">
        <v>8</v>
      </c>
      <c r="L21" s="16">
        <v>4.8628999999999998</v>
      </c>
      <c r="M21" s="17">
        <v>0.27</v>
      </c>
      <c r="N21" s="16">
        <f>27.1653*2</f>
        <v>54.330599999999997</v>
      </c>
      <c r="O21" s="16">
        <v>5.5</v>
      </c>
      <c r="P21" s="16">
        <v>14.5412</v>
      </c>
      <c r="Q21" s="16">
        <v>29.141999999999999</v>
      </c>
      <c r="R21" s="16">
        <f t="shared" si="12"/>
        <v>7.2706</v>
      </c>
      <c r="S21" s="16">
        <f t="shared" si="13"/>
        <v>1965.0270270270271</v>
      </c>
      <c r="T21" s="16">
        <v>2000</v>
      </c>
      <c r="U21" s="16">
        <v>1</v>
      </c>
      <c r="V21" s="16">
        <v>33</v>
      </c>
      <c r="W21" s="16">
        <f t="shared" si="14"/>
        <v>105.98581685495402</v>
      </c>
      <c r="X21" s="16">
        <f t="shared" si="15"/>
        <v>53.66330821180005</v>
      </c>
      <c r="Y21" s="16">
        <v>3</v>
      </c>
      <c r="Z21" s="18">
        <f t="shared" si="16"/>
        <v>220.937979030376</v>
      </c>
      <c r="AA21" s="19">
        <f t="shared" si="23"/>
        <v>19</v>
      </c>
      <c r="AB21" s="19">
        <f>(2000*3600*3.7)/(1000*60*P21)</f>
        <v>30.533931174868648</v>
      </c>
    </row>
    <row r="22" spans="1:28" s="4" customFormat="1" x14ac:dyDescent="0.35">
      <c r="A22" s="10">
        <v>20</v>
      </c>
      <c r="B22" s="11">
        <f t="shared" ref="B22" si="30">(Z21*9.83059051650778)/1000</f>
        <v>2.1719508013924091</v>
      </c>
      <c r="C22" s="11">
        <f t="shared" si="17"/>
        <v>0.22093797903037601</v>
      </c>
      <c r="D22" s="11">
        <f t="shared" si="18"/>
        <v>220.93797903037603</v>
      </c>
      <c r="E22" s="11">
        <f t="shared" si="19"/>
        <v>33.000000000000007</v>
      </c>
      <c r="F22" s="11">
        <f t="shared" si="20"/>
        <v>105.98581685495402</v>
      </c>
      <c r="G22" s="11">
        <f t="shared" si="21"/>
        <v>53.66330821180005</v>
      </c>
      <c r="H22" s="11">
        <v>3</v>
      </c>
      <c r="I22" s="11">
        <f>B22/A22</f>
        <v>0.10859754006962045</v>
      </c>
      <c r="J22" s="11">
        <f>SQRT(8.28*I22)</f>
        <v>0.94825504574268271</v>
      </c>
      <c r="K22" s="11">
        <v>10</v>
      </c>
      <c r="L22" s="11">
        <v>5.0697999999999999</v>
      </c>
      <c r="M22" s="12">
        <v>0.3</v>
      </c>
      <c r="N22" s="11">
        <f>38.6108*2</f>
        <v>77.221599999999995</v>
      </c>
      <c r="O22" s="11">
        <v>5.5</v>
      </c>
      <c r="P22" s="11">
        <v>37.423299999999998</v>
      </c>
      <c r="Q22" s="11">
        <v>33.782499999999999</v>
      </c>
      <c r="R22" s="11">
        <f t="shared" si="12"/>
        <v>18.711649999999995</v>
      </c>
      <c r="S22" s="11">
        <f t="shared" si="13"/>
        <v>5057.2027027027007</v>
      </c>
      <c r="T22" s="11" t="s">
        <v>48</v>
      </c>
      <c r="U22" s="11">
        <v>3</v>
      </c>
      <c r="V22" s="11">
        <f>19.5+(33*2)</f>
        <v>85.5</v>
      </c>
      <c r="W22" s="11">
        <f t="shared" si="14"/>
        <v>522.28467201314868</v>
      </c>
      <c r="X22" s="11">
        <f t="shared" si="15"/>
        <v>133.41167996125702</v>
      </c>
      <c r="Y22" s="11">
        <v>3</v>
      </c>
      <c r="Z22" s="13">
        <f t="shared" si="16"/>
        <v>778.20220552444005</v>
      </c>
      <c r="AA22" s="14">
        <f t="shared" si="23"/>
        <v>70.445308582952833</v>
      </c>
      <c r="AB22" s="11">
        <f>(5000*3600*3.7)/(1000*60*P22)</f>
        <v>29.660665948753852</v>
      </c>
    </row>
    <row r="23" spans="1:28" s="5" customFormat="1" ht="14.5" thickBot="1" x14ac:dyDescent="0.4">
      <c r="A23" s="15"/>
      <c r="B23" s="16">
        <f t="shared" ref="B23" si="31">(Z21*9.83059051650778)/1000</f>
        <v>2.1719508013924091</v>
      </c>
      <c r="C23" s="16">
        <f t="shared" si="17"/>
        <v>0.22093797903037601</v>
      </c>
      <c r="D23" s="16">
        <f t="shared" si="18"/>
        <v>220.93797903037603</v>
      </c>
      <c r="E23" s="16">
        <f t="shared" si="19"/>
        <v>33.000000000000007</v>
      </c>
      <c r="F23" s="16">
        <f t="shared" si="20"/>
        <v>105.98581685495402</v>
      </c>
      <c r="G23" s="16">
        <f t="shared" si="21"/>
        <v>53.66330821180005</v>
      </c>
      <c r="H23" s="16">
        <v>3</v>
      </c>
      <c r="I23" s="16">
        <f>B23/A22</f>
        <v>0.10859754006962045</v>
      </c>
      <c r="J23" s="16">
        <f t="shared" si="22"/>
        <v>0.94825504574268271</v>
      </c>
      <c r="K23" s="16">
        <v>8</v>
      </c>
      <c r="L23" s="16">
        <v>5.0697999999999999</v>
      </c>
      <c r="M23" s="17">
        <v>0.28000000000000003</v>
      </c>
      <c r="N23" s="16">
        <f>27.7711*2</f>
        <v>55.542200000000001</v>
      </c>
      <c r="O23" s="16">
        <v>5.5</v>
      </c>
      <c r="P23" s="16">
        <v>14.8552</v>
      </c>
      <c r="Q23" s="16">
        <v>29.716799999999999</v>
      </c>
      <c r="R23" s="16">
        <f t="shared" si="12"/>
        <v>7.4276</v>
      </c>
      <c r="S23" s="16">
        <f t="shared" si="13"/>
        <v>2007.4594594594594</v>
      </c>
      <c r="T23" s="16">
        <v>2000</v>
      </c>
      <c r="U23" s="16">
        <v>1</v>
      </c>
      <c r="V23" s="16">
        <v>33</v>
      </c>
      <c r="W23" s="16">
        <f t="shared" si="14"/>
        <v>105.98581685495402</v>
      </c>
      <c r="X23" s="16">
        <f t="shared" si="15"/>
        <v>53.66330821180005</v>
      </c>
      <c r="Y23" s="16">
        <v>3</v>
      </c>
      <c r="Z23" s="18">
        <f t="shared" si="16"/>
        <v>220.937979030376</v>
      </c>
      <c r="AA23" s="19">
        <f t="shared" si="23"/>
        <v>20</v>
      </c>
      <c r="AB23" s="19">
        <f>(2000*3600*3.7)/(1000*60*P23)</f>
        <v>29.88852388389251</v>
      </c>
    </row>
  </sheetData>
  <mergeCells count="11">
    <mergeCell ref="A20:A21"/>
    <mergeCell ref="A22:A23"/>
    <mergeCell ref="A2:A3"/>
    <mergeCell ref="A4:A5"/>
    <mergeCell ref="A6:A7"/>
    <mergeCell ref="A8:A9"/>
    <mergeCell ref="A10:A11"/>
    <mergeCell ref="A12:A13"/>
    <mergeCell ref="A14:A15"/>
    <mergeCell ref="A16:A17"/>
    <mergeCell ref="A18:A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1B3C-D391-4248-9867-3D3130EABCF4}">
  <dimension ref="A1:C152"/>
  <sheetViews>
    <sheetView workbookViewId="0">
      <selection activeCell="A2" sqref="A2:XFD2"/>
    </sheetView>
  </sheetViews>
  <sheetFormatPr defaultRowHeight="14.5" x14ac:dyDescent="0.35"/>
  <sheetData>
    <row r="1" spans="1:3" x14ac:dyDescent="0.35">
      <c r="A1" t="s">
        <v>47</v>
      </c>
      <c r="C1" t="s">
        <v>46</v>
      </c>
    </row>
    <row r="2" spans="1:3" x14ac:dyDescent="0.35">
      <c r="A2">
        <v>0</v>
      </c>
      <c r="B2">
        <f>RADIANS(A2-0.5)</f>
        <v>-8.7266462599716477E-3</v>
      </c>
      <c r="C2">
        <f>2*PI()*(B2)</f>
        <v>-5.4831135561607548E-2</v>
      </c>
    </row>
    <row r="3" spans="1:3" x14ac:dyDescent="0.35">
      <c r="A3">
        <v>0.1</v>
      </c>
      <c r="B3">
        <f t="shared" ref="B3:B66" si="0">RADIANS(A3-0.5)</f>
        <v>-6.9813170079773184E-3</v>
      </c>
      <c r="C3">
        <f t="shared" ref="C3:C66" si="1">2*PI()*(B3)</f>
        <v>-4.386490844928604E-2</v>
      </c>
    </row>
    <row r="4" spans="1:3" x14ac:dyDescent="0.35">
      <c r="A4">
        <v>0.2</v>
      </c>
      <c r="B4">
        <f t="shared" si="0"/>
        <v>-5.2359877559829881E-3</v>
      </c>
      <c r="C4">
        <f t="shared" si="1"/>
        <v>-3.2898681336964525E-2</v>
      </c>
    </row>
    <row r="5" spans="1:3" x14ac:dyDescent="0.35">
      <c r="A5">
        <v>0.3</v>
      </c>
      <c r="B5">
        <f t="shared" si="0"/>
        <v>-3.4906585039886592E-3</v>
      </c>
      <c r="C5">
        <f t="shared" si="1"/>
        <v>-2.193245422464302E-2</v>
      </c>
    </row>
    <row r="6" spans="1:3" x14ac:dyDescent="0.35">
      <c r="A6">
        <v>0.4</v>
      </c>
      <c r="B6">
        <f t="shared" si="0"/>
        <v>-1.7453292519943292E-3</v>
      </c>
      <c r="C6">
        <f t="shared" si="1"/>
        <v>-1.0966227112321507E-2</v>
      </c>
    </row>
    <row r="7" spans="1:3" x14ac:dyDescent="0.35">
      <c r="A7">
        <v>0.5</v>
      </c>
      <c r="B7">
        <f t="shared" si="0"/>
        <v>0</v>
      </c>
      <c r="C7">
        <f t="shared" si="1"/>
        <v>0</v>
      </c>
    </row>
    <row r="8" spans="1:3" x14ac:dyDescent="0.35">
      <c r="A8">
        <v>0.6</v>
      </c>
      <c r="B8">
        <f t="shared" si="0"/>
        <v>1.7453292519943292E-3</v>
      </c>
      <c r="C8">
        <f t="shared" si="1"/>
        <v>1.0966227112321507E-2</v>
      </c>
    </row>
    <row r="9" spans="1:3" x14ac:dyDescent="0.35">
      <c r="A9">
        <v>0.7</v>
      </c>
      <c r="B9">
        <f t="shared" si="0"/>
        <v>3.4906585039886583E-3</v>
      </c>
      <c r="C9">
        <f t="shared" si="1"/>
        <v>2.1932454224643013E-2</v>
      </c>
    </row>
    <row r="10" spans="1:3" x14ac:dyDescent="0.35">
      <c r="A10">
        <v>0.8</v>
      </c>
      <c r="B10">
        <f t="shared" si="0"/>
        <v>5.235987755982989E-3</v>
      </c>
      <c r="C10">
        <f t="shared" si="1"/>
        <v>3.2898681336964532E-2</v>
      </c>
    </row>
    <row r="11" spans="1:3" x14ac:dyDescent="0.35">
      <c r="A11">
        <v>0.9</v>
      </c>
      <c r="B11">
        <f t="shared" si="0"/>
        <v>6.9813170079773184E-3</v>
      </c>
      <c r="C11">
        <f t="shared" si="1"/>
        <v>4.386490844928604E-2</v>
      </c>
    </row>
    <row r="12" spans="1:3" x14ac:dyDescent="0.35">
      <c r="A12">
        <v>1</v>
      </c>
      <c r="B12">
        <f t="shared" si="0"/>
        <v>8.7266462599716477E-3</v>
      </c>
      <c r="C12">
        <f t="shared" si="1"/>
        <v>5.4831135561607548E-2</v>
      </c>
    </row>
    <row r="13" spans="1:3" x14ac:dyDescent="0.35">
      <c r="A13">
        <v>1.1000000000000001</v>
      </c>
      <c r="B13">
        <f t="shared" si="0"/>
        <v>1.0471975511965978E-2</v>
      </c>
      <c r="C13">
        <f t="shared" si="1"/>
        <v>6.5797362673929063E-2</v>
      </c>
    </row>
    <row r="14" spans="1:3" x14ac:dyDescent="0.35">
      <c r="A14">
        <v>1.2</v>
      </c>
      <c r="B14">
        <f t="shared" si="0"/>
        <v>1.2217304763960306E-2</v>
      </c>
      <c r="C14">
        <f t="shared" si="1"/>
        <v>7.6763589786250558E-2</v>
      </c>
    </row>
    <row r="15" spans="1:3" x14ac:dyDescent="0.35">
      <c r="A15">
        <v>1.3</v>
      </c>
      <c r="B15">
        <f t="shared" si="0"/>
        <v>1.3962634015954637E-2</v>
      </c>
      <c r="C15">
        <f t="shared" si="1"/>
        <v>8.772981689857208E-2</v>
      </c>
    </row>
    <row r="16" spans="1:3" x14ac:dyDescent="0.35">
      <c r="A16">
        <v>1.4</v>
      </c>
      <c r="B16">
        <f t="shared" si="0"/>
        <v>1.5707963267948963E-2</v>
      </c>
      <c r="C16">
        <f t="shared" si="1"/>
        <v>9.869604401089356E-2</v>
      </c>
    </row>
    <row r="17" spans="1:3" x14ac:dyDescent="0.35">
      <c r="A17">
        <v>1.5</v>
      </c>
      <c r="B17">
        <f t="shared" si="0"/>
        <v>1.7453292519943295E-2</v>
      </c>
      <c r="C17">
        <f t="shared" si="1"/>
        <v>0.1096622711232151</v>
      </c>
    </row>
    <row r="18" spans="1:3" x14ac:dyDescent="0.35">
      <c r="A18">
        <v>1.6</v>
      </c>
      <c r="B18">
        <f t="shared" si="0"/>
        <v>1.9198621771937627E-2</v>
      </c>
      <c r="C18">
        <f t="shared" si="1"/>
        <v>0.12062849823553662</v>
      </c>
    </row>
    <row r="19" spans="1:3" x14ac:dyDescent="0.35">
      <c r="A19">
        <v>1.7</v>
      </c>
      <c r="B19">
        <f t="shared" si="0"/>
        <v>2.0943951023931952E-2</v>
      </c>
      <c r="C19">
        <f t="shared" si="1"/>
        <v>0.1315947253478581</v>
      </c>
    </row>
    <row r="20" spans="1:3" x14ac:dyDescent="0.35">
      <c r="A20">
        <v>1.8</v>
      </c>
      <c r="B20">
        <f t="shared" si="0"/>
        <v>2.2689280275926284E-2</v>
      </c>
      <c r="C20">
        <f t="shared" si="1"/>
        <v>0.14256095246017961</v>
      </c>
    </row>
    <row r="21" spans="1:3" x14ac:dyDescent="0.35">
      <c r="A21">
        <v>1.9</v>
      </c>
      <c r="B21">
        <f t="shared" si="0"/>
        <v>2.4434609527920613E-2</v>
      </c>
      <c r="C21">
        <f t="shared" si="1"/>
        <v>0.15352717957250112</v>
      </c>
    </row>
    <row r="22" spans="1:3" x14ac:dyDescent="0.35">
      <c r="A22">
        <v>2</v>
      </c>
      <c r="B22">
        <f t="shared" si="0"/>
        <v>2.6179938779914945E-2</v>
      </c>
      <c r="C22">
        <f t="shared" si="1"/>
        <v>0.16449340668482265</v>
      </c>
    </row>
    <row r="23" spans="1:3" x14ac:dyDescent="0.35">
      <c r="A23">
        <v>2.1</v>
      </c>
      <c r="B23">
        <f t="shared" si="0"/>
        <v>2.7925268031909273E-2</v>
      </c>
      <c r="C23">
        <f t="shared" si="1"/>
        <v>0.17545963379714416</v>
      </c>
    </row>
    <row r="24" spans="1:3" x14ac:dyDescent="0.35">
      <c r="A24">
        <v>2.2000000000000002</v>
      </c>
      <c r="B24">
        <f t="shared" si="0"/>
        <v>2.9670597283903605E-2</v>
      </c>
      <c r="C24">
        <f t="shared" si="1"/>
        <v>0.18642586090946567</v>
      </c>
    </row>
    <row r="25" spans="1:3" x14ac:dyDescent="0.35">
      <c r="A25">
        <v>2.2999999999999998</v>
      </c>
      <c r="B25">
        <f t="shared" si="0"/>
        <v>3.1415926535897927E-2</v>
      </c>
      <c r="C25">
        <f t="shared" si="1"/>
        <v>0.19739208802178712</v>
      </c>
    </row>
    <row r="26" spans="1:3" x14ac:dyDescent="0.35">
      <c r="A26">
        <v>2.4</v>
      </c>
      <c r="B26">
        <f t="shared" si="0"/>
        <v>3.3161255787892259E-2</v>
      </c>
      <c r="C26">
        <f t="shared" si="1"/>
        <v>0.20835831513410866</v>
      </c>
    </row>
    <row r="27" spans="1:3" x14ac:dyDescent="0.35">
      <c r="A27">
        <v>2.5</v>
      </c>
      <c r="B27">
        <f t="shared" si="0"/>
        <v>3.4906585039886591E-2</v>
      </c>
      <c r="C27">
        <f t="shared" si="1"/>
        <v>0.21932454224643019</v>
      </c>
    </row>
    <row r="28" spans="1:3" x14ac:dyDescent="0.35">
      <c r="A28">
        <v>2.6</v>
      </c>
      <c r="B28">
        <f t="shared" si="0"/>
        <v>3.6651914291880923E-2</v>
      </c>
      <c r="C28">
        <f t="shared" si="1"/>
        <v>0.2302907693587517</v>
      </c>
    </row>
    <row r="29" spans="1:3" x14ac:dyDescent="0.35">
      <c r="A29">
        <v>2.7</v>
      </c>
      <c r="B29">
        <f t="shared" si="0"/>
        <v>3.8397243543875255E-2</v>
      </c>
      <c r="C29">
        <f t="shared" si="1"/>
        <v>0.24125699647107324</v>
      </c>
    </row>
    <row r="30" spans="1:3" x14ac:dyDescent="0.35">
      <c r="A30">
        <v>2.8</v>
      </c>
      <c r="B30">
        <f t="shared" si="0"/>
        <v>4.014257279586958E-2</v>
      </c>
      <c r="C30">
        <f t="shared" si="1"/>
        <v>0.25222322358339472</v>
      </c>
    </row>
    <row r="31" spans="1:3" x14ac:dyDescent="0.35">
      <c r="A31">
        <v>2.9</v>
      </c>
      <c r="B31">
        <f t="shared" si="0"/>
        <v>4.1887902047863905E-2</v>
      </c>
      <c r="C31">
        <f t="shared" si="1"/>
        <v>0.2631894506957162</v>
      </c>
    </row>
    <row r="32" spans="1:3" x14ac:dyDescent="0.35">
      <c r="A32">
        <v>3</v>
      </c>
      <c r="B32">
        <f t="shared" si="0"/>
        <v>4.3633231299858237E-2</v>
      </c>
      <c r="C32">
        <f t="shared" si="1"/>
        <v>0.27415567780803773</v>
      </c>
    </row>
    <row r="33" spans="1:3" x14ac:dyDescent="0.35">
      <c r="A33">
        <v>3.1</v>
      </c>
      <c r="B33">
        <f t="shared" si="0"/>
        <v>4.5378560551852569E-2</v>
      </c>
      <c r="C33">
        <f t="shared" si="1"/>
        <v>0.28512190492035921</v>
      </c>
    </row>
    <row r="34" spans="1:3" x14ac:dyDescent="0.35">
      <c r="A34">
        <v>3.2</v>
      </c>
      <c r="B34">
        <f t="shared" si="0"/>
        <v>4.7123889803846901E-2</v>
      </c>
      <c r="C34">
        <f t="shared" si="1"/>
        <v>0.29608813203268075</v>
      </c>
    </row>
    <row r="35" spans="1:3" x14ac:dyDescent="0.35">
      <c r="A35">
        <v>3.3</v>
      </c>
      <c r="B35">
        <f t="shared" si="0"/>
        <v>4.8869219055841226E-2</v>
      </c>
      <c r="C35">
        <f t="shared" si="1"/>
        <v>0.30705435914500223</v>
      </c>
    </row>
    <row r="36" spans="1:3" x14ac:dyDescent="0.35">
      <c r="A36">
        <v>3.4</v>
      </c>
      <c r="B36">
        <f t="shared" si="0"/>
        <v>5.0614548307835558E-2</v>
      </c>
      <c r="C36">
        <f t="shared" si="1"/>
        <v>0.31802058625732377</v>
      </c>
    </row>
    <row r="37" spans="1:3" x14ac:dyDescent="0.35">
      <c r="A37">
        <v>3.5</v>
      </c>
      <c r="B37">
        <f t="shared" si="0"/>
        <v>5.235987755982989E-2</v>
      </c>
      <c r="C37">
        <f t="shared" si="1"/>
        <v>0.3289868133696453</v>
      </c>
    </row>
    <row r="38" spans="1:3" x14ac:dyDescent="0.35">
      <c r="A38">
        <v>3.6</v>
      </c>
      <c r="B38">
        <f t="shared" si="0"/>
        <v>5.4105206811824215E-2</v>
      </c>
      <c r="C38">
        <f t="shared" si="1"/>
        <v>0.33995304048196678</v>
      </c>
    </row>
    <row r="39" spans="1:3" x14ac:dyDescent="0.35">
      <c r="A39">
        <v>3.7</v>
      </c>
      <c r="B39">
        <f t="shared" si="0"/>
        <v>5.5850536063818547E-2</v>
      </c>
      <c r="C39">
        <f t="shared" si="1"/>
        <v>0.35091926759428832</v>
      </c>
    </row>
    <row r="40" spans="1:3" x14ac:dyDescent="0.35">
      <c r="A40">
        <v>3.8</v>
      </c>
      <c r="B40">
        <f t="shared" si="0"/>
        <v>5.7595865315812872E-2</v>
      </c>
      <c r="C40">
        <f t="shared" si="1"/>
        <v>0.3618854947066098</v>
      </c>
    </row>
    <row r="41" spans="1:3" x14ac:dyDescent="0.35">
      <c r="A41">
        <v>3.9</v>
      </c>
      <c r="B41">
        <f t="shared" si="0"/>
        <v>5.9341194567807204E-2</v>
      </c>
      <c r="C41">
        <f t="shared" si="1"/>
        <v>0.37285172181893128</v>
      </c>
    </row>
    <row r="42" spans="1:3" x14ac:dyDescent="0.35">
      <c r="A42">
        <v>4</v>
      </c>
      <c r="B42">
        <f t="shared" si="0"/>
        <v>6.1086523819801536E-2</v>
      </c>
      <c r="C42">
        <f t="shared" si="1"/>
        <v>0.38381794893125282</v>
      </c>
    </row>
    <row r="43" spans="1:3" x14ac:dyDescent="0.35">
      <c r="A43">
        <v>4.0999999999999996</v>
      </c>
      <c r="B43">
        <f t="shared" si="0"/>
        <v>6.2831853071795854E-2</v>
      </c>
      <c r="C43">
        <f t="shared" si="1"/>
        <v>0.39478417604357424</v>
      </c>
    </row>
    <row r="44" spans="1:3" x14ac:dyDescent="0.35">
      <c r="A44">
        <v>4.2</v>
      </c>
      <c r="B44">
        <f t="shared" si="0"/>
        <v>6.45771823237902E-2</v>
      </c>
      <c r="C44">
        <f t="shared" si="1"/>
        <v>0.40575040315589589</v>
      </c>
    </row>
    <row r="45" spans="1:3" x14ac:dyDescent="0.35">
      <c r="A45">
        <v>4.3</v>
      </c>
      <c r="B45">
        <f t="shared" si="0"/>
        <v>6.6322511575784518E-2</v>
      </c>
      <c r="C45">
        <f t="shared" si="1"/>
        <v>0.41671663026821731</v>
      </c>
    </row>
    <row r="46" spans="1:3" x14ac:dyDescent="0.35">
      <c r="A46">
        <v>4.4000000000000004</v>
      </c>
      <c r="B46">
        <f t="shared" si="0"/>
        <v>6.8067840827778864E-2</v>
      </c>
      <c r="C46">
        <f t="shared" si="1"/>
        <v>0.42768285738053891</v>
      </c>
    </row>
    <row r="47" spans="1:3" x14ac:dyDescent="0.35">
      <c r="A47">
        <v>4.5</v>
      </c>
      <c r="B47">
        <f t="shared" si="0"/>
        <v>6.9813170079773182E-2</v>
      </c>
      <c r="C47">
        <f t="shared" si="1"/>
        <v>0.43864908449286039</v>
      </c>
    </row>
    <row r="48" spans="1:3" x14ac:dyDescent="0.35">
      <c r="A48">
        <v>4.5999999999999996</v>
      </c>
      <c r="B48">
        <f t="shared" si="0"/>
        <v>7.15584993317675E-2</v>
      </c>
      <c r="C48">
        <f t="shared" si="1"/>
        <v>0.44961531160518181</v>
      </c>
    </row>
    <row r="49" spans="1:3" x14ac:dyDescent="0.35">
      <c r="A49">
        <v>4.7</v>
      </c>
      <c r="B49">
        <f t="shared" si="0"/>
        <v>7.3303828583761846E-2</v>
      </c>
      <c r="C49">
        <f t="shared" si="1"/>
        <v>0.4605815387175034</v>
      </c>
    </row>
    <row r="50" spans="1:3" x14ac:dyDescent="0.35">
      <c r="A50">
        <v>4.8</v>
      </c>
      <c r="B50">
        <f t="shared" si="0"/>
        <v>7.5049157835756164E-2</v>
      </c>
      <c r="C50">
        <f t="shared" si="1"/>
        <v>0.47154776582982483</v>
      </c>
    </row>
    <row r="51" spans="1:3" x14ac:dyDescent="0.35">
      <c r="A51">
        <v>4.9000000000000004</v>
      </c>
      <c r="B51">
        <f t="shared" si="0"/>
        <v>7.679448708775051E-2</v>
      </c>
      <c r="C51">
        <f t="shared" si="1"/>
        <v>0.48251399294214647</v>
      </c>
    </row>
    <row r="52" spans="1:3" x14ac:dyDescent="0.35">
      <c r="A52">
        <v>5</v>
      </c>
      <c r="B52">
        <f t="shared" si="0"/>
        <v>7.8539816339744828E-2</v>
      </c>
      <c r="C52">
        <f t="shared" si="1"/>
        <v>0.4934802200544679</v>
      </c>
    </row>
    <row r="53" spans="1:3" x14ac:dyDescent="0.35">
      <c r="A53">
        <v>5.0999999999999996</v>
      </c>
      <c r="B53">
        <f t="shared" si="0"/>
        <v>8.028514559173916E-2</v>
      </c>
      <c r="C53">
        <f t="shared" si="1"/>
        <v>0.50444644716678944</v>
      </c>
    </row>
    <row r="54" spans="1:3" x14ac:dyDescent="0.35">
      <c r="A54">
        <v>5.2</v>
      </c>
      <c r="B54">
        <f t="shared" si="0"/>
        <v>8.2030474843733492E-2</v>
      </c>
      <c r="C54">
        <f t="shared" si="1"/>
        <v>0.51541267427911097</v>
      </c>
    </row>
    <row r="55" spans="1:3" x14ac:dyDescent="0.35">
      <c r="A55">
        <v>5.3</v>
      </c>
      <c r="B55">
        <f t="shared" si="0"/>
        <v>8.377580409572781E-2</v>
      </c>
      <c r="C55">
        <f t="shared" si="1"/>
        <v>0.5263789013914324</v>
      </c>
    </row>
    <row r="56" spans="1:3" x14ac:dyDescent="0.35">
      <c r="A56">
        <v>5.4</v>
      </c>
      <c r="B56">
        <f t="shared" si="0"/>
        <v>8.5521133347722156E-2</v>
      </c>
      <c r="C56">
        <f t="shared" si="1"/>
        <v>0.53734512850375404</v>
      </c>
    </row>
    <row r="57" spans="1:3" x14ac:dyDescent="0.35">
      <c r="A57">
        <v>5.5</v>
      </c>
      <c r="B57">
        <f t="shared" si="0"/>
        <v>8.7266462599716474E-2</v>
      </c>
      <c r="C57">
        <f t="shared" si="1"/>
        <v>0.54831135561607547</v>
      </c>
    </row>
    <row r="58" spans="1:3" x14ac:dyDescent="0.35">
      <c r="A58">
        <v>5.6</v>
      </c>
      <c r="B58">
        <f t="shared" si="0"/>
        <v>8.9011791851710806E-2</v>
      </c>
      <c r="C58">
        <f t="shared" si="1"/>
        <v>0.559277582728397</v>
      </c>
    </row>
    <row r="59" spans="1:3" x14ac:dyDescent="0.35">
      <c r="A59">
        <v>5.7</v>
      </c>
      <c r="B59">
        <f t="shared" si="0"/>
        <v>9.0757121103705138E-2</v>
      </c>
      <c r="C59">
        <f t="shared" si="1"/>
        <v>0.57024380984071843</v>
      </c>
    </row>
    <row r="60" spans="1:3" x14ac:dyDescent="0.35">
      <c r="A60">
        <v>5.8</v>
      </c>
      <c r="B60">
        <f t="shared" si="0"/>
        <v>9.250245035569947E-2</v>
      </c>
      <c r="C60">
        <f t="shared" si="1"/>
        <v>0.58121003695303997</v>
      </c>
    </row>
    <row r="61" spans="1:3" x14ac:dyDescent="0.35">
      <c r="A61">
        <v>5.9</v>
      </c>
      <c r="B61">
        <f t="shared" si="0"/>
        <v>9.4247779607693802E-2</v>
      </c>
      <c r="C61">
        <f t="shared" si="1"/>
        <v>0.5921762640653615</v>
      </c>
    </row>
    <row r="62" spans="1:3" x14ac:dyDescent="0.35">
      <c r="A62">
        <v>6</v>
      </c>
      <c r="B62">
        <f t="shared" si="0"/>
        <v>9.599310885968812E-2</v>
      </c>
      <c r="C62">
        <f t="shared" si="1"/>
        <v>0.60314249117768293</v>
      </c>
    </row>
    <row r="63" spans="1:3" x14ac:dyDescent="0.35">
      <c r="A63">
        <v>6.1</v>
      </c>
      <c r="B63">
        <f t="shared" si="0"/>
        <v>9.7738438111682452E-2</v>
      </c>
      <c r="C63">
        <f t="shared" si="1"/>
        <v>0.61410871829000446</v>
      </c>
    </row>
    <row r="64" spans="1:3" x14ac:dyDescent="0.35">
      <c r="A64">
        <v>6.2</v>
      </c>
      <c r="B64">
        <f t="shared" si="0"/>
        <v>9.9483767363676784E-2</v>
      </c>
      <c r="C64">
        <f t="shared" si="1"/>
        <v>0.625074945402326</v>
      </c>
    </row>
    <row r="65" spans="1:3" x14ac:dyDescent="0.35">
      <c r="A65">
        <v>6.3</v>
      </c>
      <c r="B65">
        <f t="shared" si="0"/>
        <v>0.10122909661567112</v>
      </c>
      <c r="C65">
        <f t="shared" si="1"/>
        <v>0.63604117251464753</v>
      </c>
    </row>
    <row r="66" spans="1:3" x14ac:dyDescent="0.35">
      <c r="A66">
        <v>6.4</v>
      </c>
      <c r="B66">
        <f t="shared" si="0"/>
        <v>0.10297442586766545</v>
      </c>
      <c r="C66">
        <f t="shared" si="1"/>
        <v>0.64700739962696907</v>
      </c>
    </row>
    <row r="67" spans="1:3" x14ac:dyDescent="0.35">
      <c r="A67">
        <v>6.5</v>
      </c>
      <c r="B67">
        <f t="shared" ref="B67:B130" si="2">RADIANS(A67-0.5)</f>
        <v>0.10471975511965978</v>
      </c>
      <c r="C67">
        <f t="shared" ref="C67:C130" si="3">2*PI()*(B67)</f>
        <v>0.65797362673929061</v>
      </c>
    </row>
    <row r="68" spans="1:3" x14ac:dyDescent="0.35">
      <c r="A68">
        <v>6.6</v>
      </c>
      <c r="B68">
        <f t="shared" si="2"/>
        <v>0.1064650843716541</v>
      </c>
      <c r="C68">
        <f t="shared" si="3"/>
        <v>0.66893985385161203</v>
      </c>
    </row>
    <row r="69" spans="1:3" x14ac:dyDescent="0.35">
      <c r="A69">
        <v>6.7</v>
      </c>
      <c r="B69">
        <f t="shared" si="2"/>
        <v>0.10821041362364843</v>
      </c>
      <c r="C69">
        <f t="shared" si="3"/>
        <v>0.67990608096393357</v>
      </c>
    </row>
    <row r="70" spans="1:3" x14ac:dyDescent="0.35">
      <c r="A70">
        <v>6.8</v>
      </c>
      <c r="B70">
        <f t="shared" si="2"/>
        <v>0.10995574287564276</v>
      </c>
      <c r="C70">
        <f t="shared" si="3"/>
        <v>0.6908723080762551</v>
      </c>
    </row>
    <row r="71" spans="1:3" x14ac:dyDescent="0.35">
      <c r="A71">
        <v>6.9</v>
      </c>
      <c r="B71">
        <f t="shared" si="2"/>
        <v>0.11170107212763709</v>
      </c>
      <c r="C71">
        <f t="shared" si="3"/>
        <v>0.70183853518857664</v>
      </c>
    </row>
    <row r="72" spans="1:3" x14ac:dyDescent="0.35">
      <c r="A72">
        <v>7</v>
      </c>
      <c r="B72">
        <f t="shared" si="2"/>
        <v>0.11344640137963143</v>
      </c>
      <c r="C72">
        <f t="shared" si="3"/>
        <v>0.71280476230089806</v>
      </c>
    </row>
    <row r="73" spans="1:3" x14ac:dyDescent="0.35">
      <c r="A73">
        <v>7.1</v>
      </c>
      <c r="B73">
        <f t="shared" si="2"/>
        <v>0.11519173063162574</v>
      </c>
      <c r="C73">
        <f t="shared" si="3"/>
        <v>0.7237709894132196</v>
      </c>
    </row>
    <row r="74" spans="1:3" x14ac:dyDescent="0.35">
      <c r="A74">
        <v>7.2</v>
      </c>
      <c r="B74">
        <f t="shared" si="2"/>
        <v>0.11693705988362008</v>
      </c>
      <c r="C74">
        <f t="shared" si="3"/>
        <v>0.73473721652554103</v>
      </c>
    </row>
    <row r="75" spans="1:3" x14ac:dyDescent="0.35">
      <c r="A75">
        <v>7.3</v>
      </c>
      <c r="B75">
        <f t="shared" si="2"/>
        <v>0.11868238913561441</v>
      </c>
      <c r="C75">
        <f t="shared" si="3"/>
        <v>0.74570344363786256</v>
      </c>
    </row>
    <row r="76" spans="1:3" x14ac:dyDescent="0.35">
      <c r="A76">
        <v>7.4</v>
      </c>
      <c r="B76">
        <f t="shared" si="2"/>
        <v>0.12042771838760874</v>
      </c>
      <c r="C76">
        <f t="shared" si="3"/>
        <v>0.7566696707501841</v>
      </c>
    </row>
    <row r="77" spans="1:3" x14ac:dyDescent="0.35">
      <c r="A77">
        <v>7.5</v>
      </c>
      <c r="B77">
        <f t="shared" si="2"/>
        <v>0.12217304763960307</v>
      </c>
      <c r="C77">
        <f t="shared" si="3"/>
        <v>0.76763589786250563</v>
      </c>
    </row>
    <row r="78" spans="1:3" x14ac:dyDescent="0.35">
      <c r="A78">
        <v>7.6</v>
      </c>
      <c r="B78">
        <f t="shared" si="2"/>
        <v>0.12391837689159739</v>
      </c>
      <c r="C78">
        <f t="shared" si="3"/>
        <v>0.77860212497482706</v>
      </c>
    </row>
    <row r="79" spans="1:3" x14ac:dyDescent="0.35">
      <c r="A79">
        <v>7.7</v>
      </c>
      <c r="B79">
        <f t="shared" si="2"/>
        <v>0.12566370614359174</v>
      </c>
      <c r="C79">
        <f t="shared" si="3"/>
        <v>0.78956835208714871</v>
      </c>
    </row>
    <row r="80" spans="1:3" x14ac:dyDescent="0.35">
      <c r="A80">
        <v>7.8</v>
      </c>
      <c r="B80">
        <f t="shared" si="2"/>
        <v>0.12740903539558607</v>
      </c>
      <c r="C80">
        <f t="shared" si="3"/>
        <v>0.80053457919947024</v>
      </c>
    </row>
    <row r="81" spans="1:3" x14ac:dyDescent="0.35">
      <c r="A81">
        <v>7.9</v>
      </c>
      <c r="B81">
        <f t="shared" si="2"/>
        <v>0.1291543646475804</v>
      </c>
      <c r="C81">
        <f t="shared" si="3"/>
        <v>0.81150080631179178</v>
      </c>
    </row>
    <row r="82" spans="1:3" x14ac:dyDescent="0.35">
      <c r="A82">
        <v>8</v>
      </c>
      <c r="B82">
        <f t="shared" si="2"/>
        <v>0.1308996938995747</v>
      </c>
      <c r="C82">
        <f t="shared" si="3"/>
        <v>0.82246703342411309</v>
      </c>
    </row>
    <row r="83" spans="1:3" x14ac:dyDescent="0.35">
      <c r="A83">
        <v>8.1</v>
      </c>
      <c r="B83">
        <f t="shared" si="2"/>
        <v>0.13264502315156904</v>
      </c>
      <c r="C83">
        <f t="shared" si="3"/>
        <v>0.83343326053643463</v>
      </c>
    </row>
    <row r="84" spans="1:3" x14ac:dyDescent="0.35">
      <c r="A84">
        <v>8.1999999999999993</v>
      </c>
      <c r="B84">
        <f t="shared" si="2"/>
        <v>0.13439035240356337</v>
      </c>
      <c r="C84">
        <f t="shared" si="3"/>
        <v>0.84439948764875616</v>
      </c>
    </row>
    <row r="85" spans="1:3" x14ac:dyDescent="0.35">
      <c r="A85">
        <v>8.3000000000000007</v>
      </c>
      <c r="B85">
        <f t="shared" si="2"/>
        <v>0.13613568165555773</v>
      </c>
      <c r="C85">
        <f t="shared" si="3"/>
        <v>0.85536571476107781</v>
      </c>
    </row>
    <row r="86" spans="1:3" x14ac:dyDescent="0.35">
      <c r="A86">
        <v>8.4</v>
      </c>
      <c r="B86">
        <f t="shared" si="2"/>
        <v>0.13788101090755203</v>
      </c>
      <c r="C86">
        <f t="shared" si="3"/>
        <v>0.86633194187339924</v>
      </c>
    </row>
    <row r="87" spans="1:3" x14ac:dyDescent="0.35">
      <c r="A87">
        <v>8.5</v>
      </c>
      <c r="B87">
        <f t="shared" si="2"/>
        <v>0.13962634015954636</v>
      </c>
      <c r="C87">
        <f t="shared" si="3"/>
        <v>0.87729816898572077</v>
      </c>
    </row>
    <row r="88" spans="1:3" x14ac:dyDescent="0.35">
      <c r="A88">
        <v>8.6</v>
      </c>
      <c r="B88">
        <f t="shared" si="2"/>
        <v>0.1413716694115407</v>
      </c>
      <c r="C88">
        <f t="shared" si="3"/>
        <v>0.8882643960980422</v>
      </c>
    </row>
    <row r="89" spans="1:3" x14ac:dyDescent="0.35">
      <c r="A89">
        <v>8.6999999999999993</v>
      </c>
      <c r="B89">
        <f t="shared" si="2"/>
        <v>0.143116998663535</v>
      </c>
      <c r="C89">
        <f t="shared" si="3"/>
        <v>0.89923062321036362</v>
      </c>
    </row>
    <row r="90" spans="1:3" x14ac:dyDescent="0.35">
      <c r="A90">
        <v>8.8000000000000007</v>
      </c>
      <c r="B90">
        <f t="shared" si="2"/>
        <v>0.14486232791552936</v>
      </c>
      <c r="C90">
        <f t="shared" si="3"/>
        <v>0.91019685032268527</v>
      </c>
    </row>
    <row r="91" spans="1:3" x14ac:dyDescent="0.35">
      <c r="A91">
        <v>8.9</v>
      </c>
      <c r="B91">
        <f t="shared" si="2"/>
        <v>0.14660765716752369</v>
      </c>
      <c r="C91">
        <f t="shared" si="3"/>
        <v>0.92116307743500681</v>
      </c>
    </row>
    <row r="92" spans="1:3" x14ac:dyDescent="0.35">
      <c r="A92">
        <v>9</v>
      </c>
      <c r="B92">
        <f t="shared" si="2"/>
        <v>0.14835298641951802</v>
      </c>
      <c r="C92">
        <f t="shared" si="3"/>
        <v>0.93212930454732834</v>
      </c>
    </row>
    <row r="93" spans="1:3" x14ac:dyDescent="0.35">
      <c r="A93">
        <v>9.1</v>
      </c>
      <c r="B93">
        <f t="shared" si="2"/>
        <v>0.15009831567151233</v>
      </c>
      <c r="C93">
        <f t="shared" si="3"/>
        <v>0.94309553165964966</v>
      </c>
    </row>
    <row r="94" spans="1:3" x14ac:dyDescent="0.35">
      <c r="A94">
        <v>9.1999999999999993</v>
      </c>
      <c r="B94">
        <f t="shared" si="2"/>
        <v>0.15184364492350666</v>
      </c>
      <c r="C94">
        <f t="shared" si="3"/>
        <v>0.95406175877197119</v>
      </c>
    </row>
    <row r="95" spans="1:3" x14ac:dyDescent="0.35">
      <c r="A95">
        <v>9.3000000000000007</v>
      </c>
      <c r="B95">
        <f t="shared" si="2"/>
        <v>0.15358897417550102</v>
      </c>
      <c r="C95">
        <f t="shared" si="3"/>
        <v>0.96502798588429295</v>
      </c>
    </row>
    <row r="96" spans="1:3" x14ac:dyDescent="0.35">
      <c r="A96">
        <v>9.4</v>
      </c>
      <c r="B96">
        <f t="shared" si="2"/>
        <v>0.15533430342749532</v>
      </c>
      <c r="C96">
        <f t="shared" si="3"/>
        <v>0.97599421299661426</v>
      </c>
    </row>
    <row r="97" spans="1:3" x14ac:dyDescent="0.35">
      <c r="A97">
        <v>9.5</v>
      </c>
      <c r="B97">
        <f t="shared" si="2"/>
        <v>0.15707963267948966</v>
      </c>
      <c r="C97">
        <f t="shared" si="3"/>
        <v>0.9869604401089358</v>
      </c>
    </row>
    <row r="98" spans="1:3" x14ac:dyDescent="0.35">
      <c r="A98">
        <v>9.6</v>
      </c>
      <c r="B98">
        <f t="shared" si="2"/>
        <v>0.15882496193148399</v>
      </c>
      <c r="C98">
        <f t="shared" si="3"/>
        <v>0.99792666722125734</v>
      </c>
    </row>
    <row r="99" spans="1:3" x14ac:dyDescent="0.35">
      <c r="A99">
        <v>9.6999999999999993</v>
      </c>
      <c r="B99">
        <f t="shared" si="2"/>
        <v>0.16057029118347832</v>
      </c>
      <c r="C99">
        <f t="shared" si="3"/>
        <v>1.0088928943335789</v>
      </c>
    </row>
    <row r="100" spans="1:3" x14ac:dyDescent="0.35">
      <c r="A100">
        <v>9.8000000000000007</v>
      </c>
      <c r="B100">
        <f t="shared" si="2"/>
        <v>0.16231562043547265</v>
      </c>
      <c r="C100">
        <f t="shared" si="3"/>
        <v>1.0198591214459003</v>
      </c>
    </row>
    <row r="101" spans="1:3" x14ac:dyDescent="0.35">
      <c r="A101">
        <v>9.9</v>
      </c>
      <c r="B101">
        <f t="shared" si="2"/>
        <v>0.16406094968746698</v>
      </c>
      <c r="C101">
        <f t="shared" si="3"/>
        <v>1.0308253485582219</v>
      </c>
    </row>
    <row r="102" spans="1:3" x14ac:dyDescent="0.35">
      <c r="A102">
        <v>10</v>
      </c>
      <c r="B102">
        <f t="shared" si="2"/>
        <v>0.16580627893946132</v>
      </c>
      <c r="C102">
        <f t="shared" si="3"/>
        <v>1.0417915756705434</v>
      </c>
    </row>
    <row r="103" spans="1:3" x14ac:dyDescent="0.35">
      <c r="A103">
        <v>10.1</v>
      </c>
      <c r="B103">
        <f t="shared" si="2"/>
        <v>0.16755160819145562</v>
      </c>
      <c r="C103">
        <f t="shared" si="3"/>
        <v>1.0527578027828648</v>
      </c>
    </row>
    <row r="104" spans="1:3" x14ac:dyDescent="0.35">
      <c r="A104">
        <v>10.199999999999999</v>
      </c>
      <c r="B104">
        <f t="shared" si="2"/>
        <v>0.16929693744344995</v>
      </c>
      <c r="C104">
        <f t="shared" si="3"/>
        <v>1.0637240298951862</v>
      </c>
    </row>
    <row r="105" spans="1:3" x14ac:dyDescent="0.35">
      <c r="A105">
        <v>10.3</v>
      </c>
      <c r="B105">
        <f t="shared" si="2"/>
        <v>0.17104226669544431</v>
      </c>
      <c r="C105">
        <f t="shared" si="3"/>
        <v>1.0746902570075081</v>
      </c>
    </row>
    <row r="106" spans="1:3" x14ac:dyDescent="0.35">
      <c r="A106">
        <v>10.4</v>
      </c>
      <c r="B106">
        <f t="shared" si="2"/>
        <v>0.17278759594743864</v>
      </c>
      <c r="C106">
        <f t="shared" si="3"/>
        <v>1.0856564841198295</v>
      </c>
    </row>
    <row r="107" spans="1:3" x14ac:dyDescent="0.35">
      <c r="A107">
        <v>10.5</v>
      </c>
      <c r="B107">
        <f t="shared" si="2"/>
        <v>0.17453292519943295</v>
      </c>
      <c r="C107">
        <f t="shared" si="3"/>
        <v>1.0966227112321509</v>
      </c>
    </row>
    <row r="108" spans="1:3" x14ac:dyDescent="0.35">
      <c r="A108">
        <v>10.6</v>
      </c>
      <c r="B108">
        <f t="shared" si="2"/>
        <v>0.17627825445142728</v>
      </c>
      <c r="C108">
        <f t="shared" si="3"/>
        <v>1.1075889383444724</v>
      </c>
    </row>
    <row r="109" spans="1:3" x14ac:dyDescent="0.35">
      <c r="A109">
        <v>10.7</v>
      </c>
      <c r="B109">
        <f t="shared" si="2"/>
        <v>0.17802358370342161</v>
      </c>
      <c r="C109">
        <f t="shared" si="3"/>
        <v>1.118555165456794</v>
      </c>
    </row>
    <row r="110" spans="1:3" x14ac:dyDescent="0.35">
      <c r="A110">
        <v>10.8</v>
      </c>
      <c r="B110">
        <f t="shared" si="2"/>
        <v>0.17976891295541594</v>
      </c>
      <c r="C110">
        <f t="shared" si="3"/>
        <v>1.1295213925691154</v>
      </c>
    </row>
    <row r="111" spans="1:3" x14ac:dyDescent="0.35">
      <c r="A111">
        <v>10.9</v>
      </c>
      <c r="B111">
        <f t="shared" si="2"/>
        <v>0.18151424220741028</v>
      </c>
      <c r="C111">
        <f t="shared" si="3"/>
        <v>1.1404876196814369</v>
      </c>
    </row>
    <row r="112" spans="1:3" x14ac:dyDescent="0.35">
      <c r="A112">
        <v>11</v>
      </c>
      <c r="B112">
        <f t="shared" si="2"/>
        <v>0.18325957145940461</v>
      </c>
      <c r="C112">
        <f t="shared" si="3"/>
        <v>1.1514538467937585</v>
      </c>
    </row>
    <row r="113" spans="1:3" x14ac:dyDescent="0.35">
      <c r="A113">
        <v>11.1</v>
      </c>
      <c r="B113">
        <f t="shared" si="2"/>
        <v>0.18500490071139894</v>
      </c>
      <c r="C113">
        <f t="shared" si="3"/>
        <v>1.1624200739060799</v>
      </c>
    </row>
    <row r="114" spans="1:3" x14ac:dyDescent="0.35">
      <c r="A114">
        <v>11.2</v>
      </c>
      <c r="B114">
        <f t="shared" si="2"/>
        <v>0.18675022996339324</v>
      </c>
      <c r="C114">
        <f t="shared" si="3"/>
        <v>1.1733863010184014</v>
      </c>
    </row>
    <row r="115" spans="1:3" x14ac:dyDescent="0.35">
      <c r="A115">
        <v>11.3</v>
      </c>
      <c r="B115">
        <f t="shared" si="2"/>
        <v>0.1884955592153876</v>
      </c>
      <c r="C115">
        <f t="shared" si="3"/>
        <v>1.184352528130723</v>
      </c>
    </row>
    <row r="116" spans="1:3" x14ac:dyDescent="0.35">
      <c r="A116">
        <v>11.4</v>
      </c>
      <c r="B116">
        <f t="shared" si="2"/>
        <v>0.19024088846738194</v>
      </c>
      <c r="C116">
        <f t="shared" si="3"/>
        <v>1.1953187552430447</v>
      </c>
    </row>
    <row r="117" spans="1:3" x14ac:dyDescent="0.35">
      <c r="A117">
        <v>11.5</v>
      </c>
      <c r="B117">
        <f t="shared" si="2"/>
        <v>0.19198621771937624</v>
      </c>
      <c r="C117">
        <f t="shared" si="3"/>
        <v>1.2062849823553659</v>
      </c>
    </row>
    <row r="118" spans="1:3" x14ac:dyDescent="0.35">
      <c r="A118">
        <v>11.6</v>
      </c>
      <c r="B118">
        <f t="shared" si="2"/>
        <v>0.19373154697137057</v>
      </c>
      <c r="C118">
        <f t="shared" si="3"/>
        <v>1.2172512094676875</v>
      </c>
    </row>
    <row r="119" spans="1:3" x14ac:dyDescent="0.35">
      <c r="A119">
        <v>11.7</v>
      </c>
      <c r="B119">
        <f t="shared" si="2"/>
        <v>0.1954768762233649</v>
      </c>
      <c r="C119">
        <f t="shared" si="3"/>
        <v>1.2282174365800089</v>
      </c>
    </row>
    <row r="120" spans="1:3" x14ac:dyDescent="0.35">
      <c r="A120">
        <v>11.8</v>
      </c>
      <c r="B120">
        <f t="shared" si="2"/>
        <v>0.19722220547535926</v>
      </c>
      <c r="C120">
        <f t="shared" si="3"/>
        <v>1.2391836636923306</v>
      </c>
    </row>
    <row r="121" spans="1:3" x14ac:dyDescent="0.35">
      <c r="A121">
        <v>11.9</v>
      </c>
      <c r="B121">
        <f t="shared" si="2"/>
        <v>0.19896753472735357</v>
      </c>
      <c r="C121">
        <f t="shared" si="3"/>
        <v>1.250149890804652</v>
      </c>
    </row>
    <row r="122" spans="1:3" x14ac:dyDescent="0.35">
      <c r="A122">
        <v>12</v>
      </c>
      <c r="B122">
        <f t="shared" si="2"/>
        <v>0.2007128639793479</v>
      </c>
      <c r="C122">
        <f t="shared" si="3"/>
        <v>1.2611161179169736</v>
      </c>
    </row>
    <row r="123" spans="1:3" x14ac:dyDescent="0.35">
      <c r="A123">
        <v>12.1</v>
      </c>
      <c r="B123">
        <f t="shared" si="2"/>
        <v>0.20245819323134223</v>
      </c>
      <c r="C123">
        <f t="shared" si="3"/>
        <v>1.2720823450292951</v>
      </c>
    </row>
    <row r="124" spans="1:3" x14ac:dyDescent="0.35">
      <c r="A124">
        <v>12.2</v>
      </c>
      <c r="B124">
        <f t="shared" si="2"/>
        <v>0.20420352248333654</v>
      </c>
      <c r="C124">
        <f t="shared" si="3"/>
        <v>1.2830485721416165</v>
      </c>
    </row>
    <row r="125" spans="1:3" x14ac:dyDescent="0.35">
      <c r="A125">
        <v>12.3</v>
      </c>
      <c r="B125">
        <f t="shared" si="2"/>
        <v>0.2059488517353309</v>
      </c>
      <c r="C125">
        <f t="shared" si="3"/>
        <v>1.2940147992539381</v>
      </c>
    </row>
    <row r="126" spans="1:3" x14ac:dyDescent="0.35">
      <c r="A126">
        <v>12.4</v>
      </c>
      <c r="B126">
        <f t="shared" si="2"/>
        <v>0.20769418098732523</v>
      </c>
      <c r="C126">
        <f t="shared" si="3"/>
        <v>1.3049810263662596</v>
      </c>
    </row>
    <row r="127" spans="1:3" x14ac:dyDescent="0.35">
      <c r="A127">
        <v>12.5</v>
      </c>
      <c r="B127">
        <f t="shared" si="2"/>
        <v>0.20943951023931956</v>
      </c>
      <c r="C127">
        <f t="shared" si="3"/>
        <v>1.3159472534785812</v>
      </c>
    </row>
    <row r="128" spans="1:3" x14ac:dyDescent="0.35">
      <c r="A128">
        <v>12.6</v>
      </c>
      <c r="B128">
        <f t="shared" si="2"/>
        <v>0.21118483949131386</v>
      </c>
      <c r="C128">
        <f t="shared" si="3"/>
        <v>1.3269134805909024</v>
      </c>
    </row>
    <row r="129" spans="1:3" x14ac:dyDescent="0.35">
      <c r="A129">
        <v>12.7</v>
      </c>
      <c r="B129">
        <f t="shared" si="2"/>
        <v>0.2129301687433082</v>
      </c>
      <c r="C129">
        <f t="shared" si="3"/>
        <v>1.3378797077032241</v>
      </c>
    </row>
    <row r="130" spans="1:3" x14ac:dyDescent="0.35">
      <c r="A130">
        <v>12.8</v>
      </c>
      <c r="B130">
        <f t="shared" si="2"/>
        <v>0.21467549799530256</v>
      </c>
      <c r="C130">
        <f t="shared" si="3"/>
        <v>1.3488459348155457</v>
      </c>
    </row>
    <row r="131" spans="1:3" x14ac:dyDescent="0.35">
      <c r="A131">
        <v>12.9</v>
      </c>
      <c r="B131">
        <f t="shared" ref="B131:B152" si="4">RADIANS(A131-0.5)</f>
        <v>0.21642082724729686</v>
      </c>
      <c r="C131">
        <f t="shared" ref="C131:C152" si="5">2*PI()*(B131)</f>
        <v>1.3598121619278671</v>
      </c>
    </row>
    <row r="132" spans="1:3" x14ac:dyDescent="0.35">
      <c r="A132">
        <v>13</v>
      </c>
      <c r="B132">
        <f t="shared" si="4"/>
        <v>0.21816615649929119</v>
      </c>
      <c r="C132">
        <f t="shared" si="5"/>
        <v>1.3707783890401886</v>
      </c>
    </row>
    <row r="133" spans="1:3" x14ac:dyDescent="0.35">
      <c r="A133">
        <v>13.1</v>
      </c>
      <c r="B133">
        <f t="shared" si="4"/>
        <v>0.21991148575128552</v>
      </c>
      <c r="C133">
        <f t="shared" si="5"/>
        <v>1.3817446161525102</v>
      </c>
    </row>
    <row r="134" spans="1:3" x14ac:dyDescent="0.35">
      <c r="A134">
        <v>13.2</v>
      </c>
      <c r="B134">
        <f t="shared" si="4"/>
        <v>0.22165681500327983</v>
      </c>
      <c r="C134">
        <f t="shared" si="5"/>
        <v>1.3927108432648314</v>
      </c>
    </row>
    <row r="135" spans="1:3" x14ac:dyDescent="0.35">
      <c r="A135">
        <v>13.3</v>
      </c>
      <c r="B135">
        <f t="shared" si="4"/>
        <v>0.22340214425527419</v>
      </c>
      <c r="C135">
        <f t="shared" si="5"/>
        <v>1.4036770703771533</v>
      </c>
    </row>
    <row r="136" spans="1:3" x14ac:dyDescent="0.35">
      <c r="A136">
        <v>13.4</v>
      </c>
      <c r="B136">
        <f t="shared" si="4"/>
        <v>0.22514747350726852</v>
      </c>
      <c r="C136">
        <f t="shared" si="5"/>
        <v>1.4146432974894747</v>
      </c>
    </row>
    <row r="137" spans="1:3" x14ac:dyDescent="0.35">
      <c r="A137">
        <v>13.5</v>
      </c>
      <c r="B137">
        <f t="shared" si="4"/>
        <v>0.22689280275926285</v>
      </c>
      <c r="C137">
        <f t="shared" si="5"/>
        <v>1.4256095246017961</v>
      </c>
    </row>
    <row r="138" spans="1:3" x14ac:dyDescent="0.35">
      <c r="A138">
        <v>13.6</v>
      </c>
      <c r="B138">
        <f t="shared" si="4"/>
        <v>0.22863813201125716</v>
      </c>
      <c r="C138">
        <f t="shared" si="5"/>
        <v>1.4365757517141176</v>
      </c>
    </row>
    <row r="139" spans="1:3" x14ac:dyDescent="0.35">
      <c r="A139">
        <v>13.7</v>
      </c>
      <c r="B139">
        <f t="shared" si="4"/>
        <v>0.23038346126325149</v>
      </c>
      <c r="C139">
        <f t="shared" si="5"/>
        <v>1.4475419788264392</v>
      </c>
    </row>
    <row r="140" spans="1:3" x14ac:dyDescent="0.35">
      <c r="A140">
        <v>13.8</v>
      </c>
      <c r="B140">
        <f t="shared" si="4"/>
        <v>0.23212879051524585</v>
      </c>
      <c r="C140">
        <f t="shared" si="5"/>
        <v>1.4585082059387608</v>
      </c>
    </row>
    <row r="141" spans="1:3" x14ac:dyDescent="0.35">
      <c r="A141">
        <v>13.9</v>
      </c>
      <c r="B141">
        <f t="shared" si="4"/>
        <v>0.23387411976724015</v>
      </c>
      <c r="C141">
        <f t="shared" si="5"/>
        <v>1.4694744330510821</v>
      </c>
    </row>
    <row r="142" spans="1:3" x14ac:dyDescent="0.35">
      <c r="A142">
        <v>14</v>
      </c>
      <c r="B142">
        <f t="shared" si="4"/>
        <v>0.23561944901923448</v>
      </c>
      <c r="C142">
        <f t="shared" si="5"/>
        <v>1.4804406601634037</v>
      </c>
    </row>
    <row r="143" spans="1:3" x14ac:dyDescent="0.35">
      <c r="A143">
        <v>14.1</v>
      </c>
      <c r="B143">
        <f t="shared" si="4"/>
        <v>0.23736477827122882</v>
      </c>
      <c r="C143">
        <f t="shared" si="5"/>
        <v>1.4914068872757251</v>
      </c>
    </row>
    <row r="144" spans="1:3" x14ac:dyDescent="0.35">
      <c r="A144">
        <v>14.2</v>
      </c>
      <c r="B144">
        <f t="shared" si="4"/>
        <v>0.23911010752322315</v>
      </c>
      <c r="C144">
        <f t="shared" si="5"/>
        <v>1.5023731143880468</v>
      </c>
    </row>
    <row r="145" spans="1:3" x14ac:dyDescent="0.35">
      <c r="A145">
        <v>14.3</v>
      </c>
      <c r="B145">
        <f t="shared" si="4"/>
        <v>0.24085543677521748</v>
      </c>
      <c r="C145">
        <f t="shared" si="5"/>
        <v>1.5133393415003682</v>
      </c>
    </row>
    <row r="146" spans="1:3" x14ac:dyDescent="0.35">
      <c r="A146">
        <v>14.4</v>
      </c>
      <c r="B146">
        <f t="shared" si="4"/>
        <v>0.24260076602721181</v>
      </c>
      <c r="C146">
        <f t="shared" si="5"/>
        <v>1.5243055686126898</v>
      </c>
    </row>
    <row r="147" spans="1:3" x14ac:dyDescent="0.35">
      <c r="A147">
        <v>14.5</v>
      </c>
      <c r="B147">
        <f t="shared" si="4"/>
        <v>0.24434609527920614</v>
      </c>
      <c r="C147">
        <f t="shared" si="5"/>
        <v>1.5352717957250113</v>
      </c>
    </row>
    <row r="148" spans="1:3" x14ac:dyDescent="0.35">
      <c r="A148">
        <v>14.6</v>
      </c>
      <c r="B148">
        <f t="shared" si="4"/>
        <v>0.24609142453120045</v>
      </c>
      <c r="C148">
        <f t="shared" si="5"/>
        <v>1.5462380228373327</v>
      </c>
    </row>
    <row r="149" spans="1:3" x14ac:dyDescent="0.35">
      <c r="A149">
        <v>14.7</v>
      </c>
      <c r="B149">
        <f t="shared" si="4"/>
        <v>0.24783675378319478</v>
      </c>
      <c r="C149">
        <f t="shared" si="5"/>
        <v>1.5572042499496541</v>
      </c>
    </row>
    <row r="150" spans="1:3" x14ac:dyDescent="0.35">
      <c r="A150">
        <v>14.8</v>
      </c>
      <c r="B150">
        <f t="shared" si="4"/>
        <v>0.24958208303518914</v>
      </c>
      <c r="C150">
        <f t="shared" si="5"/>
        <v>1.5681704770619758</v>
      </c>
    </row>
    <row r="151" spans="1:3" x14ac:dyDescent="0.35">
      <c r="A151">
        <v>14.9</v>
      </c>
      <c r="B151">
        <f t="shared" si="4"/>
        <v>0.25132741228718347</v>
      </c>
      <c r="C151">
        <f t="shared" si="5"/>
        <v>1.5791367041742974</v>
      </c>
    </row>
    <row r="152" spans="1:3" x14ac:dyDescent="0.35">
      <c r="A152">
        <v>15</v>
      </c>
      <c r="B152">
        <f t="shared" si="4"/>
        <v>0.2530727415391778</v>
      </c>
      <c r="C152">
        <f t="shared" si="5"/>
        <v>1.5901029312866188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Sandhitha Patnaik</dc:creator>
  <cp:lastModifiedBy>Rajashree</cp:lastModifiedBy>
  <dcterms:created xsi:type="dcterms:W3CDTF">2015-06-05T18:17:20Z</dcterms:created>
  <dcterms:modified xsi:type="dcterms:W3CDTF">2023-03-12T20:01:54Z</dcterms:modified>
</cp:coreProperties>
</file>