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A95A2DC-AE29-4681-ADA4-F9FFEC48BB1B}" xr6:coauthVersionLast="47" xr6:coauthVersionMax="47" xr10:uidLastSave="{00000000-0000-0000-0000-000000000000}"/>
  <bookViews>
    <workbookView xWindow="-108" yWindow="-108" windowWidth="23256" windowHeight="12576" firstSheet="5" activeTab="6" xr2:uid="{00000000-000D-0000-FFFF-FFFF00000000}"/>
  </bookViews>
  <sheets>
    <sheet name="Profit &amp; Loss" sheetId="1" state="hidden" r:id="rId1"/>
    <sheet name="Quarters" sheetId="3" state="hidden" r:id="rId2"/>
    <sheet name="Balance Sheet" sheetId="2" state="hidden" r:id="rId3"/>
    <sheet name="Cash Flow" sheetId="4" state="hidden" r:id="rId4"/>
    <sheet name="Customization" sheetId="5" state="hidden" r:id="rId5"/>
    <sheet name="Data Sheet" sheetId="6" r:id="rId6"/>
    <sheet name="Sheet1" sheetId="7" r:id="rId7"/>
    <sheet name="Sheet2" sheetId="8" r:id="rId8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8" i="7" l="1"/>
  <c r="L38" i="7"/>
  <c r="K38" i="7"/>
  <c r="J38" i="7"/>
  <c r="I38" i="7"/>
  <c r="H38" i="7"/>
  <c r="G38" i="7"/>
  <c r="F33" i="6"/>
  <c r="L83" i="7"/>
  <c r="K83" i="7"/>
  <c r="J83" i="7"/>
  <c r="I83" i="7"/>
  <c r="H83" i="7"/>
  <c r="G83" i="7"/>
  <c r="F83" i="7"/>
  <c r="E83" i="7"/>
  <c r="D83" i="7"/>
  <c r="C83" i="7"/>
  <c r="L110" i="7" l="1"/>
  <c r="K110" i="7"/>
  <c r="J110" i="7"/>
  <c r="I110" i="7"/>
  <c r="H110" i="7"/>
  <c r="G110" i="7"/>
  <c r="F110" i="7"/>
  <c r="E110" i="7"/>
  <c r="D110" i="7"/>
  <c r="C110" i="7"/>
  <c r="L109" i="7"/>
  <c r="K109" i="7"/>
  <c r="J109" i="7"/>
  <c r="I109" i="7"/>
  <c r="H109" i="7"/>
  <c r="G109" i="7"/>
  <c r="F109" i="7"/>
  <c r="E109" i="7"/>
  <c r="D109" i="7"/>
  <c r="L108" i="7"/>
  <c r="K108" i="7"/>
  <c r="J108" i="7"/>
  <c r="I108" i="7"/>
  <c r="H108" i="7"/>
  <c r="G108" i="7"/>
  <c r="F108" i="7"/>
  <c r="E108" i="7"/>
  <c r="D108" i="7"/>
  <c r="L107" i="7"/>
  <c r="K107" i="7"/>
  <c r="J107" i="7"/>
  <c r="I107" i="7"/>
  <c r="H107" i="7"/>
  <c r="G107" i="7"/>
  <c r="F107" i="7"/>
  <c r="E107" i="7"/>
  <c r="D107" i="7"/>
  <c r="L106" i="7"/>
  <c r="K106" i="7"/>
  <c r="J106" i="7"/>
  <c r="I106" i="7"/>
  <c r="H106" i="7"/>
  <c r="G106" i="7"/>
  <c r="F106" i="7"/>
  <c r="E106" i="7"/>
  <c r="D106" i="7"/>
  <c r="L105" i="7"/>
  <c r="K105" i="7"/>
  <c r="J105" i="7"/>
  <c r="I105" i="7"/>
  <c r="H105" i="7"/>
  <c r="G105" i="7"/>
  <c r="F105" i="7"/>
  <c r="E105" i="7"/>
  <c r="D105" i="7"/>
  <c r="L104" i="7"/>
  <c r="K104" i="7"/>
  <c r="J104" i="7"/>
  <c r="I104" i="7"/>
  <c r="H104" i="7"/>
  <c r="G104" i="7"/>
  <c r="F104" i="7"/>
  <c r="E104" i="7"/>
  <c r="D104" i="7"/>
  <c r="L103" i="7"/>
  <c r="K103" i="7"/>
  <c r="J103" i="7"/>
  <c r="I103" i="7"/>
  <c r="H103" i="7"/>
  <c r="G103" i="7"/>
  <c r="F103" i="7"/>
  <c r="E103" i="7"/>
  <c r="D103" i="7"/>
  <c r="L102" i="7"/>
  <c r="K102" i="7"/>
  <c r="J102" i="7"/>
  <c r="I102" i="7"/>
  <c r="H102" i="7"/>
  <c r="G102" i="7"/>
  <c r="F102" i="7"/>
  <c r="E102" i="7"/>
  <c r="D102" i="7"/>
  <c r="L101" i="7"/>
  <c r="K101" i="7"/>
  <c r="J101" i="7"/>
  <c r="I101" i="7"/>
  <c r="H101" i="7"/>
  <c r="G101" i="7"/>
  <c r="F101" i="7"/>
  <c r="E101" i="7"/>
  <c r="D101" i="7"/>
  <c r="L100" i="7"/>
  <c r="K100" i="7"/>
  <c r="J100" i="7"/>
  <c r="I100" i="7"/>
  <c r="H100" i="7"/>
  <c r="G100" i="7"/>
  <c r="F100" i="7"/>
  <c r="E100" i="7"/>
  <c r="D100" i="7"/>
  <c r="L99" i="7"/>
  <c r="K99" i="7"/>
  <c r="J99" i="7"/>
  <c r="I99" i="7"/>
  <c r="H99" i="7"/>
  <c r="G99" i="7"/>
  <c r="F99" i="7"/>
  <c r="E99" i="7"/>
  <c r="D99" i="7"/>
  <c r="C109" i="7"/>
  <c r="C108" i="7"/>
  <c r="C107" i="7"/>
  <c r="C106" i="7"/>
  <c r="C105" i="7"/>
  <c r="C104" i="7"/>
  <c r="C103" i="7"/>
  <c r="C102" i="7"/>
  <c r="C101" i="7"/>
  <c r="C100" i="7"/>
  <c r="C99" i="7"/>
  <c r="L96" i="7"/>
  <c r="K96" i="7"/>
  <c r="J96" i="7"/>
  <c r="I96" i="7"/>
  <c r="H96" i="7"/>
  <c r="G96" i="7"/>
  <c r="F96" i="7"/>
  <c r="E96" i="7"/>
  <c r="D96" i="7"/>
  <c r="C96" i="7"/>
  <c r="L95" i="7"/>
  <c r="K95" i="7"/>
  <c r="J95" i="7"/>
  <c r="I95" i="7"/>
  <c r="H95" i="7"/>
  <c r="G95" i="7"/>
  <c r="F95" i="7"/>
  <c r="E95" i="7"/>
  <c r="D95" i="7"/>
  <c r="L94" i="7"/>
  <c r="K94" i="7"/>
  <c r="J94" i="7"/>
  <c r="I94" i="7"/>
  <c r="H94" i="7"/>
  <c r="G94" i="7"/>
  <c r="F94" i="7"/>
  <c r="E94" i="7"/>
  <c r="D94" i="7"/>
  <c r="L93" i="7"/>
  <c r="K93" i="7"/>
  <c r="J93" i="7"/>
  <c r="I93" i="7"/>
  <c r="H93" i="7"/>
  <c r="G93" i="7"/>
  <c r="F93" i="7"/>
  <c r="E93" i="7"/>
  <c r="D93" i="7"/>
  <c r="L92" i="7"/>
  <c r="K92" i="7"/>
  <c r="J92" i="7"/>
  <c r="I92" i="7"/>
  <c r="H92" i="7"/>
  <c r="G92" i="7"/>
  <c r="F92" i="7"/>
  <c r="E92" i="7"/>
  <c r="D92" i="7"/>
  <c r="L91" i="7"/>
  <c r="K91" i="7"/>
  <c r="J91" i="7"/>
  <c r="I91" i="7"/>
  <c r="H91" i="7"/>
  <c r="G91" i="7"/>
  <c r="F91" i="7"/>
  <c r="E91" i="7"/>
  <c r="D91" i="7"/>
  <c r="L90" i="7"/>
  <c r="K90" i="7"/>
  <c r="J90" i="7"/>
  <c r="I90" i="7"/>
  <c r="H90" i="7"/>
  <c r="G90" i="7"/>
  <c r="F90" i="7"/>
  <c r="E90" i="7"/>
  <c r="D90" i="7"/>
  <c r="L89" i="7"/>
  <c r="K89" i="7"/>
  <c r="J89" i="7"/>
  <c r="I89" i="7"/>
  <c r="H89" i="7"/>
  <c r="G89" i="7"/>
  <c r="F89" i="7"/>
  <c r="E89" i="7"/>
  <c r="D89" i="7"/>
  <c r="L88" i="7"/>
  <c r="K88" i="7"/>
  <c r="J88" i="7"/>
  <c r="I88" i="7"/>
  <c r="H88" i="7"/>
  <c r="G88" i="7"/>
  <c r="F88" i="7"/>
  <c r="E88" i="7"/>
  <c r="D88" i="7"/>
  <c r="L87" i="7"/>
  <c r="K87" i="7"/>
  <c r="J87" i="7"/>
  <c r="I87" i="7"/>
  <c r="H87" i="7"/>
  <c r="G87" i="7"/>
  <c r="F87" i="7"/>
  <c r="E87" i="7"/>
  <c r="D87" i="7"/>
  <c r="L86" i="7"/>
  <c r="K86" i="7"/>
  <c r="J86" i="7"/>
  <c r="I86" i="7"/>
  <c r="H86" i="7"/>
  <c r="G86" i="7"/>
  <c r="F86" i="7"/>
  <c r="E86" i="7"/>
  <c r="D86" i="7"/>
  <c r="C95" i="7"/>
  <c r="C94" i="7"/>
  <c r="C93" i="7"/>
  <c r="C92" i="7"/>
  <c r="C91" i="7"/>
  <c r="C90" i="7"/>
  <c r="C89" i="7"/>
  <c r="C88" i="7"/>
  <c r="C87" i="7"/>
  <c r="C86" i="7"/>
  <c r="L82" i="7"/>
  <c r="K82" i="7"/>
  <c r="J82" i="7"/>
  <c r="I82" i="7"/>
  <c r="H82" i="7"/>
  <c r="G82" i="7"/>
  <c r="F82" i="7"/>
  <c r="E82" i="7"/>
  <c r="D82" i="7"/>
  <c r="L81" i="7"/>
  <c r="K81" i="7"/>
  <c r="J81" i="7"/>
  <c r="I81" i="7"/>
  <c r="H81" i="7"/>
  <c r="G81" i="7"/>
  <c r="F81" i="7"/>
  <c r="E81" i="7"/>
  <c r="D81" i="7"/>
  <c r="L80" i="7"/>
  <c r="K80" i="7"/>
  <c r="J80" i="7"/>
  <c r="I80" i="7"/>
  <c r="H80" i="7"/>
  <c r="G80" i="7"/>
  <c r="F80" i="7"/>
  <c r="E80" i="7"/>
  <c r="D80" i="7"/>
  <c r="L79" i="7"/>
  <c r="K79" i="7"/>
  <c r="J79" i="7"/>
  <c r="I79" i="7"/>
  <c r="H79" i="7"/>
  <c r="G79" i="7"/>
  <c r="F79" i="7"/>
  <c r="E79" i="7"/>
  <c r="D79" i="7"/>
  <c r="L78" i="7"/>
  <c r="K78" i="7"/>
  <c r="J78" i="7"/>
  <c r="I78" i="7"/>
  <c r="H78" i="7"/>
  <c r="G78" i="7"/>
  <c r="F78" i="7"/>
  <c r="E78" i="7"/>
  <c r="D78" i="7"/>
  <c r="L77" i="7"/>
  <c r="K77" i="7"/>
  <c r="J77" i="7"/>
  <c r="I77" i="7"/>
  <c r="H77" i="7"/>
  <c r="G77" i="7"/>
  <c r="F77" i="7"/>
  <c r="E77" i="7"/>
  <c r="D77" i="7"/>
  <c r="L76" i="7"/>
  <c r="K76" i="7"/>
  <c r="J76" i="7"/>
  <c r="I76" i="7"/>
  <c r="H76" i="7"/>
  <c r="G76" i="7"/>
  <c r="F76" i="7"/>
  <c r="E76" i="7"/>
  <c r="D76" i="7"/>
  <c r="L75" i="7"/>
  <c r="K75" i="7"/>
  <c r="J75" i="7"/>
  <c r="I75" i="7"/>
  <c r="H75" i="7"/>
  <c r="G75" i="7"/>
  <c r="F75" i="7"/>
  <c r="E75" i="7"/>
  <c r="D75" i="7"/>
  <c r="C82" i="7"/>
  <c r="C81" i="7"/>
  <c r="C80" i="7"/>
  <c r="C79" i="7"/>
  <c r="C78" i="7"/>
  <c r="C77" i="7"/>
  <c r="C76" i="7"/>
  <c r="C75" i="7"/>
  <c r="L61" i="7"/>
  <c r="K61" i="7"/>
  <c r="J61" i="7"/>
  <c r="I61" i="7"/>
  <c r="H61" i="7"/>
  <c r="G61" i="7"/>
  <c r="F61" i="7"/>
  <c r="E61" i="7"/>
  <c r="D61" i="7"/>
  <c r="C61" i="7"/>
  <c r="L66" i="7"/>
  <c r="K66" i="7"/>
  <c r="J66" i="7"/>
  <c r="I66" i="7"/>
  <c r="H66" i="7"/>
  <c r="G66" i="7"/>
  <c r="F66" i="7"/>
  <c r="E66" i="7"/>
  <c r="D66" i="7"/>
  <c r="L65" i="7"/>
  <c r="K65" i="7"/>
  <c r="J65" i="7"/>
  <c r="I65" i="7"/>
  <c r="H65" i="7"/>
  <c r="H67" i="7" s="1"/>
  <c r="G65" i="7"/>
  <c r="F65" i="7"/>
  <c r="E65" i="7"/>
  <c r="D65" i="7"/>
  <c r="L64" i="7"/>
  <c r="K64" i="7"/>
  <c r="J64" i="7"/>
  <c r="I64" i="7"/>
  <c r="H64" i="7"/>
  <c r="G64" i="7"/>
  <c r="F64" i="7"/>
  <c r="E64" i="7"/>
  <c r="D64" i="7"/>
  <c r="C66" i="7"/>
  <c r="C65" i="7"/>
  <c r="C64" i="7"/>
  <c r="C67" i="7" s="1"/>
  <c r="L60" i="7"/>
  <c r="K60" i="7"/>
  <c r="J60" i="7"/>
  <c r="I60" i="7"/>
  <c r="H60" i="7"/>
  <c r="G60" i="7"/>
  <c r="F60" i="7"/>
  <c r="E60" i="7"/>
  <c r="D60" i="7"/>
  <c r="L59" i="7"/>
  <c r="K59" i="7"/>
  <c r="J59" i="7"/>
  <c r="I59" i="7"/>
  <c r="H59" i="7"/>
  <c r="G59" i="7"/>
  <c r="F59" i="7"/>
  <c r="E59" i="7"/>
  <c r="D59" i="7"/>
  <c r="L58" i="7"/>
  <c r="K58" i="7"/>
  <c r="J58" i="7"/>
  <c r="I58" i="7"/>
  <c r="H58" i="7"/>
  <c r="G58" i="7"/>
  <c r="F58" i="7"/>
  <c r="E58" i="7"/>
  <c r="D58" i="7"/>
  <c r="C60" i="7"/>
  <c r="C59" i="7"/>
  <c r="C58" i="7"/>
  <c r="C62" i="7" s="1"/>
  <c r="L55" i="7"/>
  <c r="K55" i="7"/>
  <c r="J55" i="7"/>
  <c r="I55" i="7"/>
  <c r="H55" i="7"/>
  <c r="G55" i="7"/>
  <c r="F55" i="7"/>
  <c r="E55" i="7"/>
  <c r="D55" i="7"/>
  <c r="C55" i="7"/>
  <c r="L54" i="7"/>
  <c r="K54" i="7"/>
  <c r="J54" i="7"/>
  <c r="I54" i="7"/>
  <c r="H54" i="7"/>
  <c r="G54" i="7"/>
  <c r="F54" i="7"/>
  <c r="E54" i="7"/>
  <c r="D54" i="7"/>
  <c r="C54" i="7"/>
  <c r="L53" i="7"/>
  <c r="K53" i="7"/>
  <c r="J53" i="7"/>
  <c r="I53" i="7"/>
  <c r="H53" i="7"/>
  <c r="G53" i="7"/>
  <c r="F53" i="7"/>
  <c r="E53" i="7"/>
  <c r="D53" i="7"/>
  <c r="C53" i="7"/>
  <c r="L52" i="7"/>
  <c r="K52" i="7"/>
  <c r="J52" i="7"/>
  <c r="I52" i="7"/>
  <c r="H52" i="7"/>
  <c r="G52" i="7"/>
  <c r="F52" i="7"/>
  <c r="E52" i="7"/>
  <c r="D52" i="7"/>
  <c r="C52" i="7"/>
  <c r="M35" i="7"/>
  <c r="M29" i="7"/>
  <c r="M26" i="7"/>
  <c r="M9" i="7"/>
  <c r="M10" i="7" s="1"/>
  <c r="M14" i="7"/>
  <c r="J46" i="7"/>
  <c r="I46" i="7"/>
  <c r="H46" i="7"/>
  <c r="L41" i="7"/>
  <c r="M41" i="7" s="1"/>
  <c r="M46" i="7" s="1"/>
  <c r="K41" i="7"/>
  <c r="K46" i="7" s="1"/>
  <c r="J41" i="7"/>
  <c r="I41" i="7"/>
  <c r="H41" i="7"/>
  <c r="G41" i="7"/>
  <c r="G46" i="7" s="1"/>
  <c r="F41" i="7"/>
  <c r="F46" i="7" s="1"/>
  <c r="E41" i="7"/>
  <c r="E46" i="7" s="1"/>
  <c r="D41" i="7"/>
  <c r="D46" i="7" s="1"/>
  <c r="C41" i="7"/>
  <c r="C46" i="7" s="1"/>
  <c r="L35" i="7"/>
  <c r="K35" i="7"/>
  <c r="J35" i="7"/>
  <c r="I35" i="7"/>
  <c r="H35" i="7"/>
  <c r="G35" i="7"/>
  <c r="F35" i="7"/>
  <c r="E35" i="7"/>
  <c r="D35" i="7"/>
  <c r="C35" i="7"/>
  <c r="L29" i="7"/>
  <c r="L30" i="7" s="1"/>
  <c r="K29" i="7"/>
  <c r="J29" i="7"/>
  <c r="I29" i="7"/>
  <c r="I30" i="7" s="1"/>
  <c r="H29" i="7"/>
  <c r="G29" i="7"/>
  <c r="F29" i="7"/>
  <c r="E29" i="7"/>
  <c r="D29" i="7"/>
  <c r="C29" i="7"/>
  <c r="L26" i="7"/>
  <c r="K26" i="7"/>
  <c r="J26" i="7"/>
  <c r="J27" i="7" s="1"/>
  <c r="I26" i="7"/>
  <c r="H26" i="7"/>
  <c r="G26" i="7"/>
  <c r="F26" i="7"/>
  <c r="F27" i="7" s="1"/>
  <c r="E26" i="7"/>
  <c r="D26" i="7"/>
  <c r="C26" i="7"/>
  <c r="M20" i="7"/>
  <c r="L20" i="7"/>
  <c r="L21" i="7" s="1"/>
  <c r="K20" i="7"/>
  <c r="J20" i="7"/>
  <c r="I20" i="7"/>
  <c r="H20" i="7"/>
  <c r="G20" i="7"/>
  <c r="F20" i="7"/>
  <c r="F21" i="7" s="1"/>
  <c r="E20" i="7"/>
  <c r="D20" i="7"/>
  <c r="C20" i="7"/>
  <c r="L14" i="7"/>
  <c r="K14" i="7"/>
  <c r="K15" i="7" s="1"/>
  <c r="J14" i="7"/>
  <c r="J15" i="7" s="1"/>
  <c r="I14" i="7"/>
  <c r="H14" i="7"/>
  <c r="G14" i="7"/>
  <c r="F14" i="7"/>
  <c r="E14" i="7"/>
  <c r="D14" i="7"/>
  <c r="C14" i="7"/>
  <c r="K12" i="7"/>
  <c r="L9" i="7"/>
  <c r="K9" i="7"/>
  <c r="J9" i="7"/>
  <c r="J10" i="7" s="1"/>
  <c r="I9" i="7"/>
  <c r="H9" i="7"/>
  <c r="G9" i="7"/>
  <c r="F9" i="7"/>
  <c r="E9" i="7"/>
  <c r="D9" i="7"/>
  <c r="C9" i="7"/>
  <c r="M6" i="7"/>
  <c r="M7" i="7" s="1"/>
  <c r="L6" i="7"/>
  <c r="K6" i="7"/>
  <c r="J6" i="7"/>
  <c r="I6" i="7"/>
  <c r="H6" i="7"/>
  <c r="G6" i="7"/>
  <c r="H7" i="7" s="1"/>
  <c r="F6" i="7"/>
  <c r="E6" i="7"/>
  <c r="D6" i="7"/>
  <c r="C6" i="7"/>
  <c r="L3" i="7"/>
  <c r="K3" i="7"/>
  <c r="J3" i="7"/>
  <c r="I3" i="7"/>
  <c r="H3" i="7"/>
  <c r="G3" i="7"/>
  <c r="F3" i="7"/>
  <c r="E3" i="7"/>
  <c r="D3" i="7"/>
  <c r="C3" i="7"/>
  <c r="B2" i="7"/>
  <c r="J12" i="7" l="1"/>
  <c r="M21" i="7"/>
  <c r="J7" i="7"/>
  <c r="C21" i="7"/>
  <c r="F30" i="7"/>
  <c r="G56" i="7"/>
  <c r="G67" i="7"/>
  <c r="D10" i="7"/>
  <c r="D15" i="7"/>
  <c r="E21" i="7"/>
  <c r="E15" i="7"/>
  <c r="J30" i="7"/>
  <c r="F10" i="7"/>
  <c r="F15" i="7"/>
  <c r="I27" i="7"/>
  <c r="K30" i="7"/>
  <c r="E62" i="7"/>
  <c r="J56" i="7"/>
  <c r="H30" i="7"/>
  <c r="J21" i="7"/>
  <c r="K21" i="7"/>
  <c r="L56" i="7"/>
  <c r="F62" i="7"/>
  <c r="F69" i="7" s="1"/>
  <c r="F71" i="7" s="1"/>
  <c r="D56" i="7"/>
  <c r="L10" i="7"/>
  <c r="L15" i="7"/>
  <c r="C27" i="7"/>
  <c r="J62" i="7"/>
  <c r="F12" i="7"/>
  <c r="F17" i="7" s="1"/>
  <c r="F18" i="7" s="1"/>
  <c r="E10" i="7"/>
  <c r="M15" i="7"/>
  <c r="D62" i="7"/>
  <c r="I67" i="7"/>
  <c r="I21" i="7"/>
  <c r="I10" i="7"/>
  <c r="E27" i="7"/>
  <c r="E30" i="7"/>
  <c r="G62" i="7"/>
  <c r="G69" i="7" s="1"/>
  <c r="G71" i="7" s="1"/>
  <c r="J17" i="7"/>
  <c r="J18" i="7" s="1"/>
  <c r="G15" i="7"/>
  <c r="J67" i="7"/>
  <c r="G10" i="7"/>
  <c r="K27" i="7"/>
  <c r="K10" i="7"/>
  <c r="H15" i="7"/>
  <c r="G30" i="7"/>
  <c r="C56" i="7"/>
  <c r="K67" i="7"/>
  <c r="L27" i="7"/>
  <c r="I15" i="7"/>
  <c r="H21" i="7"/>
  <c r="H27" i="7"/>
  <c r="F56" i="7"/>
  <c r="L67" i="7"/>
  <c r="F67" i="7"/>
  <c r="G7" i="7"/>
  <c r="E56" i="7"/>
  <c r="H62" i="7"/>
  <c r="H69" i="7" s="1"/>
  <c r="H71" i="7" s="1"/>
  <c r="C30" i="7"/>
  <c r="D30" i="7"/>
  <c r="K17" i="7"/>
  <c r="K18" i="7" s="1"/>
  <c r="C15" i="7"/>
  <c r="H56" i="7"/>
  <c r="D67" i="7"/>
  <c r="L12" i="7"/>
  <c r="L17" i="7" s="1"/>
  <c r="G27" i="7"/>
  <c r="I56" i="7"/>
  <c r="K56" i="7"/>
  <c r="E67" i="7"/>
  <c r="E12" i="7"/>
  <c r="E17" i="7" s="1"/>
  <c r="E23" i="7" s="1"/>
  <c r="L46" i="7"/>
  <c r="G12" i="7"/>
  <c r="G17" i="7" s="1"/>
  <c r="G18" i="7" s="1"/>
  <c r="G21" i="7"/>
  <c r="D7" i="7"/>
  <c r="H12" i="7"/>
  <c r="H17" i="7" s="1"/>
  <c r="H18" i="7" s="1"/>
  <c r="D27" i="7"/>
  <c r="E7" i="7"/>
  <c r="H10" i="7"/>
  <c r="I12" i="7"/>
  <c r="I17" i="7" s="1"/>
  <c r="M12" i="7"/>
  <c r="M17" i="7" s="1"/>
  <c r="F7" i="7"/>
  <c r="M27" i="7"/>
  <c r="M30" i="7"/>
  <c r="D21" i="7"/>
  <c r="C69" i="7"/>
  <c r="C71" i="7" s="1"/>
  <c r="I7" i="7"/>
  <c r="I62" i="7"/>
  <c r="K7" i="7"/>
  <c r="C12" i="7"/>
  <c r="C17" i="7" s="1"/>
  <c r="C18" i="7" s="1"/>
  <c r="K62" i="7"/>
  <c r="L7" i="7"/>
  <c r="D12" i="7"/>
  <c r="D17" i="7" s="1"/>
  <c r="D18" i="7" s="1"/>
  <c r="L62" i="7"/>
  <c r="L69" i="7" s="1"/>
  <c r="L71" i="7" s="1"/>
  <c r="G23" i="7"/>
  <c r="I18" i="7"/>
  <c r="I23" i="7"/>
  <c r="L18" i="7"/>
  <c r="L23" i="7"/>
  <c r="C23" i="7"/>
  <c r="E69" i="7" l="1"/>
  <c r="E71" i="7" s="1"/>
  <c r="J69" i="7"/>
  <c r="J71" i="7" s="1"/>
  <c r="J23" i="7"/>
  <c r="J24" i="7" s="1"/>
  <c r="K23" i="7"/>
  <c r="K24" i="7" s="1"/>
  <c r="F23" i="7"/>
  <c r="K69" i="7"/>
  <c r="K71" i="7" s="1"/>
  <c r="D69" i="7"/>
  <c r="D71" i="7" s="1"/>
  <c r="H23" i="7"/>
  <c r="H32" i="7" s="1"/>
  <c r="I69" i="7"/>
  <c r="I71" i="7" s="1"/>
  <c r="M18" i="7"/>
  <c r="M23" i="7"/>
  <c r="M32" i="7" s="1"/>
  <c r="E18" i="7"/>
  <c r="D23" i="7"/>
  <c r="D24" i="7" s="1"/>
  <c r="H24" i="7"/>
  <c r="I24" i="7"/>
  <c r="I32" i="7"/>
  <c r="E32" i="7"/>
  <c r="E24" i="7"/>
  <c r="C32" i="7"/>
  <c r="C24" i="7"/>
  <c r="G32" i="7"/>
  <c r="G24" i="7"/>
  <c r="L24" i="7"/>
  <c r="L32" i="7"/>
  <c r="F32" i="7"/>
  <c r="F24" i="7"/>
  <c r="K32" i="7" l="1"/>
  <c r="D32" i="7"/>
  <c r="J32" i="7"/>
  <c r="J33" i="7" s="1"/>
  <c r="M24" i="7"/>
  <c r="J39" i="7"/>
  <c r="J36" i="7"/>
  <c r="F33" i="7"/>
  <c r="F38" i="7"/>
  <c r="F36" i="7"/>
  <c r="D38" i="7"/>
  <c r="D36" i="7"/>
  <c r="D33" i="7"/>
  <c r="L33" i="7"/>
  <c r="L36" i="7"/>
  <c r="E33" i="7"/>
  <c r="E36" i="7"/>
  <c r="E38" i="7"/>
  <c r="I33" i="7"/>
  <c r="I36" i="7"/>
  <c r="G33" i="7"/>
  <c r="G36" i="7"/>
  <c r="K36" i="7"/>
  <c r="K33" i="7"/>
  <c r="H33" i="7"/>
  <c r="H36" i="7"/>
  <c r="C38" i="7"/>
  <c r="C33" i="7"/>
  <c r="C36" i="7"/>
  <c r="M33" i="7"/>
  <c r="M36" i="7"/>
  <c r="J43" i="7" l="1"/>
  <c r="E39" i="7"/>
  <c r="E43" i="7"/>
  <c r="F39" i="7"/>
  <c r="F43" i="7"/>
  <c r="C39" i="7"/>
  <c r="C43" i="7"/>
  <c r="H43" i="7"/>
  <c r="H39" i="7"/>
  <c r="K39" i="7"/>
  <c r="K43" i="7"/>
  <c r="I43" i="7"/>
  <c r="I39" i="7"/>
  <c r="L39" i="7"/>
  <c r="L43" i="7"/>
  <c r="G43" i="7"/>
  <c r="G39" i="7"/>
  <c r="D39" i="7"/>
  <c r="D43" i="7"/>
  <c r="M39" i="7"/>
  <c r="M43" i="7"/>
  <c r="J47" i="7" l="1"/>
  <c r="J49" i="7" s="1"/>
  <c r="I44" i="7"/>
  <c r="I47" i="7"/>
  <c r="I49" i="7"/>
  <c r="E44" i="7"/>
  <c r="E47" i="7"/>
  <c r="E49" i="7" s="1"/>
  <c r="K44" i="7"/>
  <c r="K47" i="7"/>
  <c r="K49" i="7" s="1"/>
  <c r="F44" i="7"/>
  <c r="F47" i="7"/>
  <c r="F49" i="7" s="1"/>
  <c r="L44" i="7"/>
  <c r="L47" i="7"/>
  <c r="L49" i="7" s="1"/>
  <c r="J44" i="7"/>
  <c r="H44" i="7"/>
  <c r="H47" i="7"/>
  <c r="H49" i="7" s="1"/>
  <c r="D47" i="7"/>
  <c r="D49" i="7" s="1"/>
  <c r="D44" i="7"/>
  <c r="C47" i="7"/>
  <c r="C49" i="7"/>
  <c r="G44" i="7"/>
  <c r="G47" i="7"/>
  <c r="G49" i="7" s="1"/>
  <c r="M47" i="7"/>
  <c r="M49" i="7" s="1"/>
  <c r="M44" i="7"/>
  <c r="C6" i="3" l="1"/>
  <c r="D6" i="3"/>
  <c r="E6" i="3"/>
  <c r="F6" i="3"/>
  <c r="F14" i="3" s="1"/>
  <c r="G6" i="3"/>
  <c r="H6" i="3"/>
  <c r="I6" i="3"/>
  <c r="L6" i="1" s="1"/>
  <c r="J6" i="3"/>
  <c r="K6" i="3"/>
  <c r="B6" i="3"/>
  <c r="C5" i="1"/>
  <c r="D5" i="1"/>
  <c r="E5" i="1"/>
  <c r="F5" i="1"/>
  <c r="G5" i="1"/>
  <c r="G6" i="1" s="1"/>
  <c r="G19" i="1" s="1"/>
  <c r="H5" i="1"/>
  <c r="I5" i="1"/>
  <c r="J5" i="1"/>
  <c r="K5" i="1"/>
  <c r="B5" i="1"/>
  <c r="K13" i="1"/>
  <c r="B6" i="6"/>
  <c r="L13" i="1" s="1"/>
  <c r="L14" i="1" s="1"/>
  <c r="L25" i="1" s="1"/>
  <c r="C17" i="2"/>
  <c r="D17" i="2"/>
  <c r="E17" i="2"/>
  <c r="F17" i="2"/>
  <c r="G17" i="2"/>
  <c r="H17" i="2"/>
  <c r="I17" i="2"/>
  <c r="J17" i="2"/>
  <c r="K17" i="2"/>
  <c r="C18" i="2"/>
  <c r="D18" i="2"/>
  <c r="D21" i="2" s="1"/>
  <c r="E18" i="2"/>
  <c r="E21" i="2" s="1"/>
  <c r="F18" i="2"/>
  <c r="G18" i="2"/>
  <c r="H18" i="2"/>
  <c r="I18" i="2"/>
  <c r="J18" i="2"/>
  <c r="K18" i="2"/>
  <c r="K21" i="2" s="1"/>
  <c r="B17" i="2"/>
  <c r="C4" i="2"/>
  <c r="D4" i="2"/>
  <c r="E4" i="2"/>
  <c r="E5" i="2"/>
  <c r="E23" i="2"/>
  <c r="F4" i="2"/>
  <c r="F23" i="2" s="1"/>
  <c r="G4" i="2"/>
  <c r="H4" i="2"/>
  <c r="I4" i="2"/>
  <c r="I23" i="2" s="1"/>
  <c r="I5" i="2"/>
  <c r="J4" i="2"/>
  <c r="J5" i="2"/>
  <c r="K4" i="2"/>
  <c r="C5" i="2"/>
  <c r="D5" i="2"/>
  <c r="D23" i="2" s="1"/>
  <c r="F5" i="2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C16" i="2" s="1"/>
  <c r="D7" i="2"/>
  <c r="E7" i="2"/>
  <c r="F7" i="2"/>
  <c r="G7" i="2"/>
  <c r="G16" i="2" s="1"/>
  <c r="H7" i="2"/>
  <c r="H16" i="2" s="1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D16" i="2" s="1"/>
  <c r="E13" i="2"/>
  <c r="E16" i="2" s="1"/>
  <c r="F13" i="2"/>
  <c r="F16" i="2" s="1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E4" i="3"/>
  <c r="F4" i="3"/>
  <c r="G4" i="3"/>
  <c r="G14" i="3" s="1"/>
  <c r="H4" i="3"/>
  <c r="H14" i="3" s="1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L10" i="1" s="1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C21" i="2" s="1"/>
  <c r="D4" i="1"/>
  <c r="D6" i="1" s="1"/>
  <c r="D19" i="1" s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F12" i="1"/>
  <c r="F13" i="1" s="1"/>
  <c r="G12" i="1"/>
  <c r="G13" i="1" s="1"/>
  <c r="G14" i="1" s="1"/>
  <c r="H12" i="1"/>
  <c r="H23" i="2" s="1"/>
  <c r="I12" i="1"/>
  <c r="J12" i="1"/>
  <c r="J13" i="1" s="1"/>
  <c r="K12" i="1"/>
  <c r="K23" i="2" s="1"/>
  <c r="C15" i="1"/>
  <c r="D15" i="1"/>
  <c r="E15" i="1"/>
  <c r="F15" i="1"/>
  <c r="F14" i="1" s="1"/>
  <c r="G15" i="1"/>
  <c r="H15" i="1"/>
  <c r="I15" i="1"/>
  <c r="J15" i="1"/>
  <c r="K15" i="1"/>
  <c r="K14" i="1" s="1"/>
  <c r="B15" i="1"/>
  <c r="H13" i="1"/>
  <c r="I13" i="1"/>
  <c r="B7" i="1"/>
  <c r="B4" i="1"/>
  <c r="B6" i="1" s="1"/>
  <c r="B19" i="1" s="1"/>
  <c r="A1" i="1"/>
  <c r="A1" i="3" s="1"/>
  <c r="H1" i="1"/>
  <c r="E1" i="2"/>
  <c r="E1" i="3"/>
  <c r="C23" i="2"/>
  <c r="K16" i="2"/>
  <c r="E6" i="1"/>
  <c r="E19" i="1"/>
  <c r="K6" i="1"/>
  <c r="K19" i="1" s="1"/>
  <c r="C6" i="1"/>
  <c r="C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H21" i="2"/>
  <c r="G21" i="2"/>
  <c r="F21" i="2"/>
  <c r="B18" i="2"/>
  <c r="B21" i="2"/>
  <c r="B13" i="2"/>
  <c r="B16" i="2" s="1"/>
  <c r="B12" i="2"/>
  <c r="B11" i="2"/>
  <c r="B10" i="2"/>
  <c r="B8" i="2"/>
  <c r="B7" i="2"/>
  <c r="B6" i="2"/>
  <c r="B3" i="2"/>
  <c r="J14" i="3"/>
  <c r="B12" i="3"/>
  <c r="B11" i="3"/>
  <c r="B10" i="3"/>
  <c r="B9" i="3"/>
  <c r="B8" i="3"/>
  <c r="B7" i="3"/>
  <c r="B4" i="3"/>
  <c r="B14" i="3" s="1"/>
  <c r="B3" i="3"/>
  <c r="L15" i="1"/>
  <c r="B12" i="1"/>
  <c r="B23" i="2" s="1"/>
  <c r="B11" i="1"/>
  <c r="B10" i="1"/>
  <c r="B9" i="1"/>
  <c r="B8" i="1"/>
  <c r="B3" i="1"/>
  <c r="E14" i="3"/>
  <c r="I14" i="3"/>
  <c r="G20" i="2"/>
  <c r="K20" i="2"/>
  <c r="C20" i="2"/>
  <c r="E20" i="2"/>
  <c r="L12" i="1"/>
  <c r="L11" i="1"/>
  <c r="A1" i="2"/>
  <c r="A1" i="4"/>
  <c r="H23" i="1"/>
  <c r="I23" i="1"/>
  <c r="J23" i="1"/>
  <c r="L5" i="1"/>
  <c r="J14" i="1" l="1"/>
  <c r="N11" i="1"/>
  <c r="M11" i="1"/>
  <c r="C14" i="1"/>
  <c r="J6" i="1"/>
  <c r="J19" i="1" s="1"/>
  <c r="B13" i="1"/>
  <c r="F20" i="2"/>
  <c r="E24" i="2"/>
  <c r="L9" i="1"/>
  <c r="M9" i="1" s="1"/>
  <c r="D20" i="2"/>
  <c r="B14" i="1"/>
  <c r="L7" i="1"/>
  <c r="D14" i="3"/>
  <c r="J23" i="2"/>
  <c r="D24" i="2"/>
  <c r="I16" i="2"/>
  <c r="K24" i="2"/>
  <c r="I14" i="1"/>
  <c r="K25" i="1" s="1"/>
  <c r="M25" i="1" s="1"/>
  <c r="M14" i="1" s="1"/>
  <c r="C24" i="2"/>
  <c r="H14" i="1"/>
  <c r="D13" i="1"/>
  <c r="E13" i="1" s="1"/>
  <c r="E14" i="1" s="1"/>
  <c r="I25" i="1" s="1"/>
  <c r="I21" i="2"/>
  <c r="J24" i="2"/>
  <c r="K14" i="3"/>
  <c r="I24" i="2"/>
  <c r="J20" i="2"/>
  <c r="J21" i="2"/>
  <c r="B20" i="2"/>
  <c r="H24" i="2"/>
  <c r="G24" i="2"/>
  <c r="L4" i="1"/>
  <c r="L19" i="1" s="1"/>
  <c r="L24" i="1" s="1"/>
  <c r="I6" i="1"/>
  <c r="I19" i="1" s="1"/>
  <c r="K24" i="1" s="1"/>
  <c r="M24" i="1" s="1"/>
  <c r="F24" i="2"/>
  <c r="J25" i="1"/>
  <c r="N8" i="1"/>
  <c r="M8" i="1"/>
  <c r="I20" i="2"/>
  <c r="H20" i="2"/>
  <c r="K23" i="1"/>
  <c r="H6" i="1"/>
  <c r="H19" i="1" s="1"/>
  <c r="J24" i="1" s="1"/>
  <c r="F6" i="1"/>
  <c r="F19" i="1" s="1"/>
  <c r="E1" i="4"/>
  <c r="H24" i="1" l="1"/>
  <c r="N24" i="1" s="1"/>
  <c r="N6" i="1" s="1"/>
  <c r="L23" i="1"/>
  <c r="N23" i="1" s="1"/>
  <c r="N4" i="1" s="1"/>
  <c r="N9" i="1"/>
  <c r="I24" i="1"/>
  <c r="M23" i="1"/>
  <c r="M4" i="1" s="1"/>
  <c r="D14" i="1"/>
  <c r="H25" i="1" s="1"/>
  <c r="N25" i="1" s="1"/>
  <c r="N14" i="1" s="1"/>
  <c r="M6" i="1"/>
  <c r="M10" i="1" s="1"/>
  <c r="M12" i="1" s="1"/>
  <c r="M13" i="1" s="1"/>
  <c r="M15" i="1" s="1"/>
  <c r="N10" i="1" l="1"/>
  <c r="N12" i="1" s="1"/>
  <c r="N13" i="1" s="1"/>
  <c r="N15" i="1" s="1"/>
  <c r="N5" i="1"/>
  <c r="M5" i="1"/>
</calcChain>
</file>

<file path=xl/sharedStrings.xml><?xml version="1.0" encoding="utf-8"?>
<sst xmlns="http://schemas.openxmlformats.org/spreadsheetml/2006/main" count="270" uniqueCount="169">
  <si>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</si>
  <si>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</si>
  <si>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</si>
  <si>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</si>
  <si>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</si>
  <si>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</si>
  <si>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</si>
  <si>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</si>
  <si>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</si>
  <si>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</si>
  <si>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</si>
  <si>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</si>
  <si>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</si>
  <si>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</si>
  <si>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</si>
  <si>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</si>
  <si>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</si>
  <si>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</si>
  <si>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</si>
  <si>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</si>
  <si>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</si>
  <si>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</si>
  <si>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</si>
  <si>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</si>
  <si>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</si>
  <si>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</si>
  <si>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</si>
  <si>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</si>
  <si>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</si>
  <si>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</si>
  <si>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</si>
  <si>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</si>
  <si>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</si>
  <si>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</si>
  <si>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</si>
  <si>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</si>
  <si>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</si>
  <si>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</si>
  <si>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</si>
  <si>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</si>
  <si>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</si>
  <si>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</si>
  <si>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</si>
  <si>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</si>
  <si>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</si>
  <si>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</si>
  <si>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</si>
  <si>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</si>
  <si>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</si>
  <si>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</si>
  <si>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</si>
  <si>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</si>
  <si>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</si>
  <si>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</si>
  <si>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</si>
  <si>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</si>
  <si>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</si>
  <si>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</si>
  <si>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</si>
  <si>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</si>
  <si>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</si>
  <si>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</si>
  <si>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</si>
  <si>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BRITANNIA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</si>
  <si>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</si>
  <si>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</si>
  <si>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</si>
  <si>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</si>
  <si>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</si>
  <si>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</si>
  <si>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</si>
  <si>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</si>
  <si>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</si>
  <si>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</si>
  <si>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</si>
  <si>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</si>
  <si>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</si>
  <si>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</si>
  <si>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</si>
  <si>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</si>
  <si>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</si>
  <si>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</si>
  <si>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</si>
  <si>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</si>
  <si>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</si>
  <si>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</si>
  <si>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</si>
  <si>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</si>
  <si>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</si>
  <si>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</si>
  <si>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</si>
  <si>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</si>
  <si>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</si>
  <si>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BRITANIA INDUSTRIES LTD</t>
  </si>
  <si>
    <t>YEAR</t>
  </si>
  <si>
    <t>INCOME STATEMENT</t>
  </si>
  <si>
    <t>LTM</t>
  </si>
  <si>
    <t>#</t>
  </si>
  <si>
    <t>SALES</t>
  </si>
  <si>
    <t>SALES GROWTH</t>
  </si>
  <si>
    <t>NA</t>
  </si>
  <si>
    <t>OTHER INCOME</t>
  </si>
  <si>
    <t>OTHER INCOME GROWTH</t>
  </si>
  <si>
    <t>TOTAL INCOME</t>
  </si>
  <si>
    <t>COGS</t>
  </si>
  <si>
    <t>COGS % SALES</t>
  </si>
  <si>
    <t>GROSS PROFIT</t>
  </si>
  <si>
    <t>GROSS PROFIT % SALES</t>
  </si>
  <si>
    <t>SELLING AND GENERAL EXP</t>
  </si>
  <si>
    <t>S&amp;G EXP % SALES</t>
  </si>
  <si>
    <t>EBT</t>
  </si>
  <si>
    <t>EBITDA</t>
  </si>
  <si>
    <t>EBIDTA % SALES</t>
  </si>
  <si>
    <t>DEPRECIATION</t>
  </si>
  <si>
    <t>DEP % SALES</t>
  </si>
  <si>
    <t>INTERSEST</t>
  </si>
  <si>
    <t>INT% SALES</t>
  </si>
  <si>
    <t>EBT  % SALES</t>
  </si>
  <si>
    <t>TAX</t>
  </si>
  <si>
    <t>EFFECTIVE TAX RATE</t>
  </si>
  <si>
    <t>NET PROFIT</t>
  </si>
  <si>
    <t>NET PROFIT % SALES</t>
  </si>
  <si>
    <t>NO OF EQUITY SHARES</t>
  </si>
  <si>
    <t>EARNING PER SHARE</t>
  </si>
  <si>
    <t>EPS GROWTH</t>
  </si>
  <si>
    <t>DIVIDEND PER SHARE</t>
  </si>
  <si>
    <t>DIVIDEND PAYOUT RATIO</t>
  </si>
  <si>
    <t>RETAINED EARNINGS</t>
  </si>
  <si>
    <t>Total Non Current Assets</t>
  </si>
  <si>
    <t>Total Current liabilities</t>
  </si>
  <si>
    <t>Total Current Assets</t>
  </si>
  <si>
    <t>Total Assets</t>
  </si>
  <si>
    <t>cash flow statement</t>
  </si>
  <si>
    <t>Cash from Operating Activity 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</si>
  <si>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</si>
  <si>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</si>
  <si>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</si>
  <si>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</si>
  <si>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</si>
  <si>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</si>
  <si>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</si>
  <si>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</si>
  <si>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</si>
  <si>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</si>
  <si>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</si>
  <si>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</si>
  <si>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</si>
  <si>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</si>
  <si>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</si>
  <si>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Inter corporate deposits</t>
  </si>
  <si>
    <t>Other investing items</t>
  </si>
  <si>
    <t>Cash from Financing Activity -</t>
  </si>
  <si>
    <t>Proceeds from shares</t>
  </si>
  <si>
    <t>Proceeds from debentures</t>
  </si>
  <si>
    <t>Redemption of debentures</t>
  </si>
  <si>
    <t>Proceeds from borrowings</t>
  </si>
  <si>
    <t>Repayment of borrowings</t>
  </si>
  <si>
    <t>Investment subsidy</t>
  </si>
  <si>
    <t>Interest paid fin</t>
  </si>
  <si>
    <t>Dividends paid</t>
  </si>
  <si>
    <t>Financial liabilities</t>
  </si>
  <si>
    <t>Share application money</t>
  </si>
  <si>
    <t>Other financing items</t>
  </si>
  <si>
    <t>check</t>
  </si>
  <si>
    <t>operaating activities</t>
  </si>
  <si>
    <t>cash flow from operating activity</t>
  </si>
  <si>
    <t>Investing activities</t>
  </si>
  <si>
    <t>cash flow fom investing activity</t>
  </si>
  <si>
    <t>cash flow from financing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</si>
</sst>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8" formatCode="&quot;₹&quot;\ #,##0.0;\(&quot;₹&quot;\ #,##0.0\);\-"/>
    <numFmt numFmtId="173" formatCode="&quot;₹&quot;\ #,##0.00;\(&quot;₹&quot;\ #,##0.00\);\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56">
    <xf numFmtId="0" fontId="0" fillId="0" borderId="0" xfId="0"/>
    <xf numFmtId="43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43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43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1" applyNumberFormat="1" applyFont="1" applyBorder="1" applyAlignment="1">
      <alignment horizontal="center"/>
    </xf>
    <xf numFmtId="43" fontId="1" fillId="0" borderId="0" xfId="1" applyNumberFormat="1" applyFont="1" applyBorder="1" applyAlignment="1">
      <alignment horizontal="center"/>
    </xf>
    <xf numFmtId="43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164" fontId="0" fillId="0" borderId="0" xfId="1" applyNumberFormat="1" applyFont="1" applyBorder="1"/>
    <xf numFmtId="43" fontId="2" fillId="4" borderId="0" xfId="5" applyNumberFormat="1" applyFont="1" applyBorder="1" applyAlignment="1">
      <alignment horizontal="center"/>
    </xf>
    <xf numFmtId="43" fontId="4" fillId="6" borderId="0" xfId="2" applyNumberFormat="1" applyFill="1" applyBorder="1" applyAlignment="1" applyProtection="1">
      <alignment horizontal="center"/>
    </xf>
    <xf numFmtId="0" fontId="5" fillId="7" borderId="0" xfId="0" applyFont="1" applyFill="1"/>
    <xf numFmtId="0" fontId="5" fillId="7" borderId="0" xfId="0" applyFont="1" applyFill="1" applyAlignment="1">
      <alignment horizontal="center"/>
    </xf>
    <xf numFmtId="0" fontId="0" fillId="8" borderId="0" xfId="0" applyFill="1"/>
    <xf numFmtId="14" fontId="5" fillId="7" borderId="0" xfId="0" applyNumberFormat="1" applyFont="1" applyFill="1"/>
    <xf numFmtId="9" fontId="0" fillId="0" borderId="0" xfId="6" applyFont="1"/>
    <xf numFmtId="10" fontId="10" fillId="0" borderId="0" xfId="6" applyNumberFormat="1" applyFont="1"/>
    <xf numFmtId="168" fontId="0" fillId="0" borderId="0" xfId="0" applyNumberFormat="1"/>
    <xf numFmtId="0" fontId="0" fillId="9" borderId="0" xfId="0" applyFill="1"/>
    <xf numFmtId="43" fontId="0" fillId="0" borderId="0" xfId="1" applyFont="1" applyFill="1" applyBorder="1"/>
    <xf numFmtId="17" fontId="0" fillId="0" borderId="0" xfId="0" applyNumberFormat="1"/>
    <xf numFmtId="3" fontId="0" fillId="0" borderId="0" xfId="0" applyNumberFormat="1"/>
    <xf numFmtId="43" fontId="0" fillId="9" borderId="0" xfId="1" applyFont="1" applyFill="1" applyBorder="1"/>
    <xf numFmtId="168" fontId="0" fillId="0" borderId="1" xfId="0" applyNumberFormat="1" applyBorder="1"/>
    <xf numFmtId="43" fontId="1" fillId="0" borderId="1" xfId="1" applyFont="1" applyFill="1" applyBorder="1"/>
    <xf numFmtId="168" fontId="1" fillId="0" borderId="1" xfId="0" applyNumberFormat="1" applyFont="1" applyBorder="1"/>
    <xf numFmtId="43" fontId="1" fillId="0" borderId="2" xfId="1" applyFont="1" applyFill="1" applyBorder="1"/>
    <xf numFmtId="168" fontId="1" fillId="0" borderId="2" xfId="0" applyNumberFormat="1" applyFont="1" applyBorder="1"/>
    <xf numFmtId="43" fontId="1" fillId="6" borderId="0" xfId="1" applyFont="1" applyFill="1" applyBorder="1"/>
    <xf numFmtId="0" fontId="1" fillId="0" borderId="0" xfId="0" applyFont="1"/>
    <xf numFmtId="0" fontId="1" fillId="0" borderId="1" xfId="0" applyFont="1" applyBorder="1"/>
    <xf numFmtId="173" fontId="0" fillId="0" borderId="0" xfId="0" applyNumberFormat="1"/>
    <xf numFmtId="0" fontId="1" fillId="0" borderId="2" xfId="0" applyFont="1" applyBorder="1"/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style="6" customWidth="1"/>
    <col min="2" max="6" width="13.44140625" style="6" customWidth="1"/>
    <col min="7" max="7" width="14.77734375" style="6" bestFit="1" customWidth="1"/>
    <col min="8" max="11" width="13.44140625" style="6" customWidth="1"/>
    <col min="12" max="12" width="13.33203125" style="6" customWidth="1"/>
    <col min="13" max="14" width="12.109375" style="6" customWidth="1"/>
    <col min="15" max="16384" width="8.77734375" style="6"/>
  </cols>
  <sheetData>
    <row r="1" spans="1:14" s="8" customFormat="1" x14ac:dyDescent="0.3">
      <c r="A1" s="8" t="str">
        <f>'Data Sheet'!B1</f>
        <v>BRITANNIA INDUSTRIES LTD</v>
      </c>
      <c r="H1" t="str">
        <f>UPDATE</f>
        <v>BRITANIA INDUSTRIES LTD</v>
      </c>
      <c r="J1" s="3"/>
      <c r="K1" s="3"/>
      <c r="M1" s="8" t="s">
        <v>1</v>
      </c>
    </row>
    <row r="3" spans="1:14" s="2" customFormat="1" x14ac:dyDescent="0.3">
      <c r="A3" s="15" t="s">
        <v>2</v>
      </c>
      <c r="B3" s="16">
        <f>'Data Sheet'!B16</f>
        <v>42094</v>
      </c>
      <c r="C3" s="16">
        <f>'Data Sheet'!C16</f>
        <v>42460</v>
      </c>
      <c r="D3" s="16">
        <f>'Data Sheet'!D16</f>
        <v>42825</v>
      </c>
      <c r="E3" s="16">
        <f>'Data Sheet'!E16</f>
        <v>43190</v>
      </c>
      <c r="F3" s="16">
        <f>'Data Sheet'!F16</f>
        <v>43555</v>
      </c>
      <c r="G3" s="16">
        <f>'Data Sheet'!G16</f>
        <v>43921</v>
      </c>
      <c r="H3" s="16">
        <f>'Data Sheet'!H16</f>
        <v>44286</v>
      </c>
      <c r="I3" s="16">
        <f>'Data Sheet'!I16</f>
        <v>44651</v>
      </c>
      <c r="J3" s="16">
        <f>'Data Sheet'!J16</f>
        <v>45016</v>
      </c>
      <c r="K3" s="16">
        <f>'Data Sheet'!K16</f>
        <v>45382</v>
      </c>
      <c r="L3" s="17" t="s">
        <v>3</v>
      </c>
      <c r="M3" s="17" t="s">
        <v>4</v>
      </c>
      <c r="N3" s="17" t="s">
        <v>5</v>
      </c>
    </row>
    <row r="4" spans="1:14" s="8" customFormat="1" x14ac:dyDescent="0.3">
      <c r="A4" s="8" t="s">
        <v>6</v>
      </c>
      <c r="B4" s="1">
        <f>'Data Sheet'!B17</f>
        <v>7858.42</v>
      </c>
      <c r="C4" s="1">
        <f>'Data Sheet'!C17</f>
        <v>8397.23</v>
      </c>
      <c r="D4" s="1">
        <f>'Data Sheet'!D17</f>
        <v>9054.09</v>
      </c>
      <c r="E4" s="1">
        <f>'Data Sheet'!E17</f>
        <v>9913.99</v>
      </c>
      <c r="F4" s="1">
        <f>'Data Sheet'!F17</f>
        <v>11054.67</v>
      </c>
      <c r="G4" s="1">
        <f>'Data Sheet'!G17</f>
        <v>11599.55</v>
      </c>
      <c r="H4" s="1">
        <f>'Data Sheet'!H17</f>
        <v>13136.14</v>
      </c>
      <c r="I4" s="1">
        <f>'Data Sheet'!I17</f>
        <v>14136.26</v>
      </c>
      <c r="J4" s="1">
        <f>'Data Sheet'!J17</f>
        <v>16300.55</v>
      </c>
      <c r="K4" s="1">
        <f>'Data Sheet'!K17</f>
        <v>16769.27</v>
      </c>
      <c r="L4" s="1">
        <f>SUM(Quarters!H4:K4)</f>
        <v>16769.27</v>
      </c>
      <c r="M4" s="1">
        <f>$K4+M23*K4</f>
        <v>18191.26722696111</v>
      </c>
      <c r="N4" s="1">
        <f>$K4+N23*L4</f>
        <v>17251.467977025317</v>
      </c>
    </row>
    <row r="5" spans="1:14" x14ac:dyDescent="0.3">
      <c r="A5" s="6" t="s">
        <v>7</v>
      </c>
      <c r="B5" s="9">
        <f>SUM('Data Sheet'!B18,'Data Sheet'!B20:B24, -1*'Data Sheet'!B19)</f>
        <v>6988.1</v>
      </c>
      <c r="C5" s="9">
        <f>SUM('Data Sheet'!C18,'Data Sheet'!C20:C24, -1*'Data Sheet'!C19)</f>
        <v>7173.659999999998</v>
      </c>
      <c r="D5" s="9">
        <f>SUM('Data Sheet'!D18,'Data Sheet'!D20:D24, -1*'Data Sheet'!D19)</f>
        <v>7775.91</v>
      </c>
      <c r="E5" s="9">
        <f>SUM('Data Sheet'!E18,'Data Sheet'!E20:E24, -1*'Data Sheet'!E19)</f>
        <v>8412.52</v>
      </c>
      <c r="F5" s="9">
        <f>SUM('Data Sheet'!F18,'Data Sheet'!F20:F24, -1*'Data Sheet'!F19)</f>
        <v>9322.2199999999993</v>
      </c>
      <c r="G5" s="9">
        <f>SUM('Data Sheet'!G18,'Data Sheet'!G20:G24, -1*'Data Sheet'!G19)</f>
        <v>9756.369999999999</v>
      </c>
      <c r="H5" s="9">
        <f>SUM('Data Sheet'!H18,'Data Sheet'!H20:H24, -1*'Data Sheet'!H19)</f>
        <v>10626.849999999999</v>
      </c>
      <c r="I5" s="9">
        <f>SUM('Data Sheet'!I18,'Data Sheet'!I20:I24, -1*'Data Sheet'!I19)</f>
        <v>11934.949999999999</v>
      </c>
      <c r="J5" s="9">
        <f>SUM('Data Sheet'!J18,'Data Sheet'!J20:J24, -1*'Data Sheet'!J19)</f>
        <v>13469.64</v>
      </c>
      <c r="K5" s="9">
        <f>SUM('Data Sheet'!K18,'Data Sheet'!K20:K24, -1*'Data Sheet'!K19)</f>
        <v>13602.62</v>
      </c>
      <c r="L5" s="9">
        <f>SUM(Quarters!H5:K5)</f>
        <v>13605.61</v>
      </c>
      <c r="M5" s="9">
        <f t="shared" ref="M5:N5" si="0">M4-M6</f>
        <v>14759.335814606977</v>
      </c>
      <c r="N5" s="9">
        <f t="shared" si="0"/>
        <v>14455.903861186991</v>
      </c>
    </row>
    <row r="6" spans="1:14" s="8" customFormat="1" x14ac:dyDescent="0.3">
      <c r="A6" s="8" t="s">
        <v>8</v>
      </c>
      <c r="B6" s="1">
        <f>B4-B5</f>
        <v>870.31999999999971</v>
      </c>
      <c r="C6" s="1">
        <f t="shared" ref="C6:K6" si="1">C4-C5</f>
        <v>1223.5700000000015</v>
      </c>
      <c r="D6" s="1">
        <f t="shared" si="1"/>
        <v>1278.1800000000003</v>
      </c>
      <c r="E6" s="1">
        <f t="shared" si="1"/>
        <v>1501.4699999999993</v>
      </c>
      <c r="F6" s="1">
        <f t="shared" si="1"/>
        <v>1732.4500000000007</v>
      </c>
      <c r="G6" s="1">
        <f t="shared" si="1"/>
        <v>1843.1800000000003</v>
      </c>
      <c r="H6" s="1">
        <f t="shared" si="1"/>
        <v>2509.2900000000009</v>
      </c>
      <c r="I6" s="1">
        <f t="shared" si="1"/>
        <v>2201.3100000000013</v>
      </c>
      <c r="J6" s="1">
        <f t="shared" si="1"/>
        <v>2830.91</v>
      </c>
      <c r="K6" s="1">
        <f t="shared" si="1"/>
        <v>3166.6499999999996</v>
      </c>
      <c r="L6" s="1">
        <f>SUM(Quarters!H6:K6)</f>
        <v>3163.6600000000003</v>
      </c>
      <c r="M6" s="1">
        <f>M4*M24</f>
        <v>3431.931412354133</v>
      </c>
      <c r="N6" s="1">
        <f>N4*N24</f>
        <v>2795.5641158383251</v>
      </c>
    </row>
    <row r="7" spans="1:14" x14ac:dyDescent="0.3">
      <c r="A7" s="6" t="s">
        <v>9</v>
      </c>
      <c r="B7" s="9">
        <f>'Data Sheet'!B25</f>
        <v>227.61</v>
      </c>
      <c r="C7" s="9">
        <f>'Data Sheet'!C25</f>
        <v>115.17</v>
      </c>
      <c r="D7" s="9">
        <f>'Data Sheet'!D25</f>
        <v>150.54</v>
      </c>
      <c r="E7" s="9">
        <f>'Data Sheet'!E25</f>
        <v>166.37</v>
      </c>
      <c r="F7" s="9">
        <f>'Data Sheet'!F25</f>
        <v>206.45</v>
      </c>
      <c r="G7" s="9">
        <f>'Data Sheet'!G25</f>
        <v>262.83</v>
      </c>
      <c r="H7" s="9">
        <f>'Data Sheet'!H25</f>
        <v>313.07</v>
      </c>
      <c r="I7" s="9">
        <f>'Data Sheet'!I25</f>
        <v>221.85</v>
      </c>
      <c r="J7" s="9">
        <f>'Data Sheet'!J25</f>
        <v>596.87</v>
      </c>
      <c r="K7" s="9">
        <f>'Data Sheet'!K25</f>
        <v>211.28</v>
      </c>
      <c r="L7" s="9">
        <f>SUM(Quarters!H7:K7)</f>
        <v>214.27</v>
      </c>
      <c r="M7" s="9">
        <v>0</v>
      </c>
      <c r="N7" s="9">
        <v>0</v>
      </c>
    </row>
    <row r="8" spans="1:14" x14ac:dyDescent="0.3">
      <c r="A8" s="6" t="s">
        <v>10</v>
      </c>
      <c r="B8" s="9">
        <f>'Data Sheet'!B26</f>
        <v>144.47999999999999</v>
      </c>
      <c r="C8" s="9">
        <f>'Data Sheet'!C26</f>
        <v>113.41</v>
      </c>
      <c r="D8" s="9">
        <f>'Data Sheet'!D26</f>
        <v>119.27</v>
      </c>
      <c r="E8" s="9">
        <f>'Data Sheet'!E26</f>
        <v>142.07</v>
      </c>
      <c r="F8" s="9">
        <f>'Data Sheet'!F26</f>
        <v>161.88</v>
      </c>
      <c r="G8" s="9">
        <f>'Data Sheet'!G26</f>
        <v>184.81</v>
      </c>
      <c r="H8" s="9">
        <f>'Data Sheet'!H26</f>
        <v>197.85</v>
      </c>
      <c r="I8" s="9">
        <f>'Data Sheet'!I26</f>
        <v>200.54</v>
      </c>
      <c r="J8" s="9">
        <f>'Data Sheet'!J26</f>
        <v>225.91</v>
      </c>
      <c r="K8" s="9">
        <f>'Data Sheet'!K26</f>
        <v>300.45999999999998</v>
      </c>
      <c r="L8" s="9">
        <f>SUM(Quarters!H8:K8)</f>
        <v>300.46000000000004</v>
      </c>
      <c r="M8" s="9">
        <f>+$L8</f>
        <v>300.46000000000004</v>
      </c>
      <c r="N8" s="9">
        <f>+$L8</f>
        <v>300.46000000000004</v>
      </c>
    </row>
    <row r="9" spans="1:14" x14ac:dyDescent="0.3">
      <c r="A9" s="6" t="s">
        <v>11</v>
      </c>
      <c r="B9" s="9">
        <f>'Data Sheet'!B27</f>
        <v>3.86</v>
      </c>
      <c r="C9" s="9">
        <f>'Data Sheet'!C27</f>
        <v>4.87</v>
      </c>
      <c r="D9" s="9">
        <f>'Data Sheet'!D27</f>
        <v>5.45</v>
      </c>
      <c r="E9" s="9">
        <f>'Data Sheet'!E27</f>
        <v>7.59</v>
      </c>
      <c r="F9" s="9">
        <f>'Data Sheet'!F27</f>
        <v>9.09</v>
      </c>
      <c r="G9" s="9">
        <f>'Data Sheet'!G27</f>
        <v>76.900000000000006</v>
      </c>
      <c r="H9" s="9">
        <f>'Data Sheet'!H27</f>
        <v>110.9</v>
      </c>
      <c r="I9" s="9">
        <f>'Data Sheet'!I27</f>
        <v>144.29</v>
      </c>
      <c r="J9" s="9">
        <f>'Data Sheet'!J27</f>
        <v>169.1</v>
      </c>
      <c r="K9" s="9">
        <f>'Data Sheet'!K27</f>
        <v>164</v>
      </c>
      <c r="L9" s="9">
        <f>SUM(Quarters!H9:K9)</f>
        <v>164</v>
      </c>
      <c r="M9" s="9">
        <f>+$L9</f>
        <v>164</v>
      </c>
      <c r="N9" s="9">
        <f>+$L9</f>
        <v>164</v>
      </c>
    </row>
    <row r="10" spans="1:14" x14ac:dyDescent="0.3">
      <c r="A10" s="6" t="s">
        <v>12</v>
      </c>
      <c r="B10" s="9">
        <f>'Data Sheet'!B28</f>
        <v>949.59</v>
      </c>
      <c r="C10" s="9">
        <f>'Data Sheet'!C28</f>
        <v>1220.46</v>
      </c>
      <c r="D10" s="9">
        <f>'Data Sheet'!D28</f>
        <v>1304</v>
      </c>
      <c r="E10" s="9">
        <f>'Data Sheet'!E28</f>
        <v>1518.18</v>
      </c>
      <c r="F10" s="9">
        <f>'Data Sheet'!F28</f>
        <v>1767.93</v>
      </c>
      <c r="G10" s="9">
        <f>'Data Sheet'!G28</f>
        <v>1844.3</v>
      </c>
      <c r="H10" s="9">
        <f>'Data Sheet'!H28</f>
        <v>2513.61</v>
      </c>
      <c r="I10" s="9">
        <f>'Data Sheet'!I28</f>
        <v>2078.33</v>
      </c>
      <c r="J10" s="9">
        <f>'Data Sheet'!J28</f>
        <v>3032.77</v>
      </c>
      <c r="K10" s="9">
        <f>'Data Sheet'!K28</f>
        <v>2913.47</v>
      </c>
      <c r="L10" s="9">
        <f>SUM(Quarters!H10:K10)</f>
        <v>2913.47</v>
      </c>
      <c r="M10" s="9">
        <f>M6+M7-SUM(M8:M9)</f>
        <v>2967.471412354133</v>
      </c>
      <c r="N10" s="9">
        <f>N6+N7-SUM(N8:N9)</f>
        <v>2331.104115838325</v>
      </c>
    </row>
    <row r="11" spans="1:14" x14ac:dyDescent="0.3">
      <c r="A11" s="6" t="s">
        <v>13</v>
      </c>
      <c r="B11" s="9">
        <f>'Data Sheet'!B29</f>
        <v>261.11</v>
      </c>
      <c r="C11" s="9">
        <f>'Data Sheet'!C29</f>
        <v>396.1</v>
      </c>
      <c r="D11" s="9">
        <f>'Data Sheet'!D29</f>
        <v>419.67</v>
      </c>
      <c r="E11" s="9">
        <f>'Data Sheet'!E29</f>
        <v>514.22</v>
      </c>
      <c r="F11" s="9">
        <f>'Data Sheet'!F29</f>
        <v>612.47</v>
      </c>
      <c r="G11" s="9">
        <f>'Data Sheet'!G29</f>
        <v>450.7</v>
      </c>
      <c r="H11" s="9">
        <f>'Data Sheet'!H29</f>
        <v>663.02</v>
      </c>
      <c r="I11" s="9">
        <f>'Data Sheet'!I29</f>
        <v>562.35</v>
      </c>
      <c r="J11" s="9">
        <f>'Data Sheet'!J29</f>
        <v>716.45</v>
      </c>
      <c r="K11" s="9">
        <f>'Data Sheet'!K29</f>
        <v>779.25</v>
      </c>
      <c r="L11" s="9">
        <f>SUM(Quarters!H11:K11)</f>
        <v>779.25</v>
      </c>
      <c r="M11" s="10">
        <f>IF($L10&gt;0,$L11/$L10,0)</f>
        <v>0.26746456973986349</v>
      </c>
      <c r="N11" s="10">
        <f>IF($L10&gt;0,$L11/$L10,0)</f>
        <v>0.26746456973986349</v>
      </c>
    </row>
    <row r="12" spans="1:14" s="8" customFormat="1" x14ac:dyDescent="0.3">
      <c r="A12" s="8" t="s">
        <v>14</v>
      </c>
      <c r="B12" s="1">
        <f>'Data Sheet'!B30</f>
        <v>688.64</v>
      </c>
      <c r="C12" s="1">
        <f>'Data Sheet'!C30</f>
        <v>824.58</v>
      </c>
      <c r="D12" s="1">
        <f>'Data Sheet'!D30</f>
        <v>884.47</v>
      </c>
      <c r="E12" s="1">
        <f>'Data Sheet'!E30</f>
        <v>1004.23</v>
      </c>
      <c r="F12" s="1">
        <f>'Data Sheet'!F30</f>
        <v>1159.1199999999999</v>
      </c>
      <c r="G12" s="1">
        <f>'Data Sheet'!G30</f>
        <v>1402.63</v>
      </c>
      <c r="H12" s="1">
        <f>'Data Sheet'!H30</f>
        <v>1863.9</v>
      </c>
      <c r="I12" s="1">
        <f>'Data Sheet'!I30</f>
        <v>1524.82</v>
      </c>
      <c r="J12" s="1">
        <f>'Data Sheet'!J30</f>
        <v>2321.77</v>
      </c>
      <c r="K12" s="1">
        <f>'Data Sheet'!K30</f>
        <v>2139.81</v>
      </c>
      <c r="L12" s="1">
        <f>SUM(Quarters!H12:K12)</f>
        <v>2139.8100000000004</v>
      </c>
      <c r="M12" s="1">
        <f>M10-M11*M10</f>
        <v>2173.7779478334896</v>
      </c>
      <c r="N12" s="1">
        <f>N10-N11*N10</f>
        <v>1707.6163564768026</v>
      </c>
    </row>
    <row r="13" spans="1:14" x14ac:dyDescent="0.3">
      <c r="A13" s="11" t="s">
        <v>57</v>
      </c>
      <c r="B13" s="9">
        <f>IF('Data Sheet'!B93&gt;0,B12/'Data Sheet'!B93,0)</f>
        <v>28.705293872446855</v>
      </c>
      <c r="C13" s="9">
        <f>IF('Data Sheet'!C93&gt;0,C12/'Data Sheet'!C93,0)</f>
        <v>34.357500000000002</v>
      </c>
      <c r="D13" s="9">
        <f>IF('Data Sheet'!D93&gt;0,D12/'Data Sheet'!D93,0)</f>
        <v>36.852916666666665</v>
      </c>
      <c r="E13" s="9">
        <f>IF('Data Sheet'!E93&gt;0,E12/'Data Sheet'!E93,0)</f>
        <v>41.825489379425235</v>
      </c>
      <c r="F13" s="9">
        <f>IF('Data Sheet'!F93&gt;0,F12/'Data Sheet'!F93,0)</f>
        <v>48.236371202663328</v>
      </c>
      <c r="G13" s="9">
        <f>IF('Data Sheet'!G93&gt;0,G12/'Data Sheet'!G93,0)</f>
        <v>58.321413721413727</v>
      </c>
      <c r="H13" s="9">
        <f>IF('Data Sheet'!H93&gt;0,H12/'Data Sheet'!H93,0)</f>
        <v>77.372353673723538</v>
      </c>
      <c r="I13" s="9">
        <f>IF('Data Sheet'!I93&gt;0,I12/'Data Sheet'!I93,0)</f>
        <v>63.296803652968038</v>
      </c>
      <c r="J13" s="9">
        <f>IF('Data Sheet'!J93&gt;0,J12/'Data Sheet'!J93,0)</f>
        <v>96.378995433789953</v>
      </c>
      <c r="K13" s="9">
        <f>IF('Data Sheet'!K93&gt;0,K12/'Data Sheet'!K93,0)</f>
        <v>88.825653798256539</v>
      </c>
      <c r="L13" s="9">
        <f>IF('Data Sheet'!$B6&gt;0,'Profit &amp; Loss'!L12/'Data Sheet'!$B6,0)</f>
        <v>88.833142611303018</v>
      </c>
      <c r="M13" s="9">
        <f>IF('Data Sheet'!$B6&gt;0,'Profit &amp; Loss'!M12/'Data Sheet'!$B6,0)</f>
        <v>90.243304987451211</v>
      </c>
      <c r="N13" s="9">
        <f>IF('Data Sheet'!$B6&gt;0,'Profit &amp; Loss'!N12/'Data Sheet'!$B6,0)</f>
        <v>70.890839523274224</v>
      </c>
    </row>
    <row r="14" spans="1:14" x14ac:dyDescent="0.3">
      <c r="A14" s="6" t="s">
        <v>16</v>
      </c>
      <c r="B14" s="9">
        <f>IF(B15&gt;0,B15/B13,"")</f>
        <v>37.598639637546462</v>
      </c>
      <c r="C14" s="9">
        <f t="shared" ref="C14:K14" si="2">IF(C15&gt;0,C15/C13,"")</f>
        <v>39.096267190569741</v>
      </c>
      <c r="D14" s="9">
        <f t="shared" si="2"/>
        <v>45.776566757493192</v>
      </c>
      <c r="E14" s="9">
        <f t="shared" si="2"/>
        <v>59.420703424514315</v>
      </c>
      <c r="F14" s="9">
        <f t="shared" si="2"/>
        <v>63.966254572434273</v>
      </c>
      <c r="G14" s="9">
        <f t="shared" si="2"/>
        <v>46.105706779407249</v>
      </c>
      <c r="H14" s="9">
        <f t="shared" si="2"/>
        <v>46.852006277160797</v>
      </c>
      <c r="I14" s="9">
        <f t="shared" si="2"/>
        <v>50.656586351175875</v>
      </c>
      <c r="J14" s="9">
        <f t="shared" si="2"/>
        <v>44.845352252807125</v>
      </c>
      <c r="K14" s="9">
        <f t="shared" si="2"/>
        <v>55.290896154331456</v>
      </c>
      <c r="L14" s="9">
        <f t="shared" ref="L14" si="3">IF(L13&gt;0,L15/L13,0)</f>
        <v>58.994873376608197</v>
      </c>
      <c r="M14" s="9">
        <f>M25</f>
        <v>58.994873376608197</v>
      </c>
      <c r="N14" s="9">
        <f>N25</f>
        <v>49.873077524913512</v>
      </c>
    </row>
    <row r="15" spans="1:14" s="8" customFormat="1" x14ac:dyDescent="0.3">
      <c r="A15" s="8" t="s">
        <v>58</v>
      </c>
      <c r="B15" s="1">
        <f>'Data Sheet'!B90</f>
        <v>1079.28</v>
      </c>
      <c r="C15" s="1">
        <f>'Data Sheet'!C90</f>
        <v>1343.25</v>
      </c>
      <c r="D15" s="1">
        <f>'Data Sheet'!D90</f>
        <v>1687</v>
      </c>
      <c r="E15" s="1">
        <f>'Data Sheet'!E90</f>
        <v>2485.3000000000002</v>
      </c>
      <c r="F15" s="1">
        <f>'Data Sheet'!F90</f>
        <v>3085.5</v>
      </c>
      <c r="G15" s="1">
        <f>'Data Sheet'!G90</f>
        <v>2688.95</v>
      </c>
      <c r="H15" s="1">
        <f>'Data Sheet'!H90</f>
        <v>3625.05</v>
      </c>
      <c r="I15" s="1">
        <f>'Data Sheet'!I90</f>
        <v>3206.4</v>
      </c>
      <c r="J15" s="1">
        <f>'Data Sheet'!J90</f>
        <v>4322.1499999999996</v>
      </c>
      <c r="K15" s="1">
        <f>'Data Sheet'!K90</f>
        <v>4911.25</v>
      </c>
      <c r="L15" s="1">
        <f>'Data Sheet'!B8</f>
        <v>5240.7</v>
      </c>
      <c r="M15" s="12">
        <f>M13*M14</f>
        <v>5323.8923508213193</v>
      </c>
      <c r="N15" s="13">
        <f>N13*N14</f>
        <v>3535.5443353504584</v>
      </c>
    </row>
    <row r="17" spans="1:14" s="8" customFormat="1" x14ac:dyDescent="0.3">
      <c r="A17" s="8" t="s">
        <v>15</v>
      </c>
    </row>
    <row r="18" spans="1:14" x14ac:dyDescent="0.3">
      <c r="A18" s="6" t="s">
        <v>17</v>
      </c>
      <c r="B18" s="7">
        <f>IF('Data Sheet'!B30&gt;0, 'Data Sheet'!B31/'Data Sheet'!B30, 0)</f>
        <v>0.27869423791821563</v>
      </c>
      <c r="C18" s="7">
        <f>IF('Data Sheet'!C30&gt;0, 'Data Sheet'!C31/'Data Sheet'!C30, 0)</f>
        <v>0.29105726551699046</v>
      </c>
      <c r="D18" s="7">
        <f>IF('Data Sheet'!D30&gt;0, 'Data Sheet'!D31/'Data Sheet'!D30, 0)</f>
        <v>0.29848383777855664</v>
      </c>
      <c r="E18" s="7">
        <f>IF('Data Sheet'!E30&gt;0, 'Data Sheet'!E31/'Data Sheet'!E30, 0)</f>
        <v>0.2988558397976559</v>
      </c>
      <c r="F18" s="7">
        <f>IF('Data Sheet'!F30&gt;0, 'Data Sheet'!F31/'Data Sheet'!F30, 0)</f>
        <v>0.31096866588446409</v>
      </c>
      <c r="G18" s="7">
        <f>IF('Data Sheet'!G30&gt;0, 'Data Sheet'!G31/'Data Sheet'!G30, 0)</f>
        <v>0.60012262677969241</v>
      </c>
      <c r="H18" s="7">
        <f>IF('Data Sheet'!H30&gt;0, 'Data Sheet'!H31/'Data Sheet'!H30, 0)</f>
        <v>2.0356134985782499</v>
      </c>
      <c r="I18" s="7">
        <f>IF('Data Sheet'!I30&gt;0, 'Data Sheet'!I31/'Data Sheet'!I30, 0)</f>
        <v>0.89261683346231024</v>
      </c>
      <c r="J18" s="7">
        <f>IF('Data Sheet'!J30&gt;0, 'Data Sheet'!J31/'Data Sheet'!J30, 0)</f>
        <v>0.74705074146017914</v>
      </c>
      <c r="K18" s="7">
        <f>IF('Data Sheet'!K30&gt;0, 'Data Sheet'!K31/'Data Sheet'!K30, 0)</f>
        <v>0.82746598997107212</v>
      </c>
    </row>
    <row r="19" spans="1:14" x14ac:dyDescent="0.3">
      <c r="A19" s="6" t="s">
        <v>18</v>
      </c>
      <c r="B19" s="7">
        <f t="shared" ref="B19:L19" si="4">IF(B6&gt;0,B6/B4,0)</f>
        <v>0.11074999809121931</v>
      </c>
      <c r="C19" s="7">
        <f t="shared" ref="C19:K19" si="5">IF(C6&gt;0,C6/C4,0)</f>
        <v>0.14571114522288917</v>
      </c>
      <c r="D19" s="7">
        <f t="shared" si="5"/>
        <v>0.14117155893082578</v>
      </c>
      <c r="E19" s="7">
        <f t="shared" si="5"/>
        <v>0.15144961816584437</v>
      </c>
      <c r="F19" s="7">
        <f t="shared" si="5"/>
        <v>0.15671657317676607</v>
      </c>
      <c r="G19" s="7">
        <f t="shared" si="5"/>
        <v>0.15890099184882175</v>
      </c>
      <c r="H19" s="7">
        <f t="shared" si="5"/>
        <v>0.19102186791553691</v>
      </c>
      <c r="I19" s="7">
        <f t="shared" si="5"/>
        <v>0.15572082007546559</v>
      </c>
      <c r="J19" s="7">
        <f t="shared" si="5"/>
        <v>0.17366960010551791</v>
      </c>
      <c r="K19" s="7">
        <f t="shared" si="5"/>
        <v>0.18883648483207674</v>
      </c>
      <c r="L19" s="7">
        <f t="shared" si="4"/>
        <v>0.18865818249691252</v>
      </c>
    </row>
    <row r="20" spans="1:14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3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3">
      <c r="A23" s="6"/>
      <c r="B23" s="6"/>
      <c r="C23" s="6"/>
      <c r="D23" s="6"/>
      <c r="E23" s="6"/>
      <c r="F23" s="6"/>
      <c r="G23" s="6" t="s">
        <v>22</v>
      </c>
      <c r="H23" s="7">
        <f>IF(B4=0,"",POWER($K4/B4,1/9)-1)</f>
        <v>8.7866080332334784E-2</v>
      </c>
      <c r="I23" s="7">
        <f>IF(D4=0,"",POWER($K4/D4,1/7)-1)</f>
        <v>9.2039829740490964E-2</v>
      </c>
      <c r="J23" s="7">
        <f>IF(F4=0,"",POWER($K4/F4,1/5)-1)</f>
        <v>8.691022641234003E-2</v>
      </c>
      <c r="K23" s="7">
        <f>IF(H4=0,"",POWER($K4/H4, 1/3)-1)</f>
        <v>8.479780139273263E-2</v>
      </c>
      <c r="L23" s="7">
        <f>IF(ISERROR(MAX(IF(J4=0,"",(K4-J4)/J4),IF(K4=0,"",(L4-K4)/K4))),"",MAX(IF(J4=0,"",(K4-J4)/J4),IF(K4=0,"",(L4-K4)/K4)))</f>
        <v>2.8754857964915368E-2</v>
      </c>
      <c r="M23" s="22">
        <f>MAX(K23:L23)</f>
        <v>8.479780139273263E-2</v>
      </c>
      <c r="N23" s="22">
        <f>MIN(H23:L23)</f>
        <v>2.8754857964915368E-2</v>
      </c>
    </row>
    <row r="24" spans="1:14" x14ac:dyDescent="0.3">
      <c r="G24" s="6" t="s">
        <v>18</v>
      </c>
      <c r="H24" s="7">
        <f>IF(SUM(B4:$K$4)=0,"",SUMPRODUCT(B19:$K$19,B4:$K$4)/SUM(B4:$K$4))</f>
        <v>0.1620478975795755</v>
      </c>
      <c r="I24" s="7">
        <f>IF(SUM(E4:$K$4)=0,"",SUMPRODUCT(E19:$K$19,E4:$K$4)/SUM(E4:$K$4))</f>
        <v>0.16989760998845879</v>
      </c>
      <c r="J24" s="7">
        <f>IF(SUM(G4:$K$4)=0,"",SUMPRODUCT(G19:$K$19,G4:$K$4)/SUM(G4:$K$4))</f>
        <v>0.17446526545009944</v>
      </c>
      <c r="K24" s="7">
        <f>IF(SUM(I4:$K$4)=0, "", SUMPRODUCT(I19:$K$19,I4:$K$4)/SUM(I4:$K$4))</f>
        <v>0.17368250022031062</v>
      </c>
      <c r="L24" s="7">
        <f>L19</f>
        <v>0.18865818249691252</v>
      </c>
      <c r="M24" s="22">
        <f>MAX(K24:L24)</f>
        <v>0.18865818249691252</v>
      </c>
      <c r="N24" s="22">
        <f>MIN(H24:L24)</f>
        <v>0.1620478975795755</v>
      </c>
    </row>
    <row r="25" spans="1:14" x14ac:dyDescent="0.3">
      <c r="G25" s="6" t="s">
        <v>23</v>
      </c>
      <c r="H25" s="9">
        <f>IF(ISERROR(AVERAGEIF(B14:$L14,"&gt;0")),"",AVERAGEIF(B14:$L14,"&gt;0"))</f>
        <v>49.873077524913512</v>
      </c>
      <c r="I25" s="9">
        <f>IF(ISERROR(AVERAGEIF(E14:$L14,"&gt;0")),"",AVERAGEIF(E14:$L14,"&gt;0"))</f>
        <v>53.266547398554913</v>
      </c>
      <c r="J25" s="9">
        <f>IF(ISERROR(AVERAGEIF(G14:$L14,"&gt;0")),"",AVERAGEIF(G14:$L14,"&gt;0"))</f>
        <v>50.457570198581784</v>
      </c>
      <c r="K25" s="9">
        <f>IF(ISERROR(AVERAGEIF(I14:$L14,"&gt;0")),"",AVERAGEIF(I14:$L14,"&gt;0"))</f>
        <v>52.44692703373066</v>
      </c>
      <c r="L25" s="9">
        <f>L14</f>
        <v>58.994873376608197</v>
      </c>
      <c r="M25" s="1">
        <f>MAX(K25:L25)</f>
        <v>58.994873376608197</v>
      </c>
      <c r="N25" s="1">
        <f>MIN(H25:L25)</f>
        <v>49.873077524913512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style="6" customWidth="1"/>
    <col min="2" max="11" width="13.44140625" style="6" bestFit="1" customWidth="1"/>
    <col min="12" max="16384" width="8.77734375" style="6"/>
  </cols>
  <sheetData>
    <row r="1" spans="1:11" s="8" customFormat="1" x14ac:dyDescent="0.3">
      <c r="A1" s="8" t="str">
        <f>'Profit &amp; Loss'!A1</f>
        <v>BRITANNIA INDUSTRIES LTD</v>
      </c>
      <c r="E1" t="str">
        <f>UPDATE</f>
        <v>BRITANIA INDUSTRIES LTD</v>
      </c>
      <c r="J1" s="4" t="s">
        <v>1</v>
      </c>
      <c r="K1" s="4"/>
    </row>
    <row r="3" spans="1:11" s="2" customFormat="1" x14ac:dyDescent="0.3">
      <c r="A3" s="15" t="s">
        <v>2</v>
      </c>
      <c r="B3" s="16">
        <f>'Data Sheet'!B41</f>
        <v>44561</v>
      </c>
      <c r="C3" s="16">
        <f>'Data Sheet'!C41</f>
        <v>44651</v>
      </c>
      <c r="D3" s="16">
        <f>'Data Sheet'!D41</f>
        <v>44742</v>
      </c>
      <c r="E3" s="16">
        <f>'Data Sheet'!E41</f>
        <v>44834</v>
      </c>
      <c r="F3" s="16">
        <f>'Data Sheet'!F41</f>
        <v>44926</v>
      </c>
      <c r="G3" s="16">
        <f>'Data Sheet'!G41</f>
        <v>45016</v>
      </c>
      <c r="H3" s="16">
        <f>'Data Sheet'!H41</f>
        <v>45107</v>
      </c>
      <c r="I3" s="16">
        <f>'Data Sheet'!I41</f>
        <v>45199</v>
      </c>
      <c r="J3" s="16">
        <f>'Data Sheet'!J41</f>
        <v>45291</v>
      </c>
      <c r="K3" s="16">
        <f>'Data Sheet'!K41</f>
        <v>45382</v>
      </c>
    </row>
    <row r="4" spans="1:11" s="8" customFormat="1" x14ac:dyDescent="0.3">
      <c r="A4" s="8" t="s">
        <v>6</v>
      </c>
      <c r="B4" s="1">
        <f>'Data Sheet'!B42</f>
        <v>3574.98</v>
      </c>
      <c r="C4" s="1">
        <f>'Data Sheet'!C42</f>
        <v>3550.45</v>
      </c>
      <c r="D4" s="1">
        <f>'Data Sheet'!D42</f>
        <v>3700.96</v>
      </c>
      <c r="E4" s="1">
        <f>'Data Sheet'!E42</f>
        <v>4379.6099999999997</v>
      </c>
      <c r="F4" s="1">
        <f>'Data Sheet'!F42</f>
        <v>4196.8</v>
      </c>
      <c r="G4" s="1">
        <f>'Data Sheet'!G42</f>
        <v>4023.18</v>
      </c>
      <c r="H4" s="1">
        <f>'Data Sheet'!H42</f>
        <v>4010.7</v>
      </c>
      <c r="I4" s="1">
        <f>'Data Sheet'!I42</f>
        <v>4432.88</v>
      </c>
      <c r="J4" s="1">
        <f>'Data Sheet'!J42</f>
        <v>4256.33</v>
      </c>
      <c r="K4" s="1">
        <f>'Data Sheet'!K42</f>
        <v>4069.36</v>
      </c>
    </row>
    <row r="5" spans="1:11" x14ac:dyDescent="0.3">
      <c r="A5" s="6" t="s">
        <v>7</v>
      </c>
      <c r="B5" s="9">
        <f>'Data Sheet'!B43</f>
        <v>3035.97</v>
      </c>
      <c r="C5" s="9">
        <f>'Data Sheet'!C43</f>
        <v>3000.77</v>
      </c>
      <c r="D5" s="9">
        <f>'Data Sheet'!D43</f>
        <v>3200.37</v>
      </c>
      <c r="E5" s="9">
        <f>'Data Sheet'!E43</f>
        <v>3667.91</v>
      </c>
      <c r="F5" s="9">
        <f>'Data Sheet'!F43</f>
        <v>3379.22</v>
      </c>
      <c r="G5" s="9">
        <f>'Data Sheet'!G43</f>
        <v>3222.29</v>
      </c>
      <c r="H5" s="9">
        <f>'Data Sheet'!H43</f>
        <v>3321.82</v>
      </c>
      <c r="I5" s="9">
        <f>'Data Sheet'!I43</f>
        <v>3561.5</v>
      </c>
      <c r="J5" s="9">
        <f>'Data Sheet'!J43</f>
        <v>3436.58</v>
      </c>
      <c r="K5" s="9">
        <f>'Data Sheet'!K43</f>
        <v>3285.71</v>
      </c>
    </row>
    <row r="6" spans="1:11" s="8" customFormat="1" x14ac:dyDescent="0.3">
      <c r="A6" s="8" t="s">
        <v>8</v>
      </c>
      <c r="B6" s="1">
        <f>'Data Sheet'!B50</f>
        <v>539.01</v>
      </c>
      <c r="C6" s="1">
        <f>'Data Sheet'!C50</f>
        <v>549.67999999999995</v>
      </c>
      <c r="D6" s="1">
        <f>'Data Sheet'!D50</f>
        <v>500.59</v>
      </c>
      <c r="E6" s="1">
        <f>'Data Sheet'!E50</f>
        <v>711.7</v>
      </c>
      <c r="F6" s="1">
        <f>'Data Sheet'!F50</f>
        <v>817.58</v>
      </c>
      <c r="G6" s="1">
        <f>'Data Sheet'!G50</f>
        <v>800.89</v>
      </c>
      <c r="H6" s="1">
        <f>'Data Sheet'!H50</f>
        <v>688.88</v>
      </c>
      <c r="I6" s="1">
        <f>'Data Sheet'!I50</f>
        <v>871.38</v>
      </c>
      <c r="J6" s="1">
        <f>'Data Sheet'!J50</f>
        <v>819.75</v>
      </c>
      <c r="K6" s="1">
        <f>'Data Sheet'!K50</f>
        <v>783.65</v>
      </c>
    </row>
    <row r="7" spans="1:11" x14ac:dyDescent="0.3">
      <c r="A7" s="6" t="s">
        <v>9</v>
      </c>
      <c r="B7" s="9">
        <f>'Data Sheet'!B44</f>
        <v>54.15</v>
      </c>
      <c r="C7" s="9">
        <f>'Data Sheet'!C44</f>
        <v>53.91</v>
      </c>
      <c r="D7" s="9">
        <f>'Data Sheet'!D44</f>
        <v>55.5</v>
      </c>
      <c r="E7" s="9">
        <f>'Data Sheet'!E44</f>
        <v>53.3</v>
      </c>
      <c r="F7" s="9">
        <f>'Data Sheet'!F44</f>
        <v>427.82</v>
      </c>
      <c r="G7" s="9">
        <f>'Data Sheet'!G44</f>
        <v>60.4</v>
      </c>
      <c r="H7" s="9">
        <f>'Data Sheet'!H44</f>
        <v>56.92</v>
      </c>
      <c r="I7" s="9">
        <f>'Data Sheet'!I44</f>
        <v>52.35</v>
      </c>
      <c r="J7" s="9">
        <f>'Data Sheet'!J44</f>
        <v>47.66</v>
      </c>
      <c r="K7" s="9">
        <f>'Data Sheet'!K44</f>
        <v>57.34</v>
      </c>
    </row>
    <row r="8" spans="1:11" x14ac:dyDescent="0.3">
      <c r="A8" s="6" t="s">
        <v>10</v>
      </c>
      <c r="B8" s="9">
        <f>'Data Sheet'!B45</f>
        <v>50.38</v>
      </c>
      <c r="C8" s="9">
        <f>'Data Sheet'!C45</f>
        <v>50.93</v>
      </c>
      <c r="D8" s="9">
        <f>'Data Sheet'!D45</f>
        <v>50.96</v>
      </c>
      <c r="E8" s="9">
        <f>'Data Sheet'!E45</f>
        <v>51.66</v>
      </c>
      <c r="F8" s="9">
        <f>'Data Sheet'!F45</f>
        <v>57.96</v>
      </c>
      <c r="G8" s="9">
        <f>'Data Sheet'!G45</f>
        <v>65.33</v>
      </c>
      <c r="H8" s="9">
        <f>'Data Sheet'!H45</f>
        <v>70.760000000000005</v>
      </c>
      <c r="I8" s="9">
        <f>'Data Sheet'!I45</f>
        <v>71.680000000000007</v>
      </c>
      <c r="J8" s="9">
        <f>'Data Sheet'!J45</f>
        <v>78.09</v>
      </c>
      <c r="K8" s="9">
        <f>'Data Sheet'!K45</f>
        <v>79.930000000000007</v>
      </c>
    </row>
    <row r="9" spans="1:11" x14ac:dyDescent="0.3">
      <c r="A9" s="6" t="s">
        <v>11</v>
      </c>
      <c r="B9" s="9">
        <f>'Data Sheet'!B46</f>
        <v>37.380000000000003</v>
      </c>
      <c r="C9" s="9">
        <f>'Data Sheet'!C46</f>
        <v>33.75</v>
      </c>
      <c r="D9" s="9">
        <f>'Data Sheet'!D46</f>
        <v>41.97</v>
      </c>
      <c r="E9" s="9">
        <f>'Data Sheet'!E46</f>
        <v>54.14</v>
      </c>
      <c r="F9" s="9">
        <f>'Data Sheet'!F46</f>
        <v>38.130000000000003</v>
      </c>
      <c r="G9" s="9">
        <f>'Data Sheet'!G46</f>
        <v>34.86</v>
      </c>
      <c r="H9" s="9">
        <f>'Data Sheet'!H46</f>
        <v>53.05</v>
      </c>
      <c r="I9" s="9">
        <f>'Data Sheet'!I46</f>
        <v>53.42</v>
      </c>
      <c r="J9" s="9">
        <f>'Data Sheet'!J46</f>
        <v>31.09</v>
      </c>
      <c r="K9" s="9">
        <f>'Data Sheet'!K46</f>
        <v>26.44</v>
      </c>
    </row>
    <row r="10" spans="1:11" x14ac:dyDescent="0.3">
      <c r="A10" s="6" t="s">
        <v>12</v>
      </c>
      <c r="B10" s="9">
        <f>'Data Sheet'!B47</f>
        <v>505.4</v>
      </c>
      <c r="C10" s="9">
        <f>'Data Sheet'!C47</f>
        <v>518.91</v>
      </c>
      <c r="D10" s="9">
        <f>'Data Sheet'!D47</f>
        <v>463.16</v>
      </c>
      <c r="E10" s="9">
        <f>'Data Sheet'!E47</f>
        <v>659.2</v>
      </c>
      <c r="F10" s="9">
        <f>'Data Sheet'!F47</f>
        <v>1149.31</v>
      </c>
      <c r="G10" s="9">
        <f>'Data Sheet'!G47</f>
        <v>761.1</v>
      </c>
      <c r="H10" s="9">
        <f>'Data Sheet'!H47</f>
        <v>621.99</v>
      </c>
      <c r="I10" s="9">
        <f>'Data Sheet'!I47</f>
        <v>798.63</v>
      </c>
      <c r="J10" s="9">
        <f>'Data Sheet'!J47</f>
        <v>758.23</v>
      </c>
      <c r="K10" s="9">
        <f>'Data Sheet'!K47</f>
        <v>734.62</v>
      </c>
    </row>
    <row r="11" spans="1:11" x14ac:dyDescent="0.3">
      <c r="A11" s="6" t="s">
        <v>13</v>
      </c>
      <c r="B11" s="9">
        <f>'Data Sheet'!B48</f>
        <v>136.22</v>
      </c>
      <c r="C11" s="9">
        <f>'Data Sheet'!C48</f>
        <v>140.96</v>
      </c>
      <c r="D11" s="9">
        <f>'Data Sheet'!D48</f>
        <v>127.42</v>
      </c>
      <c r="E11" s="9">
        <f>'Data Sheet'!E48</f>
        <v>168.62</v>
      </c>
      <c r="F11" s="9">
        <f>'Data Sheet'!F48</f>
        <v>216.91</v>
      </c>
      <c r="G11" s="9">
        <f>'Data Sheet'!G48</f>
        <v>203.5</v>
      </c>
      <c r="H11" s="9">
        <f>'Data Sheet'!H48</f>
        <v>166.54</v>
      </c>
      <c r="I11" s="9">
        <f>'Data Sheet'!I48</f>
        <v>212.13</v>
      </c>
      <c r="J11" s="9">
        <f>'Data Sheet'!J48</f>
        <v>202.57</v>
      </c>
      <c r="K11" s="9">
        <f>'Data Sheet'!K48</f>
        <v>198.01</v>
      </c>
    </row>
    <row r="12" spans="1:11" s="8" customFormat="1" x14ac:dyDescent="0.3">
      <c r="A12" s="8" t="s">
        <v>14</v>
      </c>
      <c r="B12" s="1">
        <f>'Data Sheet'!B49</f>
        <v>371.18</v>
      </c>
      <c r="C12" s="1">
        <f>'Data Sheet'!C49</f>
        <v>379.87</v>
      </c>
      <c r="D12" s="1">
        <f>'Data Sheet'!D49</f>
        <v>337.44</v>
      </c>
      <c r="E12" s="1">
        <f>'Data Sheet'!E49</f>
        <v>493.28</v>
      </c>
      <c r="F12" s="1">
        <f>'Data Sheet'!F49</f>
        <v>932.39</v>
      </c>
      <c r="G12" s="1">
        <f>'Data Sheet'!G49</f>
        <v>558.66</v>
      </c>
      <c r="H12" s="1">
        <f>'Data Sheet'!H49</f>
        <v>457.55</v>
      </c>
      <c r="I12" s="1">
        <f>'Data Sheet'!I49</f>
        <v>587.59</v>
      </c>
      <c r="J12" s="1">
        <f>'Data Sheet'!J49</f>
        <v>556.39</v>
      </c>
      <c r="K12" s="1">
        <f>'Data Sheet'!K49</f>
        <v>538.28</v>
      </c>
    </row>
    <row r="14" spans="1:11" s="8" customFormat="1" x14ac:dyDescent="0.3">
      <c r="A14" s="2" t="s">
        <v>18</v>
      </c>
      <c r="B14" s="14">
        <f>IF(B4&gt;0,B6/B4,"")</f>
        <v>0.15077287145662352</v>
      </c>
      <c r="C14" s="14">
        <f t="shared" ref="C14:K14" si="0">IF(C4&gt;0,C6/C4,"")</f>
        <v>0.15481981157318087</v>
      </c>
      <c r="D14" s="14">
        <f t="shared" si="0"/>
        <v>0.13525950023777614</v>
      </c>
      <c r="E14" s="14">
        <f t="shared" si="0"/>
        <v>0.16250305392489287</v>
      </c>
      <c r="F14" s="14">
        <f t="shared" si="0"/>
        <v>0.19481033168128098</v>
      </c>
      <c r="G14" s="14">
        <f t="shared" si="0"/>
        <v>0.19906889574913378</v>
      </c>
      <c r="H14" s="14">
        <f t="shared" si="0"/>
        <v>0.17176054055401802</v>
      </c>
      <c r="I14" s="14">
        <f t="shared" si="0"/>
        <v>0.19657198029272166</v>
      </c>
      <c r="J14" s="14">
        <f t="shared" si="0"/>
        <v>0.19259549893922698</v>
      </c>
      <c r="K14" s="14">
        <f t="shared" si="0"/>
        <v>0.19257327933630841</v>
      </c>
    </row>
    <row r="22" s="30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A27" sqref="A27"/>
    </sheetView>
  </sheetViews>
  <sheetFormatPr defaultColWidth="8.77734375" defaultRowHeight="14.4" x14ac:dyDescent="0.3"/>
  <cols>
    <col min="1" max="1" width="22.77734375" style="11" bestFit="1" customWidth="1"/>
    <col min="2" max="2" width="13.44140625" style="11" customWidth="1"/>
    <col min="3" max="11" width="15.44140625" style="11" customWidth="1"/>
    <col min="12" max="16384" width="8.77734375" style="11"/>
  </cols>
  <sheetData>
    <row r="1" spans="1:11" s="8" customFormat="1" x14ac:dyDescent="0.3">
      <c r="A1" s="8" t="str">
        <f>'Profit &amp; Loss'!A1</f>
        <v>BRITANNIA INDUSTRIES LTD</v>
      </c>
      <c r="E1" t="str">
        <f>UPDATE</f>
        <v>BRITANIA INDUSTRIES LTD</v>
      </c>
      <c r="G1"/>
      <c r="J1" s="4" t="s">
        <v>1</v>
      </c>
      <c r="K1" s="4"/>
    </row>
    <row r="2" spans="1:11" x14ac:dyDescent="0.3">
      <c r="G2" s="8"/>
      <c r="H2" s="8"/>
    </row>
    <row r="3" spans="1:11" s="18" customFormat="1" x14ac:dyDescent="0.3">
      <c r="A3" s="15" t="s">
        <v>2</v>
      </c>
      <c r="B3" s="16">
        <f>'Data Sheet'!B56</f>
        <v>42094</v>
      </c>
      <c r="C3" s="16">
        <f>'Data Sheet'!C56</f>
        <v>42460</v>
      </c>
      <c r="D3" s="16">
        <f>'Data Sheet'!D56</f>
        <v>42825</v>
      </c>
      <c r="E3" s="16">
        <f>'Data Sheet'!E56</f>
        <v>43190</v>
      </c>
      <c r="F3" s="16">
        <f>'Data Sheet'!F56</f>
        <v>43555</v>
      </c>
      <c r="G3" s="16">
        <f>'Data Sheet'!G56</f>
        <v>43921</v>
      </c>
      <c r="H3" s="16">
        <f>'Data Sheet'!H56</f>
        <v>44286</v>
      </c>
      <c r="I3" s="16">
        <f>'Data Sheet'!I56</f>
        <v>44651</v>
      </c>
      <c r="J3" s="16">
        <f>'Data Sheet'!J56</f>
        <v>45016</v>
      </c>
      <c r="K3" s="16">
        <f>'Data Sheet'!K56</f>
        <v>45382</v>
      </c>
    </row>
    <row r="4" spans="1:11" x14ac:dyDescent="0.3">
      <c r="A4" s="6" t="s">
        <v>24</v>
      </c>
      <c r="B4" s="19">
        <f>'Data Sheet'!B57</f>
        <v>23.99</v>
      </c>
      <c r="C4" s="19">
        <f>'Data Sheet'!C57</f>
        <v>24</v>
      </c>
      <c r="D4" s="19">
        <f>'Data Sheet'!D57</f>
        <v>24</v>
      </c>
      <c r="E4" s="19">
        <f>'Data Sheet'!E57</f>
        <v>24.01</v>
      </c>
      <c r="F4" s="19">
        <f>'Data Sheet'!F57</f>
        <v>24.03</v>
      </c>
      <c r="G4" s="19">
        <f>'Data Sheet'!G57</f>
        <v>24.05</v>
      </c>
      <c r="H4" s="19">
        <f>'Data Sheet'!H57</f>
        <v>24.09</v>
      </c>
      <c r="I4" s="19">
        <f>'Data Sheet'!I57</f>
        <v>24.09</v>
      </c>
      <c r="J4" s="19">
        <f>'Data Sheet'!J57</f>
        <v>24.09</v>
      </c>
      <c r="K4" s="19">
        <f>'Data Sheet'!K57</f>
        <v>24.09</v>
      </c>
    </row>
    <row r="5" spans="1:11" s="6" customFormat="1" x14ac:dyDescent="0.3">
      <c r="A5" s="6" t="s">
        <v>25</v>
      </c>
      <c r="B5" s="19">
        <f>'Data Sheet'!B58</f>
        <v>1221.1199999999999</v>
      </c>
      <c r="C5" s="19">
        <f>'Data Sheet'!C58</f>
        <v>2067.6799999999998</v>
      </c>
      <c r="D5" s="19">
        <f>'Data Sheet'!D58</f>
        <v>2672.42</v>
      </c>
      <c r="E5" s="19">
        <f>'Data Sheet'!E58</f>
        <v>3382.22</v>
      </c>
      <c r="F5" s="19">
        <f>'Data Sheet'!F58</f>
        <v>4229.22</v>
      </c>
      <c r="G5" s="19">
        <f>'Data Sheet'!G58</f>
        <v>4378.78</v>
      </c>
      <c r="H5" s="19">
        <f>'Data Sheet'!H58</f>
        <v>3523.57</v>
      </c>
      <c r="I5" s="19">
        <f>'Data Sheet'!I58</f>
        <v>2534.0100000000002</v>
      </c>
      <c r="J5" s="19">
        <f>'Data Sheet'!J58</f>
        <v>3510.18</v>
      </c>
      <c r="K5" s="19">
        <f>'Data Sheet'!K58</f>
        <v>3917.43</v>
      </c>
    </row>
    <row r="6" spans="1:11" x14ac:dyDescent="0.3">
      <c r="A6" s="11" t="s">
        <v>71</v>
      </c>
      <c r="B6" s="19">
        <f>'Data Sheet'!B59</f>
        <v>145.07</v>
      </c>
      <c r="C6" s="19">
        <f>'Data Sheet'!C59</f>
        <v>131.05000000000001</v>
      </c>
      <c r="D6" s="19">
        <f>'Data Sheet'!D59</f>
        <v>124.56</v>
      </c>
      <c r="E6" s="19">
        <f>'Data Sheet'!E59</f>
        <v>200.7</v>
      </c>
      <c r="F6" s="19">
        <f>'Data Sheet'!F59</f>
        <v>156.02000000000001</v>
      </c>
      <c r="G6" s="19">
        <f>'Data Sheet'!G59</f>
        <v>1537.59</v>
      </c>
      <c r="H6" s="19">
        <f>'Data Sheet'!H59</f>
        <v>2121.5100000000002</v>
      </c>
      <c r="I6" s="19">
        <f>'Data Sheet'!I59</f>
        <v>2481.1999999999998</v>
      </c>
      <c r="J6" s="19">
        <f>'Data Sheet'!J59</f>
        <v>2997.37</v>
      </c>
      <c r="K6" s="19">
        <f>'Data Sheet'!K59</f>
        <v>2064.96</v>
      </c>
    </row>
    <row r="7" spans="1:11" s="6" customFormat="1" x14ac:dyDescent="0.3">
      <c r="A7" s="11" t="s">
        <v>72</v>
      </c>
      <c r="B7" s="19">
        <f>'Data Sheet'!B60</f>
        <v>1403.17</v>
      </c>
      <c r="C7" s="19">
        <f>'Data Sheet'!C60</f>
        <v>1271.18</v>
      </c>
      <c r="D7" s="19">
        <f>'Data Sheet'!D60</f>
        <v>1287.82</v>
      </c>
      <c r="E7" s="19">
        <f>'Data Sheet'!E60</f>
        <v>1580.99</v>
      </c>
      <c r="F7" s="19">
        <f>'Data Sheet'!F60</f>
        <v>1828.68</v>
      </c>
      <c r="G7" s="19">
        <f>'Data Sheet'!G60</f>
        <v>1889.12</v>
      </c>
      <c r="H7" s="19">
        <f>'Data Sheet'!H60</f>
        <v>2330.92</v>
      </c>
      <c r="I7" s="19">
        <f>'Data Sheet'!I60</f>
        <v>2487.3000000000002</v>
      </c>
      <c r="J7" s="19">
        <f>'Data Sheet'!J60</f>
        <v>2819.21</v>
      </c>
      <c r="K7" s="19">
        <f>'Data Sheet'!K60</f>
        <v>3067.08</v>
      </c>
    </row>
    <row r="8" spans="1:11" s="8" customFormat="1" x14ac:dyDescent="0.3">
      <c r="A8" s="8" t="s">
        <v>26</v>
      </c>
      <c r="B8" s="20">
        <f>'Data Sheet'!B61</f>
        <v>2793.35</v>
      </c>
      <c r="C8" s="20">
        <f>'Data Sheet'!C61</f>
        <v>3493.91</v>
      </c>
      <c r="D8" s="20">
        <f>'Data Sheet'!D61</f>
        <v>4108.8</v>
      </c>
      <c r="E8" s="20">
        <f>'Data Sheet'!E61</f>
        <v>5187.92</v>
      </c>
      <c r="F8" s="20">
        <f>'Data Sheet'!F61</f>
        <v>6237.95</v>
      </c>
      <c r="G8" s="20">
        <f>'Data Sheet'!G61</f>
        <v>7829.54</v>
      </c>
      <c r="H8" s="20">
        <f>'Data Sheet'!H61</f>
        <v>8000.09</v>
      </c>
      <c r="I8" s="20">
        <f>'Data Sheet'!I61</f>
        <v>7526.6</v>
      </c>
      <c r="J8" s="20">
        <f>'Data Sheet'!J61</f>
        <v>9350.85</v>
      </c>
      <c r="K8" s="20">
        <f>'Data Sheet'!K61</f>
        <v>9073.56</v>
      </c>
    </row>
    <row r="9" spans="1:11" s="8" customFormat="1" x14ac:dyDescent="0.3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3">
      <c r="A10" s="6" t="s">
        <v>27</v>
      </c>
      <c r="B10" s="19">
        <f>'Data Sheet'!B62</f>
        <v>844.07</v>
      </c>
      <c r="C10" s="19">
        <f>'Data Sheet'!C62</f>
        <v>950.24</v>
      </c>
      <c r="D10" s="19">
        <f>'Data Sheet'!D62</f>
        <v>1159.99</v>
      </c>
      <c r="E10" s="19">
        <f>'Data Sheet'!E62</f>
        <v>1345.6</v>
      </c>
      <c r="F10" s="19">
        <f>'Data Sheet'!F62</f>
        <v>1688.3</v>
      </c>
      <c r="G10" s="19">
        <f>'Data Sheet'!G62</f>
        <v>1878.18</v>
      </c>
      <c r="H10" s="19">
        <f>'Data Sheet'!H62</f>
        <v>1792.95</v>
      </c>
      <c r="I10" s="19">
        <f>'Data Sheet'!I62</f>
        <v>1753.21</v>
      </c>
      <c r="J10" s="19">
        <f>'Data Sheet'!J62</f>
        <v>2655.22</v>
      </c>
      <c r="K10" s="19">
        <f>'Data Sheet'!K62</f>
        <v>2771.14</v>
      </c>
    </row>
    <row r="11" spans="1:11" x14ac:dyDescent="0.3">
      <c r="A11" s="6" t="s">
        <v>28</v>
      </c>
      <c r="B11" s="19">
        <f>'Data Sheet'!B63</f>
        <v>48.37</v>
      </c>
      <c r="C11" s="19">
        <f>'Data Sheet'!C63</f>
        <v>90.07</v>
      </c>
      <c r="D11" s="19">
        <f>'Data Sheet'!D63</f>
        <v>30.07</v>
      </c>
      <c r="E11" s="19">
        <f>'Data Sheet'!E63</f>
        <v>202.82</v>
      </c>
      <c r="F11" s="19">
        <f>'Data Sheet'!F63</f>
        <v>101.24</v>
      </c>
      <c r="G11" s="19">
        <f>'Data Sheet'!G63</f>
        <v>39.549999999999997</v>
      </c>
      <c r="H11" s="19">
        <f>'Data Sheet'!H63</f>
        <v>116.52</v>
      </c>
      <c r="I11" s="19">
        <f>'Data Sheet'!I63</f>
        <v>535.67999999999995</v>
      </c>
      <c r="J11" s="19">
        <f>'Data Sheet'!J63</f>
        <v>105</v>
      </c>
      <c r="K11" s="19">
        <f>'Data Sheet'!K63</f>
        <v>187.54</v>
      </c>
    </row>
    <row r="12" spans="1:11" x14ac:dyDescent="0.3">
      <c r="A12" s="6" t="s">
        <v>29</v>
      </c>
      <c r="B12" s="19">
        <f>'Data Sheet'!B64</f>
        <v>517.94000000000005</v>
      </c>
      <c r="C12" s="19">
        <f>'Data Sheet'!C64</f>
        <v>788.38</v>
      </c>
      <c r="D12" s="19">
        <f>'Data Sheet'!D64</f>
        <v>486.85</v>
      </c>
      <c r="E12" s="19">
        <f>'Data Sheet'!E64</f>
        <v>1079.28</v>
      </c>
      <c r="F12" s="19">
        <f>'Data Sheet'!F64</f>
        <v>1476.28</v>
      </c>
      <c r="G12" s="19">
        <f>'Data Sheet'!G64</f>
        <v>2893.23</v>
      </c>
      <c r="H12" s="19">
        <f>'Data Sheet'!H64</f>
        <v>2780.91</v>
      </c>
      <c r="I12" s="19">
        <f>'Data Sheet'!I64</f>
        <v>1762.37</v>
      </c>
      <c r="J12" s="19">
        <f>'Data Sheet'!J64</f>
        <v>3324.24</v>
      </c>
      <c r="K12" s="19">
        <f>'Data Sheet'!K64</f>
        <v>2766.72</v>
      </c>
    </row>
    <row r="13" spans="1:11" x14ac:dyDescent="0.3">
      <c r="A13" s="11" t="s">
        <v>73</v>
      </c>
      <c r="B13" s="19">
        <f>'Data Sheet'!B65</f>
        <v>1382.97</v>
      </c>
      <c r="C13" s="19">
        <f>'Data Sheet'!C65</f>
        <v>1665.22</v>
      </c>
      <c r="D13" s="19">
        <f>'Data Sheet'!D65</f>
        <v>2431.89</v>
      </c>
      <c r="E13" s="19">
        <f>'Data Sheet'!E65</f>
        <v>2560.2199999999998</v>
      </c>
      <c r="F13" s="19">
        <f>'Data Sheet'!F65</f>
        <v>2972.13</v>
      </c>
      <c r="G13" s="19">
        <f>'Data Sheet'!G65</f>
        <v>3018.58</v>
      </c>
      <c r="H13" s="19">
        <f>'Data Sheet'!H65</f>
        <v>3309.71</v>
      </c>
      <c r="I13" s="19">
        <f>'Data Sheet'!I65</f>
        <v>3475.34</v>
      </c>
      <c r="J13" s="19">
        <f>'Data Sheet'!J65</f>
        <v>3266.39</v>
      </c>
      <c r="K13" s="19">
        <f>'Data Sheet'!K65</f>
        <v>3348.16</v>
      </c>
    </row>
    <row r="14" spans="1:11" s="8" customFormat="1" x14ac:dyDescent="0.3">
      <c r="A14" s="8" t="s">
        <v>26</v>
      </c>
      <c r="B14" s="19">
        <f>'Data Sheet'!B66</f>
        <v>2793.35</v>
      </c>
      <c r="C14" s="19">
        <f>'Data Sheet'!C66</f>
        <v>3493.91</v>
      </c>
      <c r="D14" s="19">
        <f>'Data Sheet'!D66</f>
        <v>4108.8</v>
      </c>
      <c r="E14" s="19">
        <f>'Data Sheet'!E66</f>
        <v>5187.92</v>
      </c>
      <c r="F14" s="19">
        <f>'Data Sheet'!F66</f>
        <v>6237.95</v>
      </c>
      <c r="G14" s="19">
        <f>'Data Sheet'!G66</f>
        <v>7829.54</v>
      </c>
      <c r="H14" s="19">
        <f>'Data Sheet'!H66</f>
        <v>8000.09</v>
      </c>
      <c r="I14" s="19">
        <f>'Data Sheet'!I66</f>
        <v>7526.6</v>
      </c>
      <c r="J14" s="19">
        <f>'Data Sheet'!J66</f>
        <v>9350.85</v>
      </c>
      <c r="K14" s="19">
        <f>'Data Sheet'!K66</f>
        <v>9073.56</v>
      </c>
    </row>
    <row r="15" spans="1:11" x14ac:dyDescent="0.3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3">
      <c r="A16" s="29" t="s">
        <v>30</v>
      </c>
      <c r="B16" s="21">
        <f>B13-B7</f>
        <v>-20.200000000000045</v>
      </c>
      <c r="C16" s="21">
        <f t="shared" ref="C16:K16" si="0">C13-C7</f>
        <v>394.03999999999996</v>
      </c>
      <c r="D16" s="21">
        <f t="shared" si="0"/>
        <v>1144.07</v>
      </c>
      <c r="E16" s="21">
        <f t="shared" si="0"/>
        <v>979.22999999999979</v>
      </c>
      <c r="F16" s="21">
        <f t="shared" si="0"/>
        <v>1143.45</v>
      </c>
      <c r="G16" s="21">
        <f t="shared" si="0"/>
        <v>1129.46</v>
      </c>
      <c r="H16" s="21">
        <f t="shared" si="0"/>
        <v>978.79</v>
      </c>
      <c r="I16" s="21">
        <f t="shared" si="0"/>
        <v>988.04</v>
      </c>
      <c r="J16" s="21">
        <f t="shared" si="0"/>
        <v>447.17999999999984</v>
      </c>
      <c r="K16" s="21">
        <f t="shared" si="0"/>
        <v>281.07999999999993</v>
      </c>
    </row>
    <row r="17" spans="1:11" x14ac:dyDescent="0.3">
      <c r="A17" s="11" t="s">
        <v>44</v>
      </c>
      <c r="B17" s="21">
        <f>'Data Sheet'!B67</f>
        <v>135.81</v>
      </c>
      <c r="C17" s="21">
        <f>'Data Sheet'!C67</f>
        <v>170.61</v>
      </c>
      <c r="D17" s="21">
        <f>'Data Sheet'!D67</f>
        <v>179.16</v>
      </c>
      <c r="E17" s="21">
        <f>'Data Sheet'!E67</f>
        <v>304.60000000000002</v>
      </c>
      <c r="F17" s="21">
        <f>'Data Sheet'!F67</f>
        <v>394.24</v>
      </c>
      <c r="G17" s="21">
        <f>'Data Sheet'!G67</f>
        <v>320.36</v>
      </c>
      <c r="H17" s="21">
        <f>'Data Sheet'!H67</f>
        <v>257.27</v>
      </c>
      <c r="I17" s="21">
        <f>'Data Sheet'!I67</f>
        <v>331.93</v>
      </c>
      <c r="J17" s="21">
        <f>'Data Sheet'!J67</f>
        <v>328.94</v>
      </c>
      <c r="K17" s="21">
        <f>'Data Sheet'!K67</f>
        <v>393.33</v>
      </c>
    </row>
    <row r="18" spans="1:11" x14ac:dyDescent="0.3">
      <c r="A18" s="11" t="s">
        <v>45</v>
      </c>
      <c r="B18" s="21">
        <f>'Data Sheet'!B68</f>
        <v>404.04</v>
      </c>
      <c r="C18" s="21">
        <f>'Data Sheet'!C68</f>
        <v>440.65</v>
      </c>
      <c r="D18" s="21">
        <f>'Data Sheet'!D68</f>
        <v>661.45</v>
      </c>
      <c r="E18" s="21">
        <f>'Data Sheet'!E68</f>
        <v>652.79</v>
      </c>
      <c r="F18" s="21">
        <f>'Data Sheet'!F68</f>
        <v>781.38</v>
      </c>
      <c r="G18" s="21">
        <f>'Data Sheet'!G68</f>
        <v>740.96</v>
      </c>
      <c r="H18" s="21">
        <f>'Data Sheet'!H68</f>
        <v>1091.49</v>
      </c>
      <c r="I18" s="21">
        <f>'Data Sheet'!I68</f>
        <v>1367.49</v>
      </c>
      <c r="J18" s="21">
        <f>'Data Sheet'!J68</f>
        <v>1193.26</v>
      </c>
      <c r="K18" s="21">
        <f>'Data Sheet'!K68</f>
        <v>1181.22</v>
      </c>
    </row>
    <row r="20" spans="1:11" x14ac:dyDescent="0.3">
      <c r="A20" s="11" t="s">
        <v>46</v>
      </c>
      <c r="B20" s="5">
        <f>IF('Profit &amp; Loss'!B4&gt;0,'Balance Sheet'!B17/('Profit &amp; Loss'!B4/365),0)</f>
        <v>6.3079664869019476</v>
      </c>
      <c r="C20" s="5">
        <f>IF('Profit &amp; Loss'!C4&gt;0,'Balance Sheet'!C17/('Profit &amp; Loss'!C4/365),0)</f>
        <v>7.4158561811454495</v>
      </c>
      <c r="D20" s="5">
        <f>IF('Profit &amp; Loss'!D4&gt;0,'Balance Sheet'!D17/('Profit &amp; Loss'!D4/365),0)</f>
        <v>7.2225259523596517</v>
      </c>
      <c r="E20" s="5">
        <f>IF('Profit &amp; Loss'!E4&gt;0,'Balance Sheet'!E17/('Profit &amp; Loss'!E4/365),0)</f>
        <v>11.2143546644691</v>
      </c>
      <c r="F20" s="5">
        <f>IF('Profit &amp; Loss'!F4&gt;0,'Balance Sheet'!F17/('Profit &amp; Loss'!F4/365),0)</f>
        <v>13.016905977292854</v>
      </c>
      <c r="G20" s="5">
        <f>IF('Profit &amp; Loss'!G4&gt;0,'Balance Sheet'!G17/('Profit &amp; Loss'!G4/365),0)</f>
        <v>10.080684164471899</v>
      </c>
      <c r="H20" s="5">
        <f>IF('Profit &amp; Loss'!H4&gt;0,'Balance Sheet'!H17/('Profit &amp; Loss'!H4/365),0)</f>
        <v>7.1484888254845034</v>
      </c>
      <c r="I20" s="5">
        <f>IF('Profit &amp; Loss'!I4&gt;0,'Balance Sheet'!I17/('Profit &amp; Loss'!I4/365),0)</f>
        <v>8.5704740857907247</v>
      </c>
      <c r="J20" s="5">
        <f>IF('Profit &amp; Loss'!J4&gt;0,'Balance Sheet'!J17/('Profit &amp; Loss'!J4/365),0)</f>
        <v>7.3655858237912222</v>
      </c>
      <c r="K20" s="5">
        <f>IF('Profit &amp; Loss'!K4&gt;0,'Balance Sheet'!K17/('Profit &amp; Loss'!K4/365),0)</f>
        <v>8.5612224026448374</v>
      </c>
    </row>
    <row r="21" spans="1:11" x14ac:dyDescent="0.3">
      <c r="A21" s="11" t="s">
        <v>47</v>
      </c>
      <c r="B21" s="5">
        <f>IF('Balance Sheet'!B18&gt;0,'Profit &amp; Loss'!B4/'Balance Sheet'!B18,0)</f>
        <v>19.449608949608947</v>
      </c>
      <c r="C21" s="5">
        <f>IF('Balance Sheet'!C18&gt;0,'Profit &amp; Loss'!C4/'Balance Sheet'!C18,0)</f>
        <v>19.056462044706684</v>
      </c>
      <c r="D21" s="5">
        <f>IF('Balance Sheet'!D18&gt;0,'Profit &amp; Loss'!D4/'Balance Sheet'!D18,0)</f>
        <v>13.688245521203417</v>
      </c>
      <c r="E21" s="5">
        <f>IF('Balance Sheet'!E18&gt;0,'Profit &amp; Loss'!E4/'Balance Sheet'!E18,0)</f>
        <v>15.18710458187166</v>
      </c>
      <c r="F21" s="5">
        <f>IF('Balance Sheet'!F18&gt;0,'Profit &amp; Loss'!F4/'Balance Sheet'!F18,0)</f>
        <v>14.147623435460339</v>
      </c>
      <c r="G21" s="5">
        <f>IF('Balance Sheet'!G18&gt;0,'Profit &amp; Loss'!G4/'Balance Sheet'!G18,0)</f>
        <v>15.654758691427336</v>
      </c>
      <c r="H21" s="5">
        <f>IF('Balance Sheet'!H18&gt;0,'Profit &amp; Loss'!H4/'Balance Sheet'!H18,0)</f>
        <v>12.035053000943664</v>
      </c>
      <c r="I21" s="5">
        <f>IF('Balance Sheet'!I18&gt;0,'Profit &amp; Loss'!I4/'Balance Sheet'!I18,0)</f>
        <v>10.33737723859041</v>
      </c>
      <c r="J21" s="5">
        <f>IF('Balance Sheet'!J18&gt;0,'Profit &amp; Loss'!J4/'Balance Sheet'!J18,0)</f>
        <v>13.660518244137908</v>
      </c>
      <c r="K21" s="5">
        <f>IF('Balance Sheet'!K18&gt;0,'Profit &amp; Loss'!K4/'Balance Sheet'!K18,0)</f>
        <v>14.196567955164999</v>
      </c>
    </row>
    <row r="23" spans="1:11" s="8" customFormat="1" x14ac:dyDescent="0.3">
      <c r="A23" s="8" t="s">
        <v>59</v>
      </c>
      <c r="B23" s="14">
        <f>IF(SUM('Balance Sheet'!B4:B5)&gt;0,'Profit &amp; Loss'!B12/SUM('Balance Sheet'!B4:B5),"")</f>
        <v>0.5530756318718828</v>
      </c>
      <c r="C23" s="14">
        <f>IF(SUM('Balance Sheet'!C4:C5)&gt;0,'Profit &amp; Loss'!C12/SUM('Balance Sheet'!C4:C5),"")</f>
        <v>0.39421900099441604</v>
      </c>
      <c r="D23" s="14">
        <f>IF(SUM('Balance Sheet'!D4:D5)&gt;0,'Profit &amp; Loss'!D12/SUM('Balance Sheet'!D4:D5),"")</f>
        <v>0.32801640693957174</v>
      </c>
      <c r="E23" s="14">
        <f>IF(SUM('Balance Sheet'!E4:E5)&gt;0,'Profit &amp; Loss'!E12/SUM('Balance Sheet'!E4:E5),"")</f>
        <v>0.29482154757605916</v>
      </c>
      <c r="F23" s="14">
        <f>IF(SUM('Balance Sheet'!F4:F5)&gt;0,'Profit &amp; Loss'!F12/SUM('Balance Sheet'!F4:F5),"")</f>
        <v>0.27252571562922467</v>
      </c>
      <c r="G23" s="14">
        <f>IF(SUM('Balance Sheet'!G4:G5)&gt;0,'Profit &amp; Loss'!G12/SUM('Balance Sheet'!G4:G5),"")</f>
        <v>0.31857464403576791</v>
      </c>
      <c r="H23" s="14">
        <f>IF(SUM('Balance Sheet'!H4:H5)&gt;0,'Profit &amp; Loss'!H12/SUM('Balance Sheet'!H4:H5),"")</f>
        <v>0.52538856598433892</v>
      </c>
      <c r="I23" s="14">
        <f>IF(SUM('Balance Sheet'!I4:I5)&gt;0,'Profit &amp; Loss'!I12/SUM('Balance Sheet'!I4:I5),"")</f>
        <v>0.59607521207145919</v>
      </c>
      <c r="J23" s="14">
        <f>IF(SUM('Balance Sheet'!J4:J5)&gt;0,'Profit &amp; Loss'!J12/SUM('Balance Sheet'!J4:J5),"")</f>
        <v>0.65693056840592257</v>
      </c>
      <c r="K23" s="14">
        <f>IF(SUM('Balance Sheet'!K4:K5)&gt;0,'Profit &amp; Loss'!K12/SUM('Balance Sheet'!K4:K5),"")</f>
        <v>0.54288954515009435</v>
      </c>
    </row>
    <row r="24" spans="1:11" s="8" customFormat="1" x14ac:dyDescent="0.3">
      <c r="A24" s="8" t="s">
        <v>60</v>
      </c>
      <c r="B24" s="14"/>
      <c r="C24" s="14">
        <f>IF((B4+B5+B6+C4+C5+C6)&gt;0,('Profit &amp; Loss'!C10+'Profit &amp; Loss'!C9)*2/(B4+B5+B6+C4+C5+C6),"")</f>
        <v>0.67830640674691589</v>
      </c>
      <c r="D24" s="14">
        <f>IF((C4+C5+C6+D4+D5+D6)&gt;0,('Profit &amp; Loss'!D10+'Profit &amp; Loss'!D9)*2/(C4+C5+C6+D4+D5+D6),"")</f>
        <v>0.5192407969530366</v>
      </c>
      <c r="E24" s="14">
        <f>IF((D4+D5+D6+E4+E5+E6)&gt;0,('Profit &amp; Loss'!E10+'Profit &amp; Loss'!E9)*2/(D4+D5+D6+E4+E5+E6),"")</f>
        <v>0.47473284473491384</v>
      </c>
      <c r="F24" s="14">
        <f>IF((E4+E5+E6+F4+F5+F6)&gt;0,('Profit &amp; Loss'!F10+'Profit &amp; Loss'!F9)*2/(E4+E5+E6+F4+F5+F6),"")</f>
        <v>0.44335720166662507</v>
      </c>
      <c r="G24" s="14">
        <f>IF((F4+F5+F6+G4+G5+G6)&gt;0,('Profit &amp; Loss'!G10+'Profit &amp; Loss'!G9)*2/(F4+F5+F6+G4+G5+G6),"")</f>
        <v>0.37125749660134749</v>
      </c>
      <c r="H24" s="14">
        <f>IF((G4+G5+G6+H4+H5+H6)&gt;0,('Profit &amp; Loss'!H10+'Profit &amp; Loss'!H9)*2/(G4+G5+G6+H4+H5+H6),"")</f>
        <v>0.45212793905727938</v>
      </c>
      <c r="I24" s="14">
        <f>IF((H4+H5+H6+I4+I5+I6)&gt;0,('Profit &amp; Loss'!I10+'Profit &amp; Loss'!I9)*2/(H4+H5+H6+I4+I5+I6),"")</f>
        <v>0.41511439075797002</v>
      </c>
      <c r="J24" s="14">
        <f>IF((I4+I5+I6+J4+J5+J6)&gt;0,('Profit &amp; Loss'!J10+'Profit &amp; Loss'!J9)*2/(I4+I5+I6+J4+J5+J6),"")</f>
        <v>0.55343299680060565</v>
      </c>
      <c r="K24" s="14">
        <f>IF((J4+J5+J6+K4+K5+K6)&gt;0,('Profit &amp; Loss'!K10+'Profit &amp; Loss'!K9)*2/(J4+J5+J6+K4+K5+K6),"")</f>
        <v>0.49089815698047234</v>
      </c>
    </row>
    <row r="25" spans="1:11" s="18" customFormat="1" x14ac:dyDescent="0.3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style="6" bestFit="1" customWidth="1"/>
    <col min="2" max="6" width="13.44140625" style="6" customWidth="1"/>
    <col min="7" max="11" width="13.44140625" style="6" bestFit="1" customWidth="1"/>
    <col min="12" max="16384" width="8.77734375" style="6"/>
  </cols>
  <sheetData>
    <row r="1" spans="1:11" s="8" customFormat="1" x14ac:dyDescent="0.3">
      <c r="A1" s="8" t="str">
        <f>'Balance Sheet'!A1</f>
        <v>BRITANNIA INDUSTRIES LTD</v>
      </c>
      <c r="E1" t="str">
        <f>UPDATE</f>
        <v>BRITANIA INDUSTRIES LTD</v>
      </c>
      <c r="F1"/>
      <c r="J1" s="4" t="s">
        <v>1</v>
      </c>
      <c r="K1" s="4"/>
    </row>
    <row r="3" spans="1:11" s="2" customFormat="1" x14ac:dyDescent="0.3">
      <c r="A3" s="15" t="s">
        <v>2</v>
      </c>
      <c r="B3" s="16">
        <f>'Data Sheet'!B81</f>
        <v>42094</v>
      </c>
      <c r="C3" s="16">
        <f>'Data Sheet'!C81</f>
        <v>42460</v>
      </c>
      <c r="D3" s="16">
        <f>'Data Sheet'!D81</f>
        <v>42825</v>
      </c>
      <c r="E3" s="16">
        <f>'Data Sheet'!E81</f>
        <v>43190</v>
      </c>
      <c r="F3" s="16">
        <f>'Data Sheet'!F81</f>
        <v>43555</v>
      </c>
      <c r="G3" s="16">
        <f>'Data Sheet'!G81</f>
        <v>43921</v>
      </c>
      <c r="H3" s="16">
        <f>'Data Sheet'!H81</f>
        <v>44286</v>
      </c>
      <c r="I3" s="16">
        <f>'Data Sheet'!I81</f>
        <v>44651</v>
      </c>
      <c r="J3" s="16">
        <f>'Data Sheet'!J81</f>
        <v>45016</v>
      </c>
      <c r="K3" s="16">
        <f>'Data Sheet'!K81</f>
        <v>45382</v>
      </c>
    </row>
    <row r="4" spans="1:11" s="8" customFormat="1" x14ac:dyDescent="0.3">
      <c r="A4" s="8" t="s">
        <v>32</v>
      </c>
      <c r="B4" s="1">
        <f>'Data Sheet'!B82</f>
        <v>584.46</v>
      </c>
      <c r="C4" s="1">
        <f>'Data Sheet'!C82</f>
        <v>959.23</v>
      </c>
      <c r="D4" s="1">
        <f>'Data Sheet'!D82</f>
        <v>441.28</v>
      </c>
      <c r="E4" s="1">
        <f>'Data Sheet'!E82</f>
        <v>1248.77</v>
      </c>
      <c r="F4" s="1">
        <f>'Data Sheet'!F82</f>
        <v>1155.78</v>
      </c>
      <c r="G4" s="1">
        <f>'Data Sheet'!G82</f>
        <v>1484.53</v>
      </c>
      <c r="H4" s="1">
        <f>'Data Sheet'!H82</f>
        <v>1875.52</v>
      </c>
      <c r="I4" s="1">
        <f>'Data Sheet'!I82</f>
        <v>1299.52</v>
      </c>
      <c r="J4" s="1">
        <f>'Data Sheet'!J82</f>
        <v>2526.21</v>
      </c>
      <c r="K4" s="1">
        <f>'Data Sheet'!K82</f>
        <v>2572.98</v>
      </c>
    </row>
    <row r="5" spans="1:11" x14ac:dyDescent="0.3">
      <c r="A5" s="6" t="s">
        <v>33</v>
      </c>
      <c r="B5" s="9">
        <f>'Data Sheet'!B83</f>
        <v>-450.3</v>
      </c>
      <c r="C5" s="9">
        <f>'Data Sheet'!C83</f>
        <v>-705.2</v>
      </c>
      <c r="D5" s="9">
        <f>'Data Sheet'!D83</f>
        <v>-149.85</v>
      </c>
      <c r="E5" s="9">
        <f>'Data Sheet'!E83</f>
        <v>-956.52</v>
      </c>
      <c r="F5" s="9">
        <f>'Data Sheet'!F83</f>
        <v>-852.22</v>
      </c>
      <c r="G5" s="9">
        <f>'Data Sheet'!G83</f>
        <v>-1525.93</v>
      </c>
      <c r="H5" s="9">
        <f>'Data Sheet'!H83</f>
        <v>433.17</v>
      </c>
      <c r="I5" s="9">
        <f>'Data Sheet'!I83</f>
        <v>914.19</v>
      </c>
      <c r="J5" s="9">
        <f>'Data Sheet'!J83</f>
        <v>-1507</v>
      </c>
      <c r="K5" s="9">
        <f>'Data Sheet'!K83</f>
        <v>475.5</v>
      </c>
    </row>
    <row r="6" spans="1:11" x14ac:dyDescent="0.3">
      <c r="A6" s="6" t="s">
        <v>34</v>
      </c>
      <c r="B6" s="9">
        <f>'Data Sheet'!B84</f>
        <v>-181.37</v>
      </c>
      <c r="C6" s="9">
        <f>'Data Sheet'!C84</f>
        <v>-246.18</v>
      </c>
      <c r="D6" s="9">
        <f>'Data Sheet'!D84</f>
        <v>-295.08</v>
      </c>
      <c r="E6" s="9">
        <f>'Data Sheet'!E84</f>
        <v>-231.75</v>
      </c>
      <c r="F6" s="9">
        <f>'Data Sheet'!F84</f>
        <v>-352.68</v>
      </c>
      <c r="G6" s="9">
        <f>'Data Sheet'!G84</f>
        <v>57.94</v>
      </c>
      <c r="H6" s="9">
        <f>'Data Sheet'!H84</f>
        <v>-2242.5</v>
      </c>
      <c r="I6" s="9">
        <f>'Data Sheet'!I84</f>
        <v>-2245.84</v>
      </c>
      <c r="J6" s="9">
        <f>'Data Sheet'!J84</f>
        <v>-1028.3699999999999</v>
      </c>
      <c r="K6" s="9">
        <f>'Data Sheet'!K84</f>
        <v>-2830.48</v>
      </c>
    </row>
    <row r="7" spans="1:11" s="8" customFormat="1" x14ac:dyDescent="0.3">
      <c r="A7" s="8" t="s">
        <v>35</v>
      </c>
      <c r="B7" s="1">
        <f>'Data Sheet'!B85</f>
        <v>-47.21</v>
      </c>
      <c r="C7" s="1">
        <f>'Data Sheet'!C85</f>
        <v>7.85</v>
      </c>
      <c r="D7" s="1">
        <f>'Data Sheet'!D85</f>
        <v>-3.65</v>
      </c>
      <c r="E7" s="1">
        <f>'Data Sheet'!E85</f>
        <v>60.5</v>
      </c>
      <c r="F7" s="1">
        <f>'Data Sheet'!F85</f>
        <v>-49.12</v>
      </c>
      <c r="G7" s="1">
        <f>'Data Sheet'!G85</f>
        <v>16.54</v>
      </c>
      <c r="H7" s="1">
        <f>'Data Sheet'!H85</f>
        <v>66.19</v>
      </c>
      <c r="I7" s="1">
        <f>'Data Sheet'!I85</f>
        <v>-32.130000000000003</v>
      </c>
      <c r="J7" s="1">
        <f>'Data Sheet'!J85</f>
        <v>-9.16</v>
      </c>
      <c r="K7" s="1">
        <f>'Data Sheet'!K85</f>
        <v>218</v>
      </c>
    </row>
    <row r="8" spans="1:11" x14ac:dyDescent="0.3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8"/>
    <col min="2" max="2" width="10.44140625" style="11" customWidth="1"/>
    <col min="3" max="3" width="13.33203125" style="26" customWidth="1"/>
    <col min="4" max="5" width="8.77734375" style="11"/>
    <col min="6" max="6" width="6.77734375" style="11" customWidth="1"/>
    <col min="7" max="16384" width="8.77734375" style="11"/>
  </cols>
  <sheetData>
    <row r="1" spans="1:7" ht="21" x14ac:dyDescent="0.4">
      <c r="A1" s="25" t="s">
        <v>56</v>
      </c>
    </row>
    <row r="3" spans="1:7" x14ac:dyDescent="0.3">
      <c r="A3" s="8" t="s">
        <v>48</v>
      </c>
    </row>
    <row r="4" spans="1:7" x14ac:dyDescent="0.3">
      <c r="B4" s="11" t="s">
        <v>90</v>
      </c>
    </row>
    <row r="5" spans="1:7" x14ac:dyDescent="0.3">
      <c r="B5" s="11" t="s">
        <v>49</v>
      </c>
    </row>
    <row r="7" spans="1:7" x14ac:dyDescent="0.3">
      <c r="A7" s="8" t="s">
        <v>50</v>
      </c>
    </row>
    <row r="8" spans="1:7" x14ac:dyDescent="0.3">
      <c r="B8" s="11" t="s">
        <v>51</v>
      </c>
      <c r="C8" s="27" t="s">
        <v>91</v>
      </c>
    </row>
    <row r="10" spans="1:7" x14ac:dyDescent="0.3">
      <c r="A10" s="8" t="s">
        <v>52</v>
      </c>
    </row>
    <row r="11" spans="1:7" x14ac:dyDescent="0.3">
      <c r="B11" s="11" t="s">
        <v>53</v>
      </c>
    </row>
    <row r="14" spans="1:7" x14ac:dyDescent="0.3">
      <c r="A14" s="8" t="s">
        <v>54</v>
      </c>
    </row>
    <row r="15" spans="1:7" x14ac:dyDescent="0.3">
      <c r="B15" s="11" t="s">
        <v>55</v>
      </c>
    </row>
    <row r="16" spans="1:7" x14ac:dyDescent="0.3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B34" activePane="bottomRight" state="frozen"/>
      <selection activeCell="C4" sqref="C4"/>
      <selection pane="topRight" activeCell="C4" sqref="C4"/>
      <selection pane="bottomLeft" activeCell="C4" sqref="C4"/>
      <selection pane="bottomRight" activeCell="K30" sqref="K30"/>
    </sheetView>
  </sheetViews>
  <sheetFormatPr defaultColWidth="8.77734375" defaultRowHeight="14.4" x14ac:dyDescent="0.3"/>
  <cols>
    <col min="1" max="1" width="27.6640625" style="5" bestFit="1" customWidth="1"/>
    <col min="2" max="11" width="13.44140625" style="5" bestFit="1" customWidth="1"/>
    <col min="12" max="16384" width="8.77734375" style="5"/>
  </cols>
  <sheetData>
    <row r="1" spans="1:11" s="1" customFormat="1" x14ac:dyDescent="0.3">
      <c r="A1" s="1" t="s">
        <v>0</v>
      </c>
      <c r="B1" s="1" t="s">
        <v>63</v>
      </c>
      <c r="E1" s="33" t="s">
        <v>93</v>
      </c>
      <c r="F1" s="33"/>
      <c r="G1" s="33"/>
      <c r="H1" s="33"/>
      <c r="I1" s="33"/>
      <c r="J1" s="33"/>
      <c r="K1" s="33"/>
    </row>
    <row r="2" spans="1:11" x14ac:dyDescent="0.3">
      <c r="A2" s="1" t="s">
        <v>61</v>
      </c>
      <c r="B2" s="5">
        <v>2.1</v>
      </c>
      <c r="E2" s="32" t="s">
        <v>36</v>
      </c>
      <c r="F2" s="32"/>
      <c r="G2" s="32"/>
      <c r="H2" s="32"/>
      <c r="I2" s="32"/>
      <c r="J2" s="32"/>
      <c r="K2" s="32"/>
    </row>
    <row r="3" spans="1:11" x14ac:dyDescent="0.3">
      <c r="A3" s="1" t="s">
        <v>62</v>
      </c>
      <c r="B3" s="5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5" t="s">
        <v>42</v>
      </c>
      <c r="B6" s="5">
        <f>IF(B9&gt;0, B9/B8, 0)</f>
        <v>24.087969164424603</v>
      </c>
    </row>
    <row r="7" spans="1:11" x14ac:dyDescent="0.3">
      <c r="A7" s="5" t="s">
        <v>31</v>
      </c>
      <c r="B7">
        <v>1</v>
      </c>
    </row>
    <row r="8" spans="1:11" x14ac:dyDescent="0.3">
      <c r="A8" s="5" t="s">
        <v>43</v>
      </c>
      <c r="B8">
        <v>5240.7</v>
      </c>
    </row>
    <row r="9" spans="1:11" x14ac:dyDescent="0.3">
      <c r="A9" s="5" t="s">
        <v>79</v>
      </c>
      <c r="B9">
        <v>126237.82</v>
      </c>
    </row>
    <row r="15" spans="1:11" x14ac:dyDescent="0.3">
      <c r="A15" s="1" t="s">
        <v>37</v>
      </c>
    </row>
    <row r="16" spans="1:11" s="24" customFormat="1" x14ac:dyDescent="0.3">
      <c r="A16" s="23" t="s">
        <v>38</v>
      </c>
      <c r="B16" s="16">
        <v>42094</v>
      </c>
      <c r="C16" s="16">
        <v>42460</v>
      </c>
      <c r="D16" s="16">
        <v>42825</v>
      </c>
      <c r="E16" s="16">
        <v>43190</v>
      </c>
      <c r="F16" s="16">
        <v>43555</v>
      </c>
      <c r="G16" s="16">
        <v>43921</v>
      </c>
      <c r="H16" s="16">
        <v>44286</v>
      </c>
      <c r="I16" s="16">
        <v>44651</v>
      </c>
      <c r="J16" s="16">
        <v>45016</v>
      </c>
      <c r="K16" s="16">
        <v>45382</v>
      </c>
    </row>
    <row r="17" spans="1:11" s="9" customFormat="1" x14ac:dyDescent="0.3">
      <c r="A17" s="9" t="s">
        <v>6</v>
      </c>
      <c r="B17">
        <v>7858.42</v>
      </c>
      <c r="C17">
        <v>8397.23</v>
      </c>
      <c r="D17">
        <v>9054.09</v>
      </c>
      <c r="E17">
        <v>9913.99</v>
      </c>
      <c r="F17">
        <v>11054.67</v>
      </c>
      <c r="G17">
        <v>11599.55</v>
      </c>
      <c r="H17">
        <v>13136.14</v>
      </c>
      <c r="I17">
        <v>14136.26</v>
      </c>
      <c r="J17">
        <v>16300.55</v>
      </c>
      <c r="K17">
        <v>16769.27</v>
      </c>
    </row>
    <row r="18" spans="1:11" s="9" customFormat="1" x14ac:dyDescent="0.3">
      <c r="A18" s="5" t="s">
        <v>80</v>
      </c>
      <c r="B18">
        <v>4722.21</v>
      </c>
      <c r="C18">
        <v>5016.99</v>
      </c>
      <c r="D18">
        <v>5642.88</v>
      </c>
      <c r="E18">
        <v>6100.8</v>
      </c>
      <c r="F18">
        <v>6616.64</v>
      </c>
      <c r="G18">
        <v>6874.9</v>
      </c>
      <c r="H18">
        <v>7663.22</v>
      </c>
      <c r="I18">
        <v>8835.56</v>
      </c>
      <c r="J18">
        <v>9663.83</v>
      </c>
      <c r="K18">
        <v>9488.3700000000008</v>
      </c>
    </row>
    <row r="19" spans="1:11" s="9" customFormat="1" x14ac:dyDescent="0.3">
      <c r="A19" s="5" t="s">
        <v>81</v>
      </c>
      <c r="B19">
        <v>30.4</v>
      </c>
      <c r="C19">
        <v>4.2699999999999996</v>
      </c>
      <c r="D19">
        <v>54.2</v>
      </c>
      <c r="E19">
        <v>-6.3</v>
      </c>
      <c r="F19">
        <v>55.18</v>
      </c>
      <c r="G19">
        <v>-52.57</v>
      </c>
      <c r="H19">
        <v>37.119999999999997</v>
      </c>
      <c r="I19">
        <v>75.260000000000005</v>
      </c>
      <c r="J19">
        <v>72.53</v>
      </c>
      <c r="K19">
        <v>-3.66</v>
      </c>
    </row>
    <row r="20" spans="1:11" s="9" customFormat="1" x14ac:dyDescent="0.3">
      <c r="A20" s="5" t="s">
        <v>82</v>
      </c>
      <c r="B20">
        <v>110.96</v>
      </c>
      <c r="C20">
        <v>95.16</v>
      </c>
      <c r="D20">
        <v>104.28</v>
      </c>
      <c r="E20">
        <v>128.83000000000001</v>
      </c>
      <c r="F20">
        <v>175.17</v>
      </c>
      <c r="G20">
        <v>177.7</v>
      </c>
      <c r="H20">
        <v>182.29</v>
      </c>
      <c r="I20">
        <v>217.68</v>
      </c>
      <c r="J20">
        <v>272.2</v>
      </c>
    </row>
    <row r="21" spans="1:11" s="9" customFormat="1" x14ac:dyDescent="0.3">
      <c r="A21" s="5" t="s">
        <v>83</v>
      </c>
      <c r="B21">
        <v>555.67999999999995</v>
      </c>
      <c r="C21">
        <v>510.15</v>
      </c>
      <c r="D21">
        <v>509.93</v>
      </c>
      <c r="E21">
        <v>487.59</v>
      </c>
      <c r="F21">
        <v>621.32000000000005</v>
      </c>
      <c r="G21">
        <v>610.67999999999995</v>
      </c>
      <c r="H21">
        <v>672.21</v>
      </c>
      <c r="I21">
        <v>752.29</v>
      </c>
      <c r="J21">
        <v>893.75</v>
      </c>
    </row>
    <row r="22" spans="1:11" s="9" customFormat="1" x14ac:dyDescent="0.3">
      <c r="A22" s="5" t="s">
        <v>84</v>
      </c>
      <c r="B22">
        <v>294.44</v>
      </c>
      <c r="C22">
        <v>341.36</v>
      </c>
      <c r="D22">
        <v>352.61</v>
      </c>
      <c r="E22">
        <v>401.6</v>
      </c>
      <c r="F22">
        <v>441.82</v>
      </c>
      <c r="G22">
        <v>486.69</v>
      </c>
      <c r="H22">
        <v>527.38</v>
      </c>
      <c r="I22">
        <v>542.26</v>
      </c>
      <c r="J22">
        <v>658.38</v>
      </c>
      <c r="K22">
        <v>708.7</v>
      </c>
    </row>
    <row r="23" spans="1:11" s="9" customFormat="1" x14ac:dyDescent="0.3">
      <c r="A23" s="5" t="s">
        <v>85</v>
      </c>
      <c r="B23">
        <v>1129.07</v>
      </c>
      <c r="C23">
        <v>956.77</v>
      </c>
      <c r="D23">
        <v>915.01</v>
      </c>
      <c r="E23">
        <v>953.48</v>
      </c>
      <c r="F23">
        <v>1107.49</v>
      </c>
      <c r="G23">
        <v>1125.23</v>
      </c>
      <c r="H23">
        <v>1163.82</v>
      </c>
      <c r="I23">
        <v>1187.32</v>
      </c>
      <c r="J23">
        <v>1473.86</v>
      </c>
    </row>
    <row r="24" spans="1:11" s="9" customFormat="1" x14ac:dyDescent="0.3">
      <c r="A24" s="5" t="s">
        <v>86</v>
      </c>
      <c r="B24">
        <v>206.14</v>
      </c>
      <c r="C24">
        <v>257.5</v>
      </c>
      <c r="D24">
        <v>305.39999999999998</v>
      </c>
      <c r="E24">
        <v>333.92</v>
      </c>
      <c r="F24">
        <v>414.96</v>
      </c>
      <c r="G24">
        <v>428.6</v>
      </c>
      <c r="H24">
        <v>455.05</v>
      </c>
      <c r="I24">
        <v>475.1</v>
      </c>
      <c r="J24">
        <v>580.15</v>
      </c>
      <c r="K24">
        <v>3401.89</v>
      </c>
    </row>
    <row r="25" spans="1:11" s="9" customFormat="1" x14ac:dyDescent="0.3">
      <c r="A25" s="9" t="s">
        <v>9</v>
      </c>
      <c r="B25">
        <v>227.61</v>
      </c>
      <c r="C25">
        <v>115.17</v>
      </c>
      <c r="D25">
        <v>150.54</v>
      </c>
      <c r="E25">
        <v>166.37</v>
      </c>
      <c r="F25">
        <v>206.45</v>
      </c>
      <c r="G25">
        <v>262.83</v>
      </c>
      <c r="H25">
        <v>313.07</v>
      </c>
      <c r="I25">
        <v>221.85</v>
      </c>
      <c r="J25">
        <v>596.87</v>
      </c>
      <c r="K25">
        <v>211.28</v>
      </c>
    </row>
    <row r="26" spans="1:11" s="9" customFormat="1" x14ac:dyDescent="0.3">
      <c r="A26" s="9" t="s">
        <v>10</v>
      </c>
      <c r="B26">
        <v>144.47999999999999</v>
      </c>
      <c r="C26">
        <v>113.41</v>
      </c>
      <c r="D26">
        <v>119.27</v>
      </c>
      <c r="E26">
        <v>142.07</v>
      </c>
      <c r="F26">
        <v>161.88</v>
      </c>
      <c r="G26">
        <v>184.81</v>
      </c>
      <c r="H26">
        <v>197.85</v>
      </c>
      <c r="I26">
        <v>200.54</v>
      </c>
      <c r="J26">
        <v>225.91</v>
      </c>
      <c r="K26">
        <v>300.45999999999998</v>
      </c>
    </row>
    <row r="27" spans="1:11" s="9" customFormat="1" x14ac:dyDescent="0.3">
      <c r="A27" s="9" t="s">
        <v>11</v>
      </c>
      <c r="B27">
        <v>3.86</v>
      </c>
      <c r="C27">
        <v>4.87</v>
      </c>
      <c r="D27">
        <v>5.45</v>
      </c>
      <c r="E27">
        <v>7.59</v>
      </c>
      <c r="F27">
        <v>9.09</v>
      </c>
      <c r="G27">
        <v>76.900000000000006</v>
      </c>
      <c r="H27">
        <v>110.9</v>
      </c>
      <c r="I27">
        <v>144.29</v>
      </c>
      <c r="J27">
        <v>169.1</v>
      </c>
      <c r="K27">
        <v>164</v>
      </c>
    </row>
    <row r="28" spans="1:11" s="9" customFormat="1" x14ac:dyDescent="0.3">
      <c r="A28" s="9" t="s">
        <v>12</v>
      </c>
      <c r="B28">
        <v>949.59</v>
      </c>
      <c r="C28">
        <v>1220.46</v>
      </c>
      <c r="D28">
        <v>1304</v>
      </c>
      <c r="E28">
        <v>1518.18</v>
      </c>
      <c r="F28">
        <v>1767.93</v>
      </c>
      <c r="G28">
        <v>1844.3</v>
      </c>
      <c r="H28">
        <v>2513.61</v>
      </c>
      <c r="I28">
        <v>2078.33</v>
      </c>
      <c r="J28">
        <v>3032.77</v>
      </c>
      <c r="K28">
        <v>2913.47</v>
      </c>
    </row>
    <row r="29" spans="1:11" s="9" customFormat="1" x14ac:dyDescent="0.3">
      <c r="A29" s="9" t="s">
        <v>13</v>
      </c>
      <c r="B29">
        <v>261.11</v>
      </c>
      <c r="C29">
        <v>396.1</v>
      </c>
      <c r="D29">
        <v>419.67</v>
      </c>
      <c r="E29">
        <v>514.22</v>
      </c>
      <c r="F29">
        <v>612.47</v>
      </c>
      <c r="G29">
        <v>450.7</v>
      </c>
      <c r="H29">
        <v>663.02</v>
      </c>
      <c r="I29">
        <v>562.35</v>
      </c>
      <c r="J29">
        <v>716.45</v>
      </c>
      <c r="K29">
        <v>779.25</v>
      </c>
    </row>
    <row r="30" spans="1:11" s="9" customFormat="1" x14ac:dyDescent="0.3">
      <c r="A30" s="9" t="s">
        <v>14</v>
      </c>
      <c r="B30">
        <v>688.64</v>
      </c>
      <c r="C30">
        <v>824.58</v>
      </c>
      <c r="D30">
        <v>884.47</v>
      </c>
      <c r="E30">
        <v>1004.23</v>
      </c>
      <c r="F30">
        <v>1159.1199999999999</v>
      </c>
      <c r="G30">
        <v>1402.63</v>
      </c>
      <c r="H30">
        <v>1863.9</v>
      </c>
      <c r="I30">
        <v>1524.82</v>
      </c>
      <c r="J30">
        <v>2321.77</v>
      </c>
      <c r="K30">
        <v>2139.81</v>
      </c>
    </row>
    <row r="31" spans="1:11" s="9" customFormat="1" x14ac:dyDescent="0.3">
      <c r="A31" s="9" t="s">
        <v>70</v>
      </c>
      <c r="B31">
        <v>191.92</v>
      </c>
      <c r="C31">
        <v>240</v>
      </c>
      <c r="D31">
        <v>264</v>
      </c>
      <c r="E31">
        <v>300.12</v>
      </c>
      <c r="F31">
        <v>360.45</v>
      </c>
      <c r="G31">
        <v>841.75</v>
      </c>
      <c r="H31">
        <v>3794.18</v>
      </c>
      <c r="I31">
        <v>1361.08</v>
      </c>
      <c r="J31">
        <v>1734.48</v>
      </c>
      <c r="K31">
        <v>1770.62</v>
      </c>
    </row>
    <row r="32" spans="1:11" s="9" customFormat="1" x14ac:dyDescent="0.3"/>
    <row r="33" spans="1:11" x14ac:dyDescent="0.3">
      <c r="A33" s="9"/>
      <c r="F33" s="5">
        <f>SUM(F17,F25)-SUM(F18,F20:F24,F26:F27,F29)</f>
        <v>1100.2800000000025</v>
      </c>
    </row>
    <row r="34" spans="1:11" x14ac:dyDescent="0.3">
      <c r="A34" s="9"/>
      <c r="D34" s="5">
        <v>7799</v>
      </c>
    </row>
    <row r="35" spans="1:11" x14ac:dyDescent="0.3">
      <c r="A35" s="9"/>
    </row>
    <row r="36" spans="1:11" x14ac:dyDescent="0.3">
      <c r="A36" s="9"/>
    </row>
    <row r="37" spans="1:11" x14ac:dyDescent="0.3">
      <c r="A37" s="9"/>
    </row>
    <row r="38" spans="1:11" x14ac:dyDescent="0.3">
      <c r="A38" s="9"/>
    </row>
    <row r="39" spans="1:11" x14ac:dyDescent="0.3">
      <c r="A39" s="9"/>
    </row>
    <row r="40" spans="1:11" x14ac:dyDescent="0.3">
      <c r="A40" s="1" t="s">
        <v>39</v>
      </c>
    </row>
    <row r="41" spans="1:11" s="24" customFormat="1" x14ac:dyDescent="0.3">
      <c r="A41" s="23" t="s">
        <v>38</v>
      </c>
      <c r="B41" s="16">
        <v>44561</v>
      </c>
      <c r="C41" s="16">
        <v>44651</v>
      </c>
      <c r="D41" s="16">
        <v>44742</v>
      </c>
      <c r="E41" s="16">
        <v>44834</v>
      </c>
      <c r="F41" s="16">
        <v>44926</v>
      </c>
      <c r="G41" s="16">
        <v>45016</v>
      </c>
      <c r="H41" s="16">
        <v>45107</v>
      </c>
      <c r="I41" s="16">
        <v>45199</v>
      </c>
      <c r="J41" s="16">
        <v>45291</v>
      </c>
      <c r="K41" s="16">
        <v>45382</v>
      </c>
    </row>
    <row r="42" spans="1:11" s="9" customFormat="1" x14ac:dyDescent="0.3">
      <c r="A42" s="9" t="s">
        <v>6</v>
      </c>
      <c r="B42">
        <v>3574.98</v>
      </c>
      <c r="C42">
        <v>3550.45</v>
      </c>
      <c r="D42">
        <v>3700.96</v>
      </c>
      <c r="E42">
        <v>4379.6099999999997</v>
      </c>
      <c r="F42">
        <v>4196.8</v>
      </c>
      <c r="G42">
        <v>4023.18</v>
      </c>
      <c r="H42">
        <v>4010.7</v>
      </c>
      <c r="I42">
        <v>4432.88</v>
      </c>
      <c r="J42">
        <v>4256.33</v>
      </c>
      <c r="K42">
        <v>4069.36</v>
      </c>
    </row>
    <row r="43" spans="1:11" s="9" customFormat="1" x14ac:dyDescent="0.3">
      <c r="A43" s="9" t="s">
        <v>7</v>
      </c>
      <c r="B43">
        <v>3035.97</v>
      </c>
      <c r="C43">
        <v>3000.77</v>
      </c>
      <c r="D43">
        <v>3200.37</v>
      </c>
      <c r="E43">
        <v>3667.91</v>
      </c>
      <c r="F43">
        <v>3379.22</v>
      </c>
      <c r="G43">
        <v>3222.29</v>
      </c>
      <c r="H43">
        <v>3321.82</v>
      </c>
      <c r="I43">
        <v>3561.5</v>
      </c>
      <c r="J43">
        <v>3436.58</v>
      </c>
      <c r="K43">
        <v>3285.71</v>
      </c>
    </row>
    <row r="44" spans="1:11" s="9" customFormat="1" x14ac:dyDescent="0.3">
      <c r="A44" s="9" t="s">
        <v>9</v>
      </c>
      <c r="B44">
        <v>54.15</v>
      </c>
      <c r="C44">
        <v>53.91</v>
      </c>
      <c r="D44">
        <v>55.5</v>
      </c>
      <c r="E44">
        <v>53.3</v>
      </c>
      <c r="F44">
        <v>427.82</v>
      </c>
      <c r="G44">
        <v>60.4</v>
      </c>
      <c r="H44">
        <v>56.92</v>
      </c>
      <c r="I44">
        <v>52.35</v>
      </c>
      <c r="J44">
        <v>47.66</v>
      </c>
      <c r="K44">
        <v>57.34</v>
      </c>
    </row>
    <row r="45" spans="1:11" s="9" customFormat="1" x14ac:dyDescent="0.3">
      <c r="A45" s="9" t="s">
        <v>10</v>
      </c>
      <c r="B45">
        <v>50.38</v>
      </c>
      <c r="C45">
        <v>50.93</v>
      </c>
      <c r="D45">
        <v>50.96</v>
      </c>
      <c r="E45">
        <v>51.66</v>
      </c>
      <c r="F45">
        <v>57.96</v>
      </c>
      <c r="G45">
        <v>65.33</v>
      </c>
      <c r="H45">
        <v>70.760000000000005</v>
      </c>
      <c r="I45">
        <v>71.680000000000007</v>
      </c>
      <c r="J45">
        <v>78.09</v>
      </c>
      <c r="K45">
        <v>79.930000000000007</v>
      </c>
    </row>
    <row r="46" spans="1:11" s="9" customFormat="1" x14ac:dyDescent="0.3">
      <c r="A46" s="9" t="s">
        <v>11</v>
      </c>
      <c r="B46">
        <v>37.380000000000003</v>
      </c>
      <c r="C46">
        <v>33.75</v>
      </c>
      <c r="D46">
        <v>41.97</v>
      </c>
      <c r="E46">
        <v>54.14</v>
      </c>
      <c r="F46">
        <v>38.130000000000003</v>
      </c>
      <c r="G46">
        <v>34.86</v>
      </c>
      <c r="H46">
        <v>53.05</v>
      </c>
      <c r="I46">
        <v>53.42</v>
      </c>
      <c r="J46">
        <v>31.09</v>
      </c>
      <c r="K46">
        <v>26.44</v>
      </c>
    </row>
    <row r="47" spans="1:11" s="9" customFormat="1" x14ac:dyDescent="0.3">
      <c r="A47" s="9" t="s">
        <v>12</v>
      </c>
      <c r="B47">
        <v>505.4</v>
      </c>
      <c r="C47">
        <v>518.91</v>
      </c>
      <c r="D47">
        <v>463.16</v>
      </c>
      <c r="E47">
        <v>659.2</v>
      </c>
      <c r="F47">
        <v>1149.31</v>
      </c>
      <c r="G47">
        <v>761.1</v>
      </c>
      <c r="H47">
        <v>621.99</v>
      </c>
      <c r="I47">
        <v>798.63</v>
      </c>
      <c r="J47">
        <v>758.23</v>
      </c>
      <c r="K47">
        <v>734.62</v>
      </c>
    </row>
    <row r="48" spans="1:11" s="9" customFormat="1" x14ac:dyDescent="0.3">
      <c r="A48" s="9" t="s">
        <v>13</v>
      </c>
      <c r="B48">
        <v>136.22</v>
      </c>
      <c r="C48">
        <v>140.96</v>
      </c>
      <c r="D48">
        <v>127.42</v>
      </c>
      <c r="E48">
        <v>168.62</v>
      </c>
      <c r="F48">
        <v>216.91</v>
      </c>
      <c r="G48">
        <v>203.5</v>
      </c>
      <c r="H48">
        <v>166.54</v>
      </c>
      <c r="I48">
        <v>212.13</v>
      </c>
      <c r="J48">
        <v>202.57</v>
      </c>
      <c r="K48">
        <v>198.01</v>
      </c>
    </row>
    <row r="49" spans="1:11" s="9" customFormat="1" x14ac:dyDescent="0.3">
      <c r="A49" s="9" t="s">
        <v>14</v>
      </c>
      <c r="B49">
        <v>371.18</v>
      </c>
      <c r="C49">
        <v>379.87</v>
      </c>
      <c r="D49">
        <v>337.44</v>
      </c>
      <c r="E49">
        <v>493.28</v>
      </c>
      <c r="F49">
        <v>932.39</v>
      </c>
      <c r="G49">
        <v>558.66</v>
      </c>
      <c r="H49">
        <v>457.55</v>
      </c>
      <c r="I49">
        <v>587.59</v>
      </c>
      <c r="J49">
        <v>556.39</v>
      </c>
      <c r="K49">
        <v>538.28</v>
      </c>
    </row>
    <row r="50" spans="1:11" x14ac:dyDescent="0.3">
      <c r="A50" s="9" t="s">
        <v>8</v>
      </c>
      <c r="B50">
        <v>539.01</v>
      </c>
      <c r="C50">
        <v>549.67999999999995</v>
      </c>
      <c r="D50">
        <v>500.59</v>
      </c>
      <c r="E50">
        <v>711.7</v>
      </c>
      <c r="F50">
        <v>817.58</v>
      </c>
      <c r="G50">
        <v>800.89</v>
      </c>
      <c r="H50">
        <v>688.88</v>
      </c>
      <c r="I50">
        <v>871.38</v>
      </c>
      <c r="J50">
        <v>819.75</v>
      </c>
      <c r="K50">
        <v>783.65</v>
      </c>
    </row>
    <row r="51" spans="1:11" x14ac:dyDescent="0.3">
      <c r="A51" s="9"/>
    </row>
    <row r="52" spans="1:11" x14ac:dyDescent="0.3">
      <c r="A52" s="9"/>
    </row>
    <row r="53" spans="1:11" x14ac:dyDescent="0.3">
      <c r="A53" s="9"/>
    </row>
    <row r="54" spans="1:11" x14ac:dyDescent="0.3">
      <c r="A54" s="9"/>
    </row>
    <row r="55" spans="1:11" x14ac:dyDescent="0.3">
      <c r="A55" s="1" t="s">
        <v>40</v>
      </c>
    </row>
    <row r="56" spans="1:11" s="24" customFormat="1" x14ac:dyDescent="0.3">
      <c r="A56" s="23" t="s">
        <v>38</v>
      </c>
      <c r="B56" s="16">
        <v>42094</v>
      </c>
      <c r="C56" s="16">
        <v>42460</v>
      </c>
      <c r="D56" s="16">
        <v>42825</v>
      </c>
      <c r="E56" s="16">
        <v>43190</v>
      </c>
      <c r="F56" s="16">
        <v>43555</v>
      </c>
      <c r="G56" s="16">
        <v>43921</v>
      </c>
      <c r="H56" s="16">
        <v>44286</v>
      </c>
      <c r="I56" s="16">
        <v>44651</v>
      </c>
      <c r="J56" s="16">
        <v>45016</v>
      </c>
      <c r="K56" s="16">
        <v>45382</v>
      </c>
    </row>
    <row r="57" spans="1:11" x14ac:dyDescent="0.3">
      <c r="A57" s="9" t="s">
        <v>24</v>
      </c>
      <c r="B57">
        <v>23.99</v>
      </c>
      <c r="C57">
        <v>24</v>
      </c>
      <c r="D57">
        <v>24</v>
      </c>
      <c r="E57">
        <v>24.01</v>
      </c>
      <c r="F57">
        <v>24.03</v>
      </c>
      <c r="G57">
        <v>24.05</v>
      </c>
      <c r="H57">
        <v>24.09</v>
      </c>
      <c r="I57">
        <v>24.09</v>
      </c>
      <c r="J57">
        <v>24.09</v>
      </c>
      <c r="K57">
        <v>24.09</v>
      </c>
    </row>
    <row r="58" spans="1:11" x14ac:dyDescent="0.3">
      <c r="A58" s="9" t="s">
        <v>25</v>
      </c>
      <c r="B58">
        <v>1221.1199999999999</v>
      </c>
      <c r="C58">
        <v>2067.6799999999998</v>
      </c>
      <c r="D58">
        <v>2672.42</v>
      </c>
      <c r="E58">
        <v>3382.22</v>
      </c>
      <c r="F58">
        <v>4229.22</v>
      </c>
      <c r="G58">
        <v>4378.78</v>
      </c>
      <c r="H58">
        <v>3523.57</v>
      </c>
      <c r="I58">
        <v>2534.0100000000002</v>
      </c>
      <c r="J58">
        <v>3510.18</v>
      </c>
      <c r="K58">
        <v>3917.43</v>
      </c>
    </row>
    <row r="59" spans="1:11" x14ac:dyDescent="0.3">
      <c r="A59" s="9" t="s">
        <v>71</v>
      </c>
      <c r="B59">
        <v>145.07</v>
      </c>
      <c r="C59">
        <v>131.05000000000001</v>
      </c>
      <c r="D59">
        <v>124.56</v>
      </c>
      <c r="E59">
        <v>200.7</v>
      </c>
      <c r="F59">
        <v>156.02000000000001</v>
      </c>
      <c r="G59">
        <v>1537.59</v>
      </c>
      <c r="H59">
        <v>2121.5100000000002</v>
      </c>
      <c r="I59">
        <v>2481.1999999999998</v>
      </c>
      <c r="J59">
        <v>2997.37</v>
      </c>
      <c r="K59">
        <v>2064.96</v>
      </c>
    </row>
    <row r="60" spans="1:11" x14ac:dyDescent="0.3">
      <c r="A60" s="9" t="s">
        <v>72</v>
      </c>
      <c r="B60">
        <v>1403.17</v>
      </c>
      <c r="C60">
        <v>1271.18</v>
      </c>
      <c r="D60">
        <v>1287.82</v>
      </c>
      <c r="E60">
        <v>1580.99</v>
      </c>
      <c r="F60">
        <v>1828.68</v>
      </c>
      <c r="G60">
        <v>1889.12</v>
      </c>
      <c r="H60">
        <v>2330.92</v>
      </c>
      <c r="I60">
        <v>2487.3000000000002</v>
      </c>
      <c r="J60">
        <v>2819.21</v>
      </c>
      <c r="K60">
        <v>3067.08</v>
      </c>
    </row>
    <row r="61" spans="1:11" s="1" customFormat="1" x14ac:dyDescent="0.3">
      <c r="A61" s="1" t="s">
        <v>26</v>
      </c>
      <c r="B61">
        <v>2793.35</v>
      </c>
      <c r="C61">
        <v>3493.91</v>
      </c>
      <c r="D61">
        <v>4108.8</v>
      </c>
      <c r="E61">
        <v>5187.92</v>
      </c>
      <c r="F61">
        <v>6237.95</v>
      </c>
      <c r="G61">
        <v>7829.54</v>
      </c>
      <c r="H61">
        <v>8000.09</v>
      </c>
      <c r="I61">
        <v>7526.6</v>
      </c>
      <c r="J61">
        <v>9350.85</v>
      </c>
      <c r="K61">
        <v>9073.56</v>
      </c>
    </row>
    <row r="62" spans="1:11" x14ac:dyDescent="0.3">
      <c r="A62" s="9" t="s">
        <v>27</v>
      </c>
      <c r="B62">
        <v>844.07</v>
      </c>
      <c r="C62">
        <v>950.24</v>
      </c>
      <c r="D62">
        <v>1159.99</v>
      </c>
      <c r="E62">
        <v>1345.6</v>
      </c>
      <c r="F62">
        <v>1688.3</v>
      </c>
      <c r="G62">
        <v>1878.18</v>
      </c>
      <c r="H62">
        <v>1792.95</v>
      </c>
      <c r="I62">
        <v>1753.21</v>
      </c>
      <c r="J62">
        <v>2655.22</v>
      </c>
      <c r="K62">
        <v>2771.14</v>
      </c>
    </row>
    <row r="63" spans="1:11" x14ac:dyDescent="0.3">
      <c r="A63" s="9" t="s">
        <v>28</v>
      </c>
      <c r="B63">
        <v>48.37</v>
      </c>
      <c r="C63">
        <v>90.07</v>
      </c>
      <c r="D63">
        <v>30.07</v>
      </c>
      <c r="E63">
        <v>202.82</v>
      </c>
      <c r="F63">
        <v>101.24</v>
      </c>
      <c r="G63">
        <v>39.549999999999997</v>
      </c>
      <c r="H63">
        <v>116.52</v>
      </c>
      <c r="I63">
        <v>535.67999999999995</v>
      </c>
      <c r="J63">
        <v>105</v>
      </c>
      <c r="K63">
        <v>187.54</v>
      </c>
    </row>
    <row r="64" spans="1:11" x14ac:dyDescent="0.3">
      <c r="A64" s="9" t="s">
        <v>29</v>
      </c>
      <c r="B64">
        <v>517.94000000000005</v>
      </c>
      <c r="C64">
        <v>788.38</v>
      </c>
      <c r="D64">
        <v>486.85</v>
      </c>
      <c r="E64">
        <v>1079.28</v>
      </c>
      <c r="F64">
        <v>1476.28</v>
      </c>
      <c r="G64">
        <v>2893.23</v>
      </c>
      <c r="H64">
        <v>2780.91</v>
      </c>
      <c r="I64">
        <v>1762.37</v>
      </c>
      <c r="J64">
        <v>3324.24</v>
      </c>
      <c r="K64">
        <v>2766.72</v>
      </c>
    </row>
    <row r="65" spans="1:11" x14ac:dyDescent="0.3">
      <c r="A65" s="9" t="s">
        <v>73</v>
      </c>
      <c r="B65">
        <v>1382.97</v>
      </c>
      <c r="C65">
        <v>1665.22</v>
      </c>
      <c r="D65">
        <v>2431.89</v>
      </c>
      <c r="E65">
        <v>2560.2199999999998</v>
      </c>
      <c r="F65">
        <v>2972.13</v>
      </c>
      <c r="G65">
        <v>3018.58</v>
      </c>
      <c r="H65">
        <v>3309.71</v>
      </c>
      <c r="I65">
        <v>3475.34</v>
      </c>
      <c r="J65">
        <v>3266.39</v>
      </c>
      <c r="K65">
        <v>3348.16</v>
      </c>
    </row>
    <row r="66" spans="1:11" s="1" customFormat="1" x14ac:dyDescent="0.3">
      <c r="A66" s="1" t="s">
        <v>26</v>
      </c>
      <c r="B66">
        <v>2793.35</v>
      </c>
      <c r="C66">
        <v>3493.91</v>
      </c>
      <c r="D66">
        <v>4108.8</v>
      </c>
      <c r="E66">
        <v>5187.92</v>
      </c>
      <c r="F66">
        <v>6237.95</v>
      </c>
      <c r="G66">
        <v>7829.54</v>
      </c>
      <c r="H66">
        <v>8000.09</v>
      </c>
      <c r="I66">
        <v>7526.6</v>
      </c>
      <c r="J66">
        <v>9350.85</v>
      </c>
      <c r="K66">
        <v>9073.56</v>
      </c>
    </row>
    <row r="67" spans="1:11" s="9" customFormat="1" x14ac:dyDescent="0.3">
      <c r="A67" s="9" t="s">
        <v>78</v>
      </c>
      <c r="B67">
        <v>135.81</v>
      </c>
      <c r="C67">
        <v>170.61</v>
      </c>
      <c r="D67">
        <v>179.16</v>
      </c>
      <c r="E67">
        <v>304.60000000000002</v>
      </c>
      <c r="F67">
        <v>394.24</v>
      </c>
      <c r="G67">
        <v>320.36</v>
      </c>
      <c r="H67">
        <v>257.27</v>
      </c>
      <c r="I67">
        <v>331.93</v>
      </c>
      <c r="J67">
        <v>328.94</v>
      </c>
      <c r="K67">
        <v>393.33</v>
      </c>
    </row>
    <row r="68" spans="1:11" x14ac:dyDescent="0.3">
      <c r="A68" s="9" t="s">
        <v>45</v>
      </c>
      <c r="B68">
        <v>404.04</v>
      </c>
      <c r="C68">
        <v>440.65</v>
      </c>
      <c r="D68">
        <v>661.45</v>
      </c>
      <c r="E68">
        <v>652.79</v>
      </c>
      <c r="F68">
        <v>781.38</v>
      </c>
      <c r="G68">
        <v>740.96</v>
      </c>
      <c r="H68">
        <v>1091.49</v>
      </c>
      <c r="I68">
        <v>1367.49</v>
      </c>
      <c r="J68">
        <v>1193.26</v>
      </c>
      <c r="K68">
        <v>1181.22</v>
      </c>
    </row>
    <row r="69" spans="1:11" x14ac:dyDescent="0.3">
      <c r="A69" s="5" t="s">
        <v>87</v>
      </c>
      <c r="B69">
        <v>226.33</v>
      </c>
      <c r="C69">
        <v>87.65</v>
      </c>
      <c r="D69">
        <v>120.76</v>
      </c>
      <c r="E69">
        <v>186.42</v>
      </c>
      <c r="F69">
        <v>109.82</v>
      </c>
      <c r="G69">
        <v>122.85</v>
      </c>
      <c r="H69">
        <v>211.34</v>
      </c>
      <c r="I69">
        <v>184.9</v>
      </c>
      <c r="J69">
        <v>197.98</v>
      </c>
      <c r="K69">
        <v>446.35</v>
      </c>
    </row>
    <row r="70" spans="1:11" x14ac:dyDescent="0.3">
      <c r="A70" s="5" t="s">
        <v>74</v>
      </c>
      <c r="B70">
        <v>119925800</v>
      </c>
      <c r="C70">
        <v>119975815</v>
      </c>
      <c r="D70">
        <v>120000815</v>
      </c>
      <c r="E70">
        <v>120059148</v>
      </c>
      <c r="F70">
        <v>240318294</v>
      </c>
      <c r="G70">
        <v>240468296</v>
      </c>
      <c r="H70">
        <v>240868296</v>
      </c>
      <c r="I70">
        <v>240868296</v>
      </c>
      <c r="J70">
        <v>240868296</v>
      </c>
    </row>
    <row r="71" spans="1:11" x14ac:dyDescent="0.3">
      <c r="A71" s="5" t="s">
        <v>75</v>
      </c>
    </row>
    <row r="72" spans="1:11" x14ac:dyDescent="0.3">
      <c r="A72" s="5" t="s">
        <v>88</v>
      </c>
      <c r="B72">
        <v>2</v>
      </c>
      <c r="C72">
        <v>2</v>
      </c>
      <c r="D72">
        <v>2</v>
      </c>
      <c r="E72">
        <v>2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 x14ac:dyDescent="0.3">
      <c r="A74" s="9"/>
    </row>
    <row r="75" spans="1:11" x14ac:dyDescent="0.3">
      <c r="A75" s="9"/>
    </row>
    <row r="76" spans="1:11" x14ac:dyDescent="0.3">
      <c r="A76" s="9"/>
    </row>
    <row r="77" spans="1:11" x14ac:dyDescent="0.3">
      <c r="A77" s="9"/>
    </row>
    <row r="78" spans="1:11" x14ac:dyDescent="0.3">
      <c r="A78" s="9"/>
    </row>
    <row r="79" spans="1:11" x14ac:dyDescent="0.3">
      <c r="A79" s="9"/>
    </row>
    <row r="80" spans="1:11" x14ac:dyDescent="0.3">
      <c r="A80" s="1" t="s">
        <v>41</v>
      </c>
    </row>
    <row r="81" spans="1:11" s="24" customFormat="1" x14ac:dyDescent="0.3">
      <c r="A81" s="23" t="s">
        <v>38</v>
      </c>
      <c r="B81" s="16">
        <v>42094</v>
      </c>
      <c r="C81" s="16">
        <v>42460</v>
      </c>
      <c r="D81" s="16">
        <v>42825</v>
      </c>
      <c r="E81" s="16">
        <v>43190</v>
      </c>
      <c r="F81" s="16">
        <v>43555</v>
      </c>
      <c r="G81" s="16">
        <v>43921</v>
      </c>
      <c r="H81" s="16">
        <v>44286</v>
      </c>
      <c r="I81" s="16">
        <v>44651</v>
      </c>
      <c r="J81" s="16">
        <v>45016</v>
      </c>
      <c r="K81" s="16">
        <v>45382</v>
      </c>
    </row>
    <row r="82" spans="1:11" s="1" customFormat="1" x14ac:dyDescent="0.3">
      <c r="A82" s="9" t="s">
        <v>32</v>
      </c>
      <c r="B82">
        <v>584.46</v>
      </c>
      <c r="C82">
        <v>959.23</v>
      </c>
      <c r="D82">
        <v>441.28</v>
      </c>
      <c r="E82">
        <v>1248.77</v>
      </c>
      <c r="F82">
        <v>1155.78</v>
      </c>
      <c r="G82">
        <v>1484.53</v>
      </c>
      <c r="H82">
        <v>1875.52</v>
      </c>
      <c r="I82">
        <v>1299.52</v>
      </c>
      <c r="J82">
        <v>2526.21</v>
      </c>
      <c r="K82">
        <v>2572.98</v>
      </c>
    </row>
    <row r="83" spans="1:11" s="9" customFormat="1" x14ac:dyDescent="0.3">
      <c r="A83" s="9" t="s">
        <v>33</v>
      </c>
      <c r="B83">
        <v>-450.3</v>
      </c>
      <c r="C83">
        <v>-705.2</v>
      </c>
      <c r="D83">
        <v>-149.85</v>
      </c>
      <c r="E83">
        <v>-956.52</v>
      </c>
      <c r="F83">
        <v>-852.22</v>
      </c>
      <c r="G83">
        <v>-1525.93</v>
      </c>
      <c r="H83">
        <v>433.17</v>
      </c>
      <c r="I83">
        <v>914.19</v>
      </c>
      <c r="J83">
        <v>-1507</v>
      </c>
      <c r="K83">
        <v>475.5</v>
      </c>
    </row>
    <row r="84" spans="1:11" s="9" customFormat="1" x14ac:dyDescent="0.3">
      <c r="A84" s="9" t="s">
        <v>34</v>
      </c>
      <c r="B84">
        <v>-181.37</v>
      </c>
      <c r="C84">
        <v>-246.18</v>
      </c>
      <c r="D84">
        <v>-295.08</v>
      </c>
      <c r="E84">
        <v>-231.75</v>
      </c>
      <c r="F84">
        <v>-352.68</v>
      </c>
      <c r="G84">
        <v>57.94</v>
      </c>
      <c r="H84">
        <v>-2242.5</v>
      </c>
      <c r="I84">
        <v>-2245.84</v>
      </c>
      <c r="J84">
        <v>-1028.3699999999999</v>
      </c>
      <c r="K84">
        <v>-2830.48</v>
      </c>
    </row>
    <row r="85" spans="1:11" s="1" customFormat="1" x14ac:dyDescent="0.3">
      <c r="A85" s="9" t="s">
        <v>35</v>
      </c>
      <c r="B85">
        <v>-47.21</v>
      </c>
      <c r="C85">
        <v>7.85</v>
      </c>
      <c r="D85">
        <v>-3.65</v>
      </c>
      <c r="E85">
        <v>60.5</v>
      </c>
      <c r="F85">
        <v>-49.12</v>
      </c>
      <c r="G85">
        <v>16.54</v>
      </c>
      <c r="H85">
        <v>66.19</v>
      </c>
      <c r="I85">
        <v>-32.130000000000003</v>
      </c>
      <c r="J85">
        <v>-9.16</v>
      </c>
      <c r="K85">
        <v>218</v>
      </c>
    </row>
    <row r="86" spans="1:11" x14ac:dyDescent="0.3">
      <c r="A86" s="9"/>
    </row>
    <row r="87" spans="1:11" x14ac:dyDescent="0.3">
      <c r="A87" s="9"/>
    </row>
    <row r="88" spans="1:11" x14ac:dyDescent="0.3">
      <c r="A88" s="9"/>
    </row>
    <row r="89" spans="1:11" x14ac:dyDescent="0.3">
      <c r="A89" s="9"/>
    </row>
    <row r="90" spans="1:11" s="1" customFormat="1" x14ac:dyDescent="0.3">
      <c r="A90" s="1" t="s">
        <v>77</v>
      </c>
      <c r="B90">
        <v>1079.28</v>
      </c>
      <c r="C90">
        <v>1343.25</v>
      </c>
      <c r="D90">
        <v>1687</v>
      </c>
      <c r="E90">
        <v>2485.3000000000002</v>
      </c>
      <c r="F90">
        <v>3085.5</v>
      </c>
      <c r="G90">
        <v>2688.95</v>
      </c>
      <c r="H90">
        <v>3625.05</v>
      </c>
      <c r="I90">
        <v>3206.4</v>
      </c>
      <c r="J90">
        <v>4322.1499999999996</v>
      </c>
      <c r="K90">
        <v>4911.25</v>
      </c>
    </row>
    <row r="92" spans="1:11" s="1" customFormat="1" x14ac:dyDescent="0.3">
      <c r="A92" s="1" t="s">
        <v>76</v>
      </c>
    </row>
    <row r="93" spans="1:11" x14ac:dyDescent="0.3">
      <c r="A93" s="5" t="s">
        <v>89</v>
      </c>
      <c r="B93" s="31">
        <v>23.99</v>
      </c>
      <c r="C93" s="31">
        <v>24</v>
      </c>
      <c r="D93" s="31">
        <v>24</v>
      </c>
      <c r="E93" s="31">
        <v>24.01</v>
      </c>
      <c r="F93" s="31">
        <v>24.03</v>
      </c>
      <c r="G93" s="31">
        <v>24.05</v>
      </c>
      <c r="H93" s="31">
        <v>24.09</v>
      </c>
      <c r="I93" s="31">
        <v>24.09</v>
      </c>
      <c r="J93" s="31">
        <v>24.09</v>
      </c>
      <c r="K93" s="31">
        <v>24.09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E363-9D4E-4BF7-8D9F-144F21F02B12}">
  <dimension ref="A2:N112"/>
  <sheetViews>
    <sheetView showGridLines="0" tabSelected="1" workbookViewId="0">
      <pane ySplit="3" topLeftCell="A4" activePane="bottomLeft" state="frozen"/>
      <selection pane="bottomLeft" activeCell="M38" sqref="M38"/>
    </sheetView>
  </sheetViews>
  <sheetFormatPr defaultRowHeight="14.4" x14ac:dyDescent="0.3"/>
  <cols>
    <col min="1" max="1" width="2.33203125" customWidth="1"/>
    <col min="2" max="2" width="28.21875" bestFit="1" customWidth="1"/>
    <col min="3" max="16" width="12.77734375" customWidth="1"/>
  </cols>
  <sheetData>
    <row r="2" spans="1:13" x14ac:dyDescent="0.3">
      <c r="B2" s="35" t="str">
        <f>"HISTORICAL FINANCIAL STATEMENT - "&amp; UPDATE</f>
        <v>HISTORICAL FINANCIAL STATEMENT - BRITANIA INDUSTRIES LTD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x14ac:dyDescent="0.3">
      <c r="B3" s="34" t="s">
        <v>94</v>
      </c>
      <c r="C3" s="37">
        <f>'Data Sheet'!B16</f>
        <v>42094</v>
      </c>
      <c r="D3" s="37">
        <f>'Data Sheet'!C16</f>
        <v>42460</v>
      </c>
      <c r="E3" s="37">
        <f>'Data Sheet'!D16</f>
        <v>42825</v>
      </c>
      <c r="F3" s="37">
        <f>'Data Sheet'!E16</f>
        <v>43190</v>
      </c>
      <c r="G3" s="37">
        <f>'Data Sheet'!F16</f>
        <v>43555</v>
      </c>
      <c r="H3" s="37">
        <f>'Data Sheet'!G16</f>
        <v>43921</v>
      </c>
      <c r="I3" s="37">
        <f>'Data Sheet'!H16</f>
        <v>44286</v>
      </c>
      <c r="J3" s="37">
        <f>'Data Sheet'!I16</f>
        <v>44651</v>
      </c>
      <c r="K3" s="37">
        <f>'Data Sheet'!J16</f>
        <v>45016</v>
      </c>
      <c r="L3" s="37">
        <f>'Data Sheet'!K16</f>
        <v>45382</v>
      </c>
      <c r="M3" s="34" t="s">
        <v>96</v>
      </c>
    </row>
    <row r="5" spans="1:13" x14ac:dyDescent="0.3">
      <c r="A5" t="s">
        <v>97</v>
      </c>
      <c r="B5" s="36" t="s">
        <v>95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x14ac:dyDescent="0.3">
      <c r="B6" s="40" t="s">
        <v>98</v>
      </c>
      <c r="C6" s="40">
        <f>IFERROR('Data Sheet'!B17,0)</f>
        <v>7858.42</v>
      </c>
      <c r="D6" s="40">
        <f>IFERROR('Data Sheet'!C17,0)</f>
        <v>8397.23</v>
      </c>
      <c r="E6" s="40">
        <f>IFERROR('Data Sheet'!D17,0)</f>
        <v>9054.09</v>
      </c>
      <c r="F6" s="40">
        <f>IFERROR('Data Sheet'!E17,0)</f>
        <v>9913.99</v>
      </c>
      <c r="G6" s="40">
        <f>IFERROR('Data Sheet'!F17,0)</f>
        <v>11054.67</v>
      </c>
      <c r="H6" s="40">
        <f>IFERROR('Data Sheet'!G17,0)</f>
        <v>11599.55</v>
      </c>
      <c r="I6" s="40">
        <f>IFERROR('Data Sheet'!H17,0)</f>
        <v>13136.14</v>
      </c>
      <c r="J6" s="40">
        <f>IFERROR('Data Sheet'!I17,0)</f>
        <v>14136.26</v>
      </c>
      <c r="K6" s="40">
        <f>IFERROR('Data Sheet'!J17,0)</f>
        <v>16300.55</v>
      </c>
      <c r="L6" s="40">
        <f>IFERROR('Data Sheet'!K17,0)</f>
        <v>16769.27</v>
      </c>
      <c r="M6" s="40">
        <f>IFERROR(SUM('Data Sheet'!H42:K42),0)</f>
        <v>16769.27</v>
      </c>
    </row>
    <row r="7" spans="1:13" x14ac:dyDescent="0.3">
      <c r="B7" s="39" t="s">
        <v>99</v>
      </c>
      <c r="C7" s="39" t="s">
        <v>100</v>
      </c>
      <c r="D7" s="39">
        <f>D6/C6-1</f>
        <v>6.8564673305829826E-2</v>
      </c>
      <c r="E7" s="39">
        <f t="shared" ref="E7:M7" si="0">E6/D6-1</f>
        <v>7.8223414149666048E-2</v>
      </c>
      <c r="F7" s="39">
        <f t="shared" si="0"/>
        <v>9.4973652791169538E-2</v>
      </c>
      <c r="G7" s="39">
        <f t="shared" si="0"/>
        <v>0.11505761050797925</v>
      </c>
      <c r="H7" s="39">
        <f t="shared" si="0"/>
        <v>4.9289576260530543E-2</v>
      </c>
      <c r="I7" s="39">
        <f t="shared" si="0"/>
        <v>0.13246979408683957</v>
      </c>
      <c r="J7" s="39">
        <f t="shared" si="0"/>
        <v>7.613499856122119E-2</v>
      </c>
      <c r="K7" s="39">
        <f t="shared" si="0"/>
        <v>0.15310202274151719</v>
      </c>
      <c r="L7" s="39">
        <f t="shared" si="0"/>
        <v>2.8754857964915281E-2</v>
      </c>
      <c r="M7" s="39">
        <f t="shared" si="0"/>
        <v>0</v>
      </c>
    </row>
    <row r="9" spans="1:13" x14ac:dyDescent="0.3">
      <c r="B9" s="40" t="s">
        <v>101</v>
      </c>
      <c r="C9" s="40">
        <f>IFERROR('Data Sheet'!B25,0)</f>
        <v>227.61</v>
      </c>
      <c r="D9" s="40">
        <f>IFERROR('Data Sheet'!C25,0)</f>
        <v>115.17</v>
      </c>
      <c r="E9" s="40">
        <f>IFERROR('Data Sheet'!D25,0)</f>
        <v>150.54</v>
      </c>
      <c r="F9" s="40">
        <f>IFERROR('Data Sheet'!E25,0)</f>
        <v>166.37</v>
      </c>
      <c r="G9" s="40">
        <f>IFERROR('Data Sheet'!F25,0)</f>
        <v>206.45</v>
      </c>
      <c r="H9" s="40">
        <f>IFERROR('Data Sheet'!G25,0)</f>
        <v>262.83</v>
      </c>
      <c r="I9" s="40">
        <f>IFERROR('Data Sheet'!H25,0)</f>
        <v>313.07</v>
      </c>
      <c r="J9" s="40">
        <f>IFERROR('Data Sheet'!I25,0)</f>
        <v>221.85</v>
      </c>
      <c r="K9" s="40">
        <f>IFERROR('Data Sheet'!J25,0)</f>
        <v>596.87</v>
      </c>
      <c r="L9" s="40">
        <f>IFERROR('Data Sheet'!K25,0)</f>
        <v>211.28</v>
      </c>
      <c r="M9" s="40">
        <f>IFERROR(SUM('Data Sheet'!H44:K44),0)</f>
        <v>214.27</v>
      </c>
    </row>
    <row r="10" spans="1:13" x14ac:dyDescent="0.3">
      <c r="B10" s="39" t="s">
        <v>102</v>
      </c>
      <c r="C10" s="39" t="s">
        <v>100</v>
      </c>
      <c r="D10" s="39">
        <f>D9/C9-1</f>
        <v>-0.49400289969684985</v>
      </c>
      <c r="E10" s="39">
        <f t="shared" ref="E10:M10" si="1">E9/D9-1</f>
        <v>0.30711122688200043</v>
      </c>
      <c r="F10" s="39">
        <f t="shared" si="1"/>
        <v>0.10515477613923219</v>
      </c>
      <c r="G10" s="39">
        <f t="shared" si="1"/>
        <v>0.24090881769549788</v>
      </c>
      <c r="H10" s="39">
        <f t="shared" si="1"/>
        <v>0.27309275853717607</v>
      </c>
      <c r="I10" s="39">
        <f t="shared" si="1"/>
        <v>0.19115017311570215</v>
      </c>
      <c r="J10" s="39">
        <f t="shared" si="1"/>
        <v>-0.29137253649343597</v>
      </c>
      <c r="K10" s="39">
        <f t="shared" si="1"/>
        <v>1.6904214559386972</v>
      </c>
      <c r="L10" s="39">
        <f t="shared" si="1"/>
        <v>-0.64602007137232564</v>
      </c>
      <c r="M10" s="39">
        <f t="shared" si="1"/>
        <v>1.4151836425596365E-2</v>
      </c>
    </row>
    <row r="12" spans="1:13" x14ac:dyDescent="0.3">
      <c r="B12" s="46" t="s">
        <v>103</v>
      </c>
      <c r="C12" s="46">
        <f>IFERROR(SUM(C6,C9),0)</f>
        <v>8086.03</v>
      </c>
      <c r="D12" s="46">
        <f t="shared" ref="D12:M12" si="2">IFERROR(SUM(D6,D9),0)</f>
        <v>8512.4</v>
      </c>
      <c r="E12" s="46">
        <f t="shared" si="2"/>
        <v>9204.630000000001</v>
      </c>
      <c r="F12" s="46">
        <f t="shared" si="2"/>
        <v>10080.36</v>
      </c>
      <c r="G12" s="46">
        <f t="shared" si="2"/>
        <v>11261.12</v>
      </c>
      <c r="H12" s="46">
        <f t="shared" si="2"/>
        <v>11862.38</v>
      </c>
      <c r="I12" s="46">
        <f t="shared" si="2"/>
        <v>13449.21</v>
      </c>
      <c r="J12" s="46">
        <f t="shared" si="2"/>
        <v>14358.11</v>
      </c>
      <c r="K12" s="46">
        <f t="shared" si="2"/>
        <v>16897.419999999998</v>
      </c>
      <c r="L12" s="46">
        <f t="shared" si="2"/>
        <v>16980.55</v>
      </c>
      <c r="M12" s="46">
        <f t="shared" si="2"/>
        <v>16983.54</v>
      </c>
    </row>
    <row r="14" spans="1:13" x14ac:dyDescent="0.3">
      <c r="B14" s="40" t="s">
        <v>104</v>
      </c>
      <c r="C14" s="40">
        <f>IFERROR(SUM('Data Sheet'!B18,'Data Sheet'!B20:B22)-1*'Data Sheet'!B19,0)</f>
        <v>5652.89</v>
      </c>
      <c r="D14" s="40">
        <f>IFERROR(SUM('Data Sheet'!C18,'Data Sheet'!C20:C22)-1*'Data Sheet'!C19,0)</f>
        <v>5959.3899999999985</v>
      </c>
      <c r="E14" s="40">
        <f>IFERROR(SUM('Data Sheet'!D18,'Data Sheet'!D20:D22)-1*'Data Sheet'!D19,0)</f>
        <v>6555.5</v>
      </c>
      <c r="F14" s="40">
        <f>IFERROR(SUM('Data Sheet'!E18,'Data Sheet'!E20:E22)-1*'Data Sheet'!E19,0)</f>
        <v>7125.1200000000008</v>
      </c>
      <c r="G14" s="54">
        <f>IFERROR(SUM('Data Sheet'!F18,'Data Sheet'!F20:F22)-1*'Data Sheet'!F19,0)</f>
        <v>7799.7699999999995</v>
      </c>
      <c r="H14" s="40">
        <f>IFERROR(SUM('Data Sheet'!G18,'Data Sheet'!G20:G22)-1*'Data Sheet'!G19,0)</f>
        <v>8202.5399999999991</v>
      </c>
      <c r="I14" s="40">
        <f>IFERROR(SUM('Data Sheet'!H18,'Data Sheet'!H20:H22)-1*'Data Sheet'!H19,0)</f>
        <v>9007.98</v>
      </c>
      <c r="J14" s="40">
        <f>IFERROR(SUM('Data Sheet'!I18,'Data Sheet'!I20:I22)-1*'Data Sheet'!I19,0)</f>
        <v>10272.529999999999</v>
      </c>
      <c r="K14" s="40">
        <f>IFERROR(SUM('Data Sheet'!J18,'Data Sheet'!J20:J22)-1*'Data Sheet'!J19,0)</f>
        <v>11415.63</v>
      </c>
      <c r="L14" s="40">
        <f>IFERROR(SUM('Data Sheet'!K18,'Data Sheet'!K20:K22)-1*'Data Sheet'!K19,0)</f>
        <v>10200.730000000001</v>
      </c>
      <c r="M14" s="40">
        <f>IFERROR(SUM('Data Sheet'!H43:K43),0)</f>
        <v>13605.61</v>
      </c>
    </row>
    <row r="15" spans="1:13" x14ac:dyDescent="0.3">
      <c r="B15" s="39" t="s">
        <v>105</v>
      </c>
      <c r="C15" s="39">
        <f>C14/C6</f>
        <v>0.71934180153262361</v>
      </c>
      <c r="D15" s="39">
        <f t="shared" ref="D15:M15" si="3">D14/D6</f>
        <v>0.70968521762533587</v>
      </c>
      <c r="E15" s="39">
        <f t="shared" si="3"/>
        <v>0.72403742397082427</v>
      </c>
      <c r="F15" s="39">
        <f t="shared" si="3"/>
        <v>0.71869348264422306</v>
      </c>
      <c r="G15" s="39">
        <f t="shared" si="3"/>
        <v>0.70556335014975569</v>
      </c>
      <c r="H15" s="39">
        <f t="shared" si="3"/>
        <v>0.70714294951097234</v>
      </c>
      <c r="I15" s="39">
        <f t="shared" si="3"/>
        <v>0.6857402555088481</v>
      </c>
      <c r="J15" s="39">
        <f t="shared" si="3"/>
        <v>0.72667947533506028</v>
      </c>
      <c r="K15" s="39">
        <f t="shared" si="3"/>
        <v>0.70032176828389225</v>
      </c>
      <c r="L15" s="39">
        <f t="shared" si="3"/>
        <v>0.60829898975924424</v>
      </c>
      <c r="M15" s="39">
        <f t="shared" si="3"/>
        <v>0.81134181750308754</v>
      </c>
    </row>
    <row r="17" spans="2:13" x14ac:dyDescent="0.3">
      <c r="B17" s="40" t="s">
        <v>106</v>
      </c>
      <c r="C17" s="40">
        <f>C12-C14</f>
        <v>2433.1399999999994</v>
      </c>
      <c r="D17" s="40">
        <f t="shared" ref="D17:M17" si="4">D12-D14</f>
        <v>2553.0100000000011</v>
      </c>
      <c r="E17" s="40">
        <f t="shared" si="4"/>
        <v>2649.130000000001</v>
      </c>
      <c r="F17" s="40">
        <f t="shared" si="4"/>
        <v>2955.24</v>
      </c>
      <c r="G17" s="54">
        <f t="shared" si="4"/>
        <v>3461.3500000000013</v>
      </c>
      <c r="H17" s="40">
        <f t="shared" si="4"/>
        <v>3659.84</v>
      </c>
      <c r="I17" s="40">
        <f t="shared" si="4"/>
        <v>4441.2299999999996</v>
      </c>
      <c r="J17" s="40">
        <f t="shared" si="4"/>
        <v>4085.5800000000017</v>
      </c>
      <c r="K17" s="40">
        <f t="shared" si="4"/>
        <v>5481.7899999999991</v>
      </c>
      <c r="L17" s="40">
        <f t="shared" si="4"/>
        <v>6779.8199999999979</v>
      </c>
      <c r="M17" s="40">
        <f t="shared" si="4"/>
        <v>3377.9300000000003</v>
      </c>
    </row>
    <row r="18" spans="2:13" x14ac:dyDescent="0.3">
      <c r="B18" s="39" t="s">
        <v>107</v>
      </c>
      <c r="C18" s="39">
        <f>C17/C6</f>
        <v>0.30962203598178761</v>
      </c>
      <c r="D18" s="39">
        <f t="shared" ref="D18:M18" si="5">D17/D6</f>
        <v>0.30403001942307178</v>
      </c>
      <c r="E18" s="39">
        <f t="shared" si="5"/>
        <v>0.29258931598868587</v>
      </c>
      <c r="F18" s="39">
        <f t="shared" si="5"/>
        <v>0.29808785362906354</v>
      </c>
      <c r="G18" s="39">
        <f t="shared" si="5"/>
        <v>0.31311201510311942</v>
      </c>
      <c r="H18" s="39">
        <f t="shared" si="5"/>
        <v>0.31551568810859043</v>
      </c>
      <c r="I18" s="39">
        <f t="shared" si="5"/>
        <v>0.33809246856382469</v>
      </c>
      <c r="J18" s="39">
        <f t="shared" si="5"/>
        <v>0.28901420885014861</v>
      </c>
      <c r="K18" s="39">
        <f t="shared" si="5"/>
        <v>0.3362947875991914</v>
      </c>
      <c r="L18" s="39">
        <f t="shared" si="5"/>
        <v>0.40430024682052335</v>
      </c>
      <c r="M18" s="39">
        <f t="shared" si="5"/>
        <v>0.2014357214118444</v>
      </c>
    </row>
    <row r="20" spans="2:13" x14ac:dyDescent="0.3">
      <c r="B20" s="40" t="s">
        <v>108</v>
      </c>
      <c r="C20" s="40">
        <f>IFERROR(SUM('Data Sheet'!B23:B24),0)</f>
        <v>1335.21</v>
      </c>
      <c r="D20" s="40">
        <f>IFERROR(SUM('Data Sheet'!C23:C24),0)</f>
        <v>1214.27</v>
      </c>
      <c r="E20" s="40">
        <f>IFERROR(SUM('Data Sheet'!D23:D24),0)</f>
        <v>1220.4099999999999</v>
      </c>
      <c r="F20" s="40">
        <f>IFERROR(SUM('Data Sheet'!E23:E24),0)</f>
        <v>1287.4000000000001</v>
      </c>
      <c r="G20" s="54">
        <f>IFERROR(SUM('Data Sheet'!F23:F24),0)</f>
        <v>1522.45</v>
      </c>
      <c r="H20" s="40">
        <f>IFERROR(SUM('Data Sheet'!G23:G24),0)</f>
        <v>1553.83</v>
      </c>
      <c r="I20" s="40">
        <f>IFERROR(SUM('Data Sheet'!H23:H24),0)</f>
        <v>1618.87</v>
      </c>
      <c r="J20" s="40">
        <f>IFERROR(SUM('Data Sheet'!I23:I24),0)</f>
        <v>1662.42</v>
      </c>
      <c r="K20" s="40">
        <f>IFERROR(SUM('Data Sheet'!J23:J24),0)</f>
        <v>2054.0099999999998</v>
      </c>
      <c r="L20" s="40">
        <f>IFERROR(SUM('Data Sheet'!K23:K24),0)</f>
        <v>3401.89</v>
      </c>
      <c r="M20" s="40">
        <f>IFERROR(SUM('Data Sheet'!L23:L24),0)</f>
        <v>0</v>
      </c>
    </row>
    <row r="21" spans="2:13" x14ac:dyDescent="0.3">
      <c r="B21" s="39" t="s">
        <v>109</v>
      </c>
      <c r="C21" s="39">
        <f>C20/C6</f>
        <v>0.16990820037615703</v>
      </c>
      <c r="D21" s="39">
        <f t="shared" ref="D21:M21" si="6">D20/D6</f>
        <v>0.14460363715177504</v>
      </c>
      <c r="E21" s="39">
        <f t="shared" si="6"/>
        <v>0.13479101709835001</v>
      </c>
      <c r="F21" s="39">
        <f t="shared" si="6"/>
        <v>0.12985689918993262</v>
      </c>
      <c r="G21" s="39">
        <f t="shared" si="6"/>
        <v>0.13772007667347827</v>
      </c>
      <c r="H21" s="39">
        <f t="shared" si="6"/>
        <v>0.13395605864020588</v>
      </c>
      <c r="I21" s="39">
        <f t="shared" si="6"/>
        <v>0.12323787657561505</v>
      </c>
      <c r="J21" s="39">
        <f t="shared" si="6"/>
        <v>0.11759970458947416</v>
      </c>
      <c r="K21" s="39">
        <f t="shared" si="6"/>
        <v>0.12600863161058981</v>
      </c>
      <c r="L21" s="39">
        <f t="shared" si="6"/>
        <v>0.20286452540867908</v>
      </c>
      <c r="M21" s="39">
        <f t="shared" si="6"/>
        <v>0</v>
      </c>
    </row>
    <row r="23" spans="2:13" x14ac:dyDescent="0.3">
      <c r="B23" s="40" t="s">
        <v>111</v>
      </c>
      <c r="C23" s="40">
        <f>C17-C20</f>
        <v>1097.9299999999994</v>
      </c>
      <c r="D23" s="40">
        <f t="shared" ref="D23:M23" si="7">D17-D20</f>
        <v>1338.7400000000011</v>
      </c>
      <c r="E23" s="40">
        <f t="shared" si="7"/>
        <v>1428.7200000000012</v>
      </c>
      <c r="F23" s="40">
        <f t="shared" si="7"/>
        <v>1667.8399999999997</v>
      </c>
      <c r="G23" s="54">
        <f t="shared" si="7"/>
        <v>1938.9000000000012</v>
      </c>
      <c r="H23" s="40">
        <f t="shared" si="7"/>
        <v>2106.0100000000002</v>
      </c>
      <c r="I23" s="40">
        <f t="shared" si="7"/>
        <v>2822.3599999999997</v>
      </c>
      <c r="J23" s="40">
        <f t="shared" si="7"/>
        <v>2423.1600000000017</v>
      </c>
      <c r="K23" s="40">
        <f t="shared" si="7"/>
        <v>3427.7799999999993</v>
      </c>
      <c r="L23" s="40">
        <f t="shared" si="7"/>
        <v>3377.929999999998</v>
      </c>
      <c r="M23" s="40">
        <f t="shared" si="7"/>
        <v>3377.9300000000003</v>
      </c>
    </row>
    <row r="24" spans="2:13" x14ac:dyDescent="0.3">
      <c r="B24" s="39" t="s">
        <v>112</v>
      </c>
      <c r="C24" s="39">
        <f>C23/C6</f>
        <v>0.13971383560563058</v>
      </c>
      <c r="D24" s="39">
        <f t="shared" ref="D24:M24" si="8">D23/D6</f>
        <v>0.15942638227129674</v>
      </c>
      <c r="E24" s="39">
        <f t="shared" si="8"/>
        <v>0.15779829889033586</v>
      </c>
      <c r="F24" s="39">
        <f t="shared" si="8"/>
        <v>0.16823095443913094</v>
      </c>
      <c r="G24" s="39">
        <f t="shared" si="8"/>
        <v>0.17539193842964115</v>
      </c>
      <c r="H24" s="39">
        <f t="shared" si="8"/>
        <v>0.18155962946838458</v>
      </c>
      <c r="I24" s="39">
        <f t="shared" si="8"/>
        <v>0.21485459198820961</v>
      </c>
      <c r="J24" s="39">
        <f t="shared" si="8"/>
        <v>0.17141450426067445</v>
      </c>
      <c r="K24" s="39">
        <f t="shared" si="8"/>
        <v>0.21028615598860156</v>
      </c>
      <c r="L24" s="39">
        <f t="shared" si="8"/>
        <v>0.20143572141184429</v>
      </c>
      <c r="M24" s="39">
        <f t="shared" si="8"/>
        <v>0.2014357214118444</v>
      </c>
    </row>
    <row r="26" spans="2:13" x14ac:dyDescent="0.3">
      <c r="B26" s="40" t="s">
        <v>113</v>
      </c>
      <c r="C26" s="40">
        <f>IFERROR('Data Sheet'!B26,0)</f>
        <v>144.47999999999999</v>
      </c>
      <c r="D26" s="40">
        <f>IFERROR('Data Sheet'!C26,0)</f>
        <v>113.41</v>
      </c>
      <c r="E26" s="40">
        <f>IFERROR('Data Sheet'!D26,0)</f>
        <v>119.27</v>
      </c>
      <c r="F26" s="40">
        <f>IFERROR('Data Sheet'!E26,0)</f>
        <v>142.07</v>
      </c>
      <c r="G26" s="54">
        <f>IFERROR('Data Sheet'!F26,0)</f>
        <v>161.88</v>
      </c>
      <c r="H26" s="40">
        <f>IFERROR('Data Sheet'!G26,0)</f>
        <v>184.81</v>
      </c>
      <c r="I26" s="40">
        <f>IFERROR('Data Sheet'!H26,0)</f>
        <v>197.85</v>
      </c>
      <c r="J26" s="40">
        <f>IFERROR('Data Sheet'!I26,0)</f>
        <v>200.54</v>
      </c>
      <c r="K26" s="40">
        <f>IFERROR('Data Sheet'!J26,0)</f>
        <v>225.91</v>
      </c>
      <c r="L26" s="40">
        <f>IFERROR('Data Sheet'!K26,0)</f>
        <v>300.45999999999998</v>
      </c>
      <c r="M26" s="40">
        <f>IFERROR(SUM('Data Sheet'!H45:K45),0)</f>
        <v>300.46000000000004</v>
      </c>
    </row>
    <row r="27" spans="2:13" x14ac:dyDescent="0.3">
      <c r="B27" s="39" t="s">
        <v>114</v>
      </c>
      <c r="C27" s="39">
        <f>C26/C6</f>
        <v>1.838537517719847E-2</v>
      </c>
      <c r="D27" s="39">
        <f t="shared" ref="D27:M27" si="9">D26/D6</f>
        <v>1.3505644123121554E-2</v>
      </c>
      <c r="E27" s="39">
        <f t="shared" si="9"/>
        <v>1.3173052178628663E-2</v>
      </c>
      <c r="F27" s="39">
        <f t="shared" si="9"/>
        <v>1.4330254519118941E-2</v>
      </c>
      <c r="G27" s="39">
        <f t="shared" si="9"/>
        <v>1.4643585018820101E-2</v>
      </c>
      <c r="H27" s="39">
        <f t="shared" si="9"/>
        <v>1.5932514623412115E-2</v>
      </c>
      <c r="I27" s="39">
        <f t="shared" si="9"/>
        <v>1.50615020850874E-2</v>
      </c>
      <c r="J27" s="39">
        <f t="shared" si="9"/>
        <v>1.4186213326580014E-2</v>
      </c>
      <c r="K27" s="39">
        <f t="shared" si="9"/>
        <v>1.3859041566082126E-2</v>
      </c>
      <c r="L27" s="39">
        <f t="shared" si="9"/>
        <v>1.7917297532927787E-2</v>
      </c>
      <c r="M27" s="39">
        <f t="shared" si="9"/>
        <v>1.7917297532927791E-2</v>
      </c>
    </row>
    <row r="29" spans="2:13" x14ac:dyDescent="0.3">
      <c r="B29" s="40" t="s">
        <v>115</v>
      </c>
      <c r="C29" s="40">
        <f>IFERROR('Data Sheet'!B27,0)</f>
        <v>3.86</v>
      </c>
      <c r="D29" s="40">
        <f>IFERROR('Data Sheet'!C27,0)</f>
        <v>4.87</v>
      </c>
      <c r="E29" s="40">
        <f>IFERROR('Data Sheet'!D27,0)</f>
        <v>5.45</v>
      </c>
      <c r="F29" s="40">
        <f>IFERROR('Data Sheet'!E27,0)</f>
        <v>7.59</v>
      </c>
      <c r="G29" s="54">
        <f>IFERROR('Data Sheet'!F27,0)</f>
        <v>9.09</v>
      </c>
      <c r="H29" s="40">
        <f>IFERROR('Data Sheet'!G27,0)</f>
        <v>76.900000000000006</v>
      </c>
      <c r="I29" s="40">
        <f>IFERROR('Data Sheet'!H27,0)</f>
        <v>110.9</v>
      </c>
      <c r="J29" s="40">
        <f>IFERROR('Data Sheet'!I27,0)</f>
        <v>144.29</v>
      </c>
      <c r="K29" s="40">
        <f>IFERROR('Data Sheet'!J27,0)</f>
        <v>169.1</v>
      </c>
      <c r="L29" s="40">
        <f>IFERROR('Data Sheet'!K27,0)</f>
        <v>164</v>
      </c>
      <c r="M29" s="40">
        <f>IFERROR(SUM('Data Sheet'!H46:K46),0)</f>
        <v>164</v>
      </c>
    </row>
    <row r="30" spans="2:13" x14ac:dyDescent="0.3">
      <c r="B30" s="39" t="s">
        <v>116</v>
      </c>
      <c r="C30" s="39">
        <f>C29/C6</f>
        <v>4.9119288610178634E-4</v>
      </c>
      <c r="D30" s="39">
        <f t="shared" ref="D30:M30" si="10">D29/D6</f>
        <v>5.7995315121772304E-4</v>
      </c>
      <c r="E30" s="39">
        <f t="shared" si="10"/>
        <v>6.019379087241236E-4</v>
      </c>
      <c r="F30" s="39">
        <f t="shared" si="10"/>
        <v>7.6558479482024893E-4</v>
      </c>
      <c r="G30" s="39">
        <f t="shared" si="10"/>
        <v>8.222769200708841E-4</v>
      </c>
      <c r="H30" s="39">
        <f t="shared" si="10"/>
        <v>6.6295675263264532E-3</v>
      </c>
      <c r="I30" s="39">
        <f t="shared" si="10"/>
        <v>8.4423582574485352E-3</v>
      </c>
      <c r="J30" s="39">
        <f t="shared" si="10"/>
        <v>1.0207084476374939E-2</v>
      </c>
      <c r="K30" s="39">
        <f t="shared" si="10"/>
        <v>1.0373883089834392E-2</v>
      </c>
      <c r="L30" s="39">
        <f t="shared" si="10"/>
        <v>9.7797936344277362E-3</v>
      </c>
      <c r="M30" s="39">
        <f t="shared" si="10"/>
        <v>9.7797936344277362E-3</v>
      </c>
    </row>
    <row r="32" spans="2:13" x14ac:dyDescent="0.3">
      <c r="B32" s="40" t="s">
        <v>110</v>
      </c>
      <c r="C32" s="40">
        <f>IFERROR(C23-SUM(C26,C29),0)</f>
        <v>949.58999999999935</v>
      </c>
      <c r="D32" s="40">
        <f t="shared" ref="D32:M32" si="11">IFERROR(D23-SUM(D26,D29),0)</f>
        <v>1220.4600000000012</v>
      </c>
      <c r="E32" s="40">
        <f t="shared" si="11"/>
        <v>1304.0000000000011</v>
      </c>
      <c r="F32" s="40">
        <f t="shared" si="11"/>
        <v>1518.1799999999996</v>
      </c>
      <c r="G32" s="54">
        <f t="shared" si="11"/>
        <v>1767.9300000000012</v>
      </c>
      <c r="H32" s="40">
        <f t="shared" si="11"/>
        <v>1844.3000000000002</v>
      </c>
      <c r="I32" s="40">
        <f t="shared" si="11"/>
        <v>2513.6099999999997</v>
      </c>
      <c r="J32" s="40">
        <f t="shared" si="11"/>
        <v>2078.3300000000017</v>
      </c>
      <c r="K32" s="40">
        <f t="shared" si="11"/>
        <v>3032.7699999999995</v>
      </c>
      <c r="L32" s="40">
        <f t="shared" si="11"/>
        <v>2913.469999999998</v>
      </c>
      <c r="M32" s="40">
        <f t="shared" si="11"/>
        <v>2913.4700000000003</v>
      </c>
    </row>
    <row r="33" spans="2:14" x14ac:dyDescent="0.3">
      <c r="B33" s="39" t="s">
        <v>117</v>
      </c>
      <c r="C33" s="39">
        <f>C32/C6</f>
        <v>0.1208372675423303</v>
      </c>
      <c r="D33" s="39">
        <f t="shared" ref="D33:M33" si="12">D32/D6</f>
        <v>0.14534078499695749</v>
      </c>
      <c r="E33" s="39">
        <f t="shared" si="12"/>
        <v>0.14402330880298309</v>
      </c>
      <c r="F33" s="39">
        <f t="shared" si="12"/>
        <v>0.15313511512519173</v>
      </c>
      <c r="G33" s="39">
        <f t="shared" si="12"/>
        <v>0.15992607649075016</v>
      </c>
      <c r="H33" s="39">
        <f t="shared" si="12"/>
        <v>0.15899754731864602</v>
      </c>
      <c r="I33" s="39">
        <f t="shared" si="12"/>
        <v>0.19135073164567368</v>
      </c>
      <c r="J33" s="39">
        <f t="shared" si="12"/>
        <v>0.14702120645771949</v>
      </c>
      <c r="K33" s="39">
        <f t="shared" si="12"/>
        <v>0.18605323133268506</v>
      </c>
      <c r="L33" s="39">
        <f t="shared" si="12"/>
        <v>0.17373863024448874</v>
      </c>
      <c r="M33" s="39">
        <f t="shared" si="12"/>
        <v>0.17373863024448888</v>
      </c>
    </row>
    <row r="35" spans="2:14" x14ac:dyDescent="0.3">
      <c r="B35" s="40" t="s">
        <v>118</v>
      </c>
      <c r="C35" s="40">
        <f>IFERROR('Data Sheet'!B29,0)</f>
        <v>261.11</v>
      </c>
      <c r="D35" s="40">
        <f>IFERROR('Data Sheet'!C29,0)</f>
        <v>396.1</v>
      </c>
      <c r="E35" s="40">
        <f>IFERROR('Data Sheet'!D29,0)</f>
        <v>419.67</v>
      </c>
      <c r="F35" s="40">
        <f>IFERROR('Data Sheet'!E29,0)</f>
        <v>514.22</v>
      </c>
      <c r="G35" s="54">
        <f>IFERROR('Data Sheet'!F29,0)</f>
        <v>612.47</v>
      </c>
      <c r="H35" s="40">
        <f>IFERROR('Data Sheet'!G29,0)</f>
        <v>450.7</v>
      </c>
      <c r="I35" s="40">
        <f>IFERROR('Data Sheet'!H29,0)</f>
        <v>663.02</v>
      </c>
      <c r="J35" s="40">
        <f>IFERROR('Data Sheet'!I29,0)</f>
        <v>562.35</v>
      </c>
      <c r="K35" s="40">
        <f>IFERROR('Data Sheet'!J29,0)</f>
        <v>716.45</v>
      </c>
      <c r="L35" s="40">
        <f>IFERROR('Data Sheet'!K29,0)</f>
        <v>779.25</v>
      </c>
      <c r="M35" s="40">
        <f>IFERROR(SUM('Data Sheet'!H48:K48),0)</f>
        <v>779.25</v>
      </c>
    </row>
    <row r="36" spans="2:14" x14ac:dyDescent="0.3">
      <c r="B36" s="39" t="s">
        <v>119</v>
      </c>
      <c r="C36" s="39">
        <f>C35/C32</f>
        <v>0.27497130340462744</v>
      </c>
      <c r="D36" s="39">
        <f t="shared" ref="D36:M36" si="13">D35/D32</f>
        <v>0.32454975992658475</v>
      </c>
      <c r="E36" s="39">
        <f t="shared" si="13"/>
        <v>0.32183282208588931</v>
      </c>
      <c r="F36" s="39">
        <f t="shared" si="13"/>
        <v>0.33870819006968883</v>
      </c>
      <c r="G36" s="39">
        <f t="shared" si="13"/>
        <v>0.34643339951242391</v>
      </c>
      <c r="H36" s="39">
        <f t="shared" si="13"/>
        <v>0.24437455945345116</v>
      </c>
      <c r="I36" s="39">
        <f t="shared" si="13"/>
        <v>0.26377202509538078</v>
      </c>
      <c r="J36" s="39">
        <f t="shared" si="13"/>
        <v>0.27057781969177153</v>
      </c>
      <c r="K36" s="39">
        <f t="shared" si="13"/>
        <v>0.23623618012575967</v>
      </c>
      <c r="L36" s="39">
        <f t="shared" si="13"/>
        <v>0.26746456973986366</v>
      </c>
      <c r="M36" s="39">
        <f t="shared" si="13"/>
        <v>0.26746456973986343</v>
      </c>
    </row>
    <row r="38" spans="2:14" x14ac:dyDescent="0.3">
      <c r="B38" s="40" t="s">
        <v>120</v>
      </c>
      <c r="C38" s="40">
        <f>C32-C35</f>
        <v>688.47999999999934</v>
      </c>
      <c r="D38" s="40">
        <f t="shared" ref="D38:M38" si="14">D32-D35</f>
        <v>824.36000000000115</v>
      </c>
      <c r="E38" s="40">
        <f t="shared" si="14"/>
        <v>884.33000000000106</v>
      </c>
      <c r="F38" s="40">
        <f t="shared" si="14"/>
        <v>1003.9599999999996</v>
      </c>
      <c r="G38" s="40">
        <f t="shared" si="14"/>
        <v>1155.4600000000012</v>
      </c>
      <c r="H38" s="40">
        <f t="shared" si="14"/>
        <v>1393.6000000000001</v>
      </c>
      <c r="I38" s="40">
        <f t="shared" si="14"/>
        <v>1850.5899999999997</v>
      </c>
      <c r="J38" s="40">
        <f t="shared" si="14"/>
        <v>1515.9800000000018</v>
      </c>
      <c r="K38" s="40">
        <f t="shared" si="14"/>
        <v>2316.3199999999997</v>
      </c>
      <c r="L38" s="40">
        <f t="shared" si="14"/>
        <v>2134.219999999998</v>
      </c>
      <c r="M38" s="40">
        <f t="shared" si="14"/>
        <v>2134.2200000000003</v>
      </c>
    </row>
    <row r="39" spans="2:14" x14ac:dyDescent="0.3">
      <c r="B39" s="39" t="s">
        <v>121</v>
      </c>
      <c r="C39" s="39">
        <f>C38/C6</f>
        <v>8.7610486586362057E-2</v>
      </c>
      <c r="D39" s="39">
        <f t="shared" ref="D39:M39" si="15">D38/D6</f>
        <v>9.8170468118653556E-2</v>
      </c>
      <c r="E39" s="39">
        <f t="shared" si="15"/>
        <v>9.7671880884771523E-2</v>
      </c>
      <c r="F39" s="39">
        <f t="shared" si="15"/>
        <v>0.10126699744502461</v>
      </c>
      <c r="G39" s="39">
        <f t="shared" si="15"/>
        <v>0.10452234214137565</v>
      </c>
      <c r="H39" s="39">
        <f t="shared" si="15"/>
        <v>0.12014259173847264</v>
      </c>
      <c r="I39" s="39">
        <f t="shared" si="15"/>
        <v>0.14087776165601157</v>
      </c>
      <c r="J39" s="39">
        <f t="shared" si="15"/>
        <v>0.10724052896593596</v>
      </c>
      <c r="K39" s="39">
        <f t="shared" si="15"/>
        <v>0.14210072666259727</v>
      </c>
      <c r="L39" s="39">
        <f t="shared" si="15"/>
        <v>0.12726970225895332</v>
      </c>
      <c r="M39" s="39">
        <f t="shared" si="15"/>
        <v>0.12726970225895345</v>
      </c>
      <c r="N39" s="39"/>
    </row>
    <row r="41" spans="2:14" x14ac:dyDescent="0.3">
      <c r="B41" t="s">
        <v>122</v>
      </c>
      <c r="C41">
        <f>IFERROR('Data Sheet'!B93,0)</f>
        <v>23.99</v>
      </c>
      <c r="D41">
        <f>IFERROR('Data Sheet'!C93,0)</f>
        <v>24</v>
      </c>
      <c r="E41">
        <f>IFERROR('Data Sheet'!D93,0)</f>
        <v>24</v>
      </c>
      <c r="F41">
        <f>IFERROR('Data Sheet'!E93,0)</f>
        <v>24.01</v>
      </c>
      <c r="G41" s="54">
        <f>IFERROR('Data Sheet'!F93,0)</f>
        <v>24.03</v>
      </c>
      <c r="H41">
        <f>IFERROR('Data Sheet'!G93,0)</f>
        <v>24.05</v>
      </c>
      <c r="I41">
        <f>IFERROR('Data Sheet'!H93,0)</f>
        <v>24.09</v>
      </c>
      <c r="J41">
        <f>IFERROR('Data Sheet'!I93,0)</f>
        <v>24.09</v>
      </c>
      <c r="K41">
        <f>IFERROR('Data Sheet'!J93,0)</f>
        <v>24.09</v>
      </c>
      <c r="L41">
        <f>IFERROR('Data Sheet'!K93,0)</f>
        <v>24.09</v>
      </c>
      <c r="M41">
        <f>L41</f>
        <v>24.09</v>
      </c>
    </row>
    <row r="43" spans="2:14" x14ac:dyDescent="0.3">
      <c r="B43" s="40" t="s">
        <v>123</v>
      </c>
      <c r="C43" s="40">
        <f>C38/C41</f>
        <v>28.698624426844493</v>
      </c>
      <c r="D43" s="40">
        <f t="shared" ref="D43:M43" si="16">D38/D41</f>
        <v>34.348333333333379</v>
      </c>
      <c r="E43" s="40">
        <f t="shared" si="16"/>
        <v>36.84708333333338</v>
      </c>
      <c r="F43" s="40">
        <f t="shared" si="16"/>
        <v>41.814244064972911</v>
      </c>
      <c r="G43" s="54">
        <f t="shared" si="16"/>
        <v>48.084061589679614</v>
      </c>
      <c r="H43" s="40">
        <f t="shared" si="16"/>
        <v>57.945945945945951</v>
      </c>
      <c r="I43" s="40">
        <f t="shared" si="16"/>
        <v>76.819842258198406</v>
      </c>
      <c r="J43" s="40">
        <f t="shared" si="16"/>
        <v>62.929846409298541</v>
      </c>
      <c r="K43" s="40">
        <f t="shared" si="16"/>
        <v>96.152760481527594</v>
      </c>
      <c r="L43" s="40">
        <f t="shared" si="16"/>
        <v>88.59360730593599</v>
      </c>
      <c r="M43" s="40">
        <f t="shared" si="16"/>
        <v>88.593607305936089</v>
      </c>
    </row>
    <row r="44" spans="2:14" x14ac:dyDescent="0.3">
      <c r="B44" s="39" t="s">
        <v>124</v>
      </c>
      <c r="C44" s="39" t="s">
        <v>100</v>
      </c>
      <c r="D44" s="39">
        <f>IFERROR(D43/C43-1,0)</f>
        <v>0.19686340440778016</v>
      </c>
      <c r="E44" s="39">
        <f t="shared" ref="E44:M44" si="17">IFERROR(E43/D43-1,0)</f>
        <v>7.2747343393662955E-2</v>
      </c>
      <c r="F44" s="39">
        <f t="shared" si="17"/>
        <v>0.13480471945919348</v>
      </c>
      <c r="G44" s="39">
        <f t="shared" si="17"/>
        <v>0.14994453839615929</v>
      </c>
      <c r="H44" s="39">
        <f t="shared" si="17"/>
        <v>0.20509674162764591</v>
      </c>
      <c r="I44" s="39">
        <f t="shared" si="17"/>
        <v>0.32571556135883428</v>
      </c>
      <c r="J44" s="39">
        <f t="shared" si="17"/>
        <v>-0.18081260570952928</v>
      </c>
      <c r="K44" s="39">
        <f t="shared" si="17"/>
        <v>0.52793572474570705</v>
      </c>
      <c r="L44" s="39">
        <f t="shared" si="17"/>
        <v>-7.8616080679699607E-2</v>
      </c>
      <c r="M44" s="39">
        <f t="shared" si="17"/>
        <v>1.1102230246251565E-15</v>
      </c>
    </row>
    <row r="46" spans="2:14" x14ac:dyDescent="0.3">
      <c r="B46" s="40" t="s">
        <v>125</v>
      </c>
      <c r="C46" s="40">
        <f>IFERROR('Data Sheet'!B31/Sheet1!C41,0)</f>
        <v>8</v>
      </c>
      <c r="D46" s="40">
        <f>IFERROR('Data Sheet'!C31/Sheet1!D41,0)</f>
        <v>10</v>
      </c>
      <c r="E46" s="40">
        <f>IFERROR('Data Sheet'!D31/Sheet1!E41,0)</f>
        <v>11</v>
      </c>
      <c r="F46" s="40">
        <f>IFERROR('Data Sheet'!E31/Sheet1!F41,0)</f>
        <v>12.499791753436067</v>
      </c>
      <c r="G46" s="40">
        <f>IFERROR('Data Sheet'!F31/Sheet1!G41,0)</f>
        <v>14.999999999999998</v>
      </c>
      <c r="H46" s="40">
        <f>IFERROR('Data Sheet'!G31/Sheet1!H41,0)</f>
        <v>35</v>
      </c>
      <c r="I46" s="40">
        <f>IFERROR('Data Sheet'!H31/Sheet1!I41,0)</f>
        <v>157.50020755500208</v>
      </c>
      <c r="J46" s="40">
        <f>IFERROR('Data Sheet'!I31/Sheet1!J41,0)</f>
        <v>56.499792444997922</v>
      </c>
      <c r="K46" s="40">
        <f>IFERROR('Data Sheet'!J31/Sheet1!K41,0)</f>
        <v>72</v>
      </c>
      <c r="L46" s="40">
        <f>IFERROR('Data Sheet'!K31/Sheet1!L41,0)</f>
        <v>73.500207555002078</v>
      </c>
      <c r="M46" s="40">
        <f>IFERROR('Data Sheet'!L31/Sheet1!M41,0)</f>
        <v>0</v>
      </c>
    </row>
    <row r="47" spans="2:14" x14ac:dyDescent="0.3">
      <c r="B47" s="39" t="s">
        <v>126</v>
      </c>
      <c r="C47" s="39">
        <f>IFERROR(C46/C43,0)</f>
        <v>0.27875900534510833</v>
      </c>
      <c r="D47" s="39">
        <f t="shared" ref="D47:M47" si="18">IFERROR(D46/D43,0)</f>
        <v>0.29113494104517407</v>
      </c>
      <c r="E47" s="39">
        <f t="shared" si="18"/>
        <v>0.29853109133468236</v>
      </c>
      <c r="F47" s="39">
        <f t="shared" si="18"/>
        <v>0.29893621259811159</v>
      </c>
      <c r="G47" s="39">
        <f t="shared" si="18"/>
        <v>0.31195368078514152</v>
      </c>
      <c r="H47" s="39">
        <f t="shared" si="18"/>
        <v>0.60401119402985071</v>
      </c>
      <c r="I47" s="39">
        <f t="shared" si="18"/>
        <v>2.0502542432413451</v>
      </c>
      <c r="J47" s="39">
        <f t="shared" si="18"/>
        <v>0.89782187100093558</v>
      </c>
      <c r="K47" s="39">
        <f t="shared" si="18"/>
        <v>0.74880845479035718</v>
      </c>
      <c r="L47" s="39">
        <f t="shared" si="18"/>
        <v>0.82963330865609064</v>
      </c>
      <c r="M47" s="39">
        <f t="shared" si="18"/>
        <v>0</v>
      </c>
    </row>
    <row r="49" spans="1:13" x14ac:dyDescent="0.3">
      <c r="B49" t="s">
        <v>127</v>
      </c>
      <c r="C49" s="38">
        <f>IFERROR(IF(C43&gt;C46,1-C47,0),0)</f>
        <v>0.72124099465489167</v>
      </c>
      <c r="D49" s="38">
        <f t="shared" ref="D49:M49" si="19">IFERROR(IF(D43&gt;D46,1-D47,0),0)</f>
        <v>0.70886505895482599</v>
      </c>
      <c r="E49" s="38">
        <f t="shared" si="19"/>
        <v>0.70146890866531764</v>
      </c>
      <c r="F49" s="38">
        <f t="shared" si="19"/>
        <v>0.70106378740188835</v>
      </c>
      <c r="G49" s="38">
        <f t="shared" si="19"/>
        <v>0.68804631921485848</v>
      </c>
      <c r="H49" s="38">
        <f t="shared" si="19"/>
        <v>0.39598880597014929</v>
      </c>
      <c r="I49" s="38">
        <f t="shared" si="19"/>
        <v>0</v>
      </c>
      <c r="J49" s="38">
        <f t="shared" si="19"/>
        <v>0.10217812899906442</v>
      </c>
      <c r="K49" s="38">
        <f t="shared" si="19"/>
        <v>0.25119154520964282</v>
      </c>
      <c r="L49" s="38">
        <f t="shared" si="19"/>
        <v>0.17036669134390936</v>
      </c>
      <c r="M49" s="38">
        <f t="shared" si="19"/>
        <v>1</v>
      </c>
    </row>
    <row r="51" spans="1:13" x14ac:dyDescent="0.3">
      <c r="A51" t="s">
        <v>97</v>
      </c>
      <c r="B51" s="41" t="s">
        <v>40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</row>
    <row r="52" spans="1:13" x14ac:dyDescent="0.3">
      <c r="B52" s="9" t="s">
        <v>24</v>
      </c>
      <c r="C52" s="40">
        <f>IFERROR('Data Sheet'!B57,0)</f>
        <v>23.99</v>
      </c>
      <c r="D52" s="40">
        <f>IFERROR('Data Sheet'!C57,0)</f>
        <v>24</v>
      </c>
      <c r="E52" s="40">
        <f>IFERROR('Data Sheet'!D57,0)</f>
        <v>24</v>
      </c>
      <c r="F52" s="40">
        <f>IFERROR('Data Sheet'!E57,0)</f>
        <v>24.01</v>
      </c>
      <c r="G52" s="40">
        <f>IFERROR('Data Sheet'!F57,0)</f>
        <v>24.03</v>
      </c>
      <c r="H52" s="40">
        <f>IFERROR('Data Sheet'!G57,0)</f>
        <v>24.05</v>
      </c>
      <c r="I52" s="40">
        <f>IFERROR('Data Sheet'!H57,0)</f>
        <v>24.09</v>
      </c>
      <c r="J52" s="40">
        <f>IFERROR('Data Sheet'!I57,0)</f>
        <v>24.09</v>
      </c>
      <c r="K52" s="40">
        <f>IFERROR('Data Sheet'!J57,0)</f>
        <v>24.09</v>
      </c>
      <c r="L52" s="40">
        <f>IFERROR('Data Sheet'!K57,0)</f>
        <v>24.09</v>
      </c>
    </row>
    <row r="53" spans="1:13" x14ac:dyDescent="0.3">
      <c r="B53" s="9" t="s">
        <v>25</v>
      </c>
      <c r="C53" s="40">
        <f>IFERROR('Data Sheet'!B58,0)</f>
        <v>1221.1199999999999</v>
      </c>
      <c r="D53" s="40">
        <f>IFERROR('Data Sheet'!C58,0)</f>
        <v>2067.6799999999998</v>
      </c>
      <c r="E53" s="40">
        <f>IFERROR('Data Sheet'!D58,0)</f>
        <v>2672.42</v>
      </c>
      <c r="F53" s="40">
        <f>IFERROR('Data Sheet'!E58,0)</f>
        <v>3382.22</v>
      </c>
      <c r="G53" s="40">
        <f>IFERROR('Data Sheet'!F58,0)</f>
        <v>4229.22</v>
      </c>
      <c r="H53" s="40">
        <f>IFERROR('Data Sheet'!G58,0)</f>
        <v>4378.78</v>
      </c>
      <c r="I53" s="40">
        <f>IFERROR('Data Sheet'!H58,0)</f>
        <v>3523.57</v>
      </c>
      <c r="J53" s="40">
        <f>IFERROR('Data Sheet'!I58,0)</f>
        <v>2534.0100000000002</v>
      </c>
      <c r="K53" s="40">
        <f>IFERROR('Data Sheet'!J58,0)</f>
        <v>3510.18</v>
      </c>
      <c r="L53" s="40">
        <f>IFERROR('Data Sheet'!K58,0)</f>
        <v>3917.43</v>
      </c>
    </row>
    <row r="54" spans="1:13" x14ac:dyDescent="0.3">
      <c r="B54" s="9" t="s">
        <v>71</v>
      </c>
      <c r="C54" s="40">
        <f>IFERROR('Data Sheet'!B59,0)</f>
        <v>145.07</v>
      </c>
      <c r="D54" s="40">
        <f>IFERROR('Data Sheet'!C59,0)</f>
        <v>131.05000000000001</v>
      </c>
      <c r="E54" s="40">
        <f>IFERROR('Data Sheet'!D59,0)</f>
        <v>124.56</v>
      </c>
      <c r="F54" s="40">
        <f>IFERROR('Data Sheet'!E59,0)</f>
        <v>200.7</v>
      </c>
      <c r="G54" s="40">
        <f>IFERROR('Data Sheet'!F59,0)</f>
        <v>156.02000000000001</v>
      </c>
      <c r="H54" s="40">
        <f>IFERROR('Data Sheet'!G59,0)</f>
        <v>1537.59</v>
      </c>
      <c r="I54" s="40">
        <f>IFERROR('Data Sheet'!H59,0)</f>
        <v>2121.5100000000002</v>
      </c>
      <c r="J54" s="40">
        <f>IFERROR('Data Sheet'!I59,0)</f>
        <v>2481.1999999999998</v>
      </c>
      <c r="K54" s="40">
        <f>IFERROR('Data Sheet'!J59,0)</f>
        <v>2997.37</v>
      </c>
      <c r="L54" s="40">
        <f>IFERROR('Data Sheet'!K59,0)</f>
        <v>2064.96</v>
      </c>
    </row>
    <row r="55" spans="1:13" x14ac:dyDescent="0.3">
      <c r="B55" s="9" t="s">
        <v>72</v>
      </c>
      <c r="C55" s="40">
        <f>IFERROR('Data Sheet'!B60,0)</f>
        <v>1403.17</v>
      </c>
      <c r="D55" s="40">
        <f>IFERROR('Data Sheet'!C60,0)</f>
        <v>1271.18</v>
      </c>
      <c r="E55" s="40">
        <f>IFERROR('Data Sheet'!D60,0)</f>
        <v>1287.82</v>
      </c>
      <c r="F55" s="40">
        <f>IFERROR('Data Sheet'!E60,0)</f>
        <v>1580.99</v>
      </c>
      <c r="G55" s="40">
        <f>IFERROR('Data Sheet'!F60,0)</f>
        <v>1828.68</v>
      </c>
      <c r="H55" s="40">
        <f>IFERROR('Data Sheet'!G60,0)</f>
        <v>1889.12</v>
      </c>
      <c r="I55" s="40">
        <f>IFERROR('Data Sheet'!H60,0)</f>
        <v>2330.92</v>
      </c>
      <c r="J55" s="40">
        <f>IFERROR('Data Sheet'!I60,0)</f>
        <v>2487.3000000000002</v>
      </c>
      <c r="K55" s="40">
        <f>IFERROR('Data Sheet'!J60,0)</f>
        <v>2819.21</v>
      </c>
      <c r="L55" s="40">
        <f>IFERROR('Data Sheet'!K60,0)</f>
        <v>3067.08</v>
      </c>
    </row>
    <row r="56" spans="1:13" ht="15" thickBot="1" x14ac:dyDescent="0.35">
      <c r="B56" s="49" t="s">
        <v>129</v>
      </c>
      <c r="C56" s="50">
        <f>IFERROR(SUM(C52:C55),0)</f>
        <v>2793.35</v>
      </c>
      <c r="D56" s="50">
        <f t="shared" ref="D56:L56" si="20">IFERROR(SUM(D52:D55),0)</f>
        <v>3493.91</v>
      </c>
      <c r="E56" s="50">
        <f t="shared" si="20"/>
        <v>4108.8</v>
      </c>
      <c r="F56" s="50">
        <f t="shared" si="20"/>
        <v>5187.92</v>
      </c>
      <c r="G56" s="50">
        <f t="shared" si="20"/>
        <v>6237.9500000000007</v>
      </c>
      <c r="H56" s="50">
        <f t="shared" si="20"/>
        <v>7829.54</v>
      </c>
      <c r="I56" s="50">
        <f t="shared" si="20"/>
        <v>8000.09</v>
      </c>
      <c r="J56" s="50">
        <f t="shared" si="20"/>
        <v>7526.6</v>
      </c>
      <c r="K56" s="50">
        <f t="shared" si="20"/>
        <v>9350.8499999999985</v>
      </c>
      <c r="L56" s="50">
        <f t="shared" si="20"/>
        <v>9073.56</v>
      </c>
    </row>
    <row r="57" spans="1:13" ht="15" thickTop="1" x14ac:dyDescent="0.3"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3" x14ac:dyDescent="0.3">
      <c r="B58" s="9" t="s">
        <v>27</v>
      </c>
      <c r="C58" s="40">
        <f>IFERROR('Data Sheet'!B62,0)</f>
        <v>844.07</v>
      </c>
      <c r="D58" s="40">
        <f>IFERROR('Data Sheet'!C62,0)</f>
        <v>950.24</v>
      </c>
      <c r="E58" s="40">
        <f>IFERROR('Data Sheet'!D62,0)</f>
        <v>1159.99</v>
      </c>
      <c r="F58" s="40">
        <f>IFERROR('Data Sheet'!E62,0)</f>
        <v>1345.6</v>
      </c>
      <c r="G58" s="40">
        <f>IFERROR('Data Sheet'!F62,0)</f>
        <v>1688.3</v>
      </c>
      <c r="H58" s="40">
        <f>IFERROR('Data Sheet'!G62,0)</f>
        <v>1878.18</v>
      </c>
      <c r="I58" s="40">
        <f>IFERROR('Data Sheet'!H62,0)</f>
        <v>1792.95</v>
      </c>
      <c r="J58" s="40">
        <f>IFERROR('Data Sheet'!I62,0)</f>
        <v>1753.21</v>
      </c>
      <c r="K58" s="40">
        <f>IFERROR('Data Sheet'!J62,0)</f>
        <v>2655.22</v>
      </c>
      <c r="L58" s="40">
        <f>IFERROR('Data Sheet'!K62,0)</f>
        <v>2771.14</v>
      </c>
    </row>
    <row r="59" spans="1:13" x14ac:dyDescent="0.3">
      <c r="B59" s="9" t="s">
        <v>28</v>
      </c>
      <c r="C59" s="40">
        <f>IFERROR('Data Sheet'!B63,0)</f>
        <v>48.37</v>
      </c>
      <c r="D59" s="40">
        <f>IFERROR('Data Sheet'!C63,0)</f>
        <v>90.07</v>
      </c>
      <c r="E59" s="40">
        <f>IFERROR('Data Sheet'!D63,0)</f>
        <v>30.07</v>
      </c>
      <c r="F59" s="40">
        <f>IFERROR('Data Sheet'!E63,0)</f>
        <v>202.82</v>
      </c>
      <c r="G59" s="40">
        <f>IFERROR('Data Sheet'!F63,0)</f>
        <v>101.24</v>
      </c>
      <c r="H59" s="40">
        <f>IFERROR('Data Sheet'!G63,0)</f>
        <v>39.549999999999997</v>
      </c>
      <c r="I59" s="40">
        <f>IFERROR('Data Sheet'!H63,0)</f>
        <v>116.52</v>
      </c>
      <c r="J59" s="40">
        <f>IFERROR('Data Sheet'!I63,0)</f>
        <v>535.67999999999995</v>
      </c>
      <c r="K59" s="40">
        <f>IFERROR('Data Sheet'!J63,0)</f>
        <v>105</v>
      </c>
      <c r="L59" s="40">
        <f>IFERROR('Data Sheet'!K63,0)</f>
        <v>187.54</v>
      </c>
    </row>
    <row r="60" spans="1:13" x14ac:dyDescent="0.3">
      <c r="B60" s="9" t="s">
        <v>29</v>
      </c>
      <c r="C60" s="40">
        <f>IFERROR('Data Sheet'!B64,0)</f>
        <v>517.94000000000005</v>
      </c>
      <c r="D60" s="40">
        <f>IFERROR('Data Sheet'!C64,0)</f>
        <v>788.38</v>
      </c>
      <c r="E60" s="40">
        <f>IFERROR('Data Sheet'!D64,0)</f>
        <v>486.85</v>
      </c>
      <c r="F60" s="40">
        <f>IFERROR('Data Sheet'!E64,0)</f>
        <v>1079.28</v>
      </c>
      <c r="G60" s="40">
        <f>IFERROR('Data Sheet'!F64,0)</f>
        <v>1476.28</v>
      </c>
      <c r="H60" s="40">
        <f>IFERROR('Data Sheet'!G64,0)</f>
        <v>2893.23</v>
      </c>
      <c r="I60" s="40">
        <f>IFERROR('Data Sheet'!H64,0)</f>
        <v>2780.91</v>
      </c>
      <c r="J60" s="40">
        <f>IFERROR('Data Sheet'!I64,0)</f>
        <v>1762.37</v>
      </c>
      <c r="K60" s="40">
        <f>IFERROR('Data Sheet'!J64,0)</f>
        <v>3324.24</v>
      </c>
      <c r="L60" s="40">
        <f>IFERROR('Data Sheet'!K64,0)</f>
        <v>2766.72</v>
      </c>
    </row>
    <row r="61" spans="1:13" x14ac:dyDescent="0.3">
      <c r="B61" s="9" t="s">
        <v>73</v>
      </c>
      <c r="C61" s="40">
        <f>IFERROR('Data Sheet'!B65-SUM('Data Sheet'!B67:B69),0)</f>
        <v>616.79</v>
      </c>
      <c r="D61" s="40">
        <f>IFERROR('Data Sheet'!C65-SUM('Data Sheet'!C67:C69),0)</f>
        <v>966.31000000000006</v>
      </c>
      <c r="E61" s="40">
        <f>IFERROR('Data Sheet'!D65-SUM('Data Sheet'!D67:D69),0)</f>
        <v>1470.52</v>
      </c>
      <c r="F61" s="40">
        <f>IFERROR('Data Sheet'!E65-SUM('Data Sheet'!E67:E69),0)</f>
        <v>1416.4099999999999</v>
      </c>
      <c r="G61" s="40">
        <f>IFERROR('Data Sheet'!F65-SUM('Data Sheet'!F67:F69),0)</f>
        <v>1686.6900000000003</v>
      </c>
      <c r="H61" s="40">
        <f>IFERROR('Data Sheet'!G65-SUM('Data Sheet'!G67:G69),0)</f>
        <v>1834.4099999999999</v>
      </c>
      <c r="I61" s="40">
        <f>IFERROR('Data Sheet'!H65-SUM('Data Sheet'!H67:H69),0)</f>
        <v>1749.6100000000001</v>
      </c>
      <c r="J61" s="40">
        <f>IFERROR('Data Sheet'!I65-SUM('Data Sheet'!I67:I69),0)</f>
        <v>1591.02</v>
      </c>
      <c r="K61" s="40">
        <f>IFERROR('Data Sheet'!J65-SUM('Data Sheet'!J67:J69),0)</f>
        <v>1546.2099999999998</v>
      </c>
      <c r="L61" s="40">
        <f>IFERROR('Data Sheet'!K65-SUM('Data Sheet'!K67:K69),0)</f>
        <v>1327.2599999999998</v>
      </c>
    </row>
    <row r="62" spans="1:13" x14ac:dyDescent="0.3">
      <c r="B62" s="47" t="s">
        <v>128</v>
      </c>
      <c r="C62" s="48">
        <f>IFERROR(SUM(C58:C61),0)</f>
        <v>2027.17</v>
      </c>
      <c r="D62" s="48">
        <f t="shared" ref="D62:L62" si="21">IFERROR(SUM(D58:D61),0)</f>
        <v>2795</v>
      </c>
      <c r="E62" s="48">
        <f t="shared" si="21"/>
        <v>3147.43</v>
      </c>
      <c r="F62" s="48">
        <f t="shared" si="21"/>
        <v>4044.1099999999997</v>
      </c>
      <c r="G62" s="48">
        <f t="shared" si="21"/>
        <v>4952.51</v>
      </c>
      <c r="H62" s="48">
        <f t="shared" si="21"/>
        <v>6645.37</v>
      </c>
      <c r="I62" s="48">
        <f t="shared" si="21"/>
        <v>6439.99</v>
      </c>
      <c r="J62" s="48">
        <f t="shared" si="21"/>
        <v>5642.28</v>
      </c>
      <c r="K62" s="48">
        <f t="shared" si="21"/>
        <v>7630.6699999999992</v>
      </c>
      <c r="L62" s="48">
        <f t="shared" si="21"/>
        <v>7052.66</v>
      </c>
    </row>
    <row r="63" spans="1:13" x14ac:dyDescent="0.3"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3" x14ac:dyDescent="0.3">
      <c r="B64" s="9" t="s">
        <v>78</v>
      </c>
      <c r="C64" s="40">
        <f>IFERROR('Data Sheet'!B67,0)</f>
        <v>135.81</v>
      </c>
      <c r="D64" s="40">
        <f>IFERROR('Data Sheet'!C67,0)</f>
        <v>170.61</v>
      </c>
      <c r="E64" s="40">
        <f>IFERROR('Data Sheet'!D67,0)</f>
        <v>179.16</v>
      </c>
      <c r="F64" s="40">
        <f>IFERROR('Data Sheet'!E67,0)</f>
        <v>304.60000000000002</v>
      </c>
      <c r="G64" s="40">
        <f>IFERROR('Data Sheet'!F67,0)</f>
        <v>394.24</v>
      </c>
      <c r="H64" s="40">
        <f>IFERROR('Data Sheet'!G67,0)</f>
        <v>320.36</v>
      </c>
      <c r="I64" s="40">
        <f>IFERROR('Data Sheet'!H67,0)</f>
        <v>257.27</v>
      </c>
      <c r="J64" s="40">
        <f>IFERROR('Data Sheet'!I67,0)</f>
        <v>331.93</v>
      </c>
      <c r="K64" s="40">
        <f>IFERROR('Data Sheet'!J67,0)</f>
        <v>328.94</v>
      </c>
      <c r="L64" s="40">
        <f>IFERROR('Data Sheet'!K67,0)</f>
        <v>393.33</v>
      </c>
    </row>
    <row r="65" spans="1:12" x14ac:dyDescent="0.3">
      <c r="B65" s="9" t="s">
        <v>45</v>
      </c>
      <c r="C65" s="40">
        <f>IFERROR('Data Sheet'!B68,0)</f>
        <v>404.04</v>
      </c>
      <c r="D65" s="40">
        <f>IFERROR('Data Sheet'!C68,0)</f>
        <v>440.65</v>
      </c>
      <c r="E65" s="40">
        <f>IFERROR('Data Sheet'!D68,0)</f>
        <v>661.45</v>
      </c>
      <c r="F65" s="40">
        <f>IFERROR('Data Sheet'!E68,0)</f>
        <v>652.79</v>
      </c>
      <c r="G65" s="40">
        <f>IFERROR('Data Sheet'!F68,0)</f>
        <v>781.38</v>
      </c>
      <c r="H65" s="40">
        <f>IFERROR('Data Sheet'!G68,0)</f>
        <v>740.96</v>
      </c>
      <c r="I65" s="40">
        <f>IFERROR('Data Sheet'!H68,0)</f>
        <v>1091.49</v>
      </c>
      <c r="J65" s="40">
        <f>IFERROR('Data Sheet'!I68,0)</f>
        <v>1367.49</v>
      </c>
      <c r="K65" s="40">
        <f>IFERROR('Data Sheet'!J68,0)</f>
        <v>1193.26</v>
      </c>
      <c r="L65" s="40">
        <f>IFERROR('Data Sheet'!K68,0)</f>
        <v>1181.22</v>
      </c>
    </row>
    <row r="66" spans="1:12" x14ac:dyDescent="0.3">
      <c r="B66" s="5" t="s">
        <v>87</v>
      </c>
      <c r="C66" s="40">
        <f>IFERROR('Data Sheet'!B69,0)</f>
        <v>226.33</v>
      </c>
      <c r="D66" s="40">
        <f>IFERROR('Data Sheet'!C69,0)</f>
        <v>87.65</v>
      </c>
      <c r="E66" s="40">
        <f>IFERROR('Data Sheet'!D69,0)</f>
        <v>120.76</v>
      </c>
      <c r="F66" s="40">
        <f>IFERROR('Data Sheet'!E69,0)</f>
        <v>186.42</v>
      </c>
      <c r="G66" s="40">
        <f>IFERROR('Data Sheet'!F69,0)</f>
        <v>109.82</v>
      </c>
      <c r="H66" s="40">
        <f>IFERROR('Data Sheet'!G69,0)</f>
        <v>122.85</v>
      </c>
      <c r="I66" s="40">
        <f>IFERROR('Data Sheet'!H69,0)</f>
        <v>211.34</v>
      </c>
      <c r="J66" s="40">
        <f>IFERROR('Data Sheet'!I69,0)</f>
        <v>184.9</v>
      </c>
      <c r="K66" s="40">
        <f>IFERROR('Data Sheet'!J69,0)</f>
        <v>197.98</v>
      </c>
      <c r="L66" s="40">
        <f>IFERROR('Data Sheet'!K69,0)</f>
        <v>446.35</v>
      </c>
    </row>
    <row r="67" spans="1:12" x14ac:dyDescent="0.3">
      <c r="B67" s="47" t="s">
        <v>130</v>
      </c>
      <c r="C67" s="48">
        <f>IFERROR(SUM(C64:C66),0)</f>
        <v>766.18000000000006</v>
      </c>
      <c r="D67" s="48">
        <f t="shared" ref="D67:L67" si="22">IFERROR(SUM(D64:D66),0)</f>
        <v>698.91</v>
      </c>
      <c r="E67" s="48">
        <f t="shared" si="22"/>
        <v>961.37</v>
      </c>
      <c r="F67" s="48">
        <f t="shared" si="22"/>
        <v>1143.81</v>
      </c>
      <c r="G67" s="48">
        <f t="shared" si="22"/>
        <v>1285.4399999999998</v>
      </c>
      <c r="H67" s="48">
        <f t="shared" si="22"/>
        <v>1184.17</v>
      </c>
      <c r="I67" s="48">
        <f t="shared" si="22"/>
        <v>1560.1</v>
      </c>
      <c r="J67" s="48">
        <f t="shared" si="22"/>
        <v>1884.3200000000002</v>
      </c>
      <c r="K67" s="48">
        <f t="shared" si="22"/>
        <v>1720.18</v>
      </c>
      <c r="L67" s="48">
        <f t="shared" si="22"/>
        <v>2020.9</v>
      </c>
    </row>
    <row r="68" spans="1:12" x14ac:dyDescent="0.3"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2" ht="15" thickBot="1" x14ac:dyDescent="0.35">
      <c r="B69" s="49" t="s">
        <v>131</v>
      </c>
      <c r="C69" s="50">
        <f>IFERROR(SUM(C62,C67),0)</f>
        <v>2793.3500000000004</v>
      </c>
      <c r="D69" s="50">
        <f t="shared" ref="D69:L69" si="23">IFERROR(SUM(D62,D67),0)</f>
        <v>3493.91</v>
      </c>
      <c r="E69" s="50">
        <f t="shared" si="23"/>
        <v>4108.8</v>
      </c>
      <c r="F69" s="50">
        <f t="shared" si="23"/>
        <v>5187.92</v>
      </c>
      <c r="G69" s="50">
        <f t="shared" si="23"/>
        <v>6237.95</v>
      </c>
      <c r="H69" s="50">
        <f t="shared" si="23"/>
        <v>7829.54</v>
      </c>
      <c r="I69" s="50">
        <f t="shared" si="23"/>
        <v>8000.09</v>
      </c>
      <c r="J69" s="50">
        <f t="shared" si="23"/>
        <v>7526.6</v>
      </c>
      <c r="K69" s="50">
        <f t="shared" si="23"/>
        <v>9350.8499999999985</v>
      </c>
      <c r="L69" s="50">
        <f t="shared" si="23"/>
        <v>9073.56</v>
      </c>
    </row>
    <row r="70" spans="1:12" ht="15" thickTop="1" x14ac:dyDescent="0.3">
      <c r="B70" s="42"/>
    </row>
    <row r="71" spans="1:12" x14ac:dyDescent="0.3">
      <c r="B71" s="42" t="s">
        <v>163</v>
      </c>
      <c r="C71" t="b">
        <f>C69=C56</f>
        <v>1</v>
      </c>
      <c r="D71" t="b">
        <f t="shared" ref="D71:L71" si="24">D69=D56</f>
        <v>1</v>
      </c>
      <c r="E71" t="b">
        <f t="shared" si="24"/>
        <v>1</v>
      </c>
      <c r="F71" t="b">
        <f t="shared" si="24"/>
        <v>1</v>
      </c>
      <c r="G71" t="b">
        <f t="shared" si="24"/>
        <v>1</v>
      </c>
      <c r="H71" t="b">
        <f t="shared" si="24"/>
        <v>1</v>
      </c>
      <c r="I71" t="b">
        <f t="shared" si="24"/>
        <v>1</v>
      </c>
      <c r="J71" t="b">
        <f t="shared" si="24"/>
        <v>1</v>
      </c>
      <c r="K71" t="b">
        <f t="shared" si="24"/>
        <v>1</v>
      </c>
      <c r="L71" t="b">
        <f t="shared" si="24"/>
        <v>1</v>
      </c>
    </row>
    <row r="73" spans="1:12" x14ac:dyDescent="0.3">
      <c r="A73" t="s">
        <v>97</v>
      </c>
      <c r="B73" s="45" t="s">
        <v>132</v>
      </c>
      <c r="C73" s="41"/>
      <c r="D73" s="41"/>
      <c r="E73" s="41"/>
      <c r="F73" s="41"/>
      <c r="G73" s="41"/>
      <c r="H73" s="41"/>
      <c r="I73" s="41"/>
      <c r="J73" s="41"/>
      <c r="K73" s="41"/>
      <c r="L73" s="41"/>
    </row>
    <row r="74" spans="1:12" x14ac:dyDescent="0.3">
      <c r="B74" s="51" t="s">
        <v>164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2" x14ac:dyDescent="0.3">
      <c r="B75" t="s">
        <v>134</v>
      </c>
      <c r="C75" s="40">
        <f>IFERROR(Sheet2!C4,0)</f>
        <v>861</v>
      </c>
      <c r="D75" s="40">
        <f>IFERROR(Sheet2!D4,0)</f>
        <v>1230</v>
      </c>
      <c r="E75" s="40">
        <f>IFERROR(Sheet2!E4,0)</f>
        <v>1289</v>
      </c>
      <c r="F75" s="40">
        <f>IFERROR(Sheet2!F4,0)</f>
        <v>1517</v>
      </c>
      <c r="G75" s="40">
        <f>IFERROR(Sheet2!G4,0)</f>
        <v>1754</v>
      </c>
      <c r="H75" s="40">
        <f>IFERROR(Sheet2!H4,0)</f>
        <v>1860</v>
      </c>
      <c r="I75" s="40">
        <f>IFERROR(Sheet2!I4,0)</f>
        <v>2540</v>
      </c>
      <c r="J75" s="40">
        <f>IFERROR(Sheet2!J4,0)</f>
        <v>2214</v>
      </c>
      <c r="K75" s="40">
        <f>IFERROR(Sheet2!K4,0)</f>
        <v>2846</v>
      </c>
      <c r="L75" s="40">
        <f>IFERROR(Sheet2!L4,0)</f>
        <v>3177</v>
      </c>
    </row>
    <row r="76" spans="1:12" x14ac:dyDescent="0.3">
      <c r="B76" t="s">
        <v>78</v>
      </c>
      <c r="C76" s="40">
        <f>IFERROR(Sheet2!C5,0)</f>
        <v>-25</v>
      </c>
      <c r="D76" s="40">
        <f>IFERROR(Sheet2!D5,0)</f>
        <v>-32</v>
      </c>
      <c r="E76" s="40">
        <f>IFERROR(Sheet2!E5,0)</f>
        <v>-9</v>
      </c>
      <c r="F76" s="40">
        <f>IFERROR(Sheet2!F5,0)</f>
        <v>-125</v>
      </c>
      <c r="G76" s="40">
        <f>IFERROR(Sheet2!G5,0)</f>
        <v>-87</v>
      </c>
      <c r="H76" s="40">
        <f>IFERROR(Sheet2!H5,0)</f>
        <v>79</v>
      </c>
      <c r="I76" s="40">
        <f>IFERROR(Sheet2!I5,0)</f>
        <v>61</v>
      </c>
      <c r="J76" s="40">
        <f>IFERROR(Sheet2!J5,0)</f>
        <v>-72</v>
      </c>
      <c r="K76" s="40">
        <f>IFERROR(Sheet2!K5,0)</f>
        <v>1</v>
      </c>
      <c r="L76" s="40">
        <f>IFERROR(Sheet2!L5,0)</f>
        <v>-64</v>
      </c>
    </row>
    <row r="77" spans="1:12" x14ac:dyDescent="0.3">
      <c r="B77" t="s">
        <v>45</v>
      </c>
      <c r="C77" s="40">
        <f>IFERROR(Sheet2!C6,0)</f>
        <v>17</v>
      </c>
      <c r="D77" s="40">
        <f>IFERROR(Sheet2!D6,0)</f>
        <v>-35</v>
      </c>
      <c r="E77" s="40">
        <f>IFERROR(Sheet2!E6,0)</f>
        <v>-221</v>
      </c>
      <c r="F77" s="40">
        <f>IFERROR(Sheet2!F6,0)</f>
        <v>9</v>
      </c>
      <c r="G77" s="40">
        <f>IFERROR(Sheet2!G6,0)</f>
        <v>-127</v>
      </c>
      <c r="H77" s="40">
        <f>IFERROR(Sheet2!H6,0)</f>
        <v>43</v>
      </c>
      <c r="I77" s="40">
        <f>IFERROR(Sheet2!I6,0)</f>
        <v>-351</v>
      </c>
      <c r="J77" s="40">
        <f>IFERROR(Sheet2!J6,0)</f>
        <v>-275</v>
      </c>
      <c r="K77" s="40">
        <f>IFERROR(Sheet2!K6,0)</f>
        <v>177</v>
      </c>
      <c r="L77" s="40">
        <f>IFERROR(Sheet2!L6,0)</f>
        <v>13</v>
      </c>
    </row>
    <row r="78" spans="1:12" x14ac:dyDescent="0.3">
      <c r="B78" t="s">
        <v>135</v>
      </c>
      <c r="C78" s="40">
        <f>IFERROR(Sheet2!C7,0)</f>
        <v>0</v>
      </c>
      <c r="D78" s="40">
        <f>IFERROR(Sheet2!D7,0)</f>
        <v>0</v>
      </c>
      <c r="E78" s="40">
        <f>IFERROR(Sheet2!E7,0)</f>
        <v>0</v>
      </c>
      <c r="F78" s="40">
        <f>IFERROR(Sheet2!F7,0)</f>
        <v>0</v>
      </c>
      <c r="G78" s="40">
        <f>IFERROR(Sheet2!G7,0)</f>
        <v>0</v>
      </c>
      <c r="H78" s="40">
        <f>IFERROR(Sheet2!H7,0)</f>
        <v>0</v>
      </c>
      <c r="I78" s="40">
        <f>IFERROR(Sheet2!I7,0)</f>
        <v>402</v>
      </c>
      <c r="J78" s="40">
        <f>IFERROR(Sheet2!J7,0)</f>
        <v>64</v>
      </c>
      <c r="K78" s="40">
        <f>IFERROR(Sheet2!K7,0)</f>
        <v>292</v>
      </c>
      <c r="L78" s="40">
        <f>IFERROR(Sheet2!L7,0)</f>
        <v>237</v>
      </c>
    </row>
    <row r="79" spans="1:12" x14ac:dyDescent="0.3">
      <c r="B79" t="s">
        <v>136</v>
      </c>
      <c r="C79" s="40">
        <f>IFERROR(Sheet2!C8,0)</f>
        <v>14</v>
      </c>
      <c r="D79" s="40">
        <f>IFERROR(Sheet2!D8,0)</f>
        <v>0</v>
      </c>
      <c r="E79" s="40">
        <f>IFERROR(Sheet2!E8,0)</f>
        <v>0</v>
      </c>
      <c r="F79" s="40">
        <f>IFERROR(Sheet2!F8,0)</f>
        <v>0</v>
      </c>
      <c r="G79" s="40">
        <f>IFERROR(Sheet2!G8,0)</f>
        <v>0</v>
      </c>
      <c r="H79" s="40">
        <f>IFERROR(Sheet2!H8,0)</f>
        <v>0</v>
      </c>
      <c r="I79" s="40">
        <f>IFERROR(Sheet2!I8,0)</f>
        <v>-144</v>
      </c>
      <c r="J79" s="40">
        <f>IFERROR(Sheet2!J8,0)</f>
        <v>0</v>
      </c>
      <c r="K79" s="40">
        <f>IFERROR(Sheet2!K8,0)</f>
        <v>0</v>
      </c>
      <c r="L79" s="40">
        <f>IFERROR(Sheet2!L8,0)</f>
        <v>0</v>
      </c>
    </row>
    <row r="80" spans="1:12" x14ac:dyDescent="0.3">
      <c r="B80" t="s">
        <v>137</v>
      </c>
      <c r="C80" s="40">
        <f>IFERROR(Sheet2!C9,0)</f>
        <v>18</v>
      </c>
      <c r="D80" s="40">
        <f>IFERROR(Sheet2!D9,0)</f>
        <v>200</v>
      </c>
      <c r="E80" s="40">
        <f>IFERROR(Sheet2!E9,0)</f>
        <v>-221</v>
      </c>
      <c r="F80" s="40">
        <f>IFERROR(Sheet2!F9,0)</f>
        <v>345</v>
      </c>
      <c r="G80" s="40">
        <f>IFERROR(Sheet2!G9,0)</f>
        <v>211</v>
      </c>
      <c r="H80" s="40">
        <f>IFERROR(Sheet2!H9,0)</f>
        <v>6</v>
      </c>
      <c r="I80" s="40">
        <f>IFERROR(Sheet2!I9,0)</f>
        <v>0</v>
      </c>
      <c r="J80" s="40">
        <f>IFERROR(Sheet2!J9,0)</f>
        <v>-44</v>
      </c>
      <c r="K80" s="40">
        <f>IFERROR(Sheet2!K9,0)</f>
        <v>-65</v>
      </c>
      <c r="L80" s="40">
        <f>IFERROR(Sheet2!L9,0)</f>
        <v>-25</v>
      </c>
    </row>
    <row r="81" spans="2:12" x14ac:dyDescent="0.3">
      <c r="B81" t="s">
        <v>138</v>
      </c>
      <c r="C81" s="40">
        <f>IFERROR(Sheet2!C10,0)</f>
        <v>25</v>
      </c>
      <c r="D81" s="40">
        <f>IFERROR(Sheet2!D10,0)</f>
        <v>133</v>
      </c>
      <c r="E81" s="40">
        <f>IFERROR(Sheet2!E10,0)</f>
        <v>-451</v>
      </c>
      <c r="F81" s="40">
        <f>IFERROR(Sheet2!F10,0)</f>
        <v>228</v>
      </c>
      <c r="G81" s="40">
        <f>IFERROR(Sheet2!G10,0)</f>
        <v>-2</v>
      </c>
      <c r="H81" s="40">
        <f>IFERROR(Sheet2!H10,0)</f>
        <v>127</v>
      </c>
      <c r="I81" s="40">
        <f>IFERROR(Sheet2!I10,0)</f>
        <v>-32</v>
      </c>
      <c r="J81" s="40">
        <f>IFERROR(Sheet2!J10,0)</f>
        <v>-327</v>
      </c>
      <c r="K81" s="40">
        <f>IFERROR(Sheet2!K10,0)</f>
        <v>406</v>
      </c>
      <c r="L81" s="40">
        <f>IFERROR(Sheet2!L10,0)</f>
        <v>161</v>
      </c>
    </row>
    <row r="82" spans="2:12" x14ac:dyDescent="0.3">
      <c r="B82" t="s">
        <v>139</v>
      </c>
      <c r="C82" s="40">
        <f>IFERROR(Sheet2!C11,0)</f>
        <v>-301</v>
      </c>
      <c r="D82" s="40">
        <f>IFERROR(Sheet2!D11,0)</f>
        <v>-403</v>
      </c>
      <c r="E82" s="40">
        <f>IFERROR(Sheet2!E11,0)</f>
        <v>-397</v>
      </c>
      <c r="F82" s="40">
        <f>IFERROR(Sheet2!F11,0)</f>
        <v>-496</v>
      </c>
      <c r="G82" s="40">
        <f>IFERROR(Sheet2!G11,0)</f>
        <v>-596</v>
      </c>
      <c r="H82" s="40">
        <f>IFERROR(Sheet2!H11,0)</f>
        <v>-503</v>
      </c>
      <c r="I82" s="40">
        <f>IFERROR(Sheet2!I11,0)</f>
        <v>-633</v>
      </c>
      <c r="J82" s="40">
        <f>IFERROR(Sheet2!J11,0)</f>
        <v>-587</v>
      </c>
      <c r="K82" s="40">
        <f>IFERROR(Sheet2!K11,0)</f>
        <v>-726</v>
      </c>
      <c r="L82" s="40">
        <f>IFERROR(Sheet2!L11,0)</f>
        <v>-765</v>
      </c>
    </row>
    <row r="83" spans="2:12" x14ac:dyDescent="0.3">
      <c r="B83" s="53" t="s">
        <v>165</v>
      </c>
      <c r="C83" s="48">
        <f>IFERROR(SUM(C75,C82,C81),0)</f>
        <v>585</v>
      </c>
      <c r="D83" s="48">
        <f t="shared" ref="D83:L83" si="25">IFERROR(SUM(D75,D82,D81),0)</f>
        <v>960</v>
      </c>
      <c r="E83" s="48">
        <f t="shared" si="25"/>
        <v>441</v>
      </c>
      <c r="F83" s="48">
        <f t="shared" si="25"/>
        <v>1249</v>
      </c>
      <c r="G83" s="48">
        <f t="shared" si="25"/>
        <v>1156</v>
      </c>
      <c r="H83" s="48">
        <f t="shared" si="25"/>
        <v>1484</v>
      </c>
      <c r="I83" s="48">
        <f t="shared" si="25"/>
        <v>1875</v>
      </c>
      <c r="J83" s="48">
        <f t="shared" si="25"/>
        <v>1300</v>
      </c>
      <c r="K83" s="48">
        <f t="shared" si="25"/>
        <v>2526</v>
      </c>
      <c r="L83" s="48">
        <f t="shared" si="25"/>
        <v>2573</v>
      </c>
    </row>
    <row r="84" spans="2:12" x14ac:dyDescent="0.3">
      <c r="C84" s="40"/>
      <c r="D84" s="40"/>
      <c r="E84" s="40"/>
      <c r="F84" s="40"/>
      <c r="G84" s="40"/>
      <c r="H84" s="40"/>
      <c r="I84" s="40"/>
      <c r="J84" s="40"/>
      <c r="K84" s="40"/>
      <c r="L84" s="40"/>
    </row>
    <row r="85" spans="2:12" x14ac:dyDescent="0.3">
      <c r="B85" s="52" t="s">
        <v>166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</row>
    <row r="86" spans="2:12" x14ac:dyDescent="0.3">
      <c r="B86" t="s">
        <v>141</v>
      </c>
      <c r="C86" s="40">
        <f>IFERROR(Sheet2!C13,0)</f>
        <v>-118</v>
      </c>
      <c r="D86" s="40">
        <f>IFERROR(Sheet2!D13,0)</f>
        <v>-251</v>
      </c>
      <c r="E86" s="40">
        <f>IFERROR(Sheet2!E13,0)</f>
        <v>-360</v>
      </c>
      <c r="F86" s="40">
        <f>IFERROR(Sheet2!F13,0)</f>
        <v>-423</v>
      </c>
      <c r="G86" s="40">
        <f>IFERROR(Sheet2!G13,0)</f>
        <v>-401</v>
      </c>
      <c r="H86" s="40">
        <f>IFERROR(Sheet2!H13,0)</f>
        <v>-244</v>
      </c>
      <c r="I86" s="40">
        <f>IFERROR(Sheet2!I13,0)</f>
        <v>-241</v>
      </c>
      <c r="J86" s="40">
        <f>IFERROR(Sheet2!J13,0)</f>
        <v>-550</v>
      </c>
      <c r="K86" s="40">
        <f>IFERROR(Sheet2!K13,0)</f>
        <v>-711</v>
      </c>
      <c r="L86" s="40">
        <f>IFERROR(Sheet2!L13,0)</f>
        <v>-562</v>
      </c>
    </row>
    <row r="87" spans="2:12" x14ac:dyDescent="0.3">
      <c r="B87" t="s">
        <v>142</v>
      </c>
      <c r="C87" s="40">
        <f>IFERROR(Sheet2!C14,0)</f>
        <v>164</v>
      </c>
      <c r="D87" s="40">
        <f>IFERROR(Sheet2!D14,0)</f>
        <v>1</v>
      </c>
      <c r="E87" s="40">
        <f>IFERROR(Sheet2!E14,0)</f>
        <v>8</v>
      </c>
      <c r="F87" s="40">
        <f>IFERROR(Sheet2!F14,0)</f>
        <v>2</v>
      </c>
      <c r="G87" s="40">
        <f>IFERROR(Sheet2!G14,0)</f>
        <v>2</v>
      </c>
      <c r="H87" s="40">
        <f>IFERROR(Sheet2!H14,0)</f>
        <v>1</v>
      </c>
      <c r="I87" s="40">
        <f>IFERROR(Sheet2!I14,0)</f>
        <v>2</v>
      </c>
      <c r="J87" s="40">
        <f>IFERROR(Sheet2!J14,0)</f>
        <v>3</v>
      </c>
      <c r="K87" s="40">
        <f>IFERROR(Sheet2!K14,0)</f>
        <v>78</v>
      </c>
      <c r="L87" s="40">
        <f>IFERROR(Sheet2!L14,0)</f>
        <v>65</v>
      </c>
    </row>
    <row r="88" spans="2:12" x14ac:dyDescent="0.3">
      <c r="B88" t="s">
        <v>143</v>
      </c>
      <c r="C88" s="40">
        <f>IFERROR(Sheet2!C15,0)</f>
        <v>-277</v>
      </c>
      <c r="D88" s="40">
        <f>IFERROR(Sheet2!D15,0)</f>
        <v>-211</v>
      </c>
      <c r="E88" s="40">
        <f>IFERROR(Sheet2!E15,0)</f>
        <v>0</v>
      </c>
      <c r="F88" s="40">
        <f>IFERROR(Sheet2!F15,0)</f>
        <v>-537</v>
      </c>
      <c r="G88" s="40">
        <f>IFERROR(Sheet2!G15,0)</f>
        <v>-334</v>
      </c>
      <c r="H88" s="40">
        <f>IFERROR(Sheet2!H15,0)</f>
        <v>-1327</v>
      </c>
      <c r="I88" s="40">
        <f>IFERROR(Sheet2!I15,0)</f>
        <v>0</v>
      </c>
      <c r="J88" s="40">
        <f>IFERROR(Sheet2!J15,0)</f>
        <v>-21</v>
      </c>
      <c r="K88" s="40">
        <f>IFERROR(Sheet2!K15,0)</f>
        <v>-1468</v>
      </c>
      <c r="L88" s="40">
        <f>IFERROR(Sheet2!L15,0)</f>
        <v>-191</v>
      </c>
    </row>
    <row r="89" spans="2:12" x14ac:dyDescent="0.3">
      <c r="B89" t="s">
        <v>144</v>
      </c>
      <c r="C89" s="40">
        <f>IFERROR(Sheet2!C16,0)</f>
        <v>0</v>
      </c>
      <c r="D89" s="40">
        <f>IFERROR(Sheet2!D16,0)</f>
        <v>0</v>
      </c>
      <c r="E89" s="40">
        <f>IFERROR(Sheet2!E16,0)</f>
        <v>359</v>
      </c>
      <c r="F89" s="40">
        <f>IFERROR(Sheet2!F16,0)</f>
        <v>0</v>
      </c>
      <c r="G89" s="40">
        <f>IFERROR(Sheet2!G16,0)</f>
        <v>0</v>
      </c>
      <c r="H89" s="40">
        <f>IFERROR(Sheet2!H16,0)</f>
        <v>0</v>
      </c>
      <c r="I89" s="40">
        <f>IFERROR(Sheet2!I16,0)</f>
        <v>179</v>
      </c>
      <c r="J89" s="40">
        <f>IFERROR(Sheet2!J16,0)</f>
        <v>1069</v>
      </c>
      <c r="K89" s="40">
        <f>IFERROR(Sheet2!K16,0)</f>
        <v>443</v>
      </c>
      <c r="L89" s="40">
        <f>IFERROR(Sheet2!L16,0)</f>
        <v>771</v>
      </c>
    </row>
    <row r="90" spans="2:12" x14ac:dyDescent="0.3">
      <c r="B90" t="s">
        <v>145</v>
      </c>
      <c r="C90" s="40">
        <f>IFERROR(Sheet2!C17,0)</f>
        <v>30</v>
      </c>
      <c r="D90" s="40">
        <f>IFERROR(Sheet2!D17,0)</f>
        <v>66</v>
      </c>
      <c r="E90" s="40">
        <f>IFERROR(Sheet2!E17,0)</f>
        <v>75</v>
      </c>
      <c r="F90" s="40">
        <f>IFERROR(Sheet2!F17,0)</f>
        <v>109</v>
      </c>
      <c r="G90" s="40">
        <f>IFERROR(Sheet2!G17,0)</f>
        <v>117</v>
      </c>
      <c r="H90" s="40">
        <f>IFERROR(Sheet2!H17,0)</f>
        <v>128</v>
      </c>
      <c r="I90" s="40">
        <f>IFERROR(Sheet2!I17,0)</f>
        <v>233</v>
      </c>
      <c r="J90" s="40">
        <f>IFERROR(Sheet2!J17,0)</f>
        <v>207</v>
      </c>
      <c r="K90" s="40">
        <f>IFERROR(Sheet2!K17,0)</f>
        <v>175</v>
      </c>
      <c r="L90" s="40">
        <f>IFERROR(Sheet2!L17,0)</f>
        <v>170</v>
      </c>
    </row>
    <row r="91" spans="2:12" x14ac:dyDescent="0.3">
      <c r="B91" t="s">
        <v>146</v>
      </c>
      <c r="C91" s="40">
        <f>IFERROR(Sheet2!C18,0)</f>
        <v>0</v>
      </c>
      <c r="D91" s="40">
        <f>IFERROR(Sheet2!D18,0)</f>
        <v>0</v>
      </c>
      <c r="E91" s="40">
        <f>IFERROR(Sheet2!E18,0)</f>
        <v>0</v>
      </c>
      <c r="F91" s="40">
        <f>IFERROR(Sheet2!F18,0)</f>
        <v>0</v>
      </c>
      <c r="G91" s="40">
        <f>IFERROR(Sheet2!G18,0)</f>
        <v>0</v>
      </c>
      <c r="H91" s="40">
        <f>IFERROR(Sheet2!H18,0)</f>
        <v>0</v>
      </c>
      <c r="I91" s="40">
        <f>IFERROR(Sheet2!I18,0)</f>
        <v>0</v>
      </c>
      <c r="J91" s="40">
        <f>IFERROR(Sheet2!J18,0)</f>
        <v>0</v>
      </c>
      <c r="K91" s="40">
        <f>IFERROR(Sheet2!K18,0)</f>
        <v>0</v>
      </c>
      <c r="L91" s="40">
        <f>IFERROR(Sheet2!L18,0)</f>
        <v>0</v>
      </c>
    </row>
    <row r="92" spans="2:12" x14ac:dyDescent="0.3">
      <c r="B92" t="s">
        <v>147</v>
      </c>
      <c r="C92" s="40">
        <f>IFERROR(Sheet2!C19,0)</f>
        <v>0</v>
      </c>
      <c r="D92" s="40">
        <f>IFERROR(Sheet2!D19,0)</f>
        <v>0</v>
      </c>
      <c r="E92" s="40">
        <f>IFERROR(Sheet2!E19,0)</f>
        <v>-14</v>
      </c>
      <c r="F92" s="40">
        <f>IFERROR(Sheet2!F19,0)</f>
        <v>0</v>
      </c>
      <c r="G92" s="40">
        <f>IFERROR(Sheet2!G19,0)</f>
        <v>0</v>
      </c>
      <c r="H92" s="40">
        <f>IFERROR(Sheet2!H19,0)</f>
        <v>0</v>
      </c>
      <c r="I92" s="40">
        <f>IFERROR(Sheet2!I19,0)</f>
        <v>0</v>
      </c>
      <c r="J92" s="40">
        <f>IFERROR(Sheet2!J19,0)</f>
        <v>0</v>
      </c>
      <c r="K92" s="40">
        <f>IFERROR(Sheet2!K19,0)</f>
        <v>-215</v>
      </c>
      <c r="L92" s="40">
        <f>IFERROR(Sheet2!L19,0)</f>
        <v>0</v>
      </c>
    </row>
    <row r="93" spans="2:12" x14ac:dyDescent="0.3">
      <c r="B93" t="s">
        <v>148</v>
      </c>
      <c r="C93" s="40">
        <f>IFERROR(Sheet2!C20,0)</f>
        <v>0</v>
      </c>
      <c r="D93" s="40">
        <f>IFERROR(Sheet2!D20,0)</f>
        <v>0</v>
      </c>
      <c r="E93" s="40">
        <f>IFERROR(Sheet2!E20,0)</f>
        <v>0</v>
      </c>
      <c r="F93" s="40">
        <f>IFERROR(Sheet2!F20,0)</f>
        <v>0</v>
      </c>
      <c r="G93" s="40">
        <f>IFERROR(Sheet2!G20,0)</f>
        <v>0</v>
      </c>
      <c r="H93" s="40">
        <f>IFERROR(Sheet2!H20,0)</f>
        <v>0</v>
      </c>
      <c r="I93" s="40">
        <f>IFERROR(Sheet2!I20,0)</f>
        <v>0</v>
      </c>
      <c r="J93" s="40">
        <f>IFERROR(Sheet2!J20,0)</f>
        <v>0</v>
      </c>
      <c r="K93" s="40">
        <f>IFERROR(Sheet2!K20,0)</f>
        <v>262</v>
      </c>
      <c r="L93" s="40">
        <f>IFERROR(Sheet2!L20,0)</f>
        <v>0</v>
      </c>
    </row>
    <row r="94" spans="2:12" x14ac:dyDescent="0.3">
      <c r="B94" t="s">
        <v>149</v>
      </c>
      <c r="C94" s="40">
        <f>IFERROR(Sheet2!C21,0)</f>
        <v>-250</v>
      </c>
      <c r="D94" s="40">
        <f>IFERROR(Sheet2!D21,0)</f>
        <v>-311</v>
      </c>
      <c r="E94" s="40">
        <f>IFERROR(Sheet2!E21,0)</f>
        <v>-218</v>
      </c>
      <c r="F94" s="40">
        <f>IFERROR(Sheet2!F21,0)</f>
        <v>-107</v>
      </c>
      <c r="G94" s="40">
        <f>IFERROR(Sheet2!G21,0)</f>
        <v>-239</v>
      </c>
      <c r="H94" s="40">
        <f>IFERROR(Sheet2!H21,0)</f>
        <v>-89</v>
      </c>
      <c r="I94" s="40">
        <f>IFERROR(Sheet2!I21,0)</f>
        <v>289</v>
      </c>
      <c r="J94" s="40">
        <f>IFERROR(Sheet2!J21,0)</f>
        <v>202</v>
      </c>
      <c r="K94" s="40">
        <f>IFERROR(Sheet2!K21,0)</f>
        <v>88</v>
      </c>
      <c r="L94" s="40">
        <f>IFERROR(Sheet2!L21,0)</f>
        <v>250</v>
      </c>
    </row>
    <row r="95" spans="2:12" x14ac:dyDescent="0.3">
      <c r="B95" t="s">
        <v>150</v>
      </c>
      <c r="C95" s="40">
        <f>IFERROR(Sheet2!C22,0)</f>
        <v>0</v>
      </c>
      <c r="D95" s="40">
        <f>IFERROR(Sheet2!D22,0)</f>
        <v>0</v>
      </c>
      <c r="E95" s="40">
        <f>IFERROR(Sheet2!E22,0)</f>
        <v>0</v>
      </c>
      <c r="F95" s="40">
        <f>IFERROR(Sheet2!F22,0)</f>
        <v>0</v>
      </c>
      <c r="G95" s="40">
        <f>IFERROR(Sheet2!G22,0)</f>
        <v>3</v>
      </c>
      <c r="H95" s="40">
        <f>IFERROR(Sheet2!H22,0)</f>
        <v>6</v>
      </c>
      <c r="I95" s="40">
        <f>IFERROR(Sheet2!I22,0)</f>
        <v>-29</v>
      </c>
      <c r="J95" s="40">
        <f>IFERROR(Sheet2!J22,0)</f>
        <v>5</v>
      </c>
      <c r="K95" s="40">
        <f>IFERROR(Sheet2!K22,0)</f>
        <v>-159</v>
      </c>
      <c r="L95" s="40">
        <f>IFERROR(Sheet2!L22,0)</f>
        <v>-28</v>
      </c>
    </row>
    <row r="96" spans="2:12" x14ac:dyDescent="0.3">
      <c r="B96" s="53" t="s">
        <v>167</v>
      </c>
      <c r="C96" s="48">
        <f>IFERROR(SUM(C86:C95),0)</f>
        <v>-451</v>
      </c>
      <c r="D96" s="48">
        <f t="shared" ref="D96:L96" si="26">IFERROR(SUM(D86:D95),0)</f>
        <v>-706</v>
      </c>
      <c r="E96" s="48">
        <f t="shared" si="26"/>
        <v>-150</v>
      </c>
      <c r="F96" s="48">
        <f t="shared" si="26"/>
        <v>-956</v>
      </c>
      <c r="G96" s="48">
        <f t="shared" si="26"/>
        <v>-852</v>
      </c>
      <c r="H96" s="48">
        <f t="shared" si="26"/>
        <v>-1525</v>
      </c>
      <c r="I96" s="48">
        <f t="shared" si="26"/>
        <v>433</v>
      </c>
      <c r="J96" s="48">
        <f t="shared" si="26"/>
        <v>915</v>
      </c>
      <c r="K96" s="48">
        <f t="shared" si="26"/>
        <v>-1507</v>
      </c>
      <c r="L96" s="48">
        <f t="shared" si="26"/>
        <v>475</v>
      </c>
    </row>
    <row r="97" spans="2:12" x14ac:dyDescent="0.3">
      <c r="C97" s="40"/>
      <c r="D97" s="40"/>
      <c r="E97" s="40"/>
      <c r="F97" s="40"/>
      <c r="G97" s="40"/>
      <c r="H97" s="40"/>
      <c r="I97" s="40"/>
      <c r="J97" s="40"/>
      <c r="K97" s="40"/>
      <c r="L97" s="40"/>
    </row>
    <row r="98" spans="2:12" x14ac:dyDescent="0.3">
      <c r="B98" s="52" t="s">
        <v>168</v>
      </c>
      <c r="C98" s="40"/>
      <c r="D98" s="40"/>
      <c r="E98" s="40"/>
      <c r="F98" s="40"/>
      <c r="G98" s="40"/>
      <c r="H98" s="40"/>
      <c r="I98" s="40"/>
      <c r="J98" s="40"/>
      <c r="K98" s="40"/>
      <c r="L98" s="40"/>
    </row>
    <row r="99" spans="2:12" x14ac:dyDescent="0.3">
      <c r="B99" t="s">
        <v>152</v>
      </c>
      <c r="C99" s="40">
        <f>IFERROR(Sheet2!C24,0)</f>
        <v>0</v>
      </c>
      <c r="D99" s="40">
        <f>IFERROR(Sheet2!D24,0)</f>
        <v>4</v>
      </c>
      <c r="E99" s="40">
        <f>IFERROR(Sheet2!E24,0)</f>
        <v>6</v>
      </c>
      <c r="F99" s="40">
        <f>IFERROR(Sheet2!F24,0)</f>
        <v>15</v>
      </c>
      <c r="G99" s="40">
        <f>IFERROR(Sheet2!G24,0)</f>
        <v>30</v>
      </c>
      <c r="H99" s="40">
        <f>IFERROR(Sheet2!H24,0)</f>
        <v>24</v>
      </c>
      <c r="I99" s="40">
        <f>IFERROR(Sheet2!I24,0)</f>
        <v>103</v>
      </c>
      <c r="J99" s="40">
        <f>IFERROR(Sheet2!J24,0)</f>
        <v>0</v>
      </c>
      <c r="K99" s="40">
        <f>IFERROR(Sheet2!K24,0)</f>
        <v>0</v>
      </c>
      <c r="L99" s="40">
        <f>IFERROR(Sheet2!L24,0)</f>
        <v>0</v>
      </c>
    </row>
    <row r="100" spans="2:12" x14ac:dyDescent="0.3">
      <c r="B100" t="s">
        <v>153</v>
      </c>
      <c r="C100" s="40">
        <f>IFERROR(Sheet2!C25,0)</f>
        <v>0</v>
      </c>
      <c r="D100" s="40">
        <f>IFERROR(Sheet2!D25,0)</f>
        <v>0</v>
      </c>
      <c r="E100" s="40">
        <f>IFERROR(Sheet2!E25,0)</f>
        <v>0</v>
      </c>
      <c r="F100" s="40">
        <f>IFERROR(Sheet2!F25,0)</f>
        <v>0</v>
      </c>
      <c r="G100" s="40">
        <f>IFERROR(Sheet2!G25,0)</f>
        <v>0</v>
      </c>
      <c r="H100" s="40">
        <f>IFERROR(Sheet2!H25,0)</f>
        <v>721</v>
      </c>
      <c r="I100" s="40">
        <f>IFERROR(Sheet2!I25,0)</f>
        <v>0</v>
      </c>
      <c r="J100" s="40">
        <f>IFERROR(Sheet2!J25,0)</f>
        <v>699</v>
      </c>
      <c r="K100" s="40">
        <f>IFERROR(Sheet2!K25,0)</f>
        <v>0</v>
      </c>
      <c r="L100" s="40">
        <f>IFERROR(Sheet2!L25,0)</f>
        <v>0</v>
      </c>
    </row>
    <row r="101" spans="2:12" x14ac:dyDescent="0.3">
      <c r="B101" t="s">
        <v>154</v>
      </c>
      <c r="C101" s="40">
        <f>IFERROR(Sheet2!C26,0)</f>
        <v>0</v>
      </c>
      <c r="D101" s="40">
        <f>IFERROR(Sheet2!D26,0)</f>
        <v>0</v>
      </c>
      <c r="E101" s="40">
        <f>IFERROR(Sheet2!E26,0)</f>
        <v>0</v>
      </c>
      <c r="F101" s="40">
        <f>IFERROR(Sheet2!F26,0)</f>
        <v>0</v>
      </c>
      <c r="G101" s="40">
        <f>IFERROR(Sheet2!G26,0)</f>
        <v>0</v>
      </c>
      <c r="H101" s="40">
        <f>IFERROR(Sheet2!H26,0)</f>
        <v>-869</v>
      </c>
      <c r="I101" s="40">
        <f>IFERROR(Sheet2!I26,0)</f>
        <v>0</v>
      </c>
      <c r="J101" s="40">
        <f>IFERROR(Sheet2!J26,0)</f>
        <v>0</v>
      </c>
      <c r="K101" s="40">
        <f>IFERROR(Sheet2!K26,0)</f>
        <v>-721</v>
      </c>
      <c r="L101" s="40">
        <f>IFERROR(Sheet2!L26,0)</f>
        <v>0</v>
      </c>
    </row>
    <row r="102" spans="2:12" x14ac:dyDescent="0.3">
      <c r="B102" t="s">
        <v>155</v>
      </c>
      <c r="C102" s="40">
        <f>IFERROR(Sheet2!C27,0)</f>
        <v>17</v>
      </c>
      <c r="D102" s="40">
        <f>IFERROR(Sheet2!D27,0)</f>
        <v>0</v>
      </c>
      <c r="E102" s="40">
        <f>IFERROR(Sheet2!E27,0)</f>
        <v>0</v>
      </c>
      <c r="F102" s="40">
        <f>IFERROR(Sheet2!F27,0)</f>
        <v>0</v>
      </c>
      <c r="G102" s="40">
        <f>IFERROR(Sheet2!G27,0)</f>
        <v>0</v>
      </c>
      <c r="H102" s="40">
        <f>IFERROR(Sheet2!H27,0)</f>
        <v>641</v>
      </c>
      <c r="I102" s="40">
        <f>IFERROR(Sheet2!I27,0)</f>
        <v>1533</v>
      </c>
      <c r="J102" s="40">
        <f>IFERROR(Sheet2!J27,0)</f>
        <v>645</v>
      </c>
      <c r="K102" s="40">
        <f>IFERROR(Sheet2!K27,0)</f>
        <v>1312</v>
      </c>
      <c r="L102" s="40">
        <f>IFERROR(Sheet2!L27,0)</f>
        <v>209</v>
      </c>
    </row>
    <row r="103" spans="2:12" x14ac:dyDescent="0.3">
      <c r="B103" t="s">
        <v>156</v>
      </c>
      <c r="C103" s="40">
        <f>IFERROR(Sheet2!C28,0)</f>
        <v>-27</v>
      </c>
      <c r="D103" s="40">
        <f>IFERROR(Sheet2!D28,0)</f>
        <v>0</v>
      </c>
      <c r="E103" s="40">
        <f>IFERROR(Sheet2!E28,0)</f>
        <v>0</v>
      </c>
      <c r="F103" s="40">
        <f>IFERROR(Sheet2!F28,0)</f>
        <v>0</v>
      </c>
      <c r="G103" s="40">
        <f>IFERROR(Sheet2!G28,0)</f>
        <v>-42</v>
      </c>
      <c r="H103" s="40">
        <f>IFERROR(Sheet2!H28,0)</f>
        <v>0</v>
      </c>
      <c r="I103" s="40">
        <f>IFERROR(Sheet2!I28,0)</f>
        <v>-964</v>
      </c>
      <c r="J103" s="40">
        <f>IFERROR(Sheet2!J28,0)</f>
        <v>-984</v>
      </c>
      <c r="K103" s="40">
        <f>IFERROR(Sheet2!K28,0)</f>
        <v>-70</v>
      </c>
      <c r="L103" s="40">
        <f>IFERROR(Sheet2!L28,0)</f>
        <v>-1141</v>
      </c>
    </row>
    <row r="104" spans="2:12" x14ac:dyDescent="0.3">
      <c r="B104" t="s">
        <v>157</v>
      </c>
      <c r="C104" s="40">
        <f>IFERROR(Sheet2!C29,0)</f>
        <v>0</v>
      </c>
      <c r="D104" s="40">
        <f>IFERROR(Sheet2!D29,0)</f>
        <v>0</v>
      </c>
      <c r="E104" s="40">
        <f>IFERROR(Sheet2!E29,0)</f>
        <v>0</v>
      </c>
      <c r="F104" s="40">
        <f>IFERROR(Sheet2!F29,0)</f>
        <v>0</v>
      </c>
      <c r="G104" s="40">
        <f>IFERROR(Sheet2!G29,0)</f>
        <v>0</v>
      </c>
      <c r="H104" s="40">
        <f>IFERROR(Sheet2!H29,0)</f>
        <v>0</v>
      </c>
      <c r="I104" s="40">
        <f>IFERROR(Sheet2!I29,0)</f>
        <v>0</v>
      </c>
      <c r="J104" s="40">
        <f>IFERROR(Sheet2!J29,0)</f>
        <v>0</v>
      </c>
      <c r="K104" s="40">
        <f>IFERROR(Sheet2!K29,0)</f>
        <v>0</v>
      </c>
      <c r="L104" s="40">
        <f>IFERROR(Sheet2!L29,0)</f>
        <v>0</v>
      </c>
    </row>
    <row r="105" spans="2:12" x14ac:dyDescent="0.3">
      <c r="B105" t="s">
        <v>158</v>
      </c>
      <c r="C105" s="40">
        <f>IFERROR(Sheet2!C30,0)</f>
        <v>-3</v>
      </c>
      <c r="D105" s="40">
        <f>IFERROR(Sheet2!D30,0)</f>
        <v>-5</v>
      </c>
      <c r="E105" s="40">
        <f>IFERROR(Sheet2!E30,0)</f>
        <v>-6</v>
      </c>
      <c r="F105" s="40">
        <f>IFERROR(Sheet2!F30,0)</f>
        <v>-7</v>
      </c>
      <c r="G105" s="40">
        <f>IFERROR(Sheet2!G30,0)</f>
        <v>-9</v>
      </c>
      <c r="H105" s="40">
        <f>IFERROR(Sheet2!H30,0)</f>
        <v>-36</v>
      </c>
      <c r="I105" s="40">
        <f>IFERROR(Sheet2!I30,0)</f>
        <v>-102</v>
      </c>
      <c r="J105" s="40">
        <f>IFERROR(Sheet2!J30,0)</f>
        <v>-119</v>
      </c>
      <c r="K105" s="40">
        <f>IFERROR(Sheet2!K30,0)</f>
        <v>-196</v>
      </c>
      <c r="L105" s="40">
        <f>IFERROR(Sheet2!L30,0)</f>
        <v>-165</v>
      </c>
    </row>
    <row r="106" spans="2:12" x14ac:dyDescent="0.3">
      <c r="B106" t="s">
        <v>159</v>
      </c>
      <c r="C106" s="40">
        <f>IFERROR(Sheet2!C31,0)</f>
        <v>-168</v>
      </c>
      <c r="D106" s="40">
        <f>IFERROR(Sheet2!D31,0)</f>
        <v>-231</v>
      </c>
      <c r="E106" s="40">
        <f>IFERROR(Sheet2!E31,0)</f>
        <v>-288</v>
      </c>
      <c r="F106" s="40">
        <f>IFERROR(Sheet2!F31,0)</f>
        <v>-317</v>
      </c>
      <c r="G106" s="40">
        <f>IFERROR(Sheet2!G31,0)</f>
        <v>-354</v>
      </c>
      <c r="H106" s="40">
        <f>IFERROR(Sheet2!H31,0)</f>
        <v>-433</v>
      </c>
      <c r="I106" s="40">
        <f>IFERROR(Sheet2!I31,0)</f>
        <v>-2824</v>
      </c>
      <c r="J106" s="40">
        <f>IFERROR(Sheet2!J31,0)</f>
        <v>-2485</v>
      </c>
      <c r="K106" s="40">
        <f>IFERROR(Sheet2!K31,0)</f>
        <v>-1359</v>
      </c>
      <c r="L106" s="40">
        <f>IFERROR(Sheet2!L31,0)</f>
        <v>-1732</v>
      </c>
    </row>
    <row r="107" spans="2:12" x14ac:dyDescent="0.3">
      <c r="B107" t="s">
        <v>160</v>
      </c>
      <c r="C107" s="40">
        <f>IFERROR(Sheet2!C32,0)</f>
        <v>0</v>
      </c>
      <c r="D107" s="40">
        <f>IFERROR(Sheet2!D32,0)</f>
        <v>0</v>
      </c>
      <c r="E107" s="40">
        <f>IFERROR(Sheet2!E32,0)</f>
        <v>0</v>
      </c>
      <c r="F107" s="40">
        <f>IFERROR(Sheet2!F32,0)</f>
        <v>0</v>
      </c>
      <c r="G107" s="40">
        <f>IFERROR(Sheet2!G32,0)</f>
        <v>0</v>
      </c>
      <c r="H107" s="40">
        <f>IFERROR(Sheet2!H32,0)</f>
        <v>-2</v>
      </c>
      <c r="I107" s="40">
        <f>IFERROR(Sheet2!I32,0)</f>
        <v>-3</v>
      </c>
      <c r="J107" s="40">
        <f>IFERROR(Sheet2!J32,0)</f>
        <v>-2</v>
      </c>
      <c r="K107" s="40">
        <f>IFERROR(Sheet2!K32,0)</f>
        <v>-3</v>
      </c>
      <c r="L107" s="40">
        <f>IFERROR(Sheet2!L32,0)</f>
        <v>-4</v>
      </c>
    </row>
    <row r="108" spans="2:12" x14ac:dyDescent="0.3">
      <c r="B108" t="s">
        <v>161</v>
      </c>
      <c r="C108" s="40">
        <f>IFERROR(Sheet2!C33,0)</f>
        <v>0</v>
      </c>
      <c r="D108" s="40">
        <f>IFERROR(Sheet2!D33,0)</f>
        <v>0</v>
      </c>
      <c r="E108" s="40">
        <f>IFERROR(Sheet2!E33,0)</f>
        <v>0</v>
      </c>
      <c r="F108" s="40">
        <f>IFERROR(Sheet2!F33,0)</f>
        <v>0</v>
      </c>
      <c r="G108" s="40">
        <f>IFERROR(Sheet2!G33,0)</f>
        <v>0</v>
      </c>
      <c r="H108" s="40">
        <f>IFERROR(Sheet2!H33,0)</f>
        <v>0</v>
      </c>
      <c r="I108" s="40">
        <f>IFERROR(Sheet2!I33,0)</f>
        <v>0</v>
      </c>
      <c r="J108" s="40">
        <f>IFERROR(Sheet2!J33,0)</f>
        <v>0</v>
      </c>
      <c r="K108" s="40">
        <f>IFERROR(Sheet2!K33,0)</f>
        <v>0</v>
      </c>
      <c r="L108" s="40">
        <f>IFERROR(Sheet2!L33,0)</f>
        <v>0</v>
      </c>
    </row>
    <row r="109" spans="2:12" x14ac:dyDescent="0.3">
      <c r="B109" t="s">
        <v>162</v>
      </c>
      <c r="C109" s="40">
        <f>IFERROR(Sheet2!C34,0)</f>
        <v>0</v>
      </c>
      <c r="D109" s="40">
        <f>IFERROR(Sheet2!D34,0)</f>
        <v>-15</v>
      </c>
      <c r="E109" s="40">
        <f>IFERROR(Sheet2!E34,0)</f>
        <v>-7</v>
      </c>
      <c r="F109" s="40">
        <f>IFERROR(Sheet2!F34,0)</f>
        <v>78</v>
      </c>
      <c r="G109" s="40">
        <f>IFERROR(Sheet2!G34,0)</f>
        <v>23</v>
      </c>
      <c r="H109" s="40">
        <f>IFERROR(Sheet2!H34,0)</f>
        <v>12</v>
      </c>
      <c r="I109" s="40">
        <f>IFERROR(Sheet2!I34,0)</f>
        <v>14</v>
      </c>
      <c r="J109" s="40">
        <f>IFERROR(Sheet2!J34,0)</f>
        <v>0</v>
      </c>
      <c r="K109" s="40">
        <f>IFERROR(Sheet2!K34,0)</f>
        <v>9</v>
      </c>
      <c r="L109" s="40">
        <f>IFERROR(Sheet2!L34,0)</f>
        <v>2</v>
      </c>
    </row>
    <row r="110" spans="2:12" ht="15" thickBot="1" x14ac:dyDescent="0.35">
      <c r="B110" s="55" t="s">
        <v>168</v>
      </c>
      <c r="C110" s="50">
        <f>IFERROR(SUM(C99:C109),0)</f>
        <v>-181</v>
      </c>
      <c r="D110" s="50">
        <f t="shared" ref="D110:L110" si="27">IFERROR(SUM(D99:D109),0)</f>
        <v>-247</v>
      </c>
      <c r="E110" s="50">
        <f t="shared" si="27"/>
        <v>-295</v>
      </c>
      <c r="F110" s="50">
        <f t="shared" si="27"/>
        <v>-231</v>
      </c>
      <c r="G110" s="50">
        <f t="shared" si="27"/>
        <v>-352</v>
      </c>
      <c r="H110" s="50">
        <f t="shared" si="27"/>
        <v>58</v>
      </c>
      <c r="I110" s="50">
        <f t="shared" si="27"/>
        <v>-2243</v>
      </c>
      <c r="J110" s="50">
        <f t="shared" si="27"/>
        <v>-2246</v>
      </c>
      <c r="K110" s="50">
        <f t="shared" si="27"/>
        <v>-1028</v>
      </c>
      <c r="L110" s="50">
        <f t="shared" si="27"/>
        <v>-2831</v>
      </c>
    </row>
    <row r="111" spans="2:12" ht="15" thickTop="1" x14ac:dyDescent="0.3">
      <c r="C111" s="40"/>
      <c r="D111" s="40"/>
      <c r="E111" s="40"/>
      <c r="F111" s="40"/>
      <c r="G111" s="40"/>
      <c r="H111" s="40"/>
      <c r="I111" s="40"/>
      <c r="J111" s="40"/>
      <c r="K111" s="40"/>
      <c r="L111" s="40"/>
    </row>
    <row r="112" spans="2:12" x14ac:dyDescent="0.3">
      <c r="C112" s="40"/>
      <c r="D112" s="40"/>
      <c r="E112" s="40"/>
      <c r="F112" s="40"/>
      <c r="G112" s="40"/>
      <c r="H112" s="40"/>
      <c r="I112" s="40"/>
      <c r="J112" s="40"/>
      <c r="K112" s="40"/>
      <c r="L112" s="40"/>
    </row>
  </sheetData>
  <mergeCells count="1">
    <mergeCell ref="B2:M2"/>
  </mergeCells>
  <pageMargins left="0.7" right="0.7" top="0.75" bottom="0.75" header="0.3" footer="0.3"/>
  <pageSetup orientation="portrait" r:id="rId1"/>
  <ignoredErrors>
    <ignoredError sqref="C20:L20 M6 M9 M14 M26 M29 M3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AAC0-2CE2-4B49-B037-84F016B000A1}">
  <dimension ref="B2:L35"/>
  <sheetViews>
    <sheetView workbookViewId="0">
      <selection activeCell="B24" sqref="B24:B34"/>
    </sheetView>
  </sheetViews>
  <sheetFormatPr defaultRowHeight="14.4" x14ac:dyDescent="0.3"/>
  <cols>
    <col min="2" max="2" width="25.77734375" bestFit="1" customWidth="1"/>
  </cols>
  <sheetData>
    <row r="2" spans="2:12" x14ac:dyDescent="0.3">
      <c r="B2" s="43"/>
      <c r="C2" s="43">
        <v>42064</v>
      </c>
      <c r="D2" s="43">
        <v>42430</v>
      </c>
      <c r="E2" s="43">
        <v>42795</v>
      </c>
      <c r="F2" s="43">
        <v>43160</v>
      </c>
      <c r="G2" s="43">
        <v>43525</v>
      </c>
      <c r="H2" s="43">
        <v>43891</v>
      </c>
      <c r="I2" s="43">
        <v>44256</v>
      </c>
      <c r="J2" s="43">
        <v>44621</v>
      </c>
      <c r="K2" s="43">
        <v>44986</v>
      </c>
      <c r="L2" s="43">
        <v>45352</v>
      </c>
    </row>
    <row r="3" spans="2:12" x14ac:dyDescent="0.3">
      <c r="B3" t="s">
        <v>133</v>
      </c>
      <c r="C3">
        <v>584</v>
      </c>
      <c r="D3">
        <v>959</v>
      </c>
      <c r="E3">
        <v>441</v>
      </c>
      <c r="F3" s="44">
        <v>1249</v>
      </c>
      <c r="G3" s="44">
        <v>1156</v>
      </c>
      <c r="H3" s="44">
        <v>1485</v>
      </c>
      <c r="I3" s="44">
        <v>1876</v>
      </c>
      <c r="J3" s="44">
        <v>1300</v>
      </c>
      <c r="K3" s="44">
        <v>2526</v>
      </c>
      <c r="L3" s="44">
        <v>2573</v>
      </c>
    </row>
    <row r="4" spans="2:12" x14ac:dyDescent="0.3">
      <c r="B4" t="s">
        <v>134</v>
      </c>
      <c r="C4">
        <v>861</v>
      </c>
      <c r="D4" s="44">
        <v>1230</v>
      </c>
      <c r="E4" s="44">
        <v>1289</v>
      </c>
      <c r="F4" s="44">
        <v>1517</v>
      </c>
      <c r="G4" s="44">
        <v>1754</v>
      </c>
      <c r="H4" s="44">
        <v>1860</v>
      </c>
      <c r="I4" s="44">
        <v>2540</v>
      </c>
      <c r="J4" s="44">
        <v>2214</v>
      </c>
      <c r="K4" s="44">
        <v>2846</v>
      </c>
      <c r="L4" s="44">
        <v>3177</v>
      </c>
    </row>
    <row r="5" spans="2:12" x14ac:dyDescent="0.3">
      <c r="B5" t="s">
        <v>78</v>
      </c>
      <c r="C5">
        <v>-25</v>
      </c>
      <c r="D5">
        <v>-32</v>
      </c>
      <c r="E5">
        <v>-9</v>
      </c>
      <c r="F5">
        <v>-125</v>
      </c>
      <c r="G5">
        <v>-87</v>
      </c>
      <c r="H5">
        <v>79</v>
      </c>
      <c r="I5">
        <v>61</v>
      </c>
      <c r="J5">
        <v>-72</v>
      </c>
      <c r="K5">
        <v>1</v>
      </c>
      <c r="L5">
        <v>-64</v>
      </c>
    </row>
    <row r="6" spans="2:12" x14ac:dyDescent="0.3">
      <c r="B6" t="s">
        <v>45</v>
      </c>
      <c r="C6">
        <v>17</v>
      </c>
      <c r="D6">
        <v>-35</v>
      </c>
      <c r="E6">
        <v>-221</v>
      </c>
      <c r="F6">
        <v>9</v>
      </c>
      <c r="G6">
        <v>-127</v>
      </c>
      <c r="H6">
        <v>43</v>
      </c>
      <c r="I6">
        <v>-351</v>
      </c>
      <c r="J6">
        <v>-275</v>
      </c>
      <c r="K6">
        <v>177</v>
      </c>
      <c r="L6">
        <v>13</v>
      </c>
    </row>
    <row r="7" spans="2:12" x14ac:dyDescent="0.3">
      <c r="B7" t="s">
        <v>135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402</v>
      </c>
      <c r="J7">
        <v>64</v>
      </c>
      <c r="K7">
        <v>292</v>
      </c>
      <c r="L7">
        <v>237</v>
      </c>
    </row>
    <row r="8" spans="2:12" x14ac:dyDescent="0.3">
      <c r="B8" t="s">
        <v>136</v>
      </c>
      <c r="C8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-144</v>
      </c>
      <c r="J8">
        <v>0</v>
      </c>
      <c r="K8">
        <v>0</v>
      </c>
      <c r="L8">
        <v>0</v>
      </c>
    </row>
    <row r="9" spans="2:12" x14ac:dyDescent="0.3">
      <c r="B9" t="s">
        <v>137</v>
      </c>
      <c r="C9">
        <v>18</v>
      </c>
      <c r="D9">
        <v>200</v>
      </c>
      <c r="E9">
        <v>-221</v>
      </c>
      <c r="F9">
        <v>345</v>
      </c>
      <c r="G9">
        <v>211</v>
      </c>
      <c r="H9">
        <v>6</v>
      </c>
      <c r="I9">
        <v>0</v>
      </c>
      <c r="J9">
        <v>-44</v>
      </c>
      <c r="K9">
        <v>-65</v>
      </c>
      <c r="L9">
        <v>-25</v>
      </c>
    </row>
    <row r="10" spans="2:12" x14ac:dyDescent="0.3">
      <c r="B10" t="s">
        <v>138</v>
      </c>
      <c r="C10">
        <v>25</v>
      </c>
      <c r="D10">
        <v>133</v>
      </c>
      <c r="E10">
        <v>-451</v>
      </c>
      <c r="F10">
        <v>228</v>
      </c>
      <c r="G10">
        <v>-2</v>
      </c>
      <c r="H10">
        <v>127</v>
      </c>
      <c r="I10">
        <v>-32</v>
      </c>
      <c r="J10">
        <v>-327</v>
      </c>
      <c r="K10">
        <v>406</v>
      </c>
      <c r="L10">
        <v>161</v>
      </c>
    </row>
    <row r="11" spans="2:12" x14ac:dyDescent="0.3">
      <c r="B11" t="s">
        <v>139</v>
      </c>
      <c r="C11">
        <v>-301</v>
      </c>
      <c r="D11">
        <v>-403</v>
      </c>
      <c r="E11">
        <v>-397</v>
      </c>
      <c r="F11">
        <v>-496</v>
      </c>
      <c r="G11">
        <v>-596</v>
      </c>
      <c r="H11">
        <v>-503</v>
      </c>
      <c r="I11">
        <v>-633</v>
      </c>
      <c r="J11">
        <v>-587</v>
      </c>
      <c r="K11">
        <v>-726</v>
      </c>
      <c r="L11">
        <v>-765</v>
      </c>
    </row>
    <row r="12" spans="2:12" x14ac:dyDescent="0.3">
      <c r="B12" t="s">
        <v>140</v>
      </c>
      <c r="C12">
        <v>-450</v>
      </c>
      <c r="D12">
        <v>-705</v>
      </c>
      <c r="E12">
        <v>-150</v>
      </c>
      <c r="F12">
        <v>-957</v>
      </c>
      <c r="G12">
        <v>-852</v>
      </c>
      <c r="H12" s="44">
        <v>-1526</v>
      </c>
      <c r="I12">
        <v>433</v>
      </c>
      <c r="J12">
        <v>914</v>
      </c>
      <c r="K12" s="44">
        <v>-1507</v>
      </c>
      <c r="L12">
        <v>476</v>
      </c>
    </row>
    <row r="13" spans="2:12" x14ac:dyDescent="0.3">
      <c r="B13" t="s">
        <v>141</v>
      </c>
      <c r="C13">
        <v>-118</v>
      </c>
      <c r="D13">
        <v>-251</v>
      </c>
      <c r="E13">
        <v>-360</v>
      </c>
      <c r="F13">
        <v>-423</v>
      </c>
      <c r="G13">
        <v>-401</v>
      </c>
      <c r="H13">
        <v>-244</v>
      </c>
      <c r="I13">
        <v>-241</v>
      </c>
      <c r="J13">
        <v>-550</v>
      </c>
      <c r="K13">
        <v>-711</v>
      </c>
      <c r="L13">
        <v>-562</v>
      </c>
    </row>
    <row r="14" spans="2:12" x14ac:dyDescent="0.3">
      <c r="B14" t="s">
        <v>142</v>
      </c>
      <c r="C14">
        <v>164</v>
      </c>
      <c r="D14">
        <v>1</v>
      </c>
      <c r="E14">
        <v>8</v>
      </c>
      <c r="F14">
        <v>2</v>
      </c>
      <c r="G14">
        <v>2</v>
      </c>
      <c r="H14">
        <v>1</v>
      </c>
      <c r="I14">
        <v>2</v>
      </c>
      <c r="J14">
        <v>3</v>
      </c>
      <c r="K14">
        <v>78</v>
      </c>
      <c r="L14">
        <v>65</v>
      </c>
    </row>
    <row r="15" spans="2:12" x14ac:dyDescent="0.3">
      <c r="B15" t="s">
        <v>143</v>
      </c>
      <c r="C15">
        <v>-277</v>
      </c>
      <c r="D15">
        <v>-211</v>
      </c>
      <c r="E15">
        <v>0</v>
      </c>
      <c r="F15">
        <v>-537</v>
      </c>
      <c r="G15">
        <v>-334</v>
      </c>
      <c r="H15" s="44">
        <v>-1327</v>
      </c>
      <c r="I15">
        <v>0</v>
      </c>
      <c r="J15">
        <v>-21</v>
      </c>
      <c r="K15" s="44">
        <v>-1468</v>
      </c>
      <c r="L15">
        <v>-191</v>
      </c>
    </row>
    <row r="16" spans="2:12" x14ac:dyDescent="0.3">
      <c r="B16" t="s">
        <v>144</v>
      </c>
      <c r="C16">
        <v>0</v>
      </c>
      <c r="D16">
        <v>0</v>
      </c>
      <c r="E16">
        <v>359</v>
      </c>
      <c r="F16">
        <v>0</v>
      </c>
      <c r="G16">
        <v>0</v>
      </c>
      <c r="H16">
        <v>0</v>
      </c>
      <c r="I16">
        <v>179</v>
      </c>
      <c r="J16" s="44">
        <v>1069</v>
      </c>
      <c r="K16">
        <v>443</v>
      </c>
      <c r="L16">
        <v>771</v>
      </c>
    </row>
    <row r="17" spans="2:12" x14ac:dyDescent="0.3">
      <c r="B17" t="s">
        <v>145</v>
      </c>
      <c r="C17">
        <v>30</v>
      </c>
      <c r="D17">
        <v>66</v>
      </c>
      <c r="E17">
        <v>75</v>
      </c>
      <c r="F17">
        <v>109</v>
      </c>
      <c r="G17">
        <v>117</v>
      </c>
      <c r="H17">
        <v>128</v>
      </c>
      <c r="I17">
        <v>233</v>
      </c>
      <c r="J17">
        <v>207</v>
      </c>
      <c r="K17">
        <v>175</v>
      </c>
      <c r="L17">
        <v>170</v>
      </c>
    </row>
    <row r="18" spans="2:12" x14ac:dyDescent="0.3">
      <c r="B18" t="s">
        <v>146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3">
      <c r="B19" t="s">
        <v>147</v>
      </c>
      <c r="C19">
        <v>0</v>
      </c>
      <c r="D19">
        <v>0</v>
      </c>
      <c r="E19">
        <v>-14</v>
      </c>
      <c r="F19">
        <v>0</v>
      </c>
      <c r="G19">
        <v>0</v>
      </c>
      <c r="H19">
        <v>0</v>
      </c>
      <c r="I19">
        <v>0</v>
      </c>
      <c r="J19">
        <v>0</v>
      </c>
      <c r="K19">
        <v>-215</v>
      </c>
      <c r="L19">
        <v>0</v>
      </c>
    </row>
    <row r="20" spans="2:12" x14ac:dyDescent="0.3">
      <c r="B20" t="s">
        <v>148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262</v>
      </c>
      <c r="L20">
        <v>0</v>
      </c>
    </row>
    <row r="21" spans="2:12" x14ac:dyDescent="0.3">
      <c r="B21" t="s">
        <v>149</v>
      </c>
      <c r="C21">
        <v>-250</v>
      </c>
      <c r="D21">
        <v>-311</v>
      </c>
      <c r="E21">
        <v>-218</v>
      </c>
      <c r="F21">
        <v>-107</v>
      </c>
      <c r="G21">
        <v>-239</v>
      </c>
      <c r="H21">
        <v>-89</v>
      </c>
      <c r="I21">
        <v>289</v>
      </c>
      <c r="J21">
        <v>202</v>
      </c>
      <c r="K21">
        <v>88</v>
      </c>
      <c r="L21">
        <v>250</v>
      </c>
    </row>
    <row r="22" spans="2:12" x14ac:dyDescent="0.3">
      <c r="B22" t="s">
        <v>150</v>
      </c>
      <c r="C22">
        <v>0</v>
      </c>
      <c r="D22">
        <v>0</v>
      </c>
      <c r="E22">
        <v>0</v>
      </c>
      <c r="F22">
        <v>0</v>
      </c>
      <c r="G22">
        <v>3</v>
      </c>
      <c r="H22">
        <v>6</v>
      </c>
      <c r="I22">
        <v>-29</v>
      </c>
      <c r="J22">
        <v>5</v>
      </c>
      <c r="K22">
        <v>-159</v>
      </c>
      <c r="L22">
        <v>-28</v>
      </c>
    </row>
    <row r="23" spans="2:12" x14ac:dyDescent="0.3">
      <c r="B23" t="s">
        <v>151</v>
      </c>
      <c r="C23">
        <v>-181</v>
      </c>
      <c r="D23">
        <v>-246</v>
      </c>
      <c r="E23">
        <v>-295</v>
      </c>
      <c r="F23">
        <v>-232</v>
      </c>
      <c r="G23">
        <v>-353</v>
      </c>
      <c r="H23">
        <v>58</v>
      </c>
      <c r="I23" s="44">
        <v>-2242</v>
      </c>
      <c r="J23" s="44">
        <v>-2246</v>
      </c>
      <c r="K23" s="44">
        <v>-1028</v>
      </c>
      <c r="L23" s="44">
        <v>-2830</v>
      </c>
    </row>
    <row r="24" spans="2:12" x14ac:dyDescent="0.3">
      <c r="B24" t="s">
        <v>152</v>
      </c>
      <c r="C24">
        <v>0</v>
      </c>
      <c r="D24">
        <v>4</v>
      </c>
      <c r="E24">
        <v>6</v>
      </c>
      <c r="F24">
        <v>15</v>
      </c>
      <c r="G24">
        <v>30</v>
      </c>
      <c r="H24">
        <v>24</v>
      </c>
      <c r="I24">
        <v>103</v>
      </c>
      <c r="J24">
        <v>0</v>
      </c>
      <c r="K24">
        <v>0</v>
      </c>
      <c r="L24">
        <v>0</v>
      </c>
    </row>
    <row r="25" spans="2:12" x14ac:dyDescent="0.3">
      <c r="B25" t="s">
        <v>153</v>
      </c>
      <c r="C25">
        <v>0</v>
      </c>
      <c r="D25">
        <v>0</v>
      </c>
      <c r="E25">
        <v>0</v>
      </c>
      <c r="F25">
        <v>0</v>
      </c>
      <c r="G25">
        <v>0</v>
      </c>
      <c r="H25">
        <v>721</v>
      </c>
      <c r="I25">
        <v>0</v>
      </c>
      <c r="J25">
        <v>699</v>
      </c>
      <c r="K25">
        <v>0</v>
      </c>
      <c r="L25">
        <v>0</v>
      </c>
    </row>
    <row r="26" spans="2:12" x14ac:dyDescent="0.3">
      <c r="B26" t="s">
        <v>154</v>
      </c>
      <c r="C26">
        <v>0</v>
      </c>
      <c r="D26">
        <v>0</v>
      </c>
      <c r="E26">
        <v>0</v>
      </c>
      <c r="F26">
        <v>0</v>
      </c>
      <c r="G26">
        <v>0</v>
      </c>
      <c r="H26">
        <v>-869</v>
      </c>
      <c r="I26">
        <v>0</v>
      </c>
      <c r="J26">
        <v>0</v>
      </c>
      <c r="K26">
        <v>-721</v>
      </c>
      <c r="L26">
        <v>0</v>
      </c>
    </row>
    <row r="27" spans="2:12" x14ac:dyDescent="0.3">
      <c r="B27" t="s">
        <v>155</v>
      </c>
      <c r="C27">
        <v>17</v>
      </c>
      <c r="D27">
        <v>0</v>
      </c>
      <c r="E27">
        <v>0</v>
      </c>
      <c r="F27">
        <v>0</v>
      </c>
      <c r="G27">
        <v>0</v>
      </c>
      <c r="H27">
        <v>641</v>
      </c>
      <c r="I27" s="44">
        <v>1533</v>
      </c>
      <c r="J27">
        <v>645</v>
      </c>
      <c r="K27" s="44">
        <v>1312</v>
      </c>
      <c r="L27">
        <v>209</v>
      </c>
    </row>
    <row r="28" spans="2:12" x14ac:dyDescent="0.3">
      <c r="B28" t="s">
        <v>156</v>
      </c>
      <c r="C28">
        <v>-27</v>
      </c>
      <c r="D28">
        <v>0</v>
      </c>
      <c r="E28">
        <v>0</v>
      </c>
      <c r="F28">
        <v>0</v>
      </c>
      <c r="G28">
        <v>-42</v>
      </c>
      <c r="H28">
        <v>0</v>
      </c>
      <c r="I28">
        <v>-964</v>
      </c>
      <c r="J28">
        <v>-984</v>
      </c>
      <c r="K28">
        <v>-70</v>
      </c>
      <c r="L28" s="44">
        <v>-1141</v>
      </c>
    </row>
    <row r="29" spans="2:12" x14ac:dyDescent="0.3">
      <c r="B29" t="s">
        <v>157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x14ac:dyDescent="0.3">
      <c r="B30" t="s">
        <v>158</v>
      </c>
      <c r="C30">
        <v>-3</v>
      </c>
      <c r="D30">
        <v>-5</v>
      </c>
      <c r="E30">
        <v>-6</v>
      </c>
      <c r="F30">
        <v>-7</v>
      </c>
      <c r="G30">
        <v>-9</v>
      </c>
      <c r="H30">
        <v>-36</v>
      </c>
      <c r="I30">
        <v>-102</v>
      </c>
      <c r="J30">
        <v>-119</v>
      </c>
      <c r="K30">
        <v>-196</v>
      </c>
      <c r="L30">
        <v>-165</v>
      </c>
    </row>
    <row r="31" spans="2:12" x14ac:dyDescent="0.3">
      <c r="B31" t="s">
        <v>159</v>
      </c>
      <c r="C31">
        <v>-168</v>
      </c>
      <c r="D31">
        <v>-231</v>
      </c>
      <c r="E31">
        <v>-288</v>
      </c>
      <c r="F31">
        <v>-317</v>
      </c>
      <c r="G31">
        <v>-354</v>
      </c>
      <c r="H31">
        <v>-433</v>
      </c>
      <c r="I31" s="44">
        <v>-2824</v>
      </c>
      <c r="J31" s="44">
        <v>-2485</v>
      </c>
      <c r="K31" s="44">
        <v>-1359</v>
      </c>
      <c r="L31" s="44">
        <v>-1732</v>
      </c>
    </row>
    <row r="32" spans="2:12" x14ac:dyDescent="0.3">
      <c r="B32" t="s">
        <v>160</v>
      </c>
      <c r="C32">
        <v>0</v>
      </c>
      <c r="D32">
        <v>0</v>
      </c>
      <c r="E32">
        <v>0</v>
      </c>
      <c r="F32">
        <v>0</v>
      </c>
      <c r="G32">
        <v>0</v>
      </c>
      <c r="H32">
        <v>-2</v>
      </c>
      <c r="I32">
        <v>-3</v>
      </c>
      <c r="J32">
        <v>-2</v>
      </c>
      <c r="K32">
        <v>-3</v>
      </c>
      <c r="L32">
        <v>-4</v>
      </c>
    </row>
    <row r="33" spans="2:12" x14ac:dyDescent="0.3">
      <c r="B33" t="s">
        <v>161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2" x14ac:dyDescent="0.3">
      <c r="B34" t="s">
        <v>162</v>
      </c>
      <c r="C34">
        <v>0</v>
      </c>
      <c r="D34">
        <v>-15</v>
      </c>
      <c r="E34">
        <v>-7</v>
      </c>
      <c r="F34">
        <v>78</v>
      </c>
      <c r="G34">
        <v>23</v>
      </c>
      <c r="H34">
        <v>12</v>
      </c>
      <c r="I34">
        <v>14</v>
      </c>
      <c r="J34">
        <v>0</v>
      </c>
      <c r="K34">
        <v>9</v>
      </c>
      <c r="L34">
        <v>2</v>
      </c>
    </row>
    <row r="35" spans="2:12" x14ac:dyDescent="0.3">
      <c r="B35" t="s">
        <v>35</v>
      </c>
      <c r="C35">
        <v>-47</v>
      </c>
      <c r="D35">
        <v>8</v>
      </c>
      <c r="E35">
        <v>-4</v>
      </c>
      <c r="F35">
        <v>60</v>
      </c>
      <c r="G35">
        <v>-49</v>
      </c>
      <c r="H35">
        <v>17</v>
      </c>
      <c r="I35">
        <v>66</v>
      </c>
      <c r="J35">
        <v>-32</v>
      </c>
      <c r="K35">
        <v>-9</v>
      </c>
      <c r="L35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Profit &amp; Loss</vt:lpstr>
      <vt:lpstr>Quarters</vt:lpstr>
      <vt:lpstr>Balance Sheet</vt:lpstr>
      <vt:lpstr>Cash Flow</vt:lpstr>
      <vt:lpstr>Customization</vt:lpstr>
      <vt:lpstr>Data Sheet</vt:lpstr>
      <vt:lpstr>Sheet1</vt:lpstr>
      <vt:lpstr>Sheet2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rajatsingla4802@outlook.com</cp:lastModifiedBy>
  <cp:lastPrinted>2012-12-06T18:14:13Z</cp:lastPrinted>
  <dcterms:created xsi:type="dcterms:W3CDTF">2012-08-17T09:55:37Z</dcterms:created>
  <dcterms:modified xsi:type="dcterms:W3CDTF">2024-05-24T17:32:28Z</dcterms:modified>
</cp:coreProperties>
</file>