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A\OneDrive\Desktop\IMARTICUS\"/>
    </mc:Choice>
  </mc:AlternateContent>
  <xr:revisionPtr revIDLastSave="0" documentId="13_ncr:1_{8539881C-F264-4558-91C7-E479C5D06699}" xr6:coauthVersionLast="47" xr6:coauthVersionMax="47" xr10:uidLastSave="{00000000-0000-0000-0000-000000000000}"/>
  <bookViews>
    <workbookView xWindow="-120" yWindow="-120" windowWidth="20730" windowHeight="11040" tabRatio="997" firstSheet="2" activeTab="5" xr2:uid="{014A7C5C-4C06-4E34-BF0E-4B23B3EF83E8}"/>
  </bookViews>
  <sheets>
    <sheet name="Revenue Segments" sheetId="6" r:id="rId1"/>
    <sheet name="Debt Schedule" sheetId="1" r:id="rId2"/>
    <sheet name="Fixed Assets Schedule" sheetId="3" r:id="rId3"/>
    <sheet name="DELTA AIR LINES-IS" sheetId="7" r:id="rId4"/>
    <sheet name="DELTA AIRLINES-BS" sheetId="4" r:id="rId5"/>
    <sheet name="DELTA AIRLINES-CFS" sheetId="2" r:id="rId6"/>
    <sheet name="WACC" sheetId="8" r:id="rId7"/>
    <sheet name="REGRESSION BETA" sheetId="9" r:id="rId8"/>
    <sheet name="BOTTOM UP BETA" sheetId="10" r:id="rId9"/>
    <sheet name="DCF VALUATION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4" l="1"/>
  <c r="H83" i="11"/>
  <c r="H84" i="11" s="1"/>
  <c r="H85" i="11" s="1"/>
  <c r="H86" i="11" s="1"/>
  <c r="H87" i="11" s="1"/>
  <c r="H88" i="11" s="1"/>
  <c r="H89" i="11" s="1"/>
  <c r="H90" i="11" s="1"/>
  <c r="J81" i="11"/>
  <c r="K81" i="11" s="1"/>
  <c r="L81" i="11" s="1"/>
  <c r="M81" i="11" s="1"/>
  <c r="N81" i="11" s="1"/>
  <c r="H16" i="3"/>
  <c r="H50" i="7"/>
  <c r="H70" i="7"/>
  <c r="H14" i="6"/>
  <c r="H11" i="6"/>
  <c r="H8" i="6"/>
  <c r="G45" i="4" l="1"/>
  <c r="G35" i="4"/>
  <c r="G22" i="4"/>
  <c r="G6" i="4"/>
  <c r="G11" i="4" s="1"/>
  <c r="H52" i="4"/>
  <c r="M52" i="4" s="1"/>
  <c r="H51" i="4"/>
  <c r="M51" i="4" s="1"/>
  <c r="H49" i="4"/>
  <c r="I49" i="4" s="1"/>
  <c r="J49" i="4" s="1"/>
  <c r="K49" i="4" s="1"/>
  <c r="L49" i="4" s="1"/>
  <c r="H48" i="4"/>
  <c r="I48" i="4" s="1"/>
  <c r="J48" i="4" s="1"/>
  <c r="H44" i="4"/>
  <c r="M44" i="4" s="1"/>
  <c r="H43" i="4"/>
  <c r="M43" i="4" s="1"/>
  <c r="H42" i="4"/>
  <c r="M42" i="4" s="1"/>
  <c r="H41" i="4"/>
  <c r="I41" i="4" s="1"/>
  <c r="J41" i="4" s="1"/>
  <c r="K41" i="4" s="1"/>
  <c r="L41" i="4" s="1"/>
  <c r="H40" i="4"/>
  <c r="I40" i="4" s="1"/>
  <c r="J40" i="4" s="1"/>
  <c r="K40" i="4" s="1"/>
  <c r="L40" i="4" s="1"/>
  <c r="H39" i="4"/>
  <c r="I39" i="4" s="1"/>
  <c r="J39" i="4" s="1"/>
  <c r="K39" i="4" s="1"/>
  <c r="L39" i="4" s="1"/>
  <c r="H34" i="4"/>
  <c r="M34" i="4" s="1"/>
  <c r="H33" i="4"/>
  <c r="M33" i="4" s="1"/>
  <c r="H32" i="4"/>
  <c r="I32" i="4" s="1"/>
  <c r="J32" i="4" s="1"/>
  <c r="K32" i="4" s="1"/>
  <c r="L32" i="4" s="1"/>
  <c r="I29" i="4"/>
  <c r="J29" i="4" s="1"/>
  <c r="K29" i="4" s="1"/>
  <c r="L29" i="4" s="1"/>
  <c r="H29" i="4"/>
  <c r="M29" i="4" s="1"/>
  <c r="H28" i="4"/>
  <c r="I28" i="4" s="1"/>
  <c r="J28" i="4" s="1"/>
  <c r="K28" i="4" s="1"/>
  <c r="L28" i="4" s="1"/>
  <c r="H21" i="4"/>
  <c r="I21" i="4" s="1"/>
  <c r="J21" i="4" s="1"/>
  <c r="K21" i="4" s="1"/>
  <c r="L21" i="4" s="1"/>
  <c r="I20" i="4"/>
  <c r="J20" i="4" s="1"/>
  <c r="K20" i="4" s="1"/>
  <c r="L20" i="4" s="1"/>
  <c r="H20" i="4"/>
  <c r="M20" i="4" s="1"/>
  <c r="H19" i="4"/>
  <c r="I19" i="4" s="1"/>
  <c r="J19" i="4" s="1"/>
  <c r="K19" i="4" s="1"/>
  <c r="L19" i="4" s="1"/>
  <c r="H18" i="4"/>
  <c r="I18" i="4" s="1"/>
  <c r="J18" i="4" s="1"/>
  <c r="K18" i="4" s="1"/>
  <c r="L18" i="4" s="1"/>
  <c r="I17" i="4"/>
  <c r="J17" i="4" s="1"/>
  <c r="K17" i="4" s="1"/>
  <c r="L17" i="4" s="1"/>
  <c r="H17" i="4"/>
  <c r="M17" i="4" s="1"/>
  <c r="H16" i="4"/>
  <c r="M16" i="4" s="1"/>
  <c r="H15" i="4"/>
  <c r="I15" i="4" s="1"/>
  <c r="J15" i="4" s="1"/>
  <c r="K15" i="4" s="1"/>
  <c r="L15" i="4" s="1"/>
  <c r="H10" i="4"/>
  <c r="I10" i="4" s="1"/>
  <c r="J10" i="4" s="1"/>
  <c r="K10" i="4" s="1"/>
  <c r="L10" i="4" s="1"/>
  <c r="B5" i="1"/>
  <c r="B3" i="11"/>
  <c r="M48" i="4" l="1"/>
  <c r="M40" i="4"/>
  <c r="M19" i="4"/>
  <c r="I52" i="4"/>
  <c r="J52" i="4" s="1"/>
  <c r="K52" i="4" s="1"/>
  <c r="L52" i="4" s="1"/>
  <c r="M39" i="4"/>
  <c r="M15" i="4"/>
  <c r="M49" i="4"/>
  <c r="M32" i="4"/>
  <c r="M28" i="4"/>
  <c r="I16" i="4"/>
  <c r="J16" i="4" s="1"/>
  <c r="K16" i="4" s="1"/>
  <c r="L16" i="4" s="1"/>
  <c r="I34" i="4"/>
  <c r="J34" i="4" s="1"/>
  <c r="K34" i="4" s="1"/>
  <c r="L34" i="4" s="1"/>
  <c r="I42" i="4"/>
  <c r="J42" i="4" s="1"/>
  <c r="K42" i="4" s="1"/>
  <c r="L42" i="4" s="1"/>
  <c r="I51" i="4"/>
  <c r="J51" i="4" s="1"/>
  <c r="K51" i="4" s="1"/>
  <c r="L51" i="4" s="1"/>
  <c r="M18" i="4"/>
  <c r="M10" i="4"/>
  <c r="I33" i="4"/>
  <c r="J33" i="4" s="1"/>
  <c r="K33" i="4" s="1"/>
  <c r="L33" i="4" s="1"/>
  <c r="I44" i="4"/>
  <c r="J44" i="4" s="1"/>
  <c r="K44" i="4" s="1"/>
  <c r="L44" i="4" s="1"/>
  <c r="M21" i="4"/>
  <c r="I43" i="4"/>
  <c r="J43" i="4" s="1"/>
  <c r="K43" i="4" s="1"/>
  <c r="L43" i="4" s="1"/>
  <c r="M41" i="4"/>
  <c r="K48" i="4"/>
  <c r="L48" i="4" l="1"/>
  <c r="H51" i="7" l="1"/>
  <c r="H52" i="7"/>
  <c r="H53" i="7"/>
  <c r="H54" i="7"/>
  <c r="H57" i="7"/>
  <c r="H58" i="7"/>
  <c r="H59" i="7"/>
  <c r="H60" i="7"/>
  <c r="H61" i="7"/>
  <c r="H62" i="7"/>
  <c r="H63" i="7"/>
  <c r="H64" i="7"/>
  <c r="H65" i="7"/>
  <c r="H66" i="7"/>
  <c r="C5" i="8"/>
  <c r="C9" i="8"/>
  <c r="B44" i="11"/>
  <c r="B51" i="11"/>
  <c r="B53" i="11"/>
  <c r="E6" i="11"/>
  <c r="B12" i="10"/>
  <c r="H18" i="6"/>
  <c r="J66" i="11"/>
  <c r="K66" i="11" s="1"/>
  <c r="L66" i="11" s="1"/>
  <c r="M66" i="11" s="1"/>
  <c r="N66" i="11" s="1"/>
  <c r="H68" i="11"/>
  <c r="H69" i="11" s="1"/>
  <c r="H70" i="11" s="1"/>
  <c r="H71" i="11" s="1"/>
  <c r="H72" i="11" s="1"/>
  <c r="H73" i="11" s="1"/>
  <c r="H74" i="11" s="1"/>
  <c r="H75" i="11" s="1"/>
  <c r="E16" i="6"/>
  <c r="F16" i="6"/>
  <c r="G16" i="6"/>
  <c r="H16" i="6"/>
  <c r="D16" i="6"/>
  <c r="C12" i="6"/>
  <c r="L27" i="4"/>
  <c r="B28" i="2" l="1"/>
  <c r="G10" i="3"/>
  <c r="G9" i="3"/>
  <c r="G66" i="4"/>
  <c r="G71" i="4"/>
  <c r="G61" i="4"/>
  <c r="G24" i="4"/>
  <c r="G57" i="7"/>
  <c r="G58" i="7"/>
  <c r="G59" i="7"/>
  <c r="G60" i="7"/>
  <c r="G61" i="7"/>
  <c r="G62" i="7"/>
  <c r="G63" i="7"/>
  <c r="G64" i="7"/>
  <c r="G65" i="7"/>
  <c r="G66" i="7"/>
  <c r="G37" i="7"/>
  <c r="H15" i="6"/>
  <c r="H13" i="6"/>
  <c r="H10" i="6"/>
  <c r="H7" i="6"/>
  <c r="E53" i="11"/>
  <c r="E52" i="11"/>
  <c r="E51" i="11"/>
  <c r="E44" i="11"/>
  <c r="B2" i="11"/>
  <c r="B1" i="11"/>
  <c r="B8" i="11"/>
  <c r="E9" i="10"/>
  <c r="E4" i="10"/>
  <c r="F4" i="10" s="1"/>
  <c r="E5" i="10"/>
  <c r="F5" i="10" s="1"/>
  <c r="E6" i="10"/>
  <c r="F6" i="10" s="1"/>
  <c r="G7" i="10" s="1"/>
  <c r="E7" i="10"/>
  <c r="F7" i="10" s="1"/>
  <c r="E3" i="10"/>
  <c r="F3" i="10" s="1"/>
  <c r="F5" i="9"/>
  <c r="B14" i="11" l="1"/>
  <c r="C14" i="11" s="1"/>
  <c r="D14" i="11" s="1"/>
  <c r="E14" i="11" s="1"/>
  <c r="F14" i="11" s="1"/>
  <c r="G8" i="3"/>
  <c r="H7" i="10"/>
  <c r="B15" i="10" s="1"/>
  <c r="E7" i="11" s="1"/>
  <c r="B6" i="11" s="1" a="1"/>
  <c r="B6" i="11" s="1"/>
  <c r="D2" i="8" l="1"/>
  <c r="E2" i="8" s="1"/>
  <c r="D9" i="8"/>
  <c r="E9" i="8" s="1"/>
  <c r="C2" i="8"/>
  <c r="C3" i="8"/>
  <c r="D3" i="8" s="1"/>
  <c r="E3" i="8" s="1"/>
  <c r="C4" i="8"/>
  <c r="D4" i="8" s="1"/>
  <c r="E4" i="8" s="1"/>
  <c r="D5" i="8"/>
  <c r="C6" i="8"/>
  <c r="D6" i="8" s="1"/>
  <c r="E6" i="8" s="1"/>
  <c r="B20" i="8"/>
  <c r="B21" i="8" s="1"/>
  <c r="F4" i="9"/>
  <c r="B18" i="8" s="1"/>
  <c r="F2" i="9"/>
  <c r="F3" i="9"/>
  <c r="B7" i="9"/>
  <c r="B3" i="9"/>
  <c r="B5" i="9"/>
  <c r="B4" i="9"/>
  <c r="B2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13" i="9"/>
  <c r="B6" i="9" s="1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13" i="9"/>
  <c r="B16" i="8"/>
  <c r="G7" i="6"/>
  <c r="C9" i="3"/>
  <c r="D9" i="3"/>
  <c r="E9" i="3"/>
  <c r="F9" i="3"/>
  <c r="B9" i="3"/>
  <c r="C10" i="3"/>
  <c r="C8" i="3" s="1"/>
  <c r="D10" i="3"/>
  <c r="E6" i="3" s="1"/>
  <c r="E10" i="3"/>
  <c r="F6" i="3" s="1"/>
  <c r="F10" i="3"/>
  <c r="G6" i="3" s="1"/>
  <c r="G7" i="3" s="1"/>
  <c r="B10" i="3"/>
  <c r="B8" i="3" s="1"/>
  <c r="B7" i="3" s="1"/>
  <c r="B16" i="3" s="1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57" i="7"/>
  <c r="F57" i="7"/>
  <c r="E57" i="7"/>
  <c r="B58" i="7"/>
  <c r="B59" i="7"/>
  <c r="B60" i="7"/>
  <c r="B61" i="7"/>
  <c r="B62" i="7"/>
  <c r="B63" i="7"/>
  <c r="B64" i="7"/>
  <c r="B65" i="7"/>
  <c r="B66" i="7"/>
  <c r="B57" i="7"/>
  <c r="C58" i="7"/>
  <c r="C59" i="7"/>
  <c r="C60" i="7"/>
  <c r="C61" i="7"/>
  <c r="C62" i="7"/>
  <c r="C63" i="7"/>
  <c r="C64" i="7"/>
  <c r="C65" i="7"/>
  <c r="C66" i="7"/>
  <c r="C57" i="7"/>
  <c r="C51" i="7"/>
  <c r="D51" i="7"/>
  <c r="E51" i="7"/>
  <c r="F51" i="7"/>
  <c r="C52" i="7"/>
  <c r="D52" i="7"/>
  <c r="E52" i="7"/>
  <c r="F52" i="7"/>
  <c r="C53" i="7"/>
  <c r="D53" i="7"/>
  <c r="E53" i="7"/>
  <c r="F53" i="7"/>
  <c r="C54" i="7"/>
  <c r="D54" i="7"/>
  <c r="E54" i="7"/>
  <c r="F54" i="7"/>
  <c r="B54" i="7"/>
  <c r="B53" i="7"/>
  <c r="B52" i="7"/>
  <c r="B51" i="7"/>
  <c r="C50" i="7"/>
  <c r="D50" i="7"/>
  <c r="E50" i="7"/>
  <c r="F50" i="7"/>
  <c r="B50" i="7"/>
  <c r="B24" i="2"/>
  <c r="C24" i="2"/>
  <c r="D24" i="2"/>
  <c r="E24" i="2"/>
  <c r="F24" i="2"/>
  <c r="B23" i="2"/>
  <c r="C23" i="2"/>
  <c r="D23" i="2"/>
  <c r="E23" i="2"/>
  <c r="F23" i="2"/>
  <c r="B10" i="1"/>
  <c r="H27" i="4" s="1"/>
  <c r="M27" i="4" s="1"/>
  <c r="C10" i="1"/>
  <c r="I27" i="4" s="1"/>
  <c r="D10" i="1"/>
  <c r="J27" i="4" s="1"/>
  <c r="E10" i="1"/>
  <c r="K27" i="4" s="1"/>
  <c r="B8" i="1"/>
  <c r="C70" i="7"/>
  <c r="D70" i="7"/>
  <c r="E70" i="7"/>
  <c r="F70" i="7"/>
  <c r="B70" i="7"/>
  <c r="C75" i="4"/>
  <c r="D75" i="4"/>
  <c r="E75" i="4"/>
  <c r="F75" i="4"/>
  <c r="B75" i="4"/>
  <c r="C71" i="4"/>
  <c r="D71" i="4"/>
  <c r="E71" i="4"/>
  <c r="F71" i="4"/>
  <c r="B71" i="4"/>
  <c r="C66" i="4"/>
  <c r="D66" i="4"/>
  <c r="E66" i="4"/>
  <c r="F66" i="4"/>
  <c r="B66" i="4"/>
  <c r="C61" i="4"/>
  <c r="D61" i="4"/>
  <c r="E61" i="4"/>
  <c r="F61" i="4"/>
  <c r="B61" i="4"/>
  <c r="C60" i="4"/>
  <c r="D60" i="4"/>
  <c r="E60" i="4"/>
  <c r="F60" i="4"/>
  <c r="B60" i="4"/>
  <c r="H7" i="4"/>
  <c r="C24" i="4"/>
  <c r="D24" i="4"/>
  <c r="E24" i="4"/>
  <c r="F24" i="4"/>
  <c r="B24" i="4"/>
  <c r="C55" i="4"/>
  <c r="D55" i="4"/>
  <c r="E55" i="4"/>
  <c r="F55" i="4"/>
  <c r="B55" i="4"/>
  <c r="E62" i="4" l="1"/>
  <c r="E63" i="4" s="1"/>
  <c r="I7" i="4"/>
  <c r="J7" i="4" s="1"/>
  <c r="K7" i="4" s="1"/>
  <c r="L7" i="4" s="1"/>
  <c r="M7" i="4"/>
  <c r="B56" i="4"/>
  <c r="C56" i="4"/>
  <c r="D56" i="4"/>
  <c r="C5" i="1"/>
  <c r="C8" i="1" s="1"/>
  <c r="C13" i="1" s="1"/>
  <c r="I31" i="7" s="1"/>
  <c r="I37" i="7" s="1"/>
  <c r="B13" i="1"/>
  <c r="H31" i="7" s="1"/>
  <c r="H37" i="7" s="1"/>
  <c r="F56" i="4"/>
  <c r="E56" i="4"/>
  <c r="B62" i="4"/>
  <c r="B63" i="4" s="1"/>
  <c r="C62" i="4"/>
  <c r="C63" i="4" s="1"/>
  <c r="E8" i="3"/>
  <c r="E7" i="3" s="1"/>
  <c r="E16" i="3" s="1"/>
  <c r="E5" i="8"/>
  <c r="D7" i="8"/>
  <c r="F8" i="3"/>
  <c r="F7" i="3" s="1"/>
  <c r="F16" i="3" s="1"/>
  <c r="B11" i="1"/>
  <c r="H38" i="4" s="1"/>
  <c r="C12" i="2"/>
  <c r="E12" i="2"/>
  <c r="D6" i="3"/>
  <c r="C6" i="3"/>
  <c r="C7" i="3" s="1"/>
  <c r="C16" i="3" s="1"/>
  <c r="D12" i="2"/>
  <c r="D8" i="3"/>
  <c r="F12" i="2"/>
  <c r="B12" i="2"/>
  <c r="F62" i="4"/>
  <c r="F63" i="4" s="1"/>
  <c r="D62" i="4"/>
  <c r="D63" i="4" s="1"/>
  <c r="C26" i="7"/>
  <c r="D26" i="7"/>
  <c r="E26" i="7"/>
  <c r="F26" i="7"/>
  <c r="B37" i="7"/>
  <c r="C37" i="7"/>
  <c r="D37" i="7"/>
  <c r="E37" i="7"/>
  <c r="F37" i="7"/>
  <c r="B14" i="7"/>
  <c r="B26" i="7"/>
  <c r="C14" i="7"/>
  <c r="D14" i="7"/>
  <c r="E14" i="7"/>
  <c r="F14" i="7"/>
  <c r="D2" i="6"/>
  <c r="D15" i="6"/>
  <c r="E15" i="6"/>
  <c r="F15" i="6"/>
  <c r="G15" i="6"/>
  <c r="C15" i="6"/>
  <c r="I9" i="6"/>
  <c r="J9" i="6" s="1"/>
  <c r="K9" i="6" s="1"/>
  <c r="L9" i="6" s="1"/>
  <c r="M9" i="6" s="1"/>
  <c r="I6" i="6"/>
  <c r="D13" i="6"/>
  <c r="I12" i="6" s="1"/>
  <c r="J12" i="6" s="1"/>
  <c r="K12" i="6" s="1"/>
  <c r="L12" i="6" s="1"/>
  <c r="M12" i="6" s="1"/>
  <c r="E13" i="6"/>
  <c r="F13" i="6"/>
  <c r="G13" i="6"/>
  <c r="D10" i="6"/>
  <c r="E10" i="6"/>
  <c r="F10" i="6"/>
  <c r="G10" i="6"/>
  <c r="D7" i="6"/>
  <c r="E7" i="6"/>
  <c r="F7" i="6"/>
  <c r="D12" i="6"/>
  <c r="E12" i="6"/>
  <c r="F12" i="6"/>
  <c r="C11" i="1" l="1"/>
  <c r="I38" i="4" s="1"/>
  <c r="I45" i="4" s="1"/>
  <c r="D5" i="1"/>
  <c r="D8" i="1" s="1"/>
  <c r="D13" i="1" s="1"/>
  <c r="J31" i="7" s="1"/>
  <c r="J37" i="7" s="1"/>
  <c r="H45" i="4"/>
  <c r="M38" i="4"/>
  <c r="D65" i="4"/>
  <c r="D67" i="4" s="1"/>
  <c r="D68" i="4" s="1"/>
  <c r="D70" i="4"/>
  <c r="D72" i="4" s="1"/>
  <c r="C65" i="4"/>
  <c r="C67" i="4" s="1"/>
  <c r="C68" i="4" s="1"/>
  <c r="C70" i="4"/>
  <c r="C72" i="4" s="1"/>
  <c r="C73" i="4" s="1"/>
  <c r="F65" i="4"/>
  <c r="F70" i="4"/>
  <c r="F72" i="4" s="1"/>
  <c r="E65" i="4"/>
  <c r="E67" i="4" s="1"/>
  <c r="E68" i="4" s="1"/>
  <c r="E70" i="4"/>
  <c r="E72" i="4" s="1"/>
  <c r="B65" i="4"/>
  <c r="B67" i="4" s="1"/>
  <c r="B68" i="4" s="1"/>
  <c r="B70" i="4"/>
  <c r="B72" i="4" s="1"/>
  <c r="B73" i="4" s="1"/>
  <c r="D7" i="3"/>
  <c r="D16" i="3" s="1"/>
  <c r="D14" i="3"/>
  <c r="I15" i="6"/>
  <c r="H6" i="7" s="1"/>
  <c r="C14" i="3"/>
  <c r="F67" i="4"/>
  <c r="F68" i="4" s="1"/>
  <c r="F73" i="4"/>
  <c r="F28" i="7"/>
  <c r="F41" i="7" s="1"/>
  <c r="F68" i="7" s="1"/>
  <c r="E28" i="7"/>
  <c r="E41" i="7" s="1"/>
  <c r="E68" i="7" s="1"/>
  <c r="D28" i="7"/>
  <c r="D41" i="7" s="1"/>
  <c r="D68" i="7" s="1"/>
  <c r="B28" i="7"/>
  <c r="B41" i="7" s="1"/>
  <c r="B68" i="7" s="1"/>
  <c r="C28" i="7"/>
  <c r="C41" i="7" s="1"/>
  <c r="C68" i="7" s="1"/>
  <c r="F14" i="3"/>
  <c r="J6" i="6"/>
  <c r="J15" i="6" s="1"/>
  <c r="I6" i="7" s="1"/>
  <c r="G6" i="7"/>
  <c r="B14" i="3"/>
  <c r="E14" i="3"/>
  <c r="D11" i="1" l="1"/>
  <c r="J38" i="4" s="1"/>
  <c r="J45" i="4" s="1"/>
  <c r="E5" i="1"/>
  <c r="E8" i="1" s="1"/>
  <c r="E13" i="1" s="1"/>
  <c r="K31" i="7" s="1"/>
  <c r="K37" i="7" s="1"/>
  <c r="G51" i="7"/>
  <c r="H10" i="7" s="1"/>
  <c r="G50" i="7"/>
  <c r="G60" i="4"/>
  <c r="G62" i="4" s="1"/>
  <c r="G63" i="4" s="1"/>
  <c r="H8" i="4" s="1"/>
  <c r="M8" i="4" s="1"/>
  <c r="G53" i="7"/>
  <c r="I12" i="7" s="1"/>
  <c r="G54" i="7"/>
  <c r="H13" i="7" s="1"/>
  <c r="G75" i="4"/>
  <c r="H75" i="4" s="1"/>
  <c r="H31" i="4" s="1"/>
  <c r="G52" i="7"/>
  <c r="E73" i="4"/>
  <c r="D73" i="4"/>
  <c r="I10" i="7"/>
  <c r="I20" i="7"/>
  <c r="I24" i="7"/>
  <c r="I16" i="7"/>
  <c r="I19" i="7"/>
  <c r="I23" i="7"/>
  <c r="I17" i="7"/>
  <c r="I21" i="7"/>
  <c r="I25" i="7"/>
  <c r="I18" i="7"/>
  <c r="I22" i="7"/>
  <c r="H17" i="7"/>
  <c r="H21" i="7"/>
  <c r="H25" i="7"/>
  <c r="H18" i="7"/>
  <c r="H22" i="7"/>
  <c r="H16" i="7"/>
  <c r="H19" i="7"/>
  <c r="H23" i="7"/>
  <c r="H20" i="7"/>
  <c r="H24" i="7"/>
  <c r="H9" i="7"/>
  <c r="H12" i="7"/>
  <c r="H11" i="7"/>
  <c r="I11" i="7"/>
  <c r="I9" i="7"/>
  <c r="K6" i="6"/>
  <c r="K15" i="6" s="1"/>
  <c r="J6" i="7" s="1"/>
  <c r="E11" i="1" l="1"/>
  <c r="K38" i="4" s="1"/>
  <c r="K45" i="4" s="1"/>
  <c r="J8" i="4"/>
  <c r="F5" i="1"/>
  <c r="F8" i="1" s="1"/>
  <c r="F13" i="1" s="1"/>
  <c r="L31" i="7" s="1"/>
  <c r="L37" i="7" s="1"/>
  <c r="B13" i="2"/>
  <c r="M31" i="4"/>
  <c r="I31" i="4"/>
  <c r="C13" i="2" s="1"/>
  <c r="I8" i="4"/>
  <c r="I13" i="7"/>
  <c r="I14" i="7" s="1"/>
  <c r="G26" i="7"/>
  <c r="I26" i="7"/>
  <c r="B10" i="2"/>
  <c r="B20" i="11" s="1"/>
  <c r="H26" i="7"/>
  <c r="J19" i="7"/>
  <c r="J23" i="7"/>
  <c r="J20" i="7"/>
  <c r="J24" i="7"/>
  <c r="J17" i="7"/>
  <c r="J21" i="7"/>
  <c r="J25" i="7"/>
  <c r="J18" i="7"/>
  <c r="J22" i="7"/>
  <c r="J16" i="7"/>
  <c r="H14" i="7"/>
  <c r="G14" i="7"/>
  <c r="J9" i="7"/>
  <c r="J10" i="7"/>
  <c r="J11" i="7"/>
  <c r="J13" i="7"/>
  <c r="J31" i="4"/>
  <c r="J12" i="7"/>
  <c r="L6" i="6"/>
  <c r="L15" i="6" s="1"/>
  <c r="K6" i="7" s="1"/>
  <c r="K8" i="4" s="1"/>
  <c r="D10" i="2" l="1"/>
  <c r="D20" i="11" s="1"/>
  <c r="F11" i="1"/>
  <c r="L38" i="4" s="1"/>
  <c r="L45" i="4" s="1"/>
  <c r="D13" i="2"/>
  <c r="C10" i="2"/>
  <c r="C20" i="11" s="1"/>
  <c r="G65" i="4"/>
  <c r="G67" i="4" s="1"/>
  <c r="G68" i="4" s="1"/>
  <c r="H68" i="4" s="1"/>
  <c r="I9" i="4" s="1"/>
  <c r="G70" i="4"/>
  <c r="G72" i="4" s="1"/>
  <c r="G73" i="4" s="1"/>
  <c r="I28" i="7"/>
  <c r="H28" i="7"/>
  <c r="J26" i="7"/>
  <c r="K18" i="7"/>
  <c r="K22" i="7"/>
  <c r="K17" i="7"/>
  <c r="K21" i="7"/>
  <c r="K19" i="7"/>
  <c r="K23" i="7"/>
  <c r="K25" i="7"/>
  <c r="K20" i="7"/>
  <c r="K24" i="7"/>
  <c r="K16" i="7"/>
  <c r="G28" i="7"/>
  <c r="J14" i="7"/>
  <c r="K10" i="7"/>
  <c r="K9" i="7"/>
  <c r="K11" i="7"/>
  <c r="K31" i="4"/>
  <c r="E13" i="2" s="1"/>
  <c r="K12" i="7"/>
  <c r="K13" i="7"/>
  <c r="M6" i="6"/>
  <c r="M15" i="6" s="1"/>
  <c r="L6" i="7" s="1"/>
  <c r="L8" i="4" s="1"/>
  <c r="H9" i="4" l="1"/>
  <c r="H73" i="4"/>
  <c r="I30" i="4" s="1"/>
  <c r="I35" i="4" s="1"/>
  <c r="J9" i="4"/>
  <c r="D11" i="2" s="1"/>
  <c r="K26" i="7"/>
  <c r="L17" i="7"/>
  <c r="L21" i="7"/>
  <c r="L25" i="7"/>
  <c r="L24" i="7"/>
  <c r="L18" i="7"/>
  <c r="L22" i="7"/>
  <c r="L16" i="7"/>
  <c r="L20" i="7"/>
  <c r="L19" i="7"/>
  <c r="L23" i="7"/>
  <c r="J28" i="7"/>
  <c r="E10" i="2"/>
  <c r="E20" i="11" s="1"/>
  <c r="L10" i="7"/>
  <c r="L9" i="7"/>
  <c r="L11" i="7"/>
  <c r="L31" i="4"/>
  <c r="F13" i="2" s="1"/>
  <c r="L12" i="7"/>
  <c r="L13" i="7"/>
  <c r="F10" i="2"/>
  <c r="F20" i="11" s="1"/>
  <c r="K14" i="7"/>
  <c r="K9" i="4" s="1"/>
  <c r="B11" i="2" l="1"/>
  <c r="M9" i="4"/>
  <c r="J30" i="4"/>
  <c r="J35" i="4" s="1"/>
  <c r="H30" i="4"/>
  <c r="M30" i="4" s="1"/>
  <c r="C11" i="2"/>
  <c r="L26" i="7"/>
  <c r="L14" i="7"/>
  <c r="L9" i="4" s="1"/>
  <c r="K30" i="4"/>
  <c r="K28" i="7"/>
  <c r="D14" i="2" l="1"/>
  <c r="H35" i="4"/>
  <c r="B14" i="2"/>
  <c r="C14" i="2"/>
  <c r="K35" i="4"/>
  <c r="E14" i="2"/>
  <c r="E11" i="2"/>
  <c r="F11" i="2"/>
  <c r="L30" i="4"/>
  <c r="L28" i="7"/>
  <c r="L35" i="4" l="1"/>
  <c r="F14" i="2"/>
  <c r="G41" i="7" l="1"/>
  <c r="G45" i="7" l="1"/>
  <c r="G70" i="7" s="1"/>
  <c r="G68" i="7"/>
  <c r="H68" i="7" s="1"/>
  <c r="G55" i="4" l="1"/>
  <c r="G56" i="4" l="1"/>
  <c r="H6" i="3" l="1"/>
  <c r="G14" i="3"/>
  <c r="H14" i="3" s="1"/>
  <c r="G16" i="3"/>
  <c r="J7" i="3" l="1"/>
  <c r="D18" i="2" s="1"/>
  <c r="K7" i="3"/>
  <c r="E18" i="2" s="1"/>
  <c r="L7" i="3"/>
  <c r="F18" i="2" s="1"/>
  <c r="H7" i="3"/>
  <c r="B18" i="2" s="1"/>
  <c r="I7" i="3"/>
  <c r="C18" i="2" s="1"/>
  <c r="H8" i="3" l="1"/>
  <c r="H9" i="3" s="1"/>
  <c r="H39" i="7" s="1"/>
  <c r="H41" i="7" s="1"/>
  <c r="B16" i="11" s="1"/>
  <c r="B18" i="11" s="1"/>
  <c r="C21" i="11"/>
  <c r="C19" i="2"/>
  <c r="D21" i="11"/>
  <c r="D19" i="2"/>
  <c r="B19" i="2"/>
  <c r="B21" i="11"/>
  <c r="F19" i="2"/>
  <c r="F21" i="11"/>
  <c r="E19" i="2"/>
  <c r="E21" i="11"/>
  <c r="H10" i="3" l="1"/>
  <c r="I6" i="3" s="1"/>
  <c r="I8" i="3" s="1"/>
  <c r="B8" i="2"/>
  <c r="B19" i="11"/>
  <c r="B22" i="11" s="1"/>
  <c r="H43" i="7"/>
  <c r="H45" i="7" s="1"/>
  <c r="H14" i="4" l="1"/>
  <c r="M14" i="4" s="1"/>
  <c r="B7" i="2"/>
  <c r="B15" i="2" s="1"/>
  <c r="H46" i="7"/>
  <c r="B22" i="2" s="1"/>
  <c r="B25" i="2" s="1"/>
  <c r="I9" i="3"/>
  <c r="I39" i="7" s="1"/>
  <c r="H22" i="4" l="1"/>
  <c r="B27" i="2"/>
  <c r="B29" i="2" s="1"/>
  <c r="H50" i="4"/>
  <c r="M50" i="4" s="1"/>
  <c r="I10" i="3"/>
  <c r="I41" i="7"/>
  <c r="C16" i="11" s="1"/>
  <c r="C18" i="11" s="1"/>
  <c r="C19" i="11"/>
  <c r="C8" i="2"/>
  <c r="C22" i="11" l="1"/>
  <c r="M55" i="4"/>
  <c r="H53" i="4"/>
  <c r="H55" i="4" s="1"/>
  <c r="C28" i="2"/>
  <c r="I43" i="7"/>
  <c r="I45" i="7" s="1"/>
  <c r="I14" i="4"/>
  <c r="I22" i="4" s="1"/>
  <c r="J6" i="3"/>
  <c r="J8" i="3" s="1"/>
  <c r="H6" i="4" l="1"/>
  <c r="M6" i="4" s="1"/>
  <c r="J9" i="3"/>
  <c r="J39" i="7" s="1"/>
  <c r="C7" i="2"/>
  <c r="C15" i="2" s="1"/>
  <c r="I46" i="7"/>
  <c r="C22" i="2" s="1"/>
  <c r="C25" i="2" s="1"/>
  <c r="H11" i="4" l="1"/>
  <c r="H24" i="4" s="1"/>
  <c r="H56" i="4" s="1"/>
  <c r="M24" i="4"/>
  <c r="M56" i="4" s="1"/>
  <c r="C27" i="2"/>
  <c r="J10" i="3"/>
  <c r="K6" i="3" s="1"/>
  <c r="K8" i="3" s="1"/>
  <c r="I50" i="4"/>
  <c r="I53" i="4" s="1"/>
  <c r="J41" i="7"/>
  <c r="D16" i="11" s="1"/>
  <c r="D18" i="11" s="1"/>
  <c r="D19" i="11"/>
  <c r="D8" i="2"/>
  <c r="D22" i="11" l="1"/>
  <c r="C29" i="2"/>
  <c r="D28" i="2" s="1"/>
  <c r="J14" i="4"/>
  <c r="J22" i="4" s="1"/>
  <c r="J43" i="7"/>
  <c r="J45" i="7" s="1"/>
  <c r="K9" i="3"/>
  <c r="K39" i="7" s="1"/>
  <c r="I55" i="4"/>
  <c r="I6" i="4" l="1"/>
  <c r="I11" i="4" s="1"/>
  <c r="I24" i="4" s="1"/>
  <c r="I56" i="4" s="1"/>
  <c r="D7" i="2"/>
  <c r="D15" i="2" s="1"/>
  <c r="J46" i="7"/>
  <c r="D22" i="2" s="1"/>
  <c r="D25" i="2" s="1"/>
  <c r="E19" i="11"/>
  <c r="E8" i="2"/>
  <c r="K41" i="7"/>
  <c r="E16" i="11" s="1"/>
  <c r="E18" i="11" s="1"/>
  <c r="K10" i="3"/>
  <c r="E22" i="11" l="1"/>
  <c r="D27" i="2"/>
  <c r="J50" i="4"/>
  <c r="K14" i="4"/>
  <c r="K22" i="4" s="1"/>
  <c r="L6" i="3"/>
  <c r="L8" i="3" s="1"/>
  <c r="K43" i="7"/>
  <c r="K45" i="7" s="1"/>
  <c r="J53" i="4" l="1"/>
  <c r="J55" i="4" s="1"/>
  <c r="D29" i="2"/>
  <c r="E28" i="2" s="1"/>
  <c r="E7" i="2"/>
  <c r="E15" i="2" s="1"/>
  <c r="K46" i="7"/>
  <c r="E22" i="2" s="1"/>
  <c r="E25" i="2" s="1"/>
  <c r="L9" i="3"/>
  <c r="L39" i="7" s="1"/>
  <c r="J6" i="4" l="1"/>
  <c r="J11" i="4" s="1"/>
  <c r="J24" i="4" s="1"/>
  <c r="J56" i="4" s="1"/>
  <c r="E27" i="2"/>
  <c r="E29" i="2" s="1"/>
  <c r="K50" i="4"/>
  <c r="L10" i="3"/>
  <c r="L14" i="4" s="1"/>
  <c r="L22" i="4" s="1"/>
  <c r="F8" i="2"/>
  <c r="F19" i="11"/>
  <c r="L41" i="7"/>
  <c r="F16" i="11" s="1"/>
  <c r="F18" i="11" s="1"/>
  <c r="F22" i="11" l="1"/>
  <c r="K53" i="4"/>
  <c r="K55" i="4" s="1"/>
  <c r="K6" i="4"/>
  <c r="K11" i="4" s="1"/>
  <c r="K24" i="4" s="1"/>
  <c r="F28" i="2"/>
  <c r="L43" i="7"/>
  <c r="L45" i="7" s="1"/>
  <c r="E33" i="11"/>
  <c r="E35" i="11" s="1"/>
  <c r="K56" i="4" l="1"/>
  <c r="L46" i="7"/>
  <c r="F22" i="2" s="1"/>
  <c r="F25" i="2" s="1"/>
  <c r="F7" i="2"/>
  <c r="F15" i="2" s="1"/>
  <c r="F27" i="2" l="1"/>
  <c r="L50" i="4"/>
  <c r="L53" i="4" l="1"/>
  <c r="L55" i="4" s="1"/>
  <c r="F29" i="2"/>
  <c r="L6" i="4" s="1"/>
  <c r="L11" i="4" s="1"/>
  <c r="L24" i="4" s="1"/>
  <c r="E7" i="8"/>
  <c r="B24" i="8" s="1"/>
  <c r="B9" i="11"/>
  <c r="L56" i="4" l="1"/>
  <c r="B7" i="11"/>
  <c r="B10" i="11" s="1"/>
  <c r="B35" i="11" s="1"/>
  <c r="E26" i="11" l="1"/>
  <c r="E29" i="11" s="1"/>
  <c r="F26" i="11"/>
  <c r="D26" i="11"/>
  <c r="D29" i="11" s="1"/>
  <c r="C26" i="11"/>
  <c r="C29" i="11" s="1"/>
  <c r="B26" i="11"/>
  <c r="B29" i="11" s="1"/>
  <c r="E36" i="11" l="1"/>
  <c r="F29" i="11"/>
  <c r="A29" i="11" l="1"/>
  <c r="E40" i="11" s="1"/>
  <c r="E47" i="11" s="1"/>
  <c r="E50" i="11" s="1"/>
  <c r="E54" i="11" s="1"/>
  <c r="E58" i="11" s="1"/>
  <c r="B36" i="11"/>
  <c r="H81" i="11" l="1"/>
  <c r="B40" i="11"/>
  <c r="B47" i="11" s="1"/>
  <c r="B50" i="11" s="1"/>
  <c r="B54" i="11" s="1"/>
  <c r="B58" i="11" s="1"/>
  <c r="H66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<sst xmlns="http://schemas.openxmlformats.org/spreadsheetml/2006/main" count="1209" uniqueCount="434">
  <si>
    <t>Dec. 31, 2019</t>
  </si>
  <si>
    <t>Cash and cash equivalents</t>
  </si>
  <si>
    <t>Short-term investments</t>
  </si>
  <si>
    <t>Inventories</t>
  </si>
  <si>
    <t>Prepaid expenses and other assets</t>
  </si>
  <si>
    <t>Accounts payable and accrued expenses</t>
  </si>
  <si>
    <t>Depreciation and amortization</t>
  </si>
  <si>
    <t>Dec. 31, 2020</t>
  </si>
  <si>
    <t>Dec. 31, 2021</t>
  </si>
  <si>
    <t>Dec. 31, 2022</t>
  </si>
  <si>
    <t>Net Cash Provided by Operating Activities</t>
  </si>
  <si>
    <t>Segment Information</t>
  </si>
  <si>
    <t>Growth%</t>
  </si>
  <si>
    <t>THE COCA-COLA COMPANY</t>
  </si>
  <si>
    <t>12 months</t>
  </si>
  <si>
    <t>Dec. 31, 2023</t>
  </si>
  <si>
    <t>Dec. 31, 2024</t>
  </si>
  <si>
    <t>Dec. 31, 2025</t>
  </si>
  <si>
    <t>Dec. 31, 2026</t>
  </si>
  <si>
    <t>Dec. 31, 2027</t>
  </si>
  <si>
    <t>Total Division</t>
  </si>
  <si>
    <t>(in USD million except per Share Data)</t>
  </si>
  <si>
    <t>Income Statement</t>
  </si>
  <si>
    <t>(in USD millions)</t>
  </si>
  <si>
    <t>Property, Plant &amp; Equipment</t>
  </si>
  <si>
    <t>Opening Balance-WDV</t>
  </si>
  <si>
    <t>Add: Net Addition during the Period</t>
  </si>
  <si>
    <t>Total Depreciable Assets During the Year</t>
  </si>
  <si>
    <t>Less: Depreciation during the year</t>
  </si>
  <si>
    <t>Closing Balance-WDV</t>
  </si>
  <si>
    <t>Depreciation Rate</t>
  </si>
  <si>
    <t>Cash Flow Statement</t>
  </si>
  <si>
    <t>Source</t>
  </si>
  <si>
    <t>Debt Schedule</t>
  </si>
  <si>
    <t>Cash From Operating Activities</t>
  </si>
  <si>
    <t>Net Income</t>
  </si>
  <si>
    <t>Change in assets and liabilities:</t>
  </si>
  <si>
    <t>Prepaid expenses and other current assets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</si>
  <si>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</si>
  <si>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</si>
  <si>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</si>
  <si>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</si>
  <si>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</si>
  <si>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</si>
  <si>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</si>
  <si>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</si>
  <si>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</si>
  <si>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</si>
  <si>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</si>
  <si>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Check</t>
  </si>
  <si>
    <t>Trade accounts receivable</t>
  </si>
  <si>
    <t>Valuation Date</t>
  </si>
  <si>
    <t xml:space="preserve"> </t>
  </si>
  <si>
    <t>Goodwill</t>
  </si>
  <si>
    <t>Total Assets</t>
  </si>
  <si>
    <t>Total Current assets</t>
  </si>
  <si>
    <t>Total Current Liabilities</t>
  </si>
  <si>
    <t>Total Equity</t>
  </si>
  <si>
    <t>Total Liabilities &amp; Equity</t>
  </si>
  <si>
    <t>Opening Debt</t>
  </si>
  <si>
    <t>Dec. 31, 2028</t>
  </si>
  <si>
    <t>Dec. 31, 2029</t>
  </si>
  <si>
    <t>Closing balance</t>
  </si>
  <si>
    <t>Short Term</t>
  </si>
  <si>
    <t>Long Term</t>
  </si>
  <si>
    <t>Airline</t>
  </si>
  <si>
    <t>Refinery</t>
  </si>
  <si>
    <t>Intersegment Sales/Other</t>
  </si>
  <si>
    <t>`</t>
  </si>
  <si>
    <t>THE DELTA AIR LINES</t>
  </si>
  <si>
    <t>Operating Revenue:</t>
  </si>
  <si>
    <t>Other</t>
  </si>
  <si>
    <t>Total operating revenue</t>
  </si>
  <si>
    <t>Operating Expense:</t>
  </si>
  <si>
    <t>Salaries and related costs</t>
  </si>
  <si>
    <t>Aircraft fuel and related taxes</t>
  </si>
  <si>
    <t>Ancillary businesses and refinery</t>
  </si>
  <si>
    <t>Contracted services</t>
  </si>
  <si>
    <t>Landing fees and other rents</t>
  </si>
  <si>
    <t>Regional carrier expense</t>
  </si>
  <si>
    <t>Aircraft maintenance materials and outside repairs</t>
  </si>
  <si>
    <t>Passenger commissions and other selling expenses</t>
  </si>
  <si>
    <t>Passenger service</t>
  </si>
  <si>
    <t>Aircraft rent</t>
  </si>
  <si>
    <t>Restructuring charges</t>
  </si>
  <si>
    <t>Profit sharing</t>
  </si>
  <si>
    <t>Government grant recognition</t>
  </si>
  <si>
    <t>Total operating expense</t>
  </si>
  <si>
    <t>Non-Operating Expense:</t>
  </si>
  <si>
    <t>Impairments and equity method losses</t>
  </si>
  <si>
    <t>Gain/(loss) on investments, net</t>
  </si>
  <si>
    <t>Loss on extinguishment of debt</t>
  </si>
  <si>
    <t>Pension and related benefit/(expense)</t>
  </si>
  <si>
    <t>Miscellaneous, net</t>
  </si>
  <si>
    <t>Income Tax (Provision)/Benefit</t>
  </si>
  <si>
    <t>Net Income/(Loss)</t>
  </si>
  <si>
    <t>Pilot agreement and related expenses</t>
  </si>
  <si>
    <t>Interest expense</t>
  </si>
  <si>
    <t>COGS</t>
  </si>
  <si>
    <t>Operating Income/(Loss)/EBITA&amp;D</t>
  </si>
  <si>
    <t>% of COGS wrt revenue</t>
  </si>
  <si>
    <t>% of operating expense wrt revenue</t>
  </si>
  <si>
    <t>Total non-operating expense</t>
  </si>
  <si>
    <t>provision for income taxes as a % of ebt</t>
  </si>
  <si>
    <t xml:space="preserve">THE DELTA AIR LINES </t>
  </si>
  <si>
    <t>Fuel, expendable parts and supplies inventories</t>
  </si>
  <si>
    <t>Accounts receivable</t>
  </si>
  <si>
    <t>Total Non Current Assets</t>
  </si>
  <si>
    <t>Property and equipment</t>
  </si>
  <si>
    <t>Operating lease right-of-use assets</t>
  </si>
  <si>
    <t>Identifiable intangibles</t>
  </si>
  <si>
    <t>Cash restricted for airport construction</t>
  </si>
  <si>
    <t>Equity investments</t>
  </si>
  <si>
    <t>Deferred income taxes</t>
  </si>
  <si>
    <t>Other noncurrent assets</t>
  </si>
  <si>
    <t>Current maturities of debt and finance leases</t>
  </si>
  <si>
    <t>Current maturities of operating leases</t>
  </si>
  <si>
    <t>Air traffic liability</t>
  </si>
  <si>
    <t>Accounts payable</t>
  </si>
  <si>
    <t>Accrued salaries and related benefits</t>
  </si>
  <si>
    <t>Loyalty program deferred revenue</t>
  </si>
  <si>
    <t>Fuel card obligation</t>
  </si>
  <si>
    <t>Other accrued liabilities</t>
  </si>
  <si>
    <t>Total Non Current Liabilities</t>
  </si>
  <si>
    <t>Current Assets:</t>
  </si>
  <si>
    <t>Non Current Assets:</t>
  </si>
  <si>
    <t>Current Liabilities:</t>
  </si>
  <si>
    <t>Non Current Liabilities:</t>
  </si>
  <si>
    <t>Debt and finance leases</t>
  </si>
  <si>
    <t>Pension, postretirement and related benefits</t>
  </si>
  <si>
    <t>Noncurrent air traffic liability</t>
  </si>
  <si>
    <t>Noncurrent operating leases</t>
  </si>
  <si>
    <t>Other noncurrent liabilities</t>
  </si>
  <si>
    <t>Stockholders' Equity:</t>
  </si>
  <si>
    <t>Common stock at $0.0001 par value</t>
  </si>
  <si>
    <t>Additional paid-in capital</t>
  </si>
  <si>
    <t>Retained earnings/Accumulated deficit</t>
  </si>
  <si>
    <t>Accumulated other comprehensive loss</t>
  </si>
  <si>
    <t>Treasury stock</t>
  </si>
  <si>
    <t>WORKING CAPITAL</t>
  </si>
  <si>
    <t>Acc Receivable</t>
  </si>
  <si>
    <t>Inventory</t>
  </si>
  <si>
    <t>LYB</t>
  </si>
  <si>
    <t>CFS</t>
  </si>
  <si>
    <t xml:space="preserve">CLOSING BALANCE OF FA </t>
  </si>
  <si>
    <t>DEBT SCH</t>
  </si>
  <si>
    <t>AS % OF SALES</t>
  </si>
  <si>
    <t>Revenue</t>
  </si>
  <si>
    <t>49.87=365/Projected ARTR</t>
  </si>
  <si>
    <t>49.87=365/(Projected Rev/Projected AR)</t>
  </si>
  <si>
    <t>49.87=365*Projected AR/Projected Rev</t>
  </si>
  <si>
    <t>projected AR=49.87*Projected Rev/365</t>
  </si>
  <si>
    <t>Projected AR= Historical Avg DSO* Revenue per day</t>
  </si>
  <si>
    <t>Projected Inv=Historical avg DIO*COGS per day</t>
  </si>
  <si>
    <t>Project Acc Payable=Historical avg DPO*COGS per day</t>
  </si>
  <si>
    <t>LAST YEAR RE + PAT - DIVIDEND PAID</t>
  </si>
  <si>
    <t>Acc Payable</t>
  </si>
  <si>
    <t>dividend as a % of pat</t>
  </si>
  <si>
    <t xml:space="preserve">Dividend paid </t>
  </si>
  <si>
    <t>capex as %of revenue</t>
  </si>
  <si>
    <t>APTR (COGS/ AP)</t>
  </si>
  <si>
    <t>ITR (COGS/ INVENTORY)</t>
  </si>
  <si>
    <t>ARTR (REVENUE/AR)</t>
  </si>
  <si>
    <t>DSO (365/ARTR)</t>
  </si>
  <si>
    <t>DIO (365/ITR)</t>
  </si>
  <si>
    <t>DPO (365/ APTR)</t>
  </si>
  <si>
    <t>UNITED AIRLINES HOLDINGS</t>
  </si>
  <si>
    <t>SOUTHWEST AIRLINES</t>
  </si>
  <si>
    <t>SKYWEST</t>
  </si>
  <si>
    <t>JET BLUE AIRLINES</t>
  </si>
  <si>
    <t>DEBT</t>
  </si>
  <si>
    <t>BBB-</t>
  </si>
  <si>
    <t>Credit rating</t>
  </si>
  <si>
    <t>Rating Based Spread</t>
  </si>
  <si>
    <t>https://pages.stern.nyu.edu/~adamodar/New_Home_Page/datafile/ratings.html</t>
  </si>
  <si>
    <t>Cost of DEBT (Rating method)</t>
  </si>
  <si>
    <t>Regression Beta</t>
  </si>
  <si>
    <t xml:space="preserve">DATE </t>
  </si>
  <si>
    <t xml:space="preserve">PRICE </t>
  </si>
  <si>
    <t>RETURN</t>
  </si>
  <si>
    <t>DELTA AIRLINES</t>
  </si>
  <si>
    <t>01/26/2025</t>
  </si>
  <si>
    <t>01/19/2025</t>
  </si>
  <si>
    <t>12/29/2024</t>
  </si>
  <si>
    <t>12/22/2024</t>
  </si>
  <si>
    <t>12/15/2024</t>
  </si>
  <si>
    <t>11/24/2024</t>
  </si>
  <si>
    <t>11/17/2024</t>
  </si>
  <si>
    <t>10/27/2024</t>
  </si>
  <si>
    <t>10/20/2024</t>
  </si>
  <si>
    <t>10/13/2024</t>
  </si>
  <si>
    <t>09/29/2024</t>
  </si>
  <si>
    <t>09/22/2024</t>
  </si>
  <si>
    <t>09/15/2024</t>
  </si>
  <si>
    <t>08/25/2024</t>
  </si>
  <si>
    <t>08/18/2024</t>
  </si>
  <si>
    <t>07/28/2024</t>
  </si>
  <si>
    <t>07/21/2024</t>
  </si>
  <si>
    <t>07/14/2024</t>
  </si>
  <si>
    <t>06/30/2024</t>
  </si>
  <si>
    <t>06/23/2024</t>
  </si>
  <si>
    <t>06/16/2024</t>
  </si>
  <si>
    <t>05/26/2024</t>
  </si>
  <si>
    <t>05/19/2024</t>
  </si>
  <si>
    <t>04/28/2024</t>
  </si>
  <si>
    <t>04/21/2024</t>
  </si>
  <si>
    <t>04/14/2024</t>
  </si>
  <si>
    <t>03/31/2024</t>
  </si>
  <si>
    <t>03/24/2024</t>
  </si>
  <si>
    <t>03/17/2024</t>
  </si>
  <si>
    <t>02/25/2024</t>
  </si>
  <si>
    <t>02/18/2024</t>
  </si>
  <si>
    <t>01/28/2024</t>
  </si>
  <si>
    <t>01/21/2024</t>
  </si>
  <si>
    <t>01/14/2024</t>
  </si>
  <si>
    <t>12/31/2023</t>
  </si>
  <si>
    <t>12/24/2023</t>
  </si>
  <si>
    <t>12/17/2023</t>
  </si>
  <si>
    <t>11/26/2023</t>
  </si>
  <si>
    <t>11/19/2023</t>
  </si>
  <si>
    <t>10/29/2023</t>
  </si>
  <si>
    <t>10/22/2023</t>
  </si>
  <si>
    <t>10/15/2023</t>
  </si>
  <si>
    <t>09/24/2023</t>
  </si>
  <si>
    <t>09/17/2023</t>
  </si>
  <si>
    <t>08/27/2023</t>
  </si>
  <si>
    <t>08/20/2023</t>
  </si>
  <si>
    <t>08/13/2023</t>
  </si>
  <si>
    <t>07/30/2023</t>
  </si>
  <si>
    <t>07/23/2023</t>
  </si>
  <si>
    <t>07/16/2023</t>
  </si>
  <si>
    <t>06/25/2023</t>
  </si>
  <si>
    <t>06/18/2023</t>
  </si>
  <si>
    <t>05/28/2023</t>
  </si>
  <si>
    <t>05/21/2023</t>
  </si>
  <si>
    <t>05/14/2023</t>
  </si>
  <si>
    <t>04/30/2023</t>
  </si>
  <si>
    <t>04/23/2023</t>
  </si>
  <si>
    <t>04/16/2023</t>
  </si>
  <si>
    <t>03/26/2023</t>
  </si>
  <si>
    <t>03/19/2023</t>
  </si>
  <si>
    <t>02/26/2023</t>
  </si>
  <si>
    <t>02/19/2023</t>
  </si>
  <si>
    <t>01/29/2023</t>
  </si>
  <si>
    <t>01/22/2023</t>
  </si>
  <si>
    <t>01/15/2023</t>
  </si>
  <si>
    <t>12/25/2022</t>
  </si>
  <si>
    <t>12/18/2022</t>
  </si>
  <si>
    <t>11/27/2022</t>
  </si>
  <si>
    <t>11/20/2022</t>
  </si>
  <si>
    <t>11/13/2022</t>
  </si>
  <si>
    <t>10/30/2022</t>
  </si>
  <si>
    <t>10/23/2022</t>
  </si>
  <si>
    <t>10/16/2022</t>
  </si>
  <si>
    <t>09/25/2022</t>
  </si>
  <si>
    <t>09/18/2022</t>
  </si>
  <si>
    <t>08/28/2022</t>
  </si>
  <si>
    <t>08/21/2022</t>
  </si>
  <si>
    <t>08/14/2022</t>
  </si>
  <si>
    <t>07/31/2022</t>
  </si>
  <si>
    <t>07/24/2022</t>
  </si>
  <si>
    <t>07/17/2022</t>
  </si>
  <si>
    <t>06/26/2022</t>
  </si>
  <si>
    <t>06/19/2022</t>
  </si>
  <si>
    <t>05/29/2022</t>
  </si>
  <si>
    <t>05/22/2022</t>
  </si>
  <si>
    <t>05/15/2022</t>
  </si>
  <si>
    <t>04/24/2022</t>
  </si>
  <si>
    <t>04/17/2022</t>
  </si>
  <si>
    <t>03/27/2022</t>
  </si>
  <si>
    <t>03/20/2022</t>
  </si>
  <si>
    <t>03/13/2022</t>
  </si>
  <si>
    <t>02/27/2022</t>
  </si>
  <si>
    <t>02/20/2022</t>
  </si>
  <si>
    <t>02/13/2022</t>
  </si>
  <si>
    <t>01/30/2022</t>
  </si>
  <si>
    <t>01/23/2022</t>
  </si>
  <si>
    <t>01/16/2022</t>
  </si>
  <si>
    <t>12/26/2021</t>
  </si>
  <si>
    <t>12/19/2021</t>
  </si>
  <si>
    <t>11/28/2021</t>
  </si>
  <si>
    <t>11/21/2021</t>
  </si>
  <si>
    <t>11/14/2021</t>
  </si>
  <si>
    <t>10/31/2021</t>
  </si>
  <si>
    <t>10/24/2021</t>
  </si>
  <si>
    <t>10/17/2021</t>
  </si>
  <si>
    <t>09/26/2021</t>
  </si>
  <si>
    <t>09/19/2021</t>
  </si>
  <si>
    <t>08/29/2021</t>
  </si>
  <si>
    <t>08/22/2021</t>
  </si>
  <si>
    <t>08/15/2021</t>
  </si>
  <si>
    <t>07/25/2021</t>
  </si>
  <si>
    <t>07/18/2021</t>
  </si>
  <si>
    <t>06/27/2021</t>
  </si>
  <si>
    <t>06/20/2021</t>
  </si>
  <si>
    <t>06/13/2021</t>
  </si>
  <si>
    <t>05/30/2021</t>
  </si>
  <si>
    <t>05/23/2021</t>
  </si>
  <si>
    <t>05/16/2021</t>
  </si>
  <si>
    <t>04/25/2021</t>
  </si>
  <si>
    <t>04/18/2021</t>
  </si>
  <si>
    <t>03/28/2021</t>
  </si>
  <si>
    <t>03/21/2021</t>
  </si>
  <si>
    <t>03/14/2021</t>
  </si>
  <si>
    <t>02/28/2021</t>
  </si>
  <si>
    <t>02/21/2021</t>
  </si>
  <si>
    <t>02/14/2021</t>
  </si>
  <si>
    <t>S&amp;P 500</t>
  </si>
  <si>
    <t>EQUITY</t>
  </si>
  <si>
    <t>DEBT %</t>
  </si>
  <si>
    <t>EQUITY %</t>
  </si>
  <si>
    <t>Risk Free Rate</t>
  </si>
  <si>
    <t>AS ON 11 FEB 2025</t>
  </si>
  <si>
    <t>COMO'S DELTA AIRLINES</t>
  </si>
  <si>
    <t>COMPANY</t>
  </si>
  <si>
    <t>CAGR</t>
  </si>
  <si>
    <t>RRI</t>
  </si>
  <si>
    <t>RFR</t>
  </si>
  <si>
    <t>ERP</t>
  </si>
  <si>
    <t>ERP(historical)</t>
  </si>
  <si>
    <t>ERP(rating based)</t>
  </si>
  <si>
    <t>Cost of EQUITY</t>
  </si>
  <si>
    <t>(rfr + Beta*ERP)</t>
  </si>
  <si>
    <t>(rfr + rating based spread)</t>
  </si>
  <si>
    <t>TAX</t>
  </si>
  <si>
    <t>Debt %</t>
  </si>
  <si>
    <t>Equity %</t>
  </si>
  <si>
    <t>STEP 1</t>
  </si>
  <si>
    <t>STEP 2</t>
  </si>
  <si>
    <t>DFL  =1+(1-Tax)*debt/equity</t>
  </si>
  <si>
    <t>Unlevered beta   =Reg.Beta/DLF</t>
  </si>
  <si>
    <t>(SAME)</t>
  </si>
  <si>
    <t>TAX RATE</t>
  </si>
  <si>
    <t>STEP 3</t>
  </si>
  <si>
    <t>STEP 4</t>
  </si>
  <si>
    <t xml:space="preserve">   (BOTTOM UP BETA)</t>
  </si>
  <si>
    <t>REGRESSION BETA</t>
  </si>
  <si>
    <t>BOTTOM UP BETA</t>
  </si>
  <si>
    <t>COST OF EQUITY</t>
  </si>
  <si>
    <t>WEIGHT OF EQUITY</t>
  </si>
  <si>
    <t>COST OF DEBT</t>
  </si>
  <si>
    <t>WEIGHT OF DEBT</t>
  </si>
  <si>
    <t>WACC</t>
  </si>
  <si>
    <t>EBIT</t>
  </si>
  <si>
    <t>Tax rate</t>
  </si>
  <si>
    <t>NOPAT</t>
  </si>
  <si>
    <t>(+)D&amp;A</t>
  </si>
  <si>
    <t>(-)Capex</t>
  </si>
  <si>
    <t>FCFF</t>
  </si>
  <si>
    <t>FCFF = EBIT(1-T)+D&amp;A+NCWC-CAPEX</t>
  </si>
  <si>
    <t>DEC' 2025</t>
  </si>
  <si>
    <t>DEC' 2026</t>
  </si>
  <si>
    <t>DEC' 2027</t>
  </si>
  <si>
    <t>DEC' 2028</t>
  </si>
  <si>
    <t>DEC' 2029</t>
  </si>
  <si>
    <t>IS</t>
  </si>
  <si>
    <t>CFO</t>
  </si>
  <si>
    <t>CFI</t>
  </si>
  <si>
    <t>Discount factor]=1/(1+r)^t</t>
  </si>
  <si>
    <t>r=WACC or cost of equity</t>
  </si>
  <si>
    <t>STEP 1:</t>
  </si>
  <si>
    <t>STEP 2:</t>
  </si>
  <si>
    <t xml:space="preserve">Discount Factor </t>
  </si>
  <si>
    <t>PV=Future FCFF*Discount factor</t>
  </si>
  <si>
    <t>STEP 3:</t>
  </si>
  <si>
    <t>Step 4: calculation of Terminal value using Gordon Growth and Exit Multiple</t>
  </si>
  <si>
    <t>STEP 4:</t>
  </si>
  <si>
    <t>Step 3: calculate the PV of future FCFF. The sum of these PVs will be explicit FCFF</t>
  </si>
  <si>
    <t>Step 1: project FCFF for explicit years(1-5)</t>
  </si>
  <si>
    <t>Step 2: calculate discount factor using WACC/Cost of equity</t>
  </si>
  <si>
    <t>Gordon Growth</t>
  </si>
  <si>
    <t>Growth rate of US</t>
  </si>
  <si>
    <t>PV of TV</t>
  </si>
  <si>
    <t>Exit Muitiple</t>
  </si>
  <si>
    <t>Step 5: calculate operating EV</t>
  </si>
  <si>
    <t>Operating EV=sum of explicit FCFF and PV of TV</t>
  </si>
  <si>
    <t>STEP 5:</t>
  </si>
  <si>
    <t>EV/EBIT</t>
  </si>
  <si>
    <t>PV OF TV</t>
  </si>
  <si>
    <t>Step 6: Caculate Non operating assets</t>
  </si>
  <si>
    <t>STEP 6:</t>
  </si>
  <si>
    <t>Non Operating Assets</t>
  </si>
  <si>
    <t>Step 7: TEV= operating EV + net non operating assets</t>
  </si>
  <si>
    <t>STEP 7:</t>
  </si>
  <si>
    <t>STEP 8:</t>
  </si>
  <si>
    <t>TEV</t>
  </si>
  <si>
    <t xml:space="preserve">(-)Debt </t>
  </si>
  <si>
    <t>(-)MI</t>
  </si>
  <si>
    <t>(+)Cash</t>
  </si>
  <si>
    <t>Step 8:  calculation of market value</t>
  </si>
  <si>
    <t>Market Value=TEV-Debt &amp; debt equivalent - MI +Cash</t>
  </si>
  <si>
    <t>Step 9: Calculate DCF value per share</t>
  </si>
  <si>
    <t>DCF value per share = market value/Outstanding share assuming dilution</t>
  </si>
  <si>
    <t>Outstanding shares assumes dilution = Trading Comps</t>
  </si>
  <si>
    <t>but for now take it from income statement</t>
  </si>
  <si>
    <t xml:space="preserve">STEP 9: </t>
  </si>
  <si>
    <t>Calculation of DCF value per share</t>
  </si>
  <si>
    <t>Diluted shares outstanding</t>
  </si>
  <si>
    <t>DCF value</t>
  </si>
  <si>
    <t>Income/(Loss) Before Income Taxes/EBIT</t>
  </si>
  <si>
    <t>EBIT(1-Tax)</t>
  </si>
  <si>
    <t>(+)NCWC</t>
  </si>
  <si>
    <t>Senstivity analysis</t>
  </si>
  <si>
    <t>1.Check how DCF value(both Gordon Growth and xit Multiple) changes based on the inputs</t>
  </si>
  <si>
    <t>2.Gordon Growth inputs are WACC and Growth rate</t>
  </si>
  <si>
    <t>3.Exit Multiple inputs are WACC and exit multiple value</t>
  </si>
  <si>
    <t>4.In both the methods output is DCF value per share</t>
  </si>
  <si>
    <t>Senstivity analysis using Gordon Growth</t>
  </si>
  <si>
    <t>Growth rate</t>
  </si>
  <si>
    <t>Senstivity analysis using Exit Multiple</t>
  </si>
  <si>
    <t>Exit Multiple</t>
  </si>
  <si>
    <t>DIO (DAYS INENTORY OUTSTANDING)</t>
  </si>
  <si>
    <t>DPO (DAYS PAYABLE OUTSTANDING)</t>
  </si>
  <si>
    <t>DSO (DAYS SALES OUTSTANDING)</t>
  </si>
  <si>
    <t>WAAC (REGRESSION)</t>
  </si>
  <si>
    <t>AMERICAN AIRLINES GROUP</t>
  </si>
  <si>
    <t xml:space="preserve">MID YEAR </t>
  </si>
  <si>
    <t>YEAR END</t>
  </si>
  <si>
    <t>Projection Date(YEAR END)</t>
  </si>
  <si>
    <t>Projection Date(MID YEAR)</t>
  </si>
  <si>
    <t>Accrued Salaries</t>
  </si>
  <si>
    <t xml:space="preserve">        EV/Sales for start up with negative EBITDA</t>
  </si>
  <si>
    <t xml:space="preserve">        EV/EBIT for SAAS based co.</t>
  </si>
  <si>
    <t>Gordon Growth:  FCFF of last year(2029)*(1+Growth rate)/(Discount rate-Growth rate)</t>
  </si>
  <si>
    <t>Terminal Value</t>
  </si>
  <si>
    <t>Non operating assets = marketable securities + long term inv. + inv in non controlling associations(joint venture)</t>
  </si>
  <si>
    <t>Operating Enterprise value</t>
  </si>
  <si>
    <t>Total Enterprise Value</t>
  </si>
  <si>
    <t>Calculation of Market Value</t>
  </si>
  <si>
    <t>Market Value of firm</t>
  </si>
  <si>
    <t>.+ assets held for sales liability - liability held for sale</t>
  </si>
  <si>
    <t>Exit multiple:      EV/EBITDA for manufacturing co.</t>
  </si>
  <si>
    <t xml:space="preserve">PV of Future FCFF </t>
  </si>
  <si>
    <r>
      <t xml:space="preserve">Balance Sheet </t>
    </r>
    <r>
      <rPr>
        <b/>
        <sz val="12"/>
        <color theme="0"/>
        <rFont val="Calibri"/>
        <family val="2"/>
      </rPr>
      <t>as of:</t>
    </r>
    <r>
      <rPr>
        <b/>
        <sz val="22"/>
        <color theme="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</si>
</sst>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_(&quot;$ &quot;#,##0_);_(&quot;$ &quot;\(#,##0\)"/>
    <numFmt numFmtId="165" formatCode="_(* #,##0_);_(* \(#,##0\);_(* &quot;-&quot;??_);_(@_)"/>
    <numFmt numFmtId="166" formatCode="0&quot; Months&quot;"/>
    <numFmt numFmtId="167" formatCode="_ * #,##0_ ;_ * \-#,##0_ ;_ * &quot;-&quot;??_ ;_ @_ "/>
    <numFmt numFmtId="168" formatCode="0.0%"/>
    <numFmt numFmtId="169" formatCode="#,##0;\(#,##0\);&quot;-&quot;"/>
    <numFmt numFmtId="170" formatCode="0&quot; days&quot;"/>
    <numFmt numFmtId="171" formatCode="0.0"/>
    <numFmt numFmtId="172" formatCode="0.000%"/>
    <numFmt numFmtId="173" formatCode="0.0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</font>
    <font>
      <sz val="11"/>
      <color rgb="FF7030A0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</font>
    <font>
      <i/>
      <sz val="10"/>
      <color rgb="FF7030A0"/>
      <name val="Calibri"/>
      <family val="2"/>
    </font>
    <font>
      <b/>
      <sz val="10"/>
      <color rgb="FF7030A0"/>
      <name val="Calibri"/>
      <family val="2"/>
    </font>
    <font>
      <i/>
      <sz val="11"/>
      <color rgb="FF7030A0"/>
      <name val="Calibri"/>
      <family val="2"/>
      <scheme val="minor"/>
    </font>
    <font>
      <i/>
      <sz val="11"/>
      <color rgb="FF7030A0"/>
      <name val="Calibri"/>
      <family val="2"/>
    </font>
    <font>
      <b/>
      <i/>
      <sz val="11"/>
      <color rgb="FF7030A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  <font>
      <i/>
      <sz val="11"/>
      <color rgb="FF993366"/>
      <name val="Calibri"/>
      <family val="2"/>
    </font>
    <font>
      <b/>
      <i/>
      <sz val="11"/>
      <color theme="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i/>
      <u/>
      <sz val="11"/>
      <color theme="1"/>
      <name val="Calibri"/>
      <family val="2"/>
    </font>
    <font>
      <b/>
      <i/>
      <sz val="11"/>
      <color rgb="FFFF0000"/>
      <name val="Calibri"/>
      <family val="2"/>
    </font>
    <font>
      <i/>
      <sz val="11"/>
      <color rgb="FFFF000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232526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0"/>
      <name val="Calibri"/>
      <family val="2"/>
    </font>
    <font>
      <b/>
      <sz val="12"/>
      <color theme="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3864"/>
        <bgColor rgb="FF1F38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1F38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1F3864"/>
      </patternFill>
    </fill>
    <fill>
      <patternFill patternType="solid">
        <fgColor theme="5" tint="-0.249977111117893"/>
        <bgColor theme="1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7" fillId="0" borderId="15" applyNumberFormat="0" applyFill="0" applyAlignment="0" applyProtection="0"/>
  </cellStyleXfs>
  <cellXfs count="562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37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164" fontId="4" fillId="0" borderId="0" xfId="0" applyNumberFormat="1" applyFont="1" applyAlignment="1">
      <alignment horizontal="right" vertical="top"/>
    </xf>
    <xf numFmtId="0" fontId="3" fillId="0" borderId="0" xfId="0" applyFont="1"/>
    <xf numFmtId="0" fontId="6" fillId="3" borderId="0" xfId="0" applyFont="1" applyFill="1"/>
    <xf numFmtId="9" fontId="0" fillId="0" borderId="0" xfId="2" applyFont="1"/>
    <xf numFmtId="0" fontId="7" fillId="2" borderId="0" xfId="0" applyFont="1" applyFill="1" applyAlignment="1">
      <alignment vertical="top"/>
    </xf>
    <xf numFmtId="0" fontId="2" fillId="3" borderId="0" xfId="0" applyFont="1" applyFill="1"/>
    <xf numFmtId="0" fontId="8" fillId="3" borderId="0" xfId="0" applyFont="1" applyFill="1" applyAlignment="1">
      <alignment horizontal="center" vertical="center"/>
    </xf>
    <xf numFmtId="43" fontId="0" fillId="0" borderId="0" xfId="1" applyFont="1"/>
    <xf numFmtId="167" fontId="0" fillId="0" borderId="0" xfId="1" applyNumberFormat="1" applyFont="1"/>
    <xf numFmtId="0" fontId="9" fillId="0" borderId="0" xfId="0" applyFont="1"/>
    <xf numFmtId="9" fontId="9" fillId="0" borderId="0" xfId="2" applyFont="1"/>
    <xf numFmtId="0" fontId="10" fillId="0" borderId="0" xfId="0" applyFont="1" applyAlignment="1">
      <alignment vertical="top"/>
    </xf>
    <xf numFmtId="0" fontId="7" fillId="2" borderId="0" xfId="0" applyFont="1" applyFill="1" applyAlignment="1">
      <alignment vertical="top" wrapText="1"/>
    </xf>
    <xf numFmtId="37" fontId="5" fillId="0" borderId="0" xfId="0" applyNumberFormat="1" applyFont="1" applyAlignment="1">
      <alignment horizontal="right" vertical="top"/>
    </xf>
    <xf numFmtId="37" fontId="5" fillId="0" borderId="2" xfId="0" applyNumberFormat="1" applyFont="1" applyBorder="1" applyAlignment="1">
      <alignment horizontal="right" vertical="top"/>
    </xf>
    <xf numFmtId="0" fontId="11" fillId="0" borderId="0" xfId="0" applyFont="1"/>
    <xf numFmtId="167" fontId="0" fillId="0" borderId="0" xfId="1" applyNumberFormat="1" applyFont="1" applyFill="1"/>
    <xf numFmtId="168" fontId="0" fillId="0" borderId="0" xfId="2" applyNumberFormat="1" applyFont="1"/>
    <xf numFmtId="168" fontId="0" fillId="0" borderId="0" xfId="2" applyNumberFormat="1" applyFont="1" applyFill="1"/>
    <xf numFmtId="164" fontId="5" fillId="0" borderId="3" xfId="0" applyNumberFormat="1" applyFont="1" applyBorder="1" applyAlignment="1">
      <alignment horizontal="right" vertical="top"/>
    </xf>
    <xf numFmtId="37" fontId="5" fillId="0" borderId="3" xfId="0" applyNumberFormat="1" applyFont="1" applyBorder="1" applyAlignment="1">
      <alignment horizontal="right" vertical="top"/>
    </xf>
    <xf numFmtId="0" fontId="12" fillId="0" borderId="0" xfId="0" applyFont="1"/>
    <xf numFmtId="0" fontId="14" fillId="0" borderId="0" xfId="0" applyFont="1"/>
    <xf numFmtId="0" fontId="16" fillId="0" borderId="0" xfId="0" applyFont="1"/>
    <xf numFmtId="37" fontId="0" fillId="0" borderId="0" xfId="0" applyNumberFormat="1"/>
    <xf numFmtId="0" fontId="18" fillId="0" borderId="0" xfId="0" applyFont="1" applyAlignment="1">
      <alignment vertical="top" wrapText="1"/>
    </xf>
    <xf numFmtId="167" fontId="0" fillId="0" borderId="2" xfId="1" applyNumberFormat="1" applyFont="1" applyFill="1" applyBorder="1"/>
    <xf numFmtId="168" fontId="0" fillId="6" borderId="1" xfId="2" applyNumberFormat="1" applyFont="1" applyFill="1" applyBorder="1"/>
    <xf numFmtId="167" fontId="3" fillId="0" borderId="0" xfId="1" applyNumberFormat="1" applyFont="1"/>
    <xf numFmtId="43" fontId="3" fillId="0" borderId="0" xfId="1" applyFont="1"/>
    <xf numFmtId="0" fontId="15" fillId="0" borderId="0" xfId="0" applyFont="1"/>
    <xf numFmtId="167" fontId="3" fillId="0" borderId="2" xfId="1" applyNumberFormat="1" applyFont="1" applyBorder="1"/>
    <xf numFmtId="0" fontId="0" fillId="7" borderId="0" xfId="0" applyFill="1"/>
    <xf numFmtId="37" fontId="4" fillId="7" borderId="0" xfId="0" applyNumberFormat="1" applyFont="1" applyFill="1" applyAlignment="1">
      <alignment horizontal="right" vertical="top"/>
    </xf>
    <xf numFmtId="37" fontId="0" fillId="7" borderId="0" xfId="0" applyNumberFormat="1" applyFill="1"/>
    <xf numFmtId="167" fontId="3" fillId="0" borderId="3" xfId="0" applyNumberFormat="1" applyFont="1" applyBorder="1"/>
    <xf numFmtId="0" fontId="23" fillId="0" borderId="0" xfId="0" applyFont="1" applyAlignment="1">
      <alignment vertical="center"/>
    </xf>
    <xf numFmtId="43" fontId="0" fillId="0" borderId="0" xfId="1" applyFont="1" applyFill="1" applyBorder="1"/>
    <xf numFmtId="167" fontId="0" fillId="0" borderId="0" xfId="1" applyNumberFormat="1" applyFont="1" applyFill="1" applyBorder="1"/>
    <xf numFmtId="168" fontId="0" fillId="0" borderId="0" xfId="2" applyNumberFormat="1" applyFont="1" applyFill="1" applyBorder="1"/>
    <xf numFmtId="0" fontId="8" fillId="2" borderId="0" xfId="0" applyFont="1" applyFill="1" applyAlignment="1">
      <alignment vertical="top"/>
    </xf>
    <xf numFmtId="0" fontId="24" fillId="0" borderId="0" xfId="0" applyFont="1"/>
    <xf numFmtId="0" fontId="25" fillId="0" borderId="0" xfId="0" applyFont="1" applyAlignment="1">
      <alignment vertical="top"/>
    </xf>
    <xf numFmtId="166" fontId="8" fillId="2" borderId="0" xfId="0" applyNumberFormat="1" applyFont="1" applyFill="1" applyAlignment="1">
      <alignment horizontal="center" vertical="top"/>
    </xf>
    <xf numFmtId="166" fontId="8" fillId="0" borderId="0" xfId="0" applyNumberFormat="1" applyFont="1" applyAlignment="1">
      <alignment horizontal="center" vertical="top"/>
    </xf>
    <xf numFmtId="0" fontId="8" fillId="2" borderId="0" xfId="0" applyFont="1" applyFill="1" applyAlignment="1">
      <alignment vertical="top" wrapText="1"/>
    </xf>
    <xf numFmtId="15" fontId="8" fillId="2" borderId="0" xfId="0" applyNumberFormat="1" applyFont="1" applyFill="1" applyAlignment="1">
      <alignment horizontal="center" vertical="top" wrapText="1"/>
    </xf>
    <xf numFmtId="15" fontId="8" fillId="0" borderId="0" xfId="0" applyNumberFormat="1" applyFont="1" applyAlignment="1">
      <alignment horizontal="center" vertical="top" wrapText="1"/>
    </xf>
    <xf numFmtId="15" fontId="8" fillId="5" borderId="0" xfId="0" applyNumberFormat="1" applyFont="1" applyFill="1" applyAlignment="1">
      <alignment horizontal="center" vertical="top" wrapText="1"/>
    </xf>
    <xf numFmtId="0" fontId="26" fillId="0" borderId="0" xfId="0" applyFont="1"/>
    <xf numFmtId="0" fontId="27" fillId="0" borderId="0" xfId="0" applyFont="1" applyAlignment="1">
      <alignment horizontal="left" vertical="top"/>
    </xf>
    <xf numFmtId="167" fontId="0" fillId="0" borderId="0" xfId="0" applyNumberFormat="1"/>
    <xf numFmtId="15" fontId="0" fillId="0" borderId="0" xfId="0" applyNumberFormat="1"/>
    <xf numFmtId="0" fontId="29" fillId="2" borderId="0" xfId="0" applyFont="1" applyFill="1" applyAlignment="1">
      <alignment horizontal="left" vertical="top"/>
    </xf>
    <xf numFmtId="0" fontId="0" fillId="4" borderId="0" xfId="0" applyFill="1"/>
    <xf numFmtId="165" fontId="27" fillId="0" borderId="0" xfId="0" applyNumberFormat="1" applyFont="1" applyAlignment="1">
      <alignment horizontal="left" vertical="top"/>
    </xf>
    <xf numFmtId="165" fontId="30" fillId="0" borderId="0" xfId="0" applyNumberFormat="1" applyFont="1" applyAlignment="1">
      <alignment horizontal="left" vertical="top" wrapText="1"/>
    </xf>
    <xf numFmtId="165" fontId="31" fillId="0" borderId="0" xfId="0" applyNumberFormat="1" applyFont="1" applyAlignment="1">
      <alignment horizontal="left" vertical="top" wrapText="1"/>
    </xf>
    <xf numFmtId="169" fontId="28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/>
    </xf>
    <xf numFmtId="0" fontId="35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6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39" fillId="0" borderId="0" xfId="0" applyFont="1" applyAlignment="1">
      <alignment horizontal="left" vertical="top"/>
    </xf>
    <xf numFmtId="0" fontId="35" fillId="0" borderId="0" xfId="0" applyFont="1"/>
    <xf numFmtId="0" fontId="2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165" fontId="24" fillId="0" borderId="0" xfId="0" applyNumberFormat="1" applyFont="1"/>
    <xf numFmtId="0" fontId="11" fillId="0" borderId="0" xfId="0" applyFont="1" applyAlignment="1">
      <alignment horizontal="center"/>
    </xf>
    <xf numFmtId="10" fontId="0" fillId="0" borderId="0" xfId="2" applyNumberFormat="1" applyFont="1" applyFill="1" applyBorder="1"/>
    <xf numFmtId="10" fontId="0" fillId="0" borderId="0" xfId="0" applyNumberFormat="1"/>
    <xf numFmtId="0" fontId="20" fillId="0" borderId="0" xfId="0" applyFont="1"/>
    <xf numFmtId="0" fontId="8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40" fillId="0" borderId="0" xfId="0" applyFont="1"/>
    <xf numFmtId="43" fontId="40" fillId="0" borderId="0" xfId="1" applyFont="1"/>
    <xf numFmtId="10" fontId="41" fillId="0" borderId="0" xfId="2" applyNumberFormat="1" applyFont="1"/>
    <xf numFmtId="165" fontId="24" fillId="7" borderId="0" xfId="0" applyNumberFormat="1" applyFont="1" applyFill="1"/>
    <xf numFmtId="170" fontId="25" fillId="0" borderId="0" xfId="0" applyNumberFormat="1" applyFont="1" applyAlignment="1">
      <alignment vertical="top"/>
    </xf>
    <xf numFmtId="168" fontId="0" fillId="0" borderId="0" xfId="0" applyNumberFormat="1"/>
    <xf numFmtId="169" fontId="28" fillId="0" borderId="4" xfId="0" applyNumberFormat="1" applyFont="1" applyBorder="1" applyAlignment="1">
      <alignment horizontal="center" vertical="top" wrapText="1"/>
    </xf>
    <xf numFmtId="10" fontId="9" fillId="0" borderId="0" xfId="2" applyNumberFormat="1" applyFont="1"/>
    <xf numFmtId="165" fontId="13" fillId="0" borderId="0" xfId="0" applyNumberFormat="1" applyFont="1" applyAlignment="1">
      <alignment horizontal="right" vertical="top" wrapText="1"/>
    </xf>
    <xf numFmtId="43" fontId="0" fillId="0" borderId="0" xfId="1" applyFont="1" applyBorder="1"/>
    <xf numFmtId="37" fontId="1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 wrapText="1"/>
    </xf>
    <xf numFmtId="165" fontId="0" fillId="0" borderId="0" xfId="0" applyNumberFormat="1"/>
    <xf numFmtId="43" fontId="4" fillId="0" borderId="0" xfId="1" applyFont="1" applyFill="1" applyBorder="1" applyAlignment="1">
      <alignment horizontal="right" vertical="top"/>
    </xf>
    <xf numFmtId="37" fontId="18" fillId="0" borderId="0" xfId="0" applyNumberFormat="1" applyFont="1" applyAlignment="1">
      <alignment horizontal="right" vertical="top"/>
    </xf>
    <xf numFmtId="43" fontId="9" fillId="0" borderId="0" xfId="1" applyFont="1" applyFill="1" applyBorder="1"/>
    <xf numFmtId="9" fontId="0" fillId="0" borderId="0" xfId="2" applyFont="1" applyFill="1" applyBorder="1"/>
    <xf numFmtId="9" fontId="0" fillId="0" borderId="0" xfId="0" applyNumberFormat="1"/>
    <xf numFmtId="2" fontId="0" fillId="0" borderId="0" xfId="0" applyNumberFormat="1"/>
    <xf numFmtId="2" fontId="5" fillId="0" borderId="0" xfId="0" applyNumberFormat="1" applyFont="1" applyAlignment="1">
      <alignment horizontal="right" vertical="top"/>
    </xf>
    <xf numFmtId="2" fontId="13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 vertical="top"/>
    </xf>
    <xf numFmtId="2" fontId="0" fillId="0" borderId="0" xfId="1" applyNumberFormat="1" applyFont="1" applyFill="1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3" fillId="0" borderId="3" xfId="0" applyNumberFormat="1" applyFont="1" applyBorder="1"/>
    <xf numFmtId="3" fontId="3" fillId="0" borderId="9" xfId="0" applyNumberFormat="1" applyFont="1" applyBorder="1"/>
    <xf numFmtId="0" fontId="3" fillId="0" borderId="9" xfId="0" applyFont="1" applyBorder="1"/>
    <xf numFmtId="0" fontId="3" fillId="0" borderId="10" xfId="0" applyFont="1" applyBorder="1"/>
    <xf numFmtId="3" fontId="3" fillId="0" borderId="10" xfId="0" applyNumberFormat="1" applyFont="1" applyBorder="1"/>
    <xf numFmtId="0" fontId="3" fillId="0" borderId="3" xfId="0" applyFont="1" applyBorder="1"/>
    <xf numFmtId="9" fontId="0" fillId="0" borderId="0" xfId="2" applyFont="1" applyFill="1" applyBorder="1" applyAlignment="1">
      <alignment horizontal="right"/>
    </xf>
    <xf numFmtId="0" fontId="21" fillId="0" borderId="0" xfId="0" applyFont="1" applyAlignment="1">
      <alignment horizontal="center" wrapText="1"/>
    </xf>
    <xf numFmtId="3" fontId="3" fillId="0" borderId="3" xfId="0" applyNumberFormat="1" applyFont="1" applyBorder="1" applyAlignment="1">
      <alignment horizontal="right"/>
    </xf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37" fontId="4" fillId="0" borderId="12" xfId="0" applyNumberFormat="1" applyFont="1" applyBorder="1" applyAlignment="1">
      <alignment horizontal="right" vertical="top"/>
    </xf>
    <xf numFmtId="37" fontId="5" fillId="7" borderId="0" xfId="0" applyNumberFormat="1" applyFont="1" applyFill="1" applyAlignment="1">
      <alignment horizontal="right" vertical="top"/>
    </xf>
    <xf numFmtId="0" fontId="8" fillId="0" borderId="0" xfId="0" applyFont="1" applyAlignment="1">
      <alignment vertical="top" wrapText="1"/>
    </xf>
    <xf numFmtId="1" fontId="0" fillId="0" borderId="0" xfId="0" applyNumberFormat="1"/>
    <xf numFmtId="0" fontId="23" fillId="0" borderId="0" xfId="0" applyFont="1"/>
    <xf numFmtId="169" fontId="28" fillId="0" borderId="0" xfId="0" applyNumberFormat="1" applyFont="1" applyAlignment="1">
      <alignment horizontal="center" vertical="top" wrapText="1"/>
    </xf>
    <xf numFmtId="2" fontId="0" fillId="0" borderId="0" xfId="2" applyNumberFormat="1" applyFont="1"/>
    <xf numFmtId="0" fontId="1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" fontId="0" fillId="0" borderId="0" xfId="2" applyNumberFormat="1" applyFont="1" applyFill="1" applyBorder="1"/>
    <xf numFmtId="171" fontId="0" fillId="0" borderId="0" xfId="0" applyNumberFormat="1"/>
    <xf numFmtId="9" fontId="0" fillId="9" borderId="0" xfId="0" applyNumberFormat="1" applyFill="1"/>
    <xf numFmtId="2" fontId="0" fillId="9" borderId="0" xfId="0" applyNumberFormat="1" applyFill="1"/>
    <xf numFmtId="2" fontId="0" fillId="9" borderId="0" xfId="2" applyNumberFormat="1" applyFont="1" applyFill="1"/>
    <xf numFmtId="0" fontId="11" fillId="0" borderId="0" xfId="0" applyFont="1" applyAlignment="1">
      <alignment horizontal="center" wrapText="1"/>
    </xf>
    <xf numFmtId="0" fontId="17" fillId="0" borderId="0" xfId="0" applyFont="1"/>
    <xf numFmtId="166" fontId="7" fillId="0" borderId="0" xfId="0" applyNumberFormat="1" applyFont="1" applyAlignment="1">
      <alignment horizontal="center" vertical="top"/>
    </xf>
    <xf numFmtId="2" fontId="12" fillId="0" borderId="0" xfId="0" applyNumberFormat="1" applyFont="1"/>
    <xf numFmtId="1" fontId="12" fillId="0" borderId="0" xfId="0" applyNumberFormat="1" applyFont="1"/>
    <xf numFmtId="2" fontId="3" fillId="0" borderId="0" xfId="0" applyNumberFormat="1" applyFont="1"/>
    <xf numFmtId="9" fontId="1" fillId="0" borderId="0" xfId="2" applyFont="1"/>
    <xf numFmtId="37" fontId="0" fillId="4" borderId="0" xfId="0" applyNumberFormat="1" applyFill="1"/>
    <xf numFmtId="0" fontId="0" fillId="0" borderId="13" xfId="0" applyBorder="1"/>
    <xf numFmtId="0" fontId="24" fillId="0" borderId="13" xfId="0" applyFont="1" applyBorder="1"/>
    <xf numFmtId="167" fontId="0" fillId="0" borderId="3" xfId="1" applyNumberFormat="1" applyFont="1" applyFill="1" applyBorder="1"/>
    <xf numFmtId="0" fontId="0" fillId="0" borderId="14" xfId="0" applyBorder="1"/>
    <xf numFmtId="2" fontId="0" fillId="4" borderId="0" xfId="0" applyNumberFormat="1" applyFill="1"/>
    <xf numFmtId="1" fontId="0" fillId="4" borderId="0" xfId="2" applyNumberFormat="1" applyFont="1" applyFill="1" applyBorder="1"/>
    <xf numFmtId="171" fontId="0" fillId="4" borderId="0" xfId="0" applyNumberFormat="1" applyFill="1"/>
    <xf numFmtId="2" fontId="0" fillId="4" borderId="0" xfId="2" applyNumberFormat="1" applyFont="1" applyFill="1"/>
    <xf numFmtId="9" fontId="0" fillId="4" borderId="0" xfId="2" applyFont="1" applyFill="1"/>
    <xf numFmtId="0" fontId="25" fillId="4" borderId="0" xfId="0" applyFont="1" applyFill="1" applyAlignment="1">
      <alignment vertical="top"/>
    </xf>
    <xf numFmtId="1" fontId="0" fillId="4" borderId="0" xfId="2" applyNumberFormat="1" applyFont="1" applyFill="1"/>
    <xf numFmtId="3" fontId="25" fillId="4" borderId="0" xfId="0" applyNumberFormat="1" applyFont="1" applyFill="1" applyAlignment="1">
      <alignment vertical="top"/>
    </xf>
    <xf numFmtId="1" fontId="0" fillId="4" borderId="0" xfId="0" applyNumberFormat="1" applyFill="1"/>
    <xf numFmtId="172" fontId="0" fillId="0" borderId="0" xfId="0" applyNumberFormat="1"/>
    <xf numFmtId="0" fontId="0" fillId="0" borderId="0" xfId="0" applyAlignment="1">
      <alignment horizontal="left"/>
    </xf>
    <xf numFmtId="0" fontId="2" fillId="11" borderId="0" xfId="0" applyFont="1" applyFill="1"/>
    <xf numFmtId="0" fontId="2" fillId="11" borderId="0" xfId="0" applyFont="1" applyFill="1" applyAlignment="1">
      <alignment horizontal="left"/>
    </xf>
    <xf numFmtId="0" fontId="0" fillId="8" borderId="0" xfId="0" applyFill="1"/>
    <xf numFmtId="169" fontId="19" fillId="0" borderId="0" xfId="0" applyNumberFormat="1" applyFont="1" applyAlignment="1">
      <alignment horizontal="center" vertical="top" wrapText="1"/>
    </xf>
    <xf numFmtId="10" fontId="0" fillId="0" borderId="0" xfId="2" applyNumberFormat="1" applyFont="1"/>
    <xf numFmtId="172" fontId="2" fillId="11" borderId="0" xfId="0" applyNumberFormat="1" applyFont="1" applyFill="1"/>
    <xf numFmtId="9" fontId="2" fillId="11" borderId="0" xfId="0" applyNumberFormat="1" applyFont="1" applyFill="1"/>
    <xf numFmtId="10" fontId="46" fillId="11" borderId="0" xfId="2" applyNumberFormat="1" applyFont="1" applyFill="1"/>
    <xf numFmtId="10" fontId="2" fillId="11" borderId="0" xfId="2" applyNumberFormat="1" applyFont="1" applyFill="1"/>
    <xf numFmtId="10" fontId="3" fillId="0" borderId="0" xfId="2" applyNumberFormat="1" applyFont="1"/>
    <xf numFmtId="0" fontId="46" fillId="16" borderId="0" xfId="0" applyFont="1" applyFill="1"/>
    <xf numFmtId="0" fontId="24" fillId="0" borderId="16" xfId="0" applyFont="1" applyBorder="1"/>
    <xf numFmtId="0" fontId="8" fillId="17" borderId="0" xfId="0" applyFont="1" applyFill="1" applyAlignment="1">
      <alignment horizontal="center" vertical="center"/>
    </xf>
    <xf numFmtId="2" fontId="0" fillId="18" borderId="0" xfId="0" applyNumberFormat="1" applyFill="1"/>
    <xf numFmtId="1" fontId="4" fillId="18" borderId="0" xfId="0" applyNumberFormat="1" applyFont="1" applyFill="1" applyAlignment="1">
      <alignment horizontal="right" vertical="top"/>
    </xf>
    <xf numFmtId="1" fontId="5" fillId="18" borderId="3" xfId="0" applyNumberFormat="1" applyFont="1" applyFill="1" applyBorder="1" applyAlignment="1">
      <alignment horizontal="right" vertical="top"/>
    </xf>
    <xf numFmtId="2" fontId="5" fillId="18" borderId="0" xfId="0" applyNumberFormat="1" applyFont="1" applyFill="1" applyAlignment="1">
      <alignment horizontal="right" vertical="top"/>
    </xf>
    <xf numFmtId="1" fontId="5" fillId="18" borderId="10" xfId="0" applyNumberFormat="1" applyFont="1" applyFill="1" applyBorder="1" applyAlignment="1">
      <alignment horizontal="right" vertical="top"/>
    </xf>
    <xf numFmtId="166" fontId="8" fillId="19" borderId="0" xfId="0" applyNumberFormat="1" applyFont="1" applyFill="1" applyAlignment="1">
      <alignment horizontal="center" vertical="top"/>
    </xf>
    <xf numFmtId="15" fontId="8" fillId="19" borderId="0" xfId="0" applyNumberFormat="1" applyFont="1" applyFill="1" applyAlignment="1">
      <alignment horizontal="center" vertical="top" wrapText="1"/>
    </xf>
    <xf numFmtId="2" fontId="48" fillId="0" borderId="0" xfId="0" applyNumberFormat="1" applyFont="1" applyAlignment="1">
      <alignment vertical="center"/>
    </xf>
    <xf numFmtId="2" fontId="48" fillId="0" borderId="12" xfId="0" applyNumberFormat="1" applyFont="1" applyBorder="1" applyAlignment="1">
      <alignment vertical="center"/>
    </xf>
    <xf numFmtId="2" fontId="4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/>
    </xf>
    <xf numFmtId="1" fontId="5" fillId="0" borderId="10" xfId="0" applyNumberFormat="1" applyFont="1" applyBorder="1" applyAlignment="1">
      <alignment horizontal="right" vertical="top" wrapText="1"/>
    </xf>
    <xf numFmtId="1" fontId="5" fillId="0" borderId="11" xfId="0" applyNumberFormat="1" applyFont="1" applyBorder="1" applyAlignment="1">
      <alignment horizontal="right" vertical="top" wrapText="1"/>
    </xf>
    <xf numFmtId="3" fontId="5" fillId="18" borderId="0" xfId="0" applyNumberFormat="1" applyFont="1" applyFill="1" applyAlignment="1">
      <alignment horizontal="right" vertical="top" wrapText="1"/>
    </xf>
    <xf numFmtId="2" fontId="4" fillId="18" borderId="0" xfId="0" applyNumberFormat="1" applyFont="1" applyFill="1" applyAlignment="1">
      <alignment horizontal="right" vertical="top" wrapText="1"/>
    </xf>
    <xf numFmtId="1" fontId="48" fillId="18" borderId="0" xfId="0" applyNumberFormat="1" applyFont="1" applyFill="1"/>
    <xf numFmtId="1" fontId="49" fillId="18" borderId="3" xfId="0" applyNumberFormat="1" applyFont="1" applyFill="1" applyBorder="1"/>
    <xf numFmtId="2" fontId="48" fillId="18" borderId="0" xfId="0" applyNumberFormat="1" applyFont="1" applyFill="1"/>
    <xf numFmtId="1" fontId="49" fillId="18" borderId="0" xfId="0" applyNumberFormat="1" applyFont="1" applyFill="1"/>
    <xf numFmtId="2" fontId="48" fillId="0" borderId="0" xfId="0" applyNumberFormat="1" applyFont="1"/>
    <xf numFmtId="0" fontId="48" fillId="0" borderId="0" xfId="0" applyFont="1"/>
    <xf numFmtId="0" fontId="49" fillId="0" borderId="3" xfId="0" applyFont="1" applyBorder="1"/>
    <xf numFmtId="3" fontId="49" fillId="0" borderId="9" xfId="0" applyNumberFormat="1" applyFont="1" applyBorder="1"/>
    <xf numFmtId="2" fontId="48" fillId="0" borderId="0" xfId="1" applyNumberFormat="1" applyFont="1" applyFill="1" applyBorder="1"/>
    <xf numFmtId="1" fontId="49" fillId="0" borderId="9" xfId="0" applyNumberFormat="1" applyFont="1" applyBorder="1"/>
    <xf numFmtId="167" fontId="3" fillId="0" borderId="2" xfId="1" applyNumberFormat="1" applyFont="1" applyFill="1" applyBorder="1"/>
    <xf numFmtId="167" fontId="0" fillId="0" borderId="12" xfId="1" applyNumberFormat="1" applyFont="1" applyFill="1" applyBorder="1"/>
    <xf numFmtId="37" fontId="3" fillId="0" borderId="2" xfId="0" applyNumberFormat="1" applyFont="1" applyBorder="1"/>
    <xf numFmtId="167" fontId="0" fillId="18" borderId="0" xfId="1" applyNumberFormat="1" applyFont="1" applyFill="1"/>
    <xf numFmtId="37" fontId="0" fillId="9" borderId="0" xfId="0" applyNumberFormat="1" applyFill="1"/>
    <xf numFmtId="1" fontId="0" fillId="9" borderId="0" xfId="0" applyNumberFormat="1" applyFill="1"/>
    <xf numFmtId="164" fontId="4" fillId="9" borderId="0" xfId="0" applyNumberFormat="1" applyFont="1" applyFill="1" applyAlignment="1">
      <alignment horizontal="right" vertical="top"/>
    </xf>
    <xf numFmtId="0" fontId="3" fillId="0" borderId="0" xfId="0" applyFont="1" applyAlignment="1">
      <alignment horizontal="right"/>
    </xf>
    <xf numFmtId="1" fontId="5" fillId="0" borderId="0" xfId="0" applyNumberFormat="1" applyFont="1" applyAlignment="1">
      <alignment horizontal="right" vertical="top" wrapText="1"/>
    </xf>
    <xf numFmtId="0" fontId="2" fillId="17" borderId="0" xfId="0" applyFont="1" applyFill="1" applyAlignment="1">
      <alignment horizontal="right"/>
    </xf>
    <xf numFmtId="0" fontId="2" fillId="17" borderId="0" xfId="0" applyFont="1" applyFill="1"/>
    <xf numFmtId="1" fontId="2" fillId="17" borderId="0" xfId="1" applyNumberFormat="1" applyFont="1" applyFill="1" applyBorder="1"/>
    <xf numFmtId="0" fontId="2" fillId="17" borderId="15" xfId="4" applyFont="1" applyFill="1"/>
    <xf numFmtId="14" fontId="2" fillId="17" borderId="15" xfId="4" applyNumberFormat="1" applyFont="1" applyFill="1"/>
    <xf numFmtId="10" fontId="0" fillId="6" borderId="1" xfId="2" applyNumberFormat="1" applyFont="1" applyFill="1" applyBorder="1"/>
    <xf numFmtId="0" fontId="35" fillId="4" borderId="0" xfId="0" applyFont="1" applyFill="1"/>
    <xf numFmtId="167" fontId="3" fillId="20" borderId="2" xfId="1" applyNumberFormat="1" applyFont="1" applyFill="1" applyBorder="1"/>
    <xf numFmtId="165" fontId="35" fillId="20" borderId="2" xfId="0" applyNumberFormat="1" applyFont="1" applyFill="1" applyBorder="1"/>
    <xf numFmtId="167" fontId="3" fillId="21" borderId="3" xfId="1" applyNumberFormat="1" applyFont="1" applyFill="1" applyBorder="1"/>
    <xf numFmtId="0" fontId="35" fillId="20" borderId="0" xfId="0" applyFont="1" applyFill="1"/>
    <xf numFmtId="0" fontId="35" fillId="21" borderId="3" xfId="0" applyFont="1" applyFill="1" applyBorder="1"/>
    <xf numFmtId="10" fontId="0" fillId="0" borderId="0" xfId="2" applyNumberFormat="1" applyFont="1" applyFill="1"/>
    <xf numFmtId="0" fontId="2" fillId="0" borderId="0" xfId="0" applyFont="1"/>
    <xf numFmtId="10" fontId="2" fillId="0" borderId="0" xfId="0" applyNumberFormat="1" applyFont="1"/>
    <xf numFmtId="173" fontId="0" fillId="0" borderId="0" xfId="0" applyNumberFormat="1"/>
    <xf numFmtId="168" fontId="3" fillId="0" borderId="0" xfId="0" applyNumberFormat="1" applyFont="1"/>
    <xf numFmtId="0" fontId="33" fillId="0" borderId="0" xfId="0" applyFont="1"/>
    <xf numFmtId="0" fontId="28" fillId="0" borderId="0" xfId="0" applyFont="1" applyAlignment="1">
      <alignment vertical="top" wrapText="1"/>
    </xf>
    <xf numFmtId="169" fontId="28" fillId="0" borderId="0" xfId="0" applyNumberFormat="1" applyFont="1" applyAlignment="1">
      <alignment vertical="top"/>
    </xf>
    <xf numFmtId="0" fontId="46" fillId="17" borderId="14" xfId="0" applyFont="1" applyFill="1" applyBorder="1"/>
    <xf numFmtId="167" fontId="46" fillId="17" borderId="10" xfId="0" applyNumberFormat="1" applyFont="1" applyFill="1" applyBorder="1"/>
    <xf numFmtId="0" fontId="0" fillId="18" borderId="0" xfId="0" applyFill="1"/>
    <xf numFmtId="167" fontId="3" fillId="7" borderId="0" xfId="1" applyNumberFormat="1" applyFont="1" applyFill="1" applyBorder="1"/>
    <xf numFmtId="167" fontId="0" fillId="7" borderId="0" xfId="1" applyNumberFormat="1" applyFont="1" applyFill="1" applyBorder="1"/>
    <xf numFmtId="37" fontId="3" fillId="7" borderId="0" xfId="0" applyNumberFormat="1" applyFont="1" applyFill="1"/>
    <xf numFmtId="164" fontId="5" fillId="0" borderId="0" xfId="0" applyNumberFormat="1" applyFont="1" applyAlignment="1">
      <alignment horizontal="right" vertical="top"/>
    </xf>
    <xf numFmtId="0" fontId="4" fillId="0" borderId="12" xfId="0" applyFont="1" applyBorder="1" applyAlignment="1">
      <alignment vertical="top"/>
    </xf>
    <xf numFmtId="0" fontId="0" fillId="0" borderId="12" xfId="0" applyBorder="1"/>
    <xf numFmtId="0" fontId="5" fillId="0" borderId="3" xfId="0" applyFont="1" applyBorder="1" applyAlignment="1">
      <alignment vertical="top"/>
    </xf>
    <xf numFmtId="171" fontId="3" fillId="0" borderId="0" xfId="0" applyNumberFormat="1" applyFont="1"/>
    <xf numFmtId="171" fontId="3" fillId="25" borderId="18" xfId="0" applyNumberFormat="1" applyFont="1" applyFill="1" applyBorder="1"/>
    <xf numFmtId="171" fontId="3" fillId="25" borderId="2" xfId="0" applyNumberFormat="1" applyFont="1" applyFill="1" applyBorder="1"/>
    <xf numFmtId="171" fontId="3" fillId="25" borderId="19" xfId="0" applyNumberFormat="1" applyFont="1" applyFill="1" applyBorder="1"/>
    <xf numFmtId="171" fontId="3" fillId="25" borderId="20" xfId="0" applyNumberFormat="1" applyFont="1" applyFill="1" applyBorder="1"/>
    <xf numFmtId="171" fontId="3" fillId="25" borderId="13" xfId="0" applyNumberFormat="1" applyFont="1" applyFill="1" applyBorder="1"/>
    <xf numFmtId="171" fontId="3" fillId="25" borderId="17" xfId="0" applyNumberFormat="1" applyFont="1" applyFill="1" applyBorder="1"/>
    <xf numFmtId="171" fontId="3" fillId="25" borderId="12" xfId="0" applyNumberFormat="1" applyFont="1" applyFill="1" applyBorder="1"/>
    <xf numFmtId="171" fontId="3" fillId="25" borderId="14" xfId="0" applyNumberFormat="1" applyFont="1" applyFill="1" applyBorder="1"/>
    <xf numFmtId="1" fontId="0" fillId="6" borderId="0" xfId="0" applyNumberFormat="1" applyFill="1"/>
    <xf numFmtId="2" fontId="0" fillId="6" borderId="0" xfId="0" applyNumberFormat="1" applyFill="1"/>
    <xf numFmtId="3" fontId="0" fillId="6" borderId="0" xfId="0" applyNumberFormat="1" applyFill="1"/>
    <xf numFmtId="0" fontId="0" fillId="6" borderId="0" xfId="0" applyFill="1"/>
    <xf numFmtId="37" fontId="0" fillId="6" borderId="0" xfId="0" applyNumberFormat="1" applyFill="1"/>
    <xf numFmtId="0" fontId="0" fillId="0" borderId="9" xfId="0" applyBorder="1"/>
    <xf numFmtId="9" fontId="0" fillId="0" borderId="12" xfId="2" applyFont="1" applyBorder="1"/>
    <xf numFmtId="172" fontId="2" fillId="11" borderId="13" xfId="0" applyNumberFormat="1" applyFont="1" applyFill="1" applyBorder="1"/>
    <xf numFmtId="2" fontId="0" fillId="8" borderId="22" xfId="0" applyNumberFormat="1" applyFill="1" applyBorder="1" applyAlignment="1">
      <alignment horizontal="right"/>
    </xf>
    <xf numFmtId="0" fontId="0" fillId="8" borderId="7" xfId="0" applyFill="1" applyBorder="1"/>
    <xf numFmtId="2" fontId="0" fillId="8" borderId="1" xfId="0" applyNumberFormat="1" applyFill="1" applyBorder="1" applyAlignment="1">
      <alignment horizontal="right"/>
    </xf>
    <xf numFmtId="0" fontId="0" fillId="8" borderId="12" xfId="0" applyFill="1" applyBorder="1"/>
    <xf numFmtId="2" fontId="0" fillId="8" borderId="23" xfId="0" applyNumberFormat="1" applyFill="1" applyBorder="1" applyAlignment="1">
      <alignment horizontal="right"/>
    </xf>
    <xf numFmtId="0" fontId="0" fillId="7" borderId="13" xfId="0" applyFill="1" applyBorder="1"/>
    <xf numFmtId="0" fontId="0" fillId="7" borderId="14" xfId="0" applyFill="1" applyBorder="1"/>
    <xf numFmtId="9" fontId="0" fillId="0" borderId="13" xfId="2" applyFont="1" applyBorder="1"/>
    <xf numFmtId="10" fontId="0" fillId="7" borderId="23" xfId="2" applyNumberFormat="1" applyFont="1" applyFill="1" applyBorder="1"/>
    <xf numFmtId="10" fontId="0" fillId="7" borderId="22" xfId="2" applyNumberFormat="1" applyFont="1" applyFill="1" applyBorder="1"/>
    <xf numFmtId="0" fontId="3" fillId="0" borderId="12" xfId="0" applyFont="1" applyBorder="1"/>
    <xf numFmtId="10" fontId="3" fillId="0" borderId="12" xfId="2" applyNumberFormat="1" applyFont="1" applyBorder="1"/>
    <xf numFmtId="0" fontId="0" fillId="8" borderId="13" xfId="0" applyFill="1" applyBorder="1"/>
    <xf numFmtId="0" fontId="50" fillId="22" borderId="13" xfId="0" applyFont="1" applyFill="1" applyBorder="1"/>
    <xf numFmtId="9" fontId="0" fillId="8" borderId="22" xfId="2" applyFont="1" applyFill="1" applyBorder="1"/>
    <xf numFmtId="2" fontId="0" fillId="8" borderId="22" xfId="0" applyNumberFormat="1" applyFill="1" applyBorder="1"/>
    <xf numFmtId="173" fontId="0" fillId="8" borderId="22" xfId="0" applyNumberFormat="1" applyFill="1" applyBorder="1"/>
    <xf numFmtId="173" fontId="0" fillId="8" borderId="24" xfId="0" applyNumberFormat="1" applyFill="1" applyBorder="1"/>
    <xf numFmtId="2" fontId="0" fillId="8" borderId="24" xfId="0" applyNumberFormat="1" applyFill="1" applyBorder="1"/>
    <xf numFmtId="9" fontId="0" fillId="8" borderId="23" xfId="2" applyFont="1" applyFill="1" applyBorder="1"/>
    <xf numFmtId="2" fontId="0" fillId="8" borderId="23" xfId="0" applyNumberFormat="1" applyFill="1" applyBorder="1"/>
    <xf numFmtId="173" fontId="0" fillId="8" borderId="23" xfId="0" applyNumberFormat="1" applyFill="1" applyBorder="1"/>
    <xf numFmtId="0" fontId="0" fillId="8" borderId="1" xfId="0" applyFill="1" applyBorder="1"/>
    <xf numFmtId="9" fontId="0" fillId="8" borderId="1" xfId="2" applyFont="1" applyFill="1" applyBorder="1"/>
    <xf numFmtId="2" fontId="0" fillId="8" borderId="8" xfId="0" applyNumberFormat="1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10" fontId="0" fillId="8" borderId="14" xfId="0" applyNumberFormat="1" applyFill="1" applyBorder="1"/>
    <xf numFmtId="0" fontId="2" fillId="13" borderId="8" xfId="0" applyFont="1" applyFill="1" applyBorder="1"/>
    <xf numFmtId="10" fontId="0" fillId="14" borderId="23" xfId="0" applyNumberFormat="1" applyFill="1" applyBorder="1"/>
    <xf numFmtId="10" fontId="0" fillId="14" borderId="19" xfId="2" applyNumberFormat="1" applyFont="1" applyFill="1" applyBorder="1"/>
    <xf numFmtId="10" fontId="0" fillId="14" borderId="13" xfId="0" applyNumberFormat="1" applyFill="1" applyBorder="1"/>
    <xf numFmtId="10" fontId="0" fillId="14" borderId="13" xfId="2" applyNumberFormat="1" applyFont="1" applyFill="1" applyBorder="1"/>
    <xf numFmtId="172" fontId="0" fillId="12" borderId="8" xfId="0" applyNumberFormat="1" applyFill="1" applyBorder="1"/>
    <xf numFmtId="0" fontId="0" fillId="14" borderId="21" xfId="0" applyFill="1" applyBorder="1" applyAlignment="1">
      <alignment horizontal="left"/>
    </xf>
    <xf numFmtId="0" fontId="0" fillId="14" borderId="22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2" fontId="0" fillId="15" borderId="7" xfId="0" applyNumberFormat="1" applyFill="1" applyBorder="1"/>
    <xf numFmtId="2" fontId="0" fillId="15" borderId="9" xfId="0" applyNumberFormat="1" applyFill="1" applyBorder="1"/>
    <xf numFmtId="2" fontId="0" fillId="15" borderId="8" xfId="0" applyNumberFormat="1" applyFill="1" applyBorder="1"/>
    <xf numFmtId="1" fontId="0" fillId="6" borderId="20" xfId="0" applyNumberFormat="1" applyFill="1" applyBorder="1"/>
    <xf numFmtId="1" fontId="0" fillId="6" borderId="13" xfId="0" applyNumberFormat="1" applyFill="1" applyBorder="1"/>
    <xf numFmtId="9" fontId="0" fillId="6" borderId="20" xfId="0" applyNumberFormat="1" applyFill="1" applyBorder="1"/>
    <xf numFmtId="9" fontId="0" fillId="6" borderId="0" xfId="0" applyNumberFormat="1" applyFill="1"/>
    <xf numFmtId="9" fontId="0" fillId="6" borderId="13" xfId="0" applyNumberFormat="1" applyFill="1" applyBorder="1"/>
    <xf numFmtId="1" fontId="0" fillId="6" borderId="7" xfId="0" applyNumberFormat="1" applyFill="1" applyBorder="1"/>
    <xf numFmtId="1" fontId="0" fillId="6" borderId="9" xfId="0" applyNumberFormat="1" applyFill="1" applyBorder="1"/>
    <xf numFmtId="1" fontId="0" fillId="6" borderId="8" xfId="0" applyNumberFormat="1" applyFill="1" applyBorder="1"/>
    <xf numFmtId="2" fontId="0" fillId="6" borderId="17" xfId="0" applyNumberFormat="1" applyFill="1" applyBorder="1"/>
    <xf numFmtId="2" fontId="0" fillId="6" borderId="12" xfId="0" applyNumberFormat="1" applyFill="1" applyBorder="1"/>
    <xf numFmtId="2" fontId="0" fillId="6" borderId="14" xfId="0" applyNumberFormat="1" applyFill="1" applyBorder="1"/>
    <xf numFmtId="1" fontId="0" fillId="6" borderId="12" xfId="0" applyNumberFormat="1" applyFill="1" applyBorder="1"/>
    <xf numFmtId="1" fontId="0" fillId="6" borderId="14" xfId="0" applyNumberFormat="1" applyFill="1" applyBorder="1"/>
    <xf numFmtId="10" fontId="0" fillId="6" borderId="19" xfId="2" applyNumberFormat="1" applyFont="1" applyFill="1" applyBorder="1"/>
    <xf numFmtId="1" fontId="0" fillId="6" borderId="13" xfId="2" applyNumberFormat="1" applyFont="1" applyFill="1" applyBorder="1"/>
    <xf numFmtId="0" fontId="46" fillId="27" borderId="21" xfId="0" applyFont="1" applyFill="1" applyBorder="1"/>
    <xf numFmtId="0" fontId="46" fillId="27" borderId="22" xfId="0" applyFont="1" applyFill="1" applyBorder="1"/>
    <xf numFmtId="0" fontId="46" fillId="27" borderId="23" xfId="0" applyFont="1" applyFill="1" applyBorder="1"/>
    <xf numFmtId="0" fontId="0" fillId="6" borderId="19" xfId="0" applyFill="1" applyBorder="1"/>
    <xf numFmtId="3" fontId="0" fillId="6" borderId="19" xfId="0" applyNumberFormat="1" applyFill="1" applyBorder="1"/>
    <xf numFmtId="0" fontId="0" fillId="6" borderId="13" xfId="0" applyFill="1" applyBorder="1"/>
    <xf numFmtId="0" fontId="2" fillId="23" borderId="1" xfId="0" applyFont="1" applyFill="1" applyBorder="1"/>
    <xf numFmtId="1" fontId="0" fillId="6" borderId="1" xfId="0" applyNumberFormat="1" applyFill="1" applyBorder="1"/>
    <xf numFmtId="37" fontId="0" fillId="6" borderId="1" xfId="0" applyNumberFormat="1" applyFill="1" applyBorder="1"/>
    <xf numFmtId="0" fontId="0" fillId="6" borderId="1" xfId="0" applyFill="1" applyBorder="1"/>
    <xf numFmtId="1" fontId="0" fillId="6" borderId="21" xfId="0" applyNumberFormat="1" applyFill="1" applyBorder="1"/>
    <xf numFmtId="1" fontId="0" fillId="6" borderId="23" xfId="0" applyNumberFormat="1" applyFill="1" applyBorder="1"/>
    <xf numFmtId="1" fontId="0" fillId="6" borderId="22" xfId="0" applyNumberFormat="1" applyFill="1" applyBorder="1"/>
    <xf numFmtId="0" fontId="0" fillId="6" borderId="21" xfId="0" applyFill="1" applyBorder="1"/>
    <xf numFmtId="2" fontId="0" fillId="6" borderId="23" xfId="0" applyNumberFormat="1" applyFill="1" applyBorder="1"/>
    <xf numFmtId="0" fontId="0" fillId="14" borderId="21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10" fontId="0" fillId="14" borderId="21" xfId="0" applyNumberFormat="1" applyFill="1" applyBorder="1"/>
    <xf numFmtId="0" fontId="0" fillId="12" borderId="1" xfId="0" applyFill="1" applyBorder="1"/>
    <xf numFmtId="0" fontId="0" fillId="15" borderId="18" xfId="0" applyFill="1" applyBorder="1"/>
    <xf numFmtId="0" fontId="0" fillId="15" borderId="2" xfId="0" applyFill="1" applyBorder="1"/>
    <xf numFmtId="0" fontId="0" fillId="15" borderId="19" xfId="0" applyFill="1" applyBorder="1"/>
    <xf numFmtId="0" fontId="0" fillId="15" borderId="20" xfId="0" applyFill="1" applyBorder="1"/>
    <xf numFmtId="0" fontId="0" fillId="15" borderId="0" xfId="0" applyFill="1"/>
    <xf numFmtId="0" fontId="0" fillId="15" borderId="13" xfId="0" applyFill="1" applyBorder="1"/>
    <xf numFmtId="0" fontId="0" fillId="15" borderId="20" xfId="0" applyFill="1" applyBorder="1" applyAlignment="1">
      <alignment horizontal="left" vertical="top"/>
    </xf>
    <xf numFmtId="0" fontId="0" fillId="15" borderId="0" xfId="0" applyFill="1" applyAlignment="1">
      <alignment horizontal="center" vertical="top"/>
    </xf>
    <xf numFmtId="0" fontId="0" fillId="15" borderId="20" xfId="0" applyFill="1" applyBorder="1" applyAlignment="1">
      <alignment horizontal="right"/>
    </xf>
    <xf numFmtId="0" fontId="0" fillId="15" borderId="0" xfId="0" applyFill="1" applyAlignment="1">
      <alignment horizontal="left" vertical="center"/>
    </xf>
    <xf numFmtId="0" fontId="0" fillId="15" borderId="20" xfId="0" applyFill="1" applyBorder="1" applyAlignment="1">
      <alignment horizontal="center" vertical="top"/>
    </xf>
    <xf numFmtId="0" fontId="0" fillId="15" borderId="17" xfId="0" applyFill="1" applyBorder="1"/>
    <xf numFmtId="0" fontId="0" fillId="15" borderId="12" xfId="0" applyFill="1" applyBorder="1"/>
    <xf numFmtId="0" fontId="0" fillId="15" borderId="14" xfId="0" applyFill="1" applyBorder="1"/>
    <xf numFmtId="0" fontId="2" fillId="24" borderId="21" xfId="0" applyFont="1" applyFill="1" applyBorder="1"/>
    <xf numFmtId="0" fontId="0" fillId="25" borderId="18" xfId="0" applyFill="1" applyBorder="1"/>
    <xf numFmtId="0" fontId="0" fillId="25" borderId="2" xfId="0" applyFill="1" applyBorder="1"/>
    <xf numFmtId="0" fontId="0" fillId="25" borderId="19" xfId="0" applyFill="1" applyBorder="1"/>
    <xf numFmtId="0" fontId="0" fillId="25" borderId="20" xfId="0" applyFill="1" applyBorder="1"/>
    <xf numFmtId="0" fontId="0" fillId="25" borderId="0" xfId="0" applyFill="1"/>
    <xf numFmtId="0" fontId="0" fillId="25" borderId="13" xfId="0" applyFill="1" applyBorder="1"/>
    <xf numFmtId="0" fontId="0" fillId="25" borderId="17" xfId="0" applyFill="1" applyBorder="1"/>
    <xf numFmtId="0" fontId="0" fillId="25" borderId="12" xfId="0" applyFill="1" applyBorder="1"/>
    <xf numFmtId="0" fontId="0" fillId="25" borderId="14" xfId="0" applyFill="1" applyBorder="1"/>
    <xf numFmtId="2" fontId="14" fillId="25" borderId="0" xfId="0" applyNumberFormat="1" applyFont="1" applyFill="1"/>
    <xf numFmtId="10" fontId="0" fillId="25" borderId="0" xfId="2" applyNumberFormat="1" applyFont="1" applyFill="1" applyBorder="1"/>
    <xf numFmtId="10" fontId="3" fillId="25" borderId="0" xfId="2" applyNumberFormat="1" applyFont="1" applyFill="1" applyBorder="1"/>
    <xf numFmtId="10" fontId="1" fillId="25" borderId="0" xfId="2" applyNumberFormat="1" applyFont="1" applyFill="1" applyBorder="1"/>
    <xf numFmtId="10" fontId="0" fillId="25" borderId="13" xfId="2" applyNumberFormat="1" applyFont="1" applyFill="1" applyBorder="1"/>
    <xf numFmtId="171" fontId="0" fillId="25" borderId="0" xfId="0" applyNumberFormat="1" applyFill="1"/>
    <xf numFmtId="171" fontId="0" fillId="25" borderId="13" xfId="0" applyNumberFormat="1" applyFill="1" applyBorder="1"/>
    <xf numFmtId="0" fontId="14" fillId="25" borderId="20" xfId="0" applyFont="1" applyFill="1" applyBorder="1" applyAlignment="1">
      <alignment horizontal="center"/>
    </xf>
    <xf numFmtId="171" fontId="3" fillId="25" borderId="0" xfId="0" applyNumberFormat="1" applyFont="1" applyFill="1"/>
    <xf numFmtId="10" fontId="0" fillId="25" borderId="12" xfId="2" applyNumberFormat="1" applyFont="1" applyFill="1" applyBorder="1"/>
    <xf numFmtId="171" fontId="0" fillId="25" borderId="12" xfId="0" applyNumberFormat="1" applyFill="1" applyBorder="1"/>
    <xf numFmtId="171" fontId="0" fillId="25" borderId="14" xfId="0" applyNumberFormat="1" applyFill="1" applyBorder="1"/>
    <xf numFmtId="0" fontId="3" fillId="25" borderId="0" xfId="0" applyFont="1" applyFill="1"/>
    <xf numFmtId="0" fontId="0" fillId="15" borderId="21" xfId="0" applyFill="1" applyBorder="1"/>
    <xf numFmtId="0" fontId="0" fillId="15" borderId="23" xfId="0" applyFill="1" applyBorder="1"/>
    <xf numFmtId="0" fontId="46" fillId="16" borderId="1" xfId="0" applyFont="1" applyFill="1" applyBorder="1"/>
    <xf numFmtId="1" fontId="46" fillId="27" borderId="1" xfId="0" applyNumberFormat="1" applyFont="1" applyFill="1" applyBorder="1"/>
    <xf numFmtId="0" fontId="2" fillId="27" borderId="23" xfId="0" applyFont="1" applyFill="1" applyBorder="1"/>
    <xf numFmtId="9" fontId="0" fillId="8" borderId="21" xfId="0" applyNumberFormat="1" applyFill="1" applyBorder="1"/>
    <xf numFmtId="10" fontId="0" fillId="8" borderId="22" xfId="0" applyNumberFormat="1" applyFill="1" applyBorder="1"/>
    <xf numFmtId="9" fontId="0" fillId="10" borderId="8" xfId="2" applyFont="1" applyFill="1" applyBorder="1"/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10" borderId="8" xfId="0" applyFill="1" applyBorder="1"/>
    <xf numFmtId="0" fontId="0" fillId="10" borderId="21" xfId="0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9" fontId="0" fillId="10" borderId="21" xfId="2" applyFont="1" applyFill="1" applyBorder="1"/>
    <xf numFmtId="3" fontId="44" fillId="6" borderId="0" xfId="0" applyNumberFormat="1" applyFont="1" applyFill="1" applyAlignment="1">
      <alignment horizontal="right" vertical="top" wrapText="1"/>
    </xf>
    <xf numFmtId="2" fontId="13" fillId="6" borderId="0" xfId="0" applyNumberFormat="1" applyFont="1" applyFill="1" applyAlignment="1">
      <alignment horizontal="right" vertical="top" wrapText="1"/>
    </xf>
    <xf numFmtId="1" fontId="4" fillId="6" borderId="0" xfId="0" applyNumberFormat="1" applyFont="1" applyFill="1" applyAlignment="1">
      <alignment horizontal="right" vertical="top"/>
    </xf>
    <xf numFmtId="1" fontId="3" fillId="6" borderId="3" xfId="0" applyNumberFormat="1" applyFont="1" applyFill="1" applyBorder="1"/>
    <xf numFmtId="2" fontId="12" fillId="6" borderId="0" xfId="0" applyNumberFormat="1" applyFont="1" applyFill="1"/>
    <xf numFmtId="1" fontId="3" fillId="6" borderId="0" xfId="0" applyNumberFormat="1" applyFont="1" applyFill="1"/>
    <xf numFmtId="1" fontId="5" fillId="6" borderId="3" xfId="0" applyNumberFormat="1" applyFont="1" applyFill="1" applyBorder="1" applyAlignment="1">
      <alignment horizontal="right" vertical="top"/>
    </xf>
    <xf numFmtId="2" fontId="5" fillId="6" borderId="0" xfId="0" applyNumberFormat="1" applyFont="1" applyFill="1" applyAlignment="1">
      <alignment horizontal="right" vertical="top"/>
    </xf>
    <xf numFmtId="1" fontId="5" fillId="6" borderId="10" xfId="0" applyNumberFormat="1" applyFont="1" applyFill="1" applyBorder="1" applyAlignment="1">
      <alignment horizontal="right" vertical="top"/>
    </xf>
    <xf numFmtId="2" fontId="12" fillId="6" borderId="0" xfId="0" applyNumberFormat="1" applyFont="1" applyFill="1" applyAlignment="1">
      <alignment vertical="center"/>
    </xf>
    <xf numFmtId="2" fontId="12" fillId="6" borderId="12" xfId="0" applyNumberFormat="1" applyFont="1" applyFill="1" applyBorder="1" applyAlignment="1">
      <alignment vertical="center"/>
    </xf>
    <xf numFmtId="0" fontId="49" fillId="6" borderId="3" xfId="0" applyFont="1" applyFill="1" applyBorder="1"/>
    <xf numFmtId="1" fontId="24" fillId="6" borderId="0" xfId="0" applyNumberFormat="1" applyFont="1" applyFill="1" applyAlignment="1">
      <alignment horizontal="right" vertical="top" wrapText="1"/>
    </xf>
    <xf numFmtId="1" fontId="13" fillId="6" borderId="0" xfId="0" applyNumberFormat="1" applyFont="1" applyFill="1" applyAlignment="1">
      <alignment horizontal="right" vertical="top" wrapText="1"/>
    </xf>
    <xf numFmtId="1" fontId="3" fillId="6" borderId="9" xfId="0" applyNumberFormat="1" applyFont="1" applyFill="1" applyBorder="1"/>
    <xf numFmtId="1" fontId="0" fillId="6" borderId="0" xfId="1" applyNumberFormat="1" applyFont="1" applyFill="1" applyBorder="1"/>
    <xf numFmtId="1" fontId="35" fillId="6" borderId="10" xfId="0" applyNumberFormat="1" applyFont="1" applyFill="1" applyBorder="1" applyAlignment="1">
      <alignment horizontal="right" vertical="top" wrapText="1"/>
    </xf>
    <xf numFmtId="1" fontId="35" fillId="6" borderId="11" xfId="0" applyNumberFormat="1" applyFont="1" applyFill="1" applyBorder="1" applyAlignment="1">
      <alignment horizontal="right" vertical="top" wrapText="1"/>
    </xf>
    <xf numFmtId="1" fontId="44" fillId="0" borderId="0" xfId="0" applyNumberFormat="1" applyFont="1" applyAlignment="1">
      <alignment horizontal="right" vertical="top" wrapText="1"/>
    </xf>
    <xf numFmtId="167" fontId="0" fillId="6" borderId="0" xfId="1" applyNumberFormat="1" applyFont="1" applyFill="1"/>
    <xf numFmtId="9" fontId="9" fillId="6" borderId="0" xfId="2" applyFont="1" applyFill="1"/>
    <xf numFmtId="167" fontId="3" fillId="6" borderId="3" xfId="0" applyNumberFormat="1" applyFont="1" applyFill="1" applyBorder="1"/>
    <xf numFmtId="167" fontId="0" fillId="6" borderId="0" xfId="1" applyNumberFormat="1" applyFont="1" applyFill="1" applyBorder="1"/>
    <xf numFmtId="167" fontId="0" fillId="6" borderId="0" xfId="0" applyNumberFormat="1" applyFill="1"/>
    <xf numFmtId="167" fontId="0" fillId="6" borderId="17" xfId="0" applyNumberFormat="1" applyFill="1" applyBorder="1"/>
    <xf numFmtId="167" fontId="0" fillId="6" borderId="12" xfId="0" applyNumberFormat="1" applyFill="1" applyBorder="1"/>
    <xf numFmtId="167" fontId="0" fillId="6" borderId="2" xfId="1" applyNumberFormat="1" applyFont="1" applyFill="1" applyBorder="1"/>
    <xf numFmtId="167" fontId="0" fillId="6" borderId="3" xfId="1" applyNumberFormat="1" applyFont="1" applyFill="1" applyBorder="1"/>
    <xf numFmtId="37" fontId="5" fillId="6" borderId="2" xfId="0" applyNumberFormat="1" applyFont="1" applyFill="1" applyBorder="1" applyAlignment="1">
      <alignment horizontal="right" vertical="top"/>
    </xf>
    <xf numFmtId="37" fontId="5" fillId="6" borderId="0" xfId="0" applyNumberFormat="1" applyFont="1" applyFill="1" applyAlignment="1">
      <alignment horizontal="right" vertical="top"/>
    </xf>
    <xf numFmtId="167" fontId="3" fillId="6" borderId="2" xfId="1" applyNumberFormat="1" applyFont="1" applyFill="1" applyBorder="1"/>
    <xf numFmtId="167" fontId="0" fillId="6" borderId="12" xfId="1" applyNumberFormat="1" applyFont="1" applyFill="1" applyBorder="1"/>
    <xf numFmtId="37" fontId="5" fillId="6" borderId="3" xfId="0" applyNumberFormat="1" applyFont="1" applyFill="1" applyBorder="1" applyAlignment="1">
      <alignment horizontal="right" vertical="top"/>
    </xf>
    <xf numFmtId="37" fontId="3" fillId="6" borderId="2" xfId="0" applyNumberFormat="1" applyFont="1" applyFill="1" applyBorder="1"/>
    <xf numFmtId="37" fontId="4" fillId="6" borderId="0" xfId="0" applyNumberFormat="1" applyFont="1" applyFill="1" applyAlignment="1">
      <alignment horizontal="right" vertical="top"/>
    </xf>
    <xf numFmtId="167" fontId="0" fillId="0" borderId="13" xfId="1" applyNumberFormat="1" applyFont="1" applyBorder="1"/>
    <xf numFmtId="165" fontId="24" fillId="0" borderId="13" xfId="0" applyNumberFormat="1" applyFont="1" applyBorder="1"/>
    <xf numFmtId="167" fontId="3" fillId="20" borderId="19" xfId="1" applyNumberFormat="1" applyFont="1" applyFill="1" applyBorder="1"/>
    <xf numFmtId="165" fontId="35" fillId="20" borderId="19" xfId="0" applyNumberFormat="1" applyFont="1" applyFill="1" applyBorder="1"/>
    <xf numFmtId="167" fontId="0" fillId="0" borderId="13" xfId="1" applyNumberFormat="1" applyFont="1" applyFill="1" applyBorder="1"/>
    <xf numFmtId="167" fontId="3" fillId="0" borderId="19" xfId="1" applyNumberFormat="1" applyFont="1" applyBorder="1"/>
    <xf numFmtId="167" fontId="3" fillId="21" borderId="16" xfId="1" applyNumberFormat="1" applyFont="1" applyFill="1" applyBorder="1"/>
    <xf numFmtId="0" fontId="24" fillId="0" borderId="12" xfId="0" applyFont="1" applyBorder="1" applyAlignment="1">
      <alignment horizontal="left"/>
    </xf>
    <xf numFmtId="0" fontId="35" fillId="20" borderId="2" xfId="0" applyFont="1" applyFill="1" applyBorder="1"/>
    <xf numFmtId="166" fontId="8" fillId="28" borderId="18" xfId="0" applyNumberFormat="1" applyFont="1" applyFill="1" applyBorder="1" applyAlignment="1">
      <alignment horizontal="center" vertical="top"/>
    </xf>
    <xf numFmtId="166" fontId="8" fillId="28" borderId="2" xfId="0" applyNumberFormat="1" applyFont="1" applyFill="1" applyBorder="1" applyAlignment="1">
      <alignment horizontal="center" vertical="top"/>
    </xf>
    <xf numFmtId="166" fontId="8" fillId="28" borderId="19" xfId="0" applyNumberFormat="1" applyFont="1" applyFill="1" applyBorder="1" applyAlignment="1">
      <alignment horizontal="center" vertical="top"/>
    </xf>
    <xf numFmtId="15" fontId="8" fillId="28" borderId="17" xfId="0" applyNumberFormat="1" applyFont="1" applyFill="1" applyBorder="1" applyAlignment="1">
      <alignment horizontal="center" vertical="top" wrapText="1"/>
    </xf>
    <xf numFmtId="15" fontId="8" fillId="28" borderId="12" xfId="0" applyNumberFormat="1" applyFont="1" applyFill="1" applyBorder="1" applyAlignment="1">
      <alignment horizontal="center" vertical="top" wrapText="1"/>
    </xf>
    <xf numFmtId="15" fontId="8" fillId="28" borderId="14" xfId="0" applyNumberFormat="1" applyFont="1" applyFill="1" applyBorder="1" applyAlignment="1">
      <alignment horizontal="center" vertical="top" wrapText="1"/>
    </xf>
    <xf numFmtId="15" fontId="8" fillId="28" borderId="7" xfId="0" applyNumberFormat="1" applyFont="1" applyFill="1" applyBorder="1" applyAlignment="1">
      <alignment horizontal="center" vertical="top" wrapText="1"/>
    </xf>
    <xf numFmtId="15" fontId="8" fillId="28" borderId="9" xfId="0" applyNumberFormat="1" applyFont="1" applyFill="1" applyBorder="1" applyAlignment="1">
      <alignment horizontal="center" vertical="top" wrapText="1"/>
    </xf>
    <xf numFmtId="15" fontId="8" fillId="28" borderId="8" xfId="0" applyNumberFormat="1" applyFont="1" applyFill="1" applyBorder="1" applyAlignment="1">
      <alignment horizontal="center" vertical="top" wrapText="1"/>
    </xf>
    <xf numFmtId="0" fontId="0" fillId="0" borderId="20" xfId="0" applyBorder="1"/>
    <xf numFmtId="0" fontId="9" fillId="0" borderId="20" xfId="0" applyFont="1" applyBorder="1"/>
    <xf numFmtId="0" fontId="3" fillId="0" borderId="20" xfId="0" applyFont="1" applyBorder="1"/>
    <xf numFmtId="2" fontId="0" fillId="6" borderId="19" xfId="0" applyNumberFormat="1" applyFill="1" applyBorder="1"/>
    <xf numFmtId="3" fontId="44" fillId="6" borderId="13" xfId="0" applyNumberFormat="1" applyFont="1" applyFill="1" applyBorder="1" applyAlignment="1">
      <alignment horizontal="right" vertical="top" wrapText="1"/>
    </xf>
    <xf numFmtId="2" fontId="13" fillId="6" borderId="13" xfId="0" applyNumberFormat="1" applyFont="1" applyFill="1" applyBorder="1" applyAlignment="1">
      <alignment horizontal="right" vertical="top" wrapText="1"/>
    </xf>
    <xf numFmtId="1" fontId="4" fillId="6" borderId="13" xfId="0" applyNumberFormat="1" applyFont="1" applyFill="1" applyBorder="1" applyAlignment="1">
      <alignment horizontal="right" vertical="top"/>
    </xf>
    <xf numFmtId="1" fontId="3" fillId="6" borderId="16" xfId="0" applyNumberFormat="1" applyFont="1" applyFill="1" applyBorder="1"/>
    <xf numFmtId="2" fontId="12" fillId="6" borderId="13" xfId="0" applyNumberFormat="1" applyFont="1" applyFill="1" applyBorder="1"/>
    <xf numFmtId="1" fontId="3" fillId="6" borderId="13" xfId="0" applyNumberFormat="1" applyFont="1" applyFill="1" applyBorder="1"/>
    <xf numFmtId="1" fontId="5" fillId="6" borderId="16" xfId="0" applyNumberFormat="1" applyFont="1" applyFill="1" applyBorder="1" applyAlignment="1">
      <alignment horizontal="right" vertical="top"/>
    </xf>
    <xf numFmtId="2" fontId="5" fillId="6" borderId="13" xfId="0" applyNumberFormat="1" applyFont="1" applyFill="1" applyBorder="1" applyAlignment="1">
      <alignment horizontal="right" vertical="top"/>
    </xf>
    <xf numFmtId="1" fontId="5" fillId="6" borderId="25" xfId="0" applyNumberFormat="1" applyFont="1" applyFill="1" applyBorder="1" applyAlignment="1">
      <alignment horizontal="right" vertical="top"/>
    </xf>
    <xf numFmtId="2" fontId="0" fillId="6" borderId="13" xfId="0" applyNumberFormat="1" applyFill="1" applyBorder="1"/>
    <xf numFmtId="2" fontId="12" fillId="6" borderId="13" xfId="0" applyNumberFormat="1" applyFont="1" applyFill="1" applyBorder="1" applyAlignment="1">
      <alignment vertical="center"/>
    </xf>
    <xf numFmtId="2" fontId="12" fillId="6" borderId="14" xfId="0" applyNumberFormat="1" applyFont="1" applyFill="1" applyBorder="1" applyAlignment="1">
      <alignment vertical="center"/>
    </xf>
    <xf numFmtId="0" fontId="49" fillId="6" borderId="16" xfId="0" applyFont="1" applyFill="1" applyBorder="1"/>
    <xf numFmtId="1" fontId="24" fillId="6" borderId="13" xfId="0" applyNumberFormat="1" applyFont="1" applyFill="1" applyBorder="1" applyAlignment="1">
      <alignment horizontal="right" vertical="top" wrapText="1"/>
    </xf>
    <xf numFmtId="1" fontId="13" fillId="6" borderId="13" xfId="0" applyNumberFormat="1" applyFont="1" applyFill="1" applyBorder="1" applyAlignment="1">
      <alignment horizontal="right" vertical="top" wrapText="1"/>
    </xf>
    <xf numFmtId="1" fontId="3" fillId="6" borderId="8" xfId="0" applyNumberFormat="1" applyFont="1" applyFill="1" applyBorder="1"/>
    <xf numFmtId="1" fontId="0" fillId="6" borderId="13" xfId="1" applyNumberFormat="1" applyFont="1" applyFill="1" applyBorder="1"/>
    <xf numFmtId="1" fontId="35" fillId="6" borderId="25" xfId="0" applyNumberFormat="1" applyFont="1" applyFill="1" applyBorder="1" applyAlignment="1">
      <alignment horizontal="right" vertical="top" wrapText="1"/>
    </xf>
    <xf numFmtId="1" fontId="35" fillId="6" borderId="26" xfId="0" applyNumberFormat="1" applyFont="1" applyFill="1" applyBorder="1" applyAlignment="1">
      <alignment horizontal="right" vertical="top" wrapText="1"/>
    </xf>
    <xf numFmtId="167" fontId="0" fillId="6" borderId="19" xfId="1" applyNumberFormat="1" applyFont="1" applyFill="1" applyBorder="1"/>
    <xf numFmtId="3" fontId="0" fillId="6" borderId="13" xfId="0" applyNumberFormat="1" applyFill="1" applyBorder="1"/>
    <xf numFmtId="167" fontId="0" fillId="6" borderId="13" xfId="1" applyNumberFormat="1" applyFont="1" applyFill="1" applyBorder="1"/>
    <xf numFmtId="167" fontId="0" fillId="6" borderId="16" xfId="1" applyNumberFormat="1" applyFont="1" applyFill="1" applyBorder="1"/>
    <xf numFmtId="166" fontId="7" fillId="28" borderId="18" xfId="0" applyNumberFormat="1" applyFont="1" applyFill="1" applyBorder="1" applyAlignment="1">
      <alignment horizontal="center" vertical="top"/>
    </xf>
    <xf numFmtId="166" fontId="7" fillId="28" borderId="2" xfId="0" applyNumberFormat="1" applyFont="1" applyFill="1" applyBorder="1" applyAlignment="1">
      <alignment horizontal="center" vertical="top"/>
    </xf>
    <xf numFmtId="166" fontId="7" fillId="28" borderId="19" xfId="0" applyNumberFormat="1" applyFont="1" applyFill="1" applyBorder="1" applyAlignment="1">
      <alignment horizontal="center" vertical="top"/>
    </xf>
    <xf numFmtId="0" fontId="8" fillId="27" borderId="17" xfId="0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 vertical="center"/>
    </xf>
    <xf numFmtId="0" fontId="8" fillId="27" borderId="14" xfId="0" applyFont="1" applyFill="1" applyBorder="1" applyAlignment="1">
      <alignment horizontal="center" vertical="center"/>
    </xf>
    <xf numFmtId="37" fontId="0" fillId="6" borderId="19" xfId="0" applyNumberFormat="1" applyFill="1" applyBorder="1"/>
    <xf numFmtId="167" fontId="46" fillId="17" borderId="25" xfId="0" applyNumberFormat="1" applyFont="1" applyFill="1" applyBorder="1"/>
    <xf numFmtId="0" fontId="0" fillId="18" borderId="13" xfId="0" applyFill="1" applyBorder="1"/>
    <xf numFmtId="167" fontId="0" fillId="6" borderId="13" xfId="0" applyNumberFormat="1" applyFill="1" applyBorder="1"/>
    <xf numFmtId="167" fontId="0" fillId="6" borderId="14" xfId="0" applyNumberFormat="1" applyFill="1" applyBorder="1"/>
    <xf numFmtId="9" fontId="0" fillId="6" borderId="7" xfId="0" applyNumberFormat="1" applyFill="1" applyBorder="1"/>
    <xf numFmtId="43" fontId="0" fillId="6" borderId="9" xfId="0" applyNumberFormat="1" applyFill="1" applyBorder="1"/>
    <xf numFmtId="43" fontId="0" fillId="6" borderId="8" xfId="0" applyNumberFormat="1" applyFill="1" applyBorder="1"/>
    <xf numFmtId="43" fontId="0" fillId="6" borderId="7" xfId="0" applyNumberFormat="1" applyFill="1" applyBorder="1"/>
    <xf numFmtId="166" fontId="8" fillId="29" borderId="18" xfId="0" applyNumberFormat="1" applyFont="1" applyFill="1" applyBorder="1" applyAlignment="1">
      <alignment horizontal="center" vertical="top"/>
    </xf>
    <xf numFmtId="166" fontId="8" fillId="29" borderId="2" xfId="0" applyNumberFormat="1" applyFont="1" applyFill="1" applyBorder="1" applyAlignment="1">
      <alignment horizontal="center" vertical="top"/>
    </xf>
    <xf numFmtId="167" fontId="3" fillId="6" borderId="16" xfId="0" applyNumberFormat="1" applyFont="1" applyFill="1" applyBorder="1"/>
    <xf numFmtId="0" fontId="0" fillId="6" borderId="27" xfId="0" applyFill="1" applyBorder="1"/>
    <xf numFmtId="2" fontId="3" fillId="10" borderId="1" xfId="0" applyNumberFormat="1" applyFont="1" applyFill="1" applyBorder="1"/>
    <xf numFmtId="9" fontId="0" fillId="10" borderId="1" xfId="2" applyFont="1" applyFill="1" applyBorder="1"/>
    <xf numFmtId="37" fontId="4" fillId="18" borderId="0" xfId="0" applyNumberFormat="1" applyFont="1" applyFill="1" applyAlignment="1">
      <alignment horizontal="right" vertical="top"/>
    </xf>
    <xf numFmtId="37" fontId="0" fillId="18" borderId="0" xfId="0" applyNumberFormat="1" applyFill="1"/>
    <xf numFmtId="1" fontId="2" fillId="17" borderId="12" xfId="0" applyNumberFormat="1" applyFont="1" applyFill="1" applyBorder="1"/>
    <xf numFmtId="164" fontId="5" fillId="6" borderId="3" xfId="0" applyNumberFormat="1" applyFont="1" applyFill="1" applyBorder="1" applyAlignment="1">
      <alignment horizontal="right" vertical="top"/>
    </xf>
    <xf numFmtId="0" fontId="0" fillId="20" borderId="1" xfId="0" applyFill="1" applyBorder="1"/>
    <xf numFmtId="3" fontId="45" fillId="20" borderId="1" xfId="0" applyNumberFormat="1" applyFont="1" applyFill="1" applyBorder="1"/>
    <xf numFmtId="3" fontId="0" fillId="20" borderId="1" xfId="0" applyNumberFormat="1" applyFill="1" applyBorder="1"/>
    <xf numFmtId="10" fontId="0" fillId="20" borderId="1" xfId="2" applyNumberFormat="1" applyFont="1" applyFill="1" applyBorder="1"/>
    <xf numFmtId="10" fontId="0" fillId="20" borderId="8" xfId="2" applyNumberFormat="1" applyFont="1" applyFill="1" applyBorder="1"/>
    <xf numFmtId="0" fontId="0" fillId="20" borderId="8" xfId="0" applyFill="1" applyBorder="1"/>
    <xf numFmtId="3" fontId="0" fillId="20" borderId="23" xfId="0" applyNumberFormat="1" applyFill="1" applyBorder="1"/>
    <xf numFmtId="10" fontId="0" fillId="20" borderId="23" xfId="2" applyNumberFormat="1" applyFont="1" applyFill="1" applyBorder="1"/>
    <xf numFmtId="10" fontId="0" fillId="20" borderId="14" xfId="2" applyNumberFormat="1" applyFont="1" applyFill="1" applyBorder="1"/>
    <xf numFmtId="0" fontId="0" fillId="20" borderId="14" xfId="0" applyFill="1" applyBorder="1"/>
    <xf numFmtId="172" fontId="0" fillId="20" borderId="8" xfId="0" applyNumberFormat="1" applyFill="1" applyBorder="1"/>
    <xf numFmtId="0" fontId="0" fillId="20" borderId="8" xfId="0" applyFill="1" applyBorder="1" applyAlignment="1">
      <alignment horizontal="right"/>
    </xf>
    <xf numFmtId="0" fontId="0" fillId="20" borderId="13" xfId="0" applyFill="1" applyBorder="1"/>
    <xf numFmtId="10" fontId="0" fillId="20" borderId="13" xfId="0" applyNumberFormat="1" applyFill="1" applyBorder="1"/>
    <xf numFmtId="10" fontId="0" fillId="20" borderId="1" xfId="0" applyNumberFormat="1" applyFill="1" applyBorder="1"/>
    <xf numFmtId="0" fontId="0" fillId="20" borderId="22" xfId="0" applyFill="1" applyBorder="1"/>
    <xf numFmtId="14" fontId="0" fillId="20" borderId="22" xfId="0" applyNumberFormat="1" applyFill="1" applyBorder="1" applyAlignment="1">
      <alignment horizontal="left"/>
    </xf>
    <xf numFmtId="0" fontId="0" fillId="20" borderId="21" xfId="0" applyFill="1" applyBorder="1"/>
    <xf numFmtId="9" fontId="0" fillId="20" borderId="21" xfId="2" applyFont="1" applyFill="1" applyBorder="1"/>
    <xf numFmtId="9" fontId="0" fillId="20" borderId="22" xfId="2" applyFont="1" applyFill="1" applyBorder="1"/>
    <xf numFmtId="0" fontId="0" fillId="20" borderId="22" xfId="0" applyFill="1" applyBorder="1" applyAlignment="1">
      <alignment horizontal="left"/>
    </xf>
    <xf numFmtId="0" fontId="0" fillId="20" borderId="23" xfId="0" applyFill="1" applyBorder="1" applyAlignment="1">
      <alignment horizontal="left"/>
    </xf>
    <xf numFmtId="0" fontId="0" fillId="20" borderId="23" xfId="0" applyFill="1" applyBorder="1"/>
    <xf numFmtId="9" fontId="0" fillId="20" borderId="23" xfId="2" applyFont="1" applyFill="1" applyBorder="1"/>
    <xf numFmtId="0" fontId="0" fillId="21" borderId="21" xfId="0" applyFill="1" applyBorder="1" applyAlignment="1">
      <alignment horizontal="left"/>
    </xf>
    <xf numFmtId="0" fontId="0" fillId="21" borderId="7" xfId="0" applyFill="1" applyBorder="1" applyAlignment="1">
      <alignment horizontal="left"/>
    </xf>
    <xf numFmtId="0" fontId="0" fillId="21" borderId="9" xfId="0" applyFill="1" applyBorder="1" applyAlignment="1">
      <alignment horizontal="right"/>
    </xf>
    <xf numFmtId="9" fontId="0" fillId="21" borderId="8" xfId="2" applyFont="1" applyFill="1" applyBorder="1"/>
    <xf numFmtId="0" fontId="0" fillId="21" borderId="8" xfId="0" applyFill="1" applyBorder="1"/>
    <xf numFmtId="0" fontId="0" fillId="21" borderId="1" xfId="0" applyFill="1" applyBorder="1"/>
    <xf numFmtId="0" fontId="50" fillId="21" borderId="7" xfId="0" applyFont="1" applyFill="1" applyBorder="1"/>
    <xf numFmtId="0" fontId="0" fillId="21" borderId="9" xfId="0" applyFill="1" applyBorder="1"/>
    <xf numFmtId="0" fontId="0" fillId="21" borderId="7" xfId="0" applyFill="1" applyBorder="1"/>
    <xf numFmtId="14" fontId="0" fillId="20" borderId="21" xfId="0" applyNumberFormat="1" applyFill="1" applyBorder="1" applyAlignment="1">
      <alignment horizontal="left"/>
    </xf>
    <xf numFmtId="0" fontId="0" fillId="20" borderId="22" xfId="0" applyFill="1" applyBorder="1" applyAlignment="1">
      <alignment horizontal="right"/>
    </xf>
    <xf numFmtId="4" fontId="0" fillId="20" borderId="22" xfId="0" applyNumberFormat="1" applyFill="1" applyBorder="1"/>
    <xf numFmtId="168" fontId="0" fillId="20" borderId="21" xfId="2" applyNumberFormat="1" applyFont="1" applyFill="1" applyBorder="1"/>
    <xf numFmtId="168" fontId="0" fillId="20" borderId="22" xfId="2" applyNumberFormat="1" applyFont="1" applyFill="1" applyBorder="1"/>
    <xf numFmtId="0" fontId="0" fillId="20" borderId="23" xfId="0" applyFill="1" applyBorder="1" applyAlignment="1">
      <alignment horizontal="right"/>
    </xf>
    <xf numFmtId="14" fontId="0" fillId="20" borderId="23" xfId="0" applyNumberFormat="1" applyFill="1" applyBorder="1" applyAlignment="1">
      <alignment horizontal="left"/>
    </xf>
    <xf numFmtId="4" fontId="0" fillId="20" borderId="23" xfId="0" applyNumberFormat="1" applyFill="1" applyBorder="1"/>
    <xf numFmtId="0" fontId="2" fillId="27" borderId="21" xfId="0" applyFont="1" applyFill="1" applyBorder="1"/>
    <xf numFmtId="0" fontId="2" fillId="27" borderId="22" xfId="0" applyFont="1" applyFill="1" applyBorder="1"/>
    <xf numFmtId="0" fontId="2" fillId="27" borderId="7" xfId="0" applyFont="1" applyFill="1" applyBorder="1"/>
    <xf numFmtId="0" fontId="2" fillId="27" borderId="9" xfId="0" applyFont="1" applyFill="1" applyBorder="1"/>
    <xf numFmtId="0" fontId="2" fillId="27" borderId="8" xfId="0" applyFont="1" applyFill="1" applyBorder="1"/>
    <xf numFmtId="165" fontId="28" fillId="0" borderId="7" xfId="0" applyNumberFormat="1" applyFont="1" applyBorder="1" applyAlignment="1">
      <alignment horizontal="center" vertical="top"/>
    </xf>
    <xf numFmtId="165" fontId="28" fillId="0" borderId="8" xfId="0" applyNumberFormat="1" applyFont="1" applyBorder="1" applyAlignment="1">
      <alignment horizontal="center" vertical="top"/>
    </xf>
    <xf numFmtId="169" fontId="28" fillId="0" borderId="4" xfId="0" applyNumberFormat="1" applyFont="1" applyBorder="1" applyAlignment="1">
      <alignment horizontal="center" vertical="top"/>
    </xf>
    <xf numFmtId="0" fontId="33" fillId="0" borderId="5" xfId="0" applyFont="1" applyBorder="1"/>
    <xf numFmtId="0" fontId="33" fillId="0" borderId="6" xfId="0" applyFont="1" applyBorder="1"/>
    <xf numFmtId="169" fontId="19" fillId="0" borderId="0" xfId="0" applyNumberFormat="1" applyFont="1" applyAlignment="1">
      <alignment horizontal="center" vertical="top" wrapText="1"/>
    </xf>
    <xf numFmtId="169" fontId="22" fillId="0" borderId="0" xfId="0" applyNumberFormat="1" applyFont="1" applyAlignment="1">
      <alignment horizontal="center" vertical="top" wrapText="1"/>
    </xf>
    <xf numFmtId="0" fontId="16" fillId="0" borderId="0" xfId="0" applyFont="1"/>
    <xf numFmtId="0" fontId="21" fillId="0" borderId="0" xfId="0" applyFont="1" applyAlignment="1">
      <alignment horizontal="center" wrapText="1"/>
    </xf>
    <xf numFmtId="43" fontId="22" fillId="0" borderId="0" xfId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top" wrapText="1"/>
    </xf>
    <xf numFmtId="165" fontId="28" fillId="0" borderId="0" xfId="0" applyNumberFormat="1" applyFont="1" applyAlignment="1">
      <alignment horizontal="center" vertical="top"/>
    </xf>
    <xf numFmtId="0" fontId="32" fillId="0" borderId="0" xfId="0" applyFont="1"/>
    <xf numFmtId="0" fontId="21" fillId="0" borderId="0" xfId="0" applyFont="1" applyAlignment="1">
      <alignment horizontal="center" vertical="center"/>
    </xf>
    <xf numFmtId="0" fontId="3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6" fillId="27" borderId="7" xfId="0" applyFont="1" applyFill="1" applyBorder="1" applyAlignment="1">
      <alignment horizontal="center"/>
    </xf>
    <xf numFmtId="0" fontId="46" fillId="27" borderId="9" xfId="0" applyFont="1" applyFill="1" applyBorder="1" applyAlignment="1">
      <alignment horizontal="center"/>
    </xf>
    <xf numFmtId="0" fontId="46" fillId="27" borderId="8" xfId="0" applyFont="1" applyFill="1" applyBorder="1" applyAlignment="1">
      <alignment horizontal="center"/>
    </xf>
    <xf numFmtId="0" fontId="14" fillId="25" borderId="0" xfId="0" applyFont="1" applyFill="1" applyAlignment="1">
      <alignment horizontal="center"/>
    </xf>
    <xf numFmtId="0" fontId="14" fillId="25" borderId="13" xfId="0" applyFont="1" applyFill="1" applyBorder="1" applyAlignment="1">
      <alignment horizontal="center"/>
    </xf>
    <xf numFmtId="0" fontId="2" fillId="26" borderId="7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/>
    </xf>
    <xf numFmtId="0" fontId="51" fillId="2" borderId="0" xfId="0" applyFont="1" applyFill="1" applyAlignment="1">
      <alignment horizontal="center" vertical="top"/>
    </xf>
    <xf numFmtId="0" fontId="51" fillId="2" borderId="0" xfId="0" applyFont="1" applyFill="1" applyAlignment="1">
      <alignment vertical="top" wrapText="1"/>
    </xf>
    <xf numFmtId="0" fontId="51" fillId="2" borderId="13" xfId="0" applyFont="1" applyFill="1" applyBorder="1" applyAlignment="1">
      <alignment horizontal="center" vertical="top"/>
    </xf>
  </cellXfs>
  <cellStyles count="5">
    <cellStyle name="Comma" xfId="1" builtinId="3"/>
    <cellStyle name="Comma 2" xfId="3" xr:uid="{433DB1E4-EC10-4B7D-9F19-236344247AB2}"/>
    <cellStyle name="Heading 3" xfId="4" builtinId="1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2E36-274D-4838-94F2-4D638E36C945}">
  <dimension ref="A1:X18"/>
  <sheetViews>
    <sheetView showGridLines="0" zoomScale="102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11" sqref="O11"/>
    </sheetView>
  </sheetViews>
  <sheetFormatPr defaultRowHeight="15" x14ac:dyDescent="0.25"/>
  <cols>
    <col min="1" max="1" width="26" customWidth="1"/>
    <col min="2" max="2" width="3.42578125" customWidth="1"/>
    <col min="3" max="3" width="14.28515625" bestFit="1" customWidth="1"/>
    <col min="4" max="4" width="12.28515625" bestFit="1" customWidth="1"/>
    <col min="5" max="6" width="12" bestFit="1" customWidth="1"/>
    <col min="7" max="7" width="12.140625" bestFit="1" customWidth="1"/>
    <col min="8" max="8" width="12.28515625" bestFit="1" customWidth="1"/>
    <col min="9" max="13" width="12.140625" bestFit="1" customWidth="1"/>
  </cols>
  <sheetData>
    <row r="1" spans="1:24" x14ac:dyDescent="0.25">
      <c r="A1" s="11" t="s">
        <v>69</v>
      </c>
    </row>
    <row r="2" spans="1:24" x14ac:dyDescent="0.25">
      <c r="A2" t="s">
        <v>23</v>
      </c>
      <c r="C2" s="7" t="s">
        <v>51</v>
      </c>
      <c r="D2" s="58">
        <f ca="1">TODAY()</f>
        <v>45743</v>
      </c>
    </row>
    <row r="3" spans="1:24" x14ac:dyDescent="0.25">
      <c r="A3" s="59" t="s">
        <v>11</v>
      </c>
      <c r="B3" s="8"/>
      <c r="C3" s="49" t="s">
        <v>14</v>
      </c>
      <c r="D3" s="49" t="s">
        <v>14</v>
      </c>
      <c r="E3" s="49" t="s">
        <v>14</v>
      </c>
      <c r="F3" s="49" t="s">
        <v>14</v>
      </c>
      <c r="G3" s="49" t="s">
        <v>14</v>
      </c>
      <c r="H3" s="49" t="s">
        <v>14</v>
      </c>
      <c r="I3" s="477" t="s">
        <v>14</v>
      </c>
      <c r="J3" s="478" t="s">
        <v>14</v>
      </c>
      <c r="K3" s="478" t="s">
        <v>14</v>
      </c>
      <c r="L3" s="478" t="s">
        <v>14</v>
      </c>
      <c r="M3" s="428">
        <v>12</v>
      </c>
    </row>
    <row r="4" spans="1:24" x14ac:dyDescent="0.25">
      <c r="A4" s="46"/>
      <c r="B4" s="8"/>
      <c r="C4" s="12" t="s">
        <v>0</v>
      </c>
      <c r="D4" s="12" t="s">
        <v>7</v>
      </c>
      <c r="E4" s="12" t="s">
        <v>8</v>
      </c>
      <c r="F4" s="12" t="s">
        <v>9</v>
      </c>
      <c r="G4" s="12" t="s">
        <v>15</v>
      </c>
      <c r="H4" s="174" t="s">
        <v>16</v>
      </c>
      <c r="I4" s="465" t="s">
        <v>17</v>
      </c>
      <c r="J4" s="466" t="s">
        <v>18</v>
      </c>
      <c r="K4" s="466" t="s">
        <v>19</v>
      </c>
      <c r="L4" s="466" t="s">
        <v>60</v>
      </c>
      <c r="M4" s="467" t="s">
        <v>61</v>
      </c>
    </row>
    <row r="5" spans="1:24" x14ac:dyDescent="0.25">
      <c r="I5" s="251"/>
      <c r="J5" s="251"/>
      <c r="K5" s="251"/>
      <c r="L5" s="251"/>
      <c r="M5" s="315"/>
    </row>
    <row r="6" spans="1:24" x14ac:dyDescent="0.25">
      <c r="A6" s="61" t="s">
        <v>65</v>
      </c>
      <c r="C6" s="14">
        <v>46910</v>
      </c>
      <c r="D6" s="14">
        <v>15945</v>
      </c>
      <c r="E6" s="14">
        <v>26670</v>
      </c>
      <c r="F6" s="14">
        <v>45605</v>
      </c>
      <c r="G6" s="14">
        <v>54669</v>
      </c>
      <c r="H6" s="22">
        <v>57001</v>
      </c>
      <c r="I6" s="401">
        <f>H6*(1+$H$8)</f>
        <v>67989.783389721153</v>
      </c>
      <c r="J6" s="401">
        <f>I6*(1+$H$8)</f>
        <v>81097.009620554061</v>
      </c>
      <c r="K6" s="401">
        <f>J6*(1+$H$8)</f>
        <v>96731.076957520097</v>
      </c>
      <c r="L6" s="401">
        <f>K6*(1+$H$8)</f>
        <v>115379.11561895824</v>
      </c>
      <c r="M6" s="460">
        <f>L6*(1+$H$8)</f>
        <v>137622.16590288878</v>
      </c>
      <c r="N6" s="14"/>
      <c r="O6" s="14"/>
      <c r="P6" s="14"/>
      <c r="Q6" s="14"/>
      <c r="R6" s="14"/>
      <c r="S6" s="14"/>
      <c r="T6" s="14"/>
      <c r="U6" s="14"/>
      <c r="V6" s="14"/>
    </row>
    <row r="7" spans="1:24" s="15" customFormat="1" x14ac:dyDescent="0.25">
      <c r="A7" s="62" t="s">
        <v>12</v>
      </c>
      <c r="C7" s="92"/>
      <c r="D7" s="90">
        <f>(D6/C6)-1</f>
        <v>-0.6600937966318482</v>
      </c>
      <c r="E7" s="90">
        <f>(E6/D6)-1</f>
        <v>0.67262464722483539</v>
      </c>
      <c r="F7" s="90">
        <f>(F6/E6)-1</f>
        <v>0.70997375328083989</v>
      </c>
      <c r="G7" s="90">
        <f>(G6/F6)-1</f>
        <v>0.19875013704637645</v>
      </c>
      <c r="H7" s="90">
        <f>(H6/G6)-1</f>
        <v>4.2656715871883577E-2</v>
      </c>
      <c r="I7" s="402"/>
      <c r="J7" s="402"/>
      <c r="K7" s="402"/>
      <c r="L7" s="402"/>
      <c r="M7" s="317"/>
      <c r="N7" s="16"/>
      <c r="O7" s="16"/>
      <c r="P7" s="16"/>
      <c r="Q7" s="16"/>
      <c r="R7" s="16"/>
      <c r="S7" s="16"/>
      <c r="T7" s="16"/>
      <c r="U7" s="16"/>
      <c r="V7" s="16"/>
    </row>
    <row r="8" spans="1:24" x14ac:dyDescent="0.25">
      <c r="D8" s="16"/>
      <c r="E8" s="16"/>
      <c r="F8" s="16"/>
      <c r="H8" s="81">
        <f>AVERAGE(D7:H7)</f>
        <v>0.19278229135841743</v>
      </c>
      <c r="I8" s="402"/>
      <c r="J8" s="251"/>
      <c r="K8" s="251"/>
      <c r="L8" s="251"/>
      <c r="M8" s="317"/>
    </row>
    <row r="9" spans="1:24" x14ac:dyDescent="0.25">
      <c r="A9" s="61" t="s">
        <v>66</v>
      </c>
      <c r="C9" s="14">
        <v>5558</v>
      </c>
      <c r="D9" s="14">
        <v>3143</v>
      </c>
      <c r="E9" s="14">
        <v>6054</v>
      </c>
      <c r="F9" s="14">
        <v>10706</v>
      </c>
      <c r="G9" s="14">
        <v>7572</v>
      </c>
      <c r="H9" s="22">
        <v>7767</v>
      </c>
      <c r="I9" s="401">
        <f>H9*(1+$H$11)</f>
        <v>7967.0217908082404</v>
      </c>
      <c r="J9" s="401">
        <f>I9*(1+$H$11)</f>
        <v>8172.1946974653456</v>
      </c>
      <c r="K9" s="401">
        <f>J9*(1+$H$11)</f>
        <v>8382.6513754904026</v>
      </c>
      <c r="L9" s="401">
        <f>K9*(1+$H$11)</f>
        <v>8598.5278966500209</v>
      </c>
      <c r="M9" s="460">
        <f>L9*(1+$H$11)</f>
        <v>8819.9638369361746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s="15" customFormat="1" x14ac:dyDescent="0.25">
      <c r="A10" s="62" t="s">
        <v>12</v>
      </c>
      <c r="C10" s="92"/>
      <c r="D10" s="90">
        <f>(D9/C9)-1</f>
        <v>-0.43450881612090675</v>
      </c>
      <c r="E10" s="90">
        <f>(E9/D9)-1</f>
        <v>0.92618517340120898</v>
      </c>
      <c r="F10" s="90">
        <f>(F9/E9)-1</f>
        <v>0.76841757515692111</v>
      </c>
      <c r="G10" s="90">
        <f>(G9/F9)-1</f>
        <v>-0.29273304688959467</v>
      </c>
      <c r="H10" s="90">
        <f>(H9/G9)-1</f>
        <v>2.5752773375594229E-2</v>
      </c>
      <c r="I10" s="402"/>
      <c r="J10" s="402"/>
      <c r="K10" s="402"/>
      <c r="L10" s="402"/>
      <c r="M10" s="317"/>
      <c r="N10" s="16"/>
      <c r="O10" s="16"/>
      <c r="P10" s="16"/>
      <c r="Q10" s="16"/>
      <c r="R10" s="16"/>
      <c r="S10" s="16"/>
      <c r="T10" s="16"/>
      <c r="U10" s="16"/>
      <c r="V10" s="16"/>
    </row>
    <row r="11" spans="1:24" x14ac:dyDescent="0.25">
      <c r="H11" s="81">
        <f>MEDIAN(D10:H10)</f>
        <v>2.5752773375594229E-2</v>
      </c>
      <c r="I11" s="402"/>
      <c r="J11" s="251"/>
      <c r="K11" s="251"/>
      <c r="L11" s="251"/>
      <c r="M11" s="317"/>
    </row>
    <row r="12" spans="1:24" x14ac:dyDescent="0.25">
      <c r="A12" t="s">
        <v>67</v>
      </c>
      <c r="C12" s="14">
        <f>-(1103+3963+395)</f>
        <v>-5461</v>
      </c>
      <c r="D12" s="14">
        <f>-(214+1472+307)</f>
        <v>-1993</v>
      </c>
      <c r="E12" s="14">
        <f>-(492+40+2293)</f>
        <v>-2825</v>
      </c>
      <c r="F12" s="14">
        <f>-5729</f>
        <v>-5729</v>
      </c>
      <c r="G12">
        <v>-4193</v>
      </c>
      <c r="H12" s="22">
        <v>-3125</v>
      </c>
      <c r="I12" s="401">
        <f>H12*(1+$H$14)</f>
        <v>-3304.7233379282961</v>
      </c>
      <c r="J12" s="401">
        <f>I12*(1+$H$14)</f>
        <v>-3494.7828288793407</v>
      </c>
      <c r="K12" s="401">
        <f>J12*(1+$H$14)</f>
        <v>-3695.7729201883612</v>
      </c>
      <c r="L12" s="401">
        <f>K12*(1+$H$14)</f>
        <v>-3908.3222467295641</v>
      </c>
      <c r="M12" s="460">
        <f>L12*(1+$H$14)</f>
        <v>-4133.0955970916939</v>
      </c>
      <c r="N12" s="14"/>
      <c r="O12" s="14"/>
      <c r="P12" s="14"/>
      <c r="Q12" s="14"/>
      <c r="R12" s="14"/>
      <c r="S12" s="14"/>
      <c r="T12" s="14"/>
      <c r="U12" s="14"/>
      <c r="V12" s="14"/>
    </row>
    <row r="13" spans="1:24" s="15" customFormat="1" x14ac:dyDescent="0.25">
      <c r="A13" s="62" t="s">
        <v>12</v>
      </c>
      <c r="C13" s="16"/>
      <c r="D13" s="90">
        <f>(D12/C12)-1</f>
        <v>-0.63504852591100525</v>
      </c>
      <c r="E13" s="90">
        <f>(E12/D12)-1</f>
        <v>0.41746111389864526</v>
      </c>
      <c r="F13" s="90">
        <f>(F12/E12)-1</f>
        <v>1.0279646017699116</v>
      </c>
      <c r="G13" s="90">
        <f>(G12/F12)-1</f>
        <v>-0.26810961773433406</v>
      </c>
      <c r="H13" s="90">
        <f>(H12/G12)-1</f>
        <v>-0.25471023133794424</v>
      </c>
      <c r="I13" s="402"/>
      <c r="J13" s="402"/>
      <c r="K13" s="402"/>
      <c r="L13" s="402"/>
      <c r="M13" s="317"/>
      <c r="N13" s="16"/>
      <c r="O13" s="16"/>
    </row>
    <row r="14" spans="1:24" x14ac:dyDescent="0.25">
      <c r="H14" s="81">
        <f>AVERAGE(D13:H13)</f>
        <v>5.7511468137054655E-2</v>
      </c>
      <c r="I14" s="402"/>
      <c r="J14" s="251"/>
      <c r="K14" s="251"/>
      <c r="L14" s="251"/>
      <c r="M14" s="317"/>
      <c r="N14" t="s">
        <v>68</v>
      </c>
    </row>
    <row r="15" spans="1:24" s="7" customFormat="1" ht="15.75" thickBot="1" x14ac:dyDescent="0.3">
      <c r="A15" s="63" t="s">
        <v>20</v>
      </c>
      <c r="C15" s="41">
        <f t="shared" ref="C15:M15" si="0">C6+C9+C12</f>
        <v>47007</v>
      </c>
      <c r="D15" s="41">
        <f t="shared" si="0"/>
        <v>17095</v>
      </c>
      <c r="E15" s="41">
        <f t="shared" si="0"/>
        <v>29899</v>
      </c>
      <c r="F15" s="41">
        <f t="shared" si="0"/>
        <v>50582</v>
      </c>
      <c r="G15" s="41">
        <f t="shared" si="0"/>
        <v>58048</v>
      </c>
      <c r="H15" s="41">
        <f t="shared" si="0"/>
        <v>61643</v>
      </c>
      <c r="I15" s="403">
        <f t="shared" si="0"/>
        <v>72652.081842601096</v>
      </c>
      <c r="J15" s="403">
        <f t="shared" si="0"/>
        <v>85774.421489140062</v>
      </c>
      <c r="K15" s="403">
        <f t="shared" si="0"/>
        <v>101417.95541282214</v>
      </c>
      <c r="L15" s="403">
        <f t="shared" si="0"/>
        <v>120069.32126887869</v>
      </c>
      <c r="M15" s="479">
        <f t="shared" si="0"/>
        <v>142309.03414273326</v>
      </c>
    </row>
    <row r="16" spans="1:24" s="15" customFormat="1" ht="15.75" thickTop="1" x14ac:dyDescent="0.25">
      <c r="D16" s="16">
        <f>(D15/C15)-1</f>
        <v>-0.63633075924862248</v>
      </c>
      <c r="E16" s="16">
        <f>(E15/D15)-1</f>
        <v>0.74899093302135133</v>
      </c>
      <c r="F16" s="16">
        <f>(F15/E15)-1</f>
        <v>0.6917622662965317</v>
      </c>
      <c r="G16" s="16">
        <f>(G15/F15)-1</f>
        <v>0.14760191372424969</v>
      </c>
      <c r="H16" s="16">
        <f>(H15/G15)-1</f>
        <v>6.193150496141131E-2</v>
      </c>
      <c r="I16" s="402"/>
      <c r="J16" s="402"/>
      <c r="K16" s="402"/>
      <c r="L16" s="402"/>
      <c r="M16" s="480"/>
    </row>
    <row r="17" spans="1:12" ht="14.45" customHeight="1" x14ac:dyDescent="0.25">
      <c r="A17" s="64" t="s">
        <v>32</v>
      </c>
      <c r="C17" s="533"/>
      <c r="D17" s="534"/>
      <c r="E17" s="533"/>
      <c r="F17" s="534"/>
      <c r="G17" s="91"/>
      <c r="H17" s="535"/>
      <c r="I17" s="536"/>
      <c r="J17" s="536"/>
      <c r="K17" s="536"/>
      <c r="L17" s="537"/>
    </row>
    <row r="18" spans="1:12" x14ac:dyDescent="0.25">
      <c r="H18" s="102">
        <f>MEDIAN(D16:H16)</f>
        <v>0.14760191372424969</v>
      </c>
    </row>
  </sheetData>
  <mergeCells count="3">
    <mergeCell ref="C17:D17"/>
    <mergeCell ref="H17:L17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9485-D0BB-4688-92CA-F73704E14DA1}">
  <dimension ref="A1:N57"/>
  <sheetViews>
    <sheetView showGridLines="0" zoomScale="98" workbookViewId="0">
      <selection activeCell="I8" sqref="I8"/>
    </sheetView>
  </sheetViews>
  <sheetFormatPr defaultRowHeight="15" x14ac:dyDescent="0.25"/>
  <cols>
    <col min="1" max="1" width="36.85546875" bestFit="1" customWidth="1"/>
    <col min="2" max="5" width="12.140625" bestFit="1" customWidth="1"/>
    <col min="6" max="6" width="12.28515625" bestFit="1" customWidth="1"/>
    <col min="7" max="7" width="11.5703125" bestFit="1" customWidth="1"/>
    <col min="8" max="8" width="13.7109375" bestFit="1" customWidth="1"/>
    <col min="9" max="14" width="12.140625" bestFit="1" customWidth="1"/>
  </cols>
  <sheetData>
    <row r="1" spans="1:14" x14ac:dyDescent="0.25">
      <c r="A1" s="10" t="s">
        <v>69</v>
      </c>
    </row>
    <row r="2" spans="1:14" x14ac:dyDescent="0.25">
      <c r="A2" s="17" t="s">
        <v>21</v>
      </c>
    </row>
    <row r="3" spans="1:14" x14ac:dyDescent="0.25">
      <c r="A3" s="10" t="s">
        <v>33</v>
      </c>
      <c r="B3" s="462">
        <v>12</v>
      </c>
      <c r="C3" s="463">
        <v>12</v>
      </c>
      <c r="D3" s="463">
        <v>12</v>
      </c>
      <c r="E3" s="463">
        <v>12</v>
      </c>
      <c r="F3" s="464">
        <v>13</v>
      </c>
      <c r="I3" s="141"/>
      <c r="J3" s="141"/>
      <c r="K3" s="141"/>
      <c r="L3" s="141"/>
      <c r="M3" s="141"/>
      <c r="N3" s="141"/>
    </row>
    <row r="4" spans="1:14" x14ac:dyDescent="0.25">
      <c r="A4" s="18"/>
      <c r="B4" s="465" t="s">
        <v>17</v>
      </c>
      <c r="C4" s="466" t="s">
        <v>18</v>
      </c>
      <c r="D4" s="466" t="s">
        <v>19</v>
      </c>
      <c r="E4" s="466" t="s">
        <v>60</v>
      </c>
      <c r="F4" s="467" t="s">
        <v>61</v>
      </c>
      <c r="I4" s="83"/>
      <c r="J4" s="83"/>
      <c r="K4" s="83"/>
      <c r="L4" s="83"/>
      <c r="M4" s="83"/>
      <c r="N4" s="83"/>
    </row>
    <row r="5" spans="1:14" x14ac:dyDescent="0.25">
      <c r="A5" s="147" t="s">
        <v>59</v>
      </c>
      <c r="B5" s="252">
        <f>'DELTA AIRLINES-BS'!G27+'DELTA AIRLINES-BS'!G38</f>
        <v>16194</v>
      </c>
      <c r="C5" s="252">
        <f>B8</f>
        <v>14396</v>
      </c>
      <c r="D5" s="252">
        <f>C8</f>
        <v>12083</v>
      </c>
      <c r="E5" s="252">
        <f>D8</f>
        <v>9950</v>
      </c>
      <c r="F5" s="468">
        <f>E8</f>
        <v>8066</v>
      </c>
    </row>
    <row r="6" spans="1:14" x14ac:dyDescent="0.25">
      <c r="A6" s="147" t="s">
        <v>43</v>
      </c>
      <c r="B6" s="401">
        <v>0</v>
      </c>
      <c r="C6" s="401">
        <v>0</v>
      </c>
      <c r="D6" s="401">
        <v>0</v>
      </c>
      <c r="E6" s="401">
        <v>0</v>
      </c>
      <c r="F6" s="460">
        <v>0</v>
      </c>
    </row>
    <row r="7" spans="1:14" x14ac:dyDescent="0.25">
      <c r="A7" s="147" t="s">
        <v>44</v>
      </c>
      <c r="B7" s="404">
        <v>1798</v>
      </c>
      <c r="C7" s="404">
        <v>2313</v>
      </c>
      <c r="D7" s="404">
        <v>2133</v>
      </c>
      <c r="E7" s="404">
        <v>1884</v>
      </c>
      <c r="F7" s="460">
        <v>621</v>
      </c>
    </row>
    <row r="8" spans="1:14" ht="15.75" thickBot="1" x14ac:dyDescent="0.3">
      <c r="A8" s="229" t="s">
        <v>62</v>
      </c>
      <c r="B8" s="230">
        <f>B5+B6-B7</f>
        <v>14396</v>
      </c>
      <c r="C8" s="230">
        <f>C5+C6-C7</f>
        <v>12083</v>
      </c>
      <c r="D8" s="230">
        <f>D5+D6-D7</f>
        <v>9950</v>
      </c>
      <c r="E8" s="230">
        <f>E5+E6-E7</f>
        <v>8066</v>
      </c>
      <c r="F8" s="469">
        <f>F5+F6-F7</f>
        <v>7445</v>
      </c>
    </row>
    <row r="9" spans="1:14" x14ac:dyDescent="0.25">
      <c r="A9" s="147"/>
      <c r="B9" s="231"/>
      <c r="C9" s="231"/>
      <c r="D9" s="231"/>
      <c r="E9" s="231"/>
      <c r="F9" s="470"/>
    </row>
    <row r="10" spans="1:14" x14ac:dyDescent="0.25">
      <c r="A10" s="147" t="s">
        <v>63</v>
      </c>
      <c r="B10" s="405">
        <f>C7</f>
        <v>2313</v>
      </c>
      <c r="C10" s="405">
        <f>D7</f>
        <v>2133</v>
      </c>
      <c r="D10" s="405">
        <f>E7</f>
        <v>1884</v>
      </c>
      <c r="E10" s="405">
        <f>F7</f>
        <v>621</v>
      </c>
      <c r="F10" s="471">
        <v>621</v>
      </c>
    </row>
    <row r="11" spans="1:14" x14ac:dyDescent="0.25">
      <c r="A11" s="150" t="s">
        <v>64</v>
      </c>
      <c r="B11" s="406">
        <f>B8-B10</f>
        <v>12083</v>
      </c>
      <c r="C11" s="407">
        <f>C8-C10</f>
        <v>9950</v>
      </c>
      <c r="D11" s="407">
        <f>D8-D10</f>
        <v>8066</v>
      </c>
      <c r="E11" s="407">
        <f>E8-E10</f>
        <v>7445</v>
      </c>
      <c r="F11" s="472">
        <f>F8-F10</f>
        <v>6824</v>
      </c>
    </row>
    <row r="12" spans="1:14" x14ac:dyDescent="0.25">
      <c r="B12" s="57"/>
      <c r="C12" s="57"/>
      <c r="D12" s="57"/>
      <c r="E12" s="57"/>
    </row>
    <row r="13" spans="1:14" x14ac:dyDescent="0.25">
      <c r="A13" s="473">
        <v>0.1</v>
      </c>
      <c r="B13" s="476">
        <f>$A$13*B8</f>
        <v>1439.6000000000001</v>
      </c>
      <c r="C13" s="474">
        <f>$A$13*C8</f>
        <v>1208.3</v>
      </c>
      <c r="D13" s="474">
        <f>$A$13*D8</f>
        <v>995</v>
      </c>
      <c r="E13" s="474">
        <f>$A$13*E8</f>
        <v>806.6</v>
      </c>
      <c r="F13" s="475">
        <f>$A$13*F8</f>
        <v>744.5</v>
      </c>
    </row>
    <row r="14" spans="1:14" x14ac:dyDescent="0.25">
      <c r="A14" s="21"/>
      <c r="B14" s="57"/>
      <c r="C14" s="57"/>
      <c r="D14" s="57"/>
      <c r="E14" s="57"/>
    </row>
    <row r="15" spans="1:14" ht="14.45" customHeight="1" x14ac:dyDescent="0.25">
      <c r="A15" s="36"/>
      <c r="B15" s="139"/>
      <c r="C15" s="139"/>
      <c r="D15" s="79"/>
      <c r="E15" s="79"/>
      <c r="F15" s="139"/>
    </row>
    <row r="16" spans="1:14" x14ac:dyDescent="0.25">
      <c r="A16" s="21"/>
      <c r="B16" s="140"/>
      <c r="C16" s="140"/>
      <c r="D16" s="79"/>
      <c r="E16" s="79"/>
      <c r="F16" s="140"/>
    </row>
    <row r="17" spans="1:9" x14ac:dyDescent="0.25">
      <c r="A17" s="21"/>
      <c r="B17" s="43"/>
      <c r="C17" s="43"/>
      <c r="D17" s="43"/>
      <c r="E17" s="43"/>
      <c r="F17" s="80"/>
    </row>
    <row r="18" spans="1:9" x14ac:dyDescent="0.25">
      <c r="E18" s="13"/>
      <c r="F18" s="80"/>
    </row>
    <row r="19" spans="1:9" x14ac:dyDescent="0.25">
      <c r="E19" s="13"/>
      <c r="F19" s="80"/>
    </row>
    <row r="20" spans="1:9" x14ac:dyDescent="0.25">
      <c r="E20" s="13"/>
      <c r="F20" s="80"/>
    </row>
    <row r="21" spans="1:9" x14ac:dyDescent="0.25">
      <c r="A21" s="84"/>
      <c r="B21" s="85"/>
      <c r="C21" s="133"/>
      <c r="D21" s="133"/>
      <c r="E21" s="13"/>
      <c r="F21" s="80"/>
    </row>
    <row r="22" spans="1:9" x14ac:dyDescent="0.25">
      <c r="C22" s="133"/>
      <c r="D22" s="133"/>
      <c r="I22" t="s">
        <v>52</v>
      </c>
    </row>
    <row r="23" spans="1:9" x14ac:dyDescent="0.25">
      <c r="C23" s="133"/>
      <c r="D23" s="133"/>
      <c r="F23" s="81"/>
    </row>
    <row r="24" spans="1:9" x14ac:dyDescent="0.25">
      <c r="C24" s="133"/>
      <c r="D24" s="133"/>
    </row>
    <row r="25" spans="1:9" x14ac:dyDescent="0.25">
      <c r="C25" s="133"/>
      <c r="D25" s="133"/>
    </row>
    <row r="26" spans="1:9" x14ac:dyDescent="0.25">
      <c r="C26" s="133"/>
      <c r="D26" s="133"/>
    </row>
    <row r="27" spans="1:9" x14ac:dyDescent="0.25">
      <c r="C27" s="133"/>
      <c r="D27" s="133"/>
    </row>
    <row r="28" spans="1:9" x14ac:dyDescent="0.25">
      <c r="C28" s="86"/>
      <c r="D28" s="87"/>
    </row>
    <row r="37" spans="1:5" x14ac:dyDescent="0.25">
      <c r="A37" s="82"/>
      <c r="B37" s="165"/>
      <c r="C37" s="538"/>
      <c r="D37" s="538"/>
    </row>
    <row r="39" spans="1:5" x14ac:dyDescent="0.25">
      <c r="A39" s="7"/>
      <c r="B39" s="83"/>
      <c r="C39" s="83"/>
      <c r="D39" s="83"/>
      <c r="E39" s="83"/>
    </row>
    <row r="44" spans="1:5" x14ac:dyDescent="0.25">
      <c r="A44" s="7"/>
      <c r="B44" s="83"/>
      <c r="C44" s="83"/>
      <c r="D44" s="83"/>
      <c r="E44" s="83"/>
    </row>
    <row r="45" spans="1:5" x14ac:dyDescent="0.25">
      <c r="A45" s="7"/>
    </row>
    <row r="48" spans="1:5" x14ac:dyDescent="0.25">
      <c r="B48" s="30"/>
      <c r="C48" s="30"/>
      <c r="D48" s="30"/>
      <c r="E48" s="30"/>
    </row>
    <row r="49" spans="1:5" x14ac:dyDescent="0.25">
      <c r="B49" s="30"/>
      <c r="C49" s="30"/>
      <c r="D49" s="30"/>
      <c r="E49" s="30"/>
    </row>
    <row r="51" spans="1:5" x14ac:dyDescent="0.25">
      <c r="A51" s="7"/>
      <c r="B51" s="83"/>
      <c r="C51" s="83"/>
      <c r="D51" s="83"/>
      <c r="E51" s="83"/>
    </row>
    <row r="57" spans="1:5" x14ac:dyDescent="0.25">
      <c r="B57" s="14"/>
      <c r="C57" s="14"/>
      <c r="D57" s="14"/>
      <c r="E57" s="14"/>
    </row>
  </sheetData>
  <mergeCells count="1">
    <mergeCell ref="C37:D37"/>
  </mergeCells>
  <phoneticPr fontId="4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3A24-B2A6-4814-BF62-D9E8E0B05ED2}">
  <dimension ref="A1:M40"/>
  <sheetViews>
    <sheetView showGridLines="0" zoomScale="92" workbookViewId="0">
      <selection activeCell="K17" sqref="K17"/>
    </sheetView>
  </sheetViews>
  <sheetFormatPr defaultColWidth="8.7109375" defaultRowHeight="15" x14ac:dyDescent="0.25"/>
  <cols>
    <col min="1" max="1" width="48.28515625" bestFit="1" customWidth="1"/>
    <col min="2" max="4" width="11.28515625" bestFit="1" customWidth="1"/>
    <col min="5" max="12" width="10.28515625" bestFit="1" customWidth="1"/>
  </cols>
  <sheetData>
    <row r="1" spans="1:13" x14ac:dyDescent="0.25">
      <c r="A1" s="46" t="s">
        <v>69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3" x14ac:dyDescent="0.25">
      <c r="A2" s="48" t="s">
        <v>21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3" x14ac:dyDescent="0.25">
      <c r="A3" s="46" t="s">
        <v>24</v>
      </c>
      <c r="B3" s="49">
        <v>12</v>
      </c>
      <c r="C3" s="49">
        <v>12</v>
      </c>
      <c r="D3" s="49">
        <v>12</v>
      </c>
      <c r="E3" s="49">
        <v>12</v>
      </c>
      <c r="F3" s="49">
        <v>12</v>
      </c>
      <c r="G3" s="180">
        <v>12</v>
      </c>
      <c r="H3" s="426">
        <v>12</v>
      </c>
      <c r="I3" s="427">
        <v>12</v>
      </c>
      <c r="J3" s="427">
        <v>12</v>
      </c>
      <c r="K3" s="427">
        <v>12</v>
      </c>
      <c r="L3" s="428">
        <v>12</v>
      </c>
    </row>
    <row r="4" spans="1:13" x14ac:dyDescent="0.25">
      <c r="A4" s="51"/>
      <c r="B4" s="52">
        <v>43830</v>
      </c>
      <c r="C4" s="52">
        <v>44196</v>
      </c>
      <c r="D4" s="52">
        <v>44561</v>
      </c>
      <c r="E4" s="52">
        <v>44926</v>
      </c>
      <c r="F4" s="52">
        <v>45291</v>
      </c>
      <c r="G4" s="181">
        <v>45657</v>
      </c>
      <c r="H4" s="429">
        <v>46022</v>
      </c>
      <c r="I4" s="430">
        <v>46387</v>
      </c>
      <c r="J4" s="430">
        <v>46752</v>
      </c>
      <c r="K4" s="430">
        <v>47118</v>
      </c>
      <c r="L4" s="431">
        <v>47483</v>
      </c>
    </row>
    <row r="5" spans="1:13" x14ac:dyDescent="0.25">
      <c r="A5" s="147"/>
      <c r="B5" s="14"/>
      <c r="C5" s="14"/>
      <c r="D5" s="14"/>
      <c r="E5" s="14"/>
      <c r="F5" s="14"/>
      <c r="G5" s="203"/>
      <c r="H5" s="401"/>
      <c r="I5" s="401"/>
      <c r="J5" s="401"/>
      <c r="K5" s="401"/>
      <c r="L5" s="458"/>
    </row>
    <row r="6" spans="1:13" x14ac:dyDescent="0.25">
      <c r="A6" s="148" t="s">
        <v>25</v>
      </c>
      <c r="B6">
        <v>28335</v>
      </c>
      <c r="C6" s="111">
        <f>B10</f>
        <v>31310</v>
      </c>
      <c r="D6" s="111">
        <f t="shared" ref="D6:L6" si="0">C10</f>
        <v>26529</v>
      </c>
      <c r="E6" s="111">
        <f t="shared" si="0"/>
        <v>28749</v>
      </c>
      <c r="F6" s="111">
        <f t="shared" si="0"/>
        <v>33109</v>
      </c>
      <c r="G6" s="111">
        <f t="shared" si="0"/>
        <v>35486</v>
      </c>
      <c r="H6" s="250">
        <f t="shared" si="0"/>
        <v>37595</v>
      </c>
      <c r="I6" s="250">
        <f t="shared" si="0"/>
        <v>41979.348111187195</v>
      </c>
      <c r="J6" s="250">
        <f t="shared" si="0"/>
        <v>47309.141894062835</v>
      </c>
      <c r="K6" s="250">
        <f t="shared" si="0"/>
        <v>53759.451240596907</v>
      </c>
      <c r="L6" s="459">
        <f t="shared" si="0"/>
        <v>61539.611266704625</v>
      </c>
    </row>
    <row r="7" spans="1:13" x14ac:dyDescent="0.25">
      <c r="A7" s="148" t="s">
        <v>26</v>
      </c>
      <c r="B7" s="22">
        <f t="shared" ref="B7:G7" si="1">B8-B6</f>
        <v>5556</v>
      </c>
      <c r="C7" s="22">
        <f t="shared" si="1"/>
        <v>-2469</v>
      </c>
      <c r="D7" s="22">
        <f t="shared" si="1"/>
        <v>4218</v>
      </c>
      <c r="E7" s="22">
        <f t="shared" si="1"/>
        <v>6467</v>
      </c>
      <c r="F7" s="22">
        <f t="shared" si="1"/>
        <v>4718</v>
      </c>
      <c r="G7" s="22">
        <f t="shared" si="1"/>
        <v>4622</v>
      </c>
      <c r="H7" s="401">
        <f>'DELTA AIR LINES-IS'!H6*'Fixed Assets Schedule'!$H$16</f>
        <v>7246.0544007635899</v>
      </c>
      <c r="I7" s="401">
        <f>'DELTA AIR LINES-IS'!I6*'Fixed Assets Schedule'!$H$16</f>
        <v>8554.8288299687702</v>
      </c>
      <c r="J7" s="401">
        <f>'DELTA AIR LINES-IS'!J6*'Fixed Assets Schedule'!$H$16</f>
        <v>10115.058006563728</v>
      </c>
      <c r="K7" s="401">
        <f>'DELTA AIR LINES-IS'!K6*'Fixed Assets Schedule'!$H$16</f>
        <v>11975.27740033591</v>
      </c>
      <c r="L7" s="460">
        <f>'DELTA AIR LINES-IS'!L6*'Fixed Assets Schedule'!$H$16</f>
        <v>14193.385474519391</v>
      </c>
    </row>
    <row r="8" spans="1:13" x14ac:dyDescent="0.25">
      <c r="A8" s="148" t="s">
        <v>27</v>
      </c>
      <c r="B8" s="32">
        <f t="shared" ref="B8:G8" si="2">B9+B10</f>
        <v>33891</v>
      </c>
      <c r="C8" s="32">
        <f t="shared" si="2"/>
        <v>28841</v>
      </c>
      <c r="D8" s="32">
        <f t="shared" si="2"/>
        <v>30747</v>
      </c>
      <c r="E8" s="32">
        <f t="shared" si="2"/>
        <v>35216</v>
      </c>
      <c r="F8" s="32">
        <f t="shared" si="2"/>
        <v>37827</v>
      </c>
      <c r="G8" s="32">
        <f t="shared" si="2"/>
        <v>40108</v>
      </c>
      <c r="H8" s="408">
        <f>H6+H7</f>
        <v>44841.054400763591</v>
      </c>
      <c r="I8" s="408">
        <f>I6+I7</f>
        <v>50534.176941155965</v>
      </c>
      <c r="J8" s="408">
        <f>J6+J7</f>
        <v>57424.199900626561</v>
      </c>
      <c r="K8" s="408">
        <f>K6+K7</f>
        <v>65734.728640932823</v>
      </c>
      <c r="L8" s="458">
        <f>L6+L7</f>
        <v>75732.996741224022</v>
      </c>
    </row>
    <row r="9" spans="1:13" x14ac:dyDescent="0.25">
      <c r="A9" s="148" t="s">
        <v>28</v>
      </c>
      <c r="B9" s="22">
        <f>'DELTA AIR LINES-IS'!B39</f>
        <v>2581</v>
      </c>
      <c r="C9" s="22">
        <f>'DELTA AIR LINES-IS'!C39</f>
        <v>2312</v>
      </c>
      <c r="D9" s="22">
        <f>'DELTA AIR LINES-IS'!D39</f>
        <v>1998</v>
      </c>
      <c r="E9" s="22">
        <f>'DELTA AIR LINES-IS'!E39</f>
        <v>2107</v>
      </c>
      <c r="F9" s="22">
        <f>'DELTA AIR LINES-IS'!F39</f>
        <v>2341</v>
      </c>
      <c r="G9" s="22">
        <f>'DELTA AIR LINES-IS'!G39</f>
        <v>2513</v>
      </c>
      <c r="H9" s="401">
        <f>H8*$H$14</f>
        <v>2861.7062895763929</v>
      </c>
      <c r="I9" s="401">
        <f>I8*$H$14</f>
        <v>3225.0350470931335</v>
      </c>
      <c r="J9" s="401">
        <f>J8*$H$14</f>
        <v>3664.7486600296525</v>
      </c>
      <c r="K9" s="401">
        <f>K8*$H$14</f>
        <v>4195.1173742281935</v>
      </c>
      <c r="L9" s="460">
        <f>L8*$H$14</f>
        <v>4833.1957399096909</v>
      </c>
    </row>
    <row r="10" spans="1:13" ht="15.75" thickBot="1" x14ac:dyDescent="0.3">
      <c r="A10" s="173" t="s">
        <v>29</v>
      </c>
      <c r="B10" s="149">
        <f>'DELTA AIRLINES-BS'!B14</f>
        <v>31310</v>
      </c>
      <c r="C10" s="149">
        <f>'DELTA AIRLINES-BS'!C14</f>
        <v>26529</v>
      </c>
      <c r="D10" s="149">
        <f>'DELTA AIRLINES-BS'!D14</f>
        <v>28749</v>
      </c>
      <c r="E10" s="149">
        <f>'DELTA AIRLINES-BS'!E14</f>
        <v>33109</v>
      </c>
      <c r="F10" s="149">
        <f>'DELTA AIRLINES-BS'!F14</f>
        <v>35486</v>
      </c>
      <c r="G10" s="149">
        <f>'DELTA AIRLINES-BS'!G14</f>
        <v>37595</v>
      </c>
      <c r="H10" s="409">
        <f>H8-H9</f>
        <v>41979.348111187195</v>
      </c>
      <c r="I10" s="409">
        <f>I8-I9</f>
        <v>47309.141894062835</v>
      </c>
      <c r="J10" s="409">
        <f>J8-J9</f>
        <v>53759.451240596907</v>
      </c>
      <c r="K10" s="409">
        <f>K8-K9</f>
        <v>61539.611266704625</v>
      </c>
      <c r="L10" s="461">
        <f>L8-L9</f>
        <v>70899.801001314336</v>
      </c>
    </row>
    <row r="11" spans="1:13" ht="14.45" customHeight="1" thickTop="1" x14ac:dyDescent="0.25">
      <c r="A11" s="55"/>
      <c r="B11" s="14"/>
      <c r="C11" s="14"/>
      <c r="D11" s="14"/>
      <c r="E11" s="14"/>
      <c r="F11" s="121"/>
      <c r="G11" s="14"/>
      <c r="H11" s="14"/>
      <c r="I11" s="14"/>
      <c r="J11" s="14"/>
      <c r="K11" s="14"/>
      <c r="L11" s="14"/>
    </row>
    <row r="12" spans="1:13" x14ac:dyDescent="0.25">
      <c r="A12" s="47"/>
      <c r="B12" s="131"/>
      <c r="C12" s="131"/>
      <c r="D12" s="131"/>
      <c r="E12" s="131"/>
      <c r="F12" s="131"/>
      <c r="G12" s="43"/>
      <c r="H12" s="13"/>
      <c r="I12" s="13"/>
      <c r="J12" s="13"/>
      <c r="K12" s="13"/>
      <c r="L12" s="14"/>
    </row>
    <row r="13" spans="1:13" x14ac:dyDescent="0.25">
      <c r="A13" s="47"/>
      <c r="B13" s="14"/>
      <c r="C13" s="14"/>
      <c r="D13" s="14"/>
      <c r="E13" s="14"/>
      <c r="F13" s="44"/>
      <c r="G13" s="14"/>
      <c r="H13" s="14"/>
      <c r="I13" s="14"/>
      <c r="J13" s="14"/>
      <c r="K13" s="14"/>
      <c r="L13" s="14"/>
    </row>
    <row r="14" spans="1:13" x14ac:dyDescent="0.25">
      <c r="A14" s="47" t="s">
        <v>30</v>
      </c>
      <c r="B14" s="23">
        <f t="shared" ref="B14:G14" si="3">B9/B8</f>
        <v>7.6155911598949577E-2</v>
      </c>
      <c r="C14" s="23">
        <f t="shared" si="3"/>
        <v>8.0163655906521969E-2</v>
      </c>
      <c r="D14" s="23">
        <f t="shared" si="3"/>
        <v>6.4981949458483748E-2</v>
      </c>
      <c r="E14" s="23">
        <f t="shared" si="3"/>
        <v>5.9830758746024532E-2</v>
      </c>
      <c r="F14" s="23">
        <f t="shared" si="3"/>
        <v>6.1887011922700713E-2</v>
      </c>
      <c r="G14" s="23">
        <f t="shared" si="3"/>
        <v>6.2655829260995319E-2</v>
      </c>
      <c r="H14" s="33">
        <f>MEDIAN(B14:G14)</f>
        <v>6.3818889359739533E-2</v>
      </c>
      <c r="I14" s="23"/>
      <c r="J14" s="23"/>
      <c r="K14" s="23"/>
      <c r="L14" s="23"/>
      <c r="M14" s="23"/>
    </row>
    <row r="15" spans="1:13" x14ac:dyDescent="0.25">
      <c r="A15" s="47"/>
      <c r="B15" s="23"/>
      <c r="C15" s="23"/>
      <c r="D15" s="23"/>
      <c r="E15" s="23"/>
      <c r="F15" s="23"/>
      <c r="G15" s="24"/>
      <c r="H15" s="23"/>
      <c r="I15" s="23"/>
      <c r="J15" s="23"/>
      <c r="K15" s="23"/>
      <c r="L15" s="23"/>
      <c r="M15" s="23"/>
    </row>
    <row r="16" spans="1:13" x14ac:dyDescent="0.25">
      <c r="A16" s="56" t="s">
        <v>159</v>
      </c>
      <c r="B16" s="9">
        <f>B7/'DELTA AIR LINES-IS'!B6</f>
        <v>0.11819516242261791</v>
      </c>
      <c r="C16" s="9">
        <f>C7/'DELTA AIR LINES-IS'!C6</f>
        <v>-0.14442819537876572</v>
      </c>
      <c r="D16" s="9">
        <f>D7/'DELTA AIR LINES-IS'!D6</f>
        <v>0.14107495233954312</v>
      </c>
      <c r="E16" s="9">
        <f>E7/'DELTA AIR LINES-IS'!E6</f>
        <v>0.12785180498991736</v>
      </c>
      <c r="F16" s="9">
        <f>F7/'DELTA AIR LINES-IS'!F6</f>
        <v>8.1277563395810368E-2</v>
      </c>
      <c r="G16" s="9">
        <f>G7/'DELTA AIR LINES-IS'!G6</f>
        <v>7.4980127508395111E-2</v>
      </c>
      <c r="H16" s="214">
        <f>MEDIAN(B16:G16)</f>
        <v>9.9736362909214143E-2</v>
      </c>
      <c r="I16" s="22"/>
      <c r="J16" s="44"/>
      <c r="K16" s="44"/>
      <c r="L16" s="23"/>
      <c r="M16" s="23"/>
    </row>
    <row r="17" spans="1:13" x14ac:dyDescent="0.25">
      <c r="A17" s="56"/>
      <c r="B17" s="14"/>
      <c r="C17" s="14"/>
      <c r="D17" s="14"/>
      <c r="E17" s="14"/>
      <c r="F17" s="14"/>
      <c r="G17" s="22"/>
      <c r="H17" s="22"/>
      <c r="I17" s="22"/>
      <c r="J17" s="22"/>
      <c r="K17" s="44"/>
      <c r="L17" s="23"/>
      <c r="M17" s="23"/>
    </row>
    <row r="18" spans="1:13" x14ac:dyDescent="0.25">
      <c r="A18" s="47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5"/>
      <c r="M18" s="45"/>
    </row>
    <row r="19" spans="1:13" x14ac:dyDescent="0.25">
      <c r="A19" s="47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1:13" x14ac:dyDescent="0.25">
      <c r="A20" s="47"/>
      <c r="F20" s="44"/>
    </row>
    <row r="22" spans="1:13" x14ac:dyDescent="0.25">
      <c r="A22" s="65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3" x14ac:dyDescent="0.25">
      <c r="A23" s="127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5" spans="1:13" x14ac:dyDescent="0.25">
      <c r="A25" s="47"/>
      <c r="H25" s="44"/>
      <c r="I25" s="44"/>
      <c r="J25" s="44"/>
      <c r="K25" s="44"/>
    </row>
    <row r="26" spans="1:13" x14ac:dyDescent="0.25">
      <c r="A26" s="47"/>
      <c r="F26" s="128"/>
      <c r="G26" s="43"/>
      <c r="H26" s="43"/>
      <c r="I26" s="43"/>
      <c r="J26" s="43"/>
      <c r="K26" s="43"/>
    </row>
    <row r="27" spans="1:13" x14ac:dyDescent="0.25">
      <c r="A27" s="47"/>
      <c r="F27" s="128"/>
      <c r="G27" s="57"/>
      <c r="H27" s="57"/>
      <c r="I27" s="57"/>
      <c r="J27" s="57"/>
      <c r="K27" s="57"/>
    </row>
    <row r="28" spans="1:13" x14ac:dyDescent="0.25">
      <c r="A28" s="47"/>
      <c r="B28" s="30"/>
      <c r="C28" s="30"/>
      <c r="D28" s="30"/>
      <c r="E28" s="30"/>
      <c r="F28" s="30"/>
      <c r="G28" s="57"/>
      <c r="H28" s="57"/>
      <c r="I28" s="57"/>
      <c r="J28" s="57"/>
      <c r="K28" s="57"/>
    </row>
    <row r="29" spans="1:13" x14ac:dyDescent="0.25">
      <c r="A29" s="47"/>
      <c r="G29" s="57"/>
      <c r="H29" s="57"/>
      <c r="I29" s="57"/>
      <c r="J29" s="57"/>
      <c r="K29" s="57"/>
    </row>
    <row r="30" spans="1:13" x14ac:dyDescent="0.25">
      <c r="A30" s="129"/>
      <c r="B30" s="539"/>
      <c r="C30" s="540"/>
      <c r="D30" s="539"/>
      <c r="E30" s="540"/>
      <c r="F30" s="541"/>
      <c r="G30" s="539"/>
      <c r="H30" s="539"/>
      <c r="I30" s="539"/>
      <c r="J30" s="539"/>
      <c r="K30" s="539"/>
    </row>
    <row r="31" spans="1:13" x14ac:dyDescent="0.25">
      <c r="B31" s="130"/>
      <c r="E31" s="57"/>
      <c r="F31" s="541"/>
    </row>
    <row r="32" spans="1:13" x14ac:dyDescent="0.25">
      <c r="A32" s="47"/>
      <c r="B32" s="45"/>
      <c r="C32" s="45"/>
      <c r="D32" s="45"/>
      <c r="E32" s="45"/>
      <c r="G32" s="45"/>
      <c r="H32" s="90"/>
      <c r="I32" s="90"/>
      <c r="J32" s="90"/>
      <c r="K32" s="90"/>
    </row>
    <row r="34" spans="1:11" x14ac:dyDescent="0.25">
      <c r="A34" s="47"/>
      <c r="C34" s="57"/>
      <c r="D34" s="57"/>
      <c r="E34" s="57"/>
      <c r="F34" s="57"/>
      <c r="G34" s="57"/>
      <c r="H34" s="57"/>
      <c r="I34" s="57"/>
      <c r="J34" s="57"/>
      <c r="K34" s="57"/>
    </row>
    <row r="37" spans="1:11" x14ac:dyDescent="0.25">
      <c r="B37" s="57"/>
      <c r="C37" s="57"/>
      <c r="D37" s="57"/>
      <c r="E37" s="57"/>
    </row>
    <row r="38" spans="1:11" x14ac:dyDescent="0.25">
      <c r="B38" s="57"/>
      <c r="C38" s="57"/>
      <c r="D38" s="57"/>
      <c r="E38" s="57"/>
    </row>
    <row r="39" spans="1:11" x14ac:dyDescent="0.25">
      <c r="B39" s="30"/>
      <c r="C39" s="30"/>
      <c r="D39" s="30"/>
      <c r="E39" s="30"/>
    </row>
    <row r="40" spans="1:11" x14ac:dyDescent="0.25">
      <c r="B40" s="57"/>
      <c r="C40" s="57"/>
      <c r="D40" s="57"/>
      <c r="E40" s="57"/>
    </row>
  </sheetData>
  <mergeCells count="4">
    <mergeCell ref="G30:K30"/>
    <mergeCell ref="B30:C30"/>
    <mergeCell ref="D30:E30"/>
    <mergeCell ref="F30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E1CF-3899-4EF4-814E-11E894EB6FDD}">
  <dimension ref="A1:S122"/>
  <sheetViews>
    <sheetView showGridLines="0" zoomScale="76" zoomScaleNormal="80" workbookViewId="0">
      <pane xSplit="1" ySplit="4" topLeftCell="B25" activePane="bottomRight" state="frozen"/>
      <selection pane="topRight" activeCell="B1" sqref="B1"/>
      <selection pane="bottomLeft" activeCell="A5" sqref="A5"/>
      <selection pane="bottomRight" activeCell="O10" sqref="O10"/>
    </sheetView>
  </sheetViews>
  <sheetFormatPr defaultRowHeight="15" x14ac:dyDescent="0.25"/>
  <cols>
    <col min="1" max="1" width="52.5703125" customWidth="1"/>
    <col min="2" max="2" width="10.5703125" bestFit="1" customWidth="1"/>
    <col min="3" max="3" width="9.7109375" bestFit="1" customWidth="1"/>
    <col min="4" max="5" width="10.140625" bestFit="1" customWidth="1"/>
    <col min="6" max="6" width="10.7109375" customWidth="1"/>
    <col min="7" max="11" width="10.5703125" bestFit="1" customWidth="1"/>
    <col min="12" max="12" width="10.7109375" bestFit="1" customWidth="1"/>
    <col min="13" max="13" width="9.42578125" bestFit="1" customWidth="1"/>
    <col min="14" max="14" width="9.5703125" bestFit="1" customWidth="1"/>
    <col min="16" max="16" width="11.28515625" customWidth="1"/>
    <col min="17" max="17" width="11.140625" customWidth="1"/>
    <col min="18" max="18" width="11" customWidth="1"/>
  </cols>
  <sheetData>
    <row r="1" spans="1:18" x14ac:dyDescent="0.25">
      <c r="A1" s="46" t="s">
        <v>69</v>
      </c>
      <c r="B1" s="46"/>
      <c r="C1" s="46"/>
      <c r="D1" s="46"/>
      <c r="E1" s="65"/>
      <c r="F1" s="65"/>
      <c r="G1" s="65"/>
      <c r="H1" s="65"/>
      <c r="I1" s="66"/>
      <c r="J1" s="66"/>
      <c r="K1" s="66"/>
      <c r="L1" s="66"/>
      <c r="M1" s="66"/>
      <c r="N1" s="66"/>
    </row>
    <row r="2" spans="1:18" x14ac:dyDescent="0.25">
      <c r="A2" s="48" t="s">
        <v>21</v>
      </c>
      <c r="B2" s="65"/>
      <c r="C2" s="65"/>
      <c r="D2" s="65"/>
      <c r="E2" s="65"/>
      <c r="F2" s="65"/>
      <c r="G2" s="65"/>
      <c r="H2" s="65"/>
      <c r="I2" s="66"/>
      <c r="J2" s="66"/>
      <c r="K2" s="66"/>
      <c r="L2" s="66"/>
      <c r="M2" s="66"/>
      <c r="N2" s="66"/>
    </row>
    <row r="3" spans="1:18" x14ac:dyDescent="0.25">
      <c r="A3" s="559" t="s">
        <v>22</v>
      </c>
      <c r="B3" s="49" t="s">
        <v>14</v>
      </c>
      <c r="C3" s="49" t="s">
        <v>14</v>
      </c>
      <c r="D3" s="49" t="s">
        <v>14</v>
      </c>
      <c r="E3" s="49" t="s">
        <v>14</v>
      </c>
      <c r="F3" s="49" t="s">
        <v>14</v>
      </c>
      <c r="G3" s="180" t="s">
        <v>14</v>
      </c>
      <c r="H3" s="426" t="s">
        <v>14</v>
      </c>
      <c r="I3" s="427" t="s">
        <v>14</v>
      </c>
      <c r="J3" s="427" t="s">
        <v>14</v>
      </c>
      <c r="K3" s="427" t="s">
        <v>14</v>
      </c>
      <c r="L3" s="428">
        <v>12</v>
      </c>
      <c r="M3" s="50"/>
      <c r="N3" s="50"/>
    </row>
    <row r="4" spans="1:18" ht="30" x14ac:dyDescent="0.25">
      <c r="A4" s="559"/>
      <c r="B4" s="52" t="s">
        <v>0</v>
      </c>
      <c r="C4" s="52" t="s">
        <v>7</v>
      </c>
      <c r="D4" s="52" t="s">
        <v>8</v>
      </c>
      <c r="E4" s="52" t="s">
        <v>9</v>
      </c>
      <c r="F4" s="52" t="s">
        <v>15</v>
      </c>
      <c r="G4" s="181" t="s">
        <v>16</v>
      </c>
      <c r="H4" s="429" t="s">
        <v>17</v>
      </c>
      <c r="I4" s="430" t="s">
        <v>18</v>
      </c>
      <c r="J4" s="430" t="s">
        <v>19</v>
      </c>
      <c r="K4" s="430" t="s">
        <v>60</v>
      </c>
      <c r="L4" s="431" t="s">
        <v>61</v>
      </c>
      <c r="M4" s="53"/>
      <c r="N4" s="53"/>
    </row>
    <row r="5" spans="1:18" x14ac:dyDescent="0.25">
      <c r="A5" s="7" t="s">
        <v>70</v>
      </c>
      <c r="B5" s="108"/>
      <c r="C5" s="109"/>
      <c r="G5" s="175"/>
      <c r="H5" s="249"/>
      <c r="I5" s="249"/>
      <c r="J5" s="249"/>
      <c r="K5" s="249"/>
      <c r="L5" s="438"/>
    </row>
    <row r="6" spans="1:18" s="28" customFormat="1" x14ac:dyDescent="0.25">
      <c r="A6" s="7" t="s">
        <v>72</v>
      </c>
      <c r="B6" s="113">
        <v>47007</v>
      </c>
      <c r="C6" s="113">
        <v>17095</v>
      </c>
      <c r="D6" s="112">
        <v>29899</v>
      </c>
      <c r="E6" s="112">
        <v>50582</v>
      </c>
      <c r="F6" s="112">
        <v>58048</v>
      </c>
      <c r="G6" s="188">
        <f>'Revenue Segments'!H15</f>
        <v>61643</v>
      </c>
      <c r="H6" s="382">
        <f>'Revenue Segments'!I15</f>
        <v>72652.081842601096</v>
      </c>
      <c r="I6" s="382">
        <f>'Revenue Segments'!J15</f>
        <v>85774.421489140062</v>
      </c>
      <c r="J6" s="382">
        <f>'Revenue Segments'!K15</f>
        <v>101417.95541282214</v>
      </c>
      <c r="K6" s="382">
        <f>'Revenue Segments'!L15</f>
        <v>120069.32126887869</v>
      </c>
      <c r="L6" s="439">
        <f>'Revenue Segments'!M15</f>
        <v>142309.03414273326</v>
      </c>
    </row>
    <row r="7" spans="1:18" s="28" customFormat="1" x14ac:dyDescent="0.25">
      <c r="A7"/>
      <c r="B7" s="110"/>
      <c r="C7" s="110"/>
      <c r="D7" s="111"/>
      <c r="E7" s="111"/>
      <c r="F7" s="111"/>
      <c r="G7" s="189"/>
      <c r="H7" s="383"/>
      <c r="I7" s="383"/>
      <c r="J7" s="383"/>
      <c r="K7" s="383"/>
      <c r="L7" s="440"/>
    </row>
    <row r="8" spans="1:18" s="7" customFormat="1" x14ac:dyDescent="0.25">
      <c r="A8" s="7" t="s">
        <v>73</v>
      </c>
      <c r="B8" s="108"/>
      <c r="C8" s="109"/>
      <c r="D8"/>
      <c r="E8"/>
      <c r="F8"/>
      <c r="G8" s="189"/>
      <c r="H8" s="383"/>
      <c r="I8" s="383"/>
      <c r="J8" s="383"/>
      <c r="K8" s="383"/>
      <c r="L8" s="440"/>
    </row>
    <row r="9" spans="1:18" s="7" customFormat="1" x14ac:dyDescent="0.25">
      <c r="A9" t="s">
        <v>74</v>
      </c>
      <c r="B9" s="110">
        <v>11601</v>
      </c>
      <c r="C9" s="110">
        <v>9001</v>
      </c>
      <c r="D9" s="111">
        <v>9728</v>
      </c>
      <c r="E9" s="111">
        <v>11902</v>
      </c>
      <c r="F9" s="111">
        <v>14607</v>
      </c>
      <c r="G9" s="176">
        <v>16161</v>
      </c>
      <c r="H9" s="384">
        <f>H6*$H$50</f>
        <v>18664.590956816362</v>
      </c>
      <c r="I9" s="384">
        <f>I6*$H$50</f>
        <v>22035.768983478883</v>
      </c>
      <c r="J9" s="384">
        <f>J6*$H$50</f>
        <v>26054.651228824227</v>
      </c>
      <c r="K9" s="384">
        <f>K6*$H$50</f>
        <v>30846.256722572089</v>
      </c>
      <c r="L9" s="441">
        <f>L6*$H$50</f>
        <v>36559.721956601192</v>
      </c>
    </row>
    <row r="10" spans="1:18" x14ac:dyDescent="0.25">
      <c r="A10" t="s">
        <v>75</v>
      </c>
      <c r="B10" s="110">
        <v>8519</v>
      </c>
      <c r="C10" s="110">
        <v>3176</v>
      </c>
      <c r="D10" s="111">
        <v>5633</v>
      </c>
      <c r="E10" s="111">
        <v>11482</v>
      </c>
      <c r="F10" s="111">
        <v>11069</v>
      </c>
      <c r="G10" s="190">
        <v>10566</v>
      </c>
      <c r="H10" s="248">
        <f>H6*$H$51</f>
        <v>13592.705654815449</v>
      </c>
      <c r="I10" s="248">
        <f>I6*$H$51</f>
        <v>16047.805299507658</v>
      </c>
      <c r="J10" s="248">
        <f>J6*$H$51</f>
        <v>18974.603081936046</v>
      </c>
      <c r="K10" s="248">
        <f>K6*$H$51</f>
        <v>22464.145565947747</v>
      </c>
      <c r="L10" s="298">
        <f>L6*$H$51</f>
        <v>26625.043137979279</v>
      </c>
    </row>
    <row r="11" spans="1:18" s="7" customFormat="1" x14ac:dyDescent="0.25">
      <c r="A11" t="s">
        <v>76</v>
      </c>
      <c r="B11" s="110">
        <v>1245</v>
      </c>
      <c r="C11" s="110">
        <v>1785</v>
      </c>
      <c r="D11" s="111">
        <v>3957</v>
      </c>
      <c r="E11" s="111">
        <v>5756</v>
      </c>
      <c r="F11" s="111">
        <v>4172</v>
      </c>
      <c r="G11" s="176">
        <v>5416</v>
      </c>
      <c r="H11" s="384">
        <f>H6*$H$52</f>
        <v>6984.6709832226206</v>
      </c>
      <c r="I11" s="384">
        <f>I6*$H$52</f>
        <v>8246.2346251254257</v>
      </c>
      <c r="J11" s="384">
        <f>J6*$H$52</f>
        <v>9750.1824088726371</v>
      </c>
      <c r="K11" s="384">
        <f>K6*$H$52</f>
        <v>11543.299007712872</v>
      </c>
      <c r="L11" s="441">
        <f>L6*$H$52</f>
        <v>13681.394341605002</v>
      </c>
    </row>
    <row r="12" spans="1:18" s="7" customFormat="1" x14ac:dyDescent="0.25">
      <c r="A12" t="s">
        <v>77</v>
      </c>
      <c r="B12" s="110">
        <v>2942</v>
      </c>
      <c r="C12" s="110">
        <v>1953</v>
      </c>
      <c r="D12" s="111">
        <v>2420</v>
      </c>
      <c r="E12" s="111">
        <v>3345</v>
      </c>
      <c r="F12" s="111">
        <v>4041</v>
      </c>
      <c r="G12" s="176">
        <v>4228</v>
      </c>
      <c r="H12" s="384">
        <f>H6*$H$53</f>
        <v>5020.378253721321</v>
      </c>
      <c r="I12" s="384">
        <f>I6*$H$53</f>
        <v>5927.1534889052873</v>
      </c>
      <c r="J12" s="384">
        <f>J6*$H$53</f>
        <v>7008.1473920387516</v>
      </c>
      <c r="K12" s="384">
        <f>K6*$H$53</f>
        <v>8296.9874248516953</v>
      </c>
      <c r="L12" s="441">
        <f>L6*$H$53</f>
        <v>9833.7881337810868</v>
      </c>
    </row>
    <row r="13" spans="1:18" s="27" customFormat="1" x14ac:dyDescent="0.25">
      <c r="A13" t="s">
        <v>78</v>
      </c>
      <c r="B13" s="110">
        <v>2176</v>
      </c>
      <c r="C13" s="110">
        <v>1833</v>
      </c>
      <c r="D13" s="111">
        <v>2019</v>
      </c>
      <c r="E13" s="111">
        <v>2181</v>
      </c>
      <c r="F13" s="111">
        <v>2563</v>
      </c>
      <c r="G13" s="190">
        <v>3150</v>
      </c>
      <c r="H13" s="248">
        <f>H6*$H$54</f>
        <v>3537.8538129801732</v>
      </c>
      <c r="I13" s="248">
        <f>I6*$H$54</f>
        <v>4176.8571034062779</v>
      </c>
      <c r="J13" s="248">
        <f>J6*$H$54</f>
        <v>4938.6320551590143</v>
      </c>
      <c r="K13" s="248">
        <f>K6*$H$54</f>
        <v>5846.8758953574888</v>
      </c>
      <c r="L13" s="298">
        <f>L6*$H$54</f>
        <v>6929.8572910016046</v>
      </c>
    </row>
    <row r="14" spans="1:18" s="27" customFormat="1" ht="15.75" thickBot="1" x14ac:dyDescent="0.3">
      <c r="A14" s="119" t="s">
        <v>98</v>
      </c>
      <c r="B14" s="122">
        <f>SUM(B9:B13)</f>
        <v>26483</v>
      </c>
      <c r="C14" s="122">
        <f>SUM(C9:C13)</f>
        <v>17748</v>
      </c>
      <c r="D14" s="114">
        <f>SUM(D9:D13)</f>
        <v>23757</v>
      </c>
      <c r="E14" s="114">
        <f>SUM(E9:E13)</f>
        <v>34666</v>
      </c>
      <c r="F14" s="114">
        <f>SUM(F9:F13)</f>
        <v>36452</v>
      </c>
      <c r="G14" s="191">
        <f t="shared" ref="G14:L14" si="0">SUM(G9:G13)</f>
        <v>39521</v>
      </c>
      <c r="H14" s="385">
        <f t="shared" si="0"/>
        <v>47800.199661555926</v>
      </c>
      <c r="I14" s="385">
        <f t="shared" si="0"/>
        <v>56433.819500423531</v>
      </c>
      <c r="J14" s="385">
        <f t="shared" si="0"/>
        <v>66726.216166830665</v>
      </c>
      <c r="K14" s="385">
        <f t="shared" si="0"/>
        <v>78997.564616441887</v>
      </c>
      <c r="L14" s="442">
        <f t="shared" si="0"/>
        <v>93629.804860968157</v>
      </c>
    </row>
    <row r="15" spans="1:18" s="27" customFormat="1" ht="15.75" thickTop="1" x14ac:dyDescent="0.25">
      <c r="A15"/>
      <c r="G15" s="192"/>
      <c r="H15" s="386"/>
      <c r="I15" s="386"/>
      <c r="J15" s="386"/>
      <c r="K15" s="386"/>
      <c r="L15" s="443"/>
      <c r="M15" s="143"/>
      <c r="N15" s="143"/>
      <c r="O15" s="143"/>
      <c r="P15" s="143"/>
      <c r="Q15" s="143"/>
      <c r="R15" s="142"/>
    </row>
    <row r="16" spans="1:18" s="7" customFormat="1" x14ac:dyDescent="0.25">
      <c r="A16" t="s">
        <v>79</v>
      </c>
      <c r="B16" s="111">
        <v>2158</v>
      </c>
      <c r="C16" s="111">
        <v>1584</v>
      </c>
      <c r="D16" s="111">
        <v>1736</v>
      </c>
      <c r="E16" s="111">
        <v>2051</v>
      </c>
      <c r="F16" s="111">
        <v>2200</v>
      </c>
      <c r="G16" s="193">
        <v>2328</v>
      </c>
      <c r="H16" s="387">
        <f t="shared" ref="H16:H25" si="1">$H$6*H57</f>
        <v>3140.6070012444252</v>
      </c>
      <c r="I16" s="387">
        <f t="shared" ref="I16:I25" si="2">$I$6*H57</f>
        <v>3707.8600065459468</v>
      </c>
      <c r="J16" s="387">
        <f t="shared" ref="J16:J25" si="3">$J$6*H57</f>
        <v>4384.0992954813955</v>
      </c>
      <c r="K16" s="387">
        <f t="shared" ref="K16:K25" si="4">$K$6*H57</f>
        <v>5190.361259415301</v>
      </c>
      <c r="L16" s="444">
        <f t="shared" ref="L16:L25" si="5">$L$6*H57</f>
        <v>6151.7404268920636</v>
      </c>
    </row>
    <row r="17" spans="1:18" x14ac:dyDescent="0.25">
      <c r="A17" t="s">
        <v>80</v>
      </c>
      <c r="B17" s="111">
        <v>1751</v>
      </c>
      <c r="C17">
        <v>822</v>
      </c>
      <c r="D17" s="111">
        <v>1401</v>
      </c>
      <c r="E17" s="111">
        <v>1982</v>
      </c>
      <c r="F17" s="111">
        <v>2432</v>
      </c>
      <c r="G17" s="193">
        <v>2616</v>
      </c>
      <c r="H17" s="387">
        <f t="shared" si="1"/>
        <v>3159.0038342531211</v>
      </c>
      <c r="I17" s="387">
        <f t="shared" si="2"/>
        <v>3729.5796554332537</v>
      </c>
      <c r="J17" s="387">
        <f t="shared" si="3"/>
        <v>4409.7801726495845</v>
      </c>
      <c r="K17" s="387">
        <f t="shared" si="4"/>
        <v>5220.765002801988</v>
      </c>
      <c r="L17" s="444">
        <f t="shared" si="5"/>
        <v>6187.7756714487796</v>
      </c>
    </row>
    <row r="18" spans="1:18" x14ac:dyDescent="0.25">
      <c r="A18" t="s">
        <v>81</v>
      </c>
      <c r="B18" s="111">
        <v>2211</v>
      </c>
      <c r="C18">
        <v>643</v>
      </c>
      <c r="D18">
        <v>953</v>
      </c>
      <c r="E18" s="111">
        <v>1891</v>
      </c>
      <c r="F18" s="111">
        <v>2334</v>
      </c>
      <c r="G18" s="193">
        <v>2485</v>
      </c>
      <c r="H18" s="387">
        <f t="shared" si="1"/>
        <v>2826.9448456518571</v>
      </c>
      <c r="I18" s="387">
        <f t="shared" si="2"/>
        <v>3337.5445351011449</v>
      </c>
      <c r="J18" s="387">
        <f t="shared" si="3"/>
        <v>3946.245710232532</v>
      </c>
      <c r="K18" s="387">
        <f t="shared" si="4"/>
        <v>4671.9837928022307</v>
      </c>
      <c r="L18" s="444">
        <f t="shared" si="5"/>
        <v>5537.3470430078842</v>
      </c>
    </row>
    <row r="19" spans="1:18" x14ac:dyDescent="0.25">
      <c r="A19" t="s">
        <v>82</v>
      </c>
      <c r="B19" s="111">
        <v>1312</v>
      </c>
      <c r="C19">
        <v>551</v>
      </c>
      <c r="D19">
        <v>756</v>
      </c>
      <c r="E19" s="111">
        <v>1453</v>
      </c>
      <c r="F19" s="111">
        <v>1750</v>
      </c>
      <c r="G19" s="193">
        <v>1788</v>
      </c>
      <c r="H19" s="387">
        <f t="shared" si="1"/>
        <v>2138.6265595630043</v>
      </c>
      <c r="I19" s="387">
        <f t="shared" si="2"/>
        <v>2524.9029521995471</v>
      </c>
      <c r="J19" s="387">
        <f t="shared" si="3"/>
        <v>2985.3946034517744</v>
      </c>
      <c r="K19" s="387">
        <f t="shared" si="4"/>
        <v>3534.4264464525863</v>
      </c>
      <c r="L19" s="444">
        <f t="shared" si="5"/>
        <v>4189.0868418989758</v>
      </c>
    </row>
    <row r="20" spans="1:18" x14ac:dyDescent="0.25">
      <c r="A20" t="s">
        <v>83</v>
      </c>
      <c r="B20">
        <v>423</v>
      </c>
      <c r="C20">
        <v>399</v>
      </c>
      <c r="D20">
        <v>430</v>
      </c>
      <c r="E20">
        <v>508</v>
      </c>
      <c r="F20">
        <v>532</v>
      </c>
      <c r="G20" s="193">
        <v>548</v>
      </c>
      <c r="H20" s="387">
        <f t="shared" si="1"/>
        <v>707.76064872454072</v>
      </c>
      <c r="I20" s="387">
        <f t="shared" si="2"/>
        <v>835.59560383483279</v>
      </c>
      <c r="J20" s="387">
        <f t="shared" si="3"/>
        <v>987.9914806956848</v>
      </c>
      <c r="K20" s="387">
        <f t="shared" si="4"/>
        <v>1169.6889966248268</v>
      </c>
      <c r="L20" s="444">
        <f t="shared" si="5"/>
        <v>1386.34340227762</v>
      </c>
    </row>
    <row r="21" spans="1:18" s="27" customFormat="1" x14ac:dyDescent="0.25">
      <c r="A21" t="s">
        <v>84</v>
      </c>
      <c r="B21">
        <v>0</v>
      </c>
      <c r="C21" s="111">
        <v>8219</v>
      </c>
      <c r="D21">
        <v>-19</v>
      </c>
      <c r="E21" s="111">
        <v>0</v>
      </c>
      <c r="F21" s="111">
        <v>0</v>
      </c>
      <c r="G21" s="193">
        <v>0</v>
      </c>
      <c r="H21" s="387">
        <f t="shared" si="1"/>
        <v>0</v>
      </c>
      <c r="I21" s="387">
        <f t="shared" si="2"/>
        <v>0</v>
      </c>
      <c r="J21" s="387">
        <f t="shared" si="3"/>
        <v>0</v>
      </c>
      <c r="K21" s="387">
        <f t="shared" si="4"/>
        <v>0</v>
      </c>
      <c r="L21" s="444">
        <f t="shared" si="5"/>
        <v>0</v>
      </c>
    </row>
    <row r="22" spans="1:18" s="27" customFormat="1" x14ac:dyDescent="0.25">
      <c r="A22" t="s">
        <v>96</v>
      </c>
      <c r="B22">
        <v>0</v>
      </c>
      <c r="C22" s="111">
        <v>0</v>
      </c>
      <c r="D22">
        <v>0</v>
      </c>
      <c r="E22" s="111">
        <v>0</v>
      </c>
      <c r="F22" s="111">
        <v>864</v>
      </c>
      <c r="G22" s="193">
        <v>0</v>
      </c>
      <c r="H22" s="387">
        <f t="shared" si="1"/>
        <v>0</v>
      </c>
      <c r="I22" s="387">
        <f t="shared" si="2"/>
        <v>0</v>
      </c>
      <c r="J22" s="387">
        <f t="shared" si="3"/>
        <v>0</v>
      </c>
      <c r="K22" s="387">
        <f t="shared" si="4"/>
        <v>0</v>
      </c>
      <c r="L22" s="444">
        <f t="shared" si="5"/>
        <v>0</v>
      </c>
    </row>
    <row r="23" spans="1:18" s="27" customFormat="1" x14ac:dyDescent="0.25">
      <c r="A23" t="s">
        <v>85</v>
      </c>
      <c r="B23" s="111">
        <v>1643</v>
      </c>
      <c r="C23">
        <v>0</v>
      </c>
      <c r="D23">
        <v>108</v>
      </c>
      <c r="E23">
        <v>563</v>
      </c>
      <c r="F23" s="111">
        <v>1383</v>
      </c>
      <c r="G23" s="193">
        <v>1389</v>
      </c>
      <c r="H23" s="387">
        <f t="shared" si="1"/>
        <v>1269.7968092063488</v>
      </c>
      <c r="I23" s="387">
        <f t="shared" si="2"/>
        <v>1499.1461215714987</v>
      </c>
      <c r="J23" s="387">
        <f t="shared" si="3"/>
        <v>1772.5603026549516</v>
      </c>
      <c r="K23" s="387">
        <f t="shared" si="4"/>
        <v>2098.5446963667578</v>
      </c>
      <c r="L23" s="444">
        <f t="shared" si="5"/>
        <v>2487.2454153092235</v>
      </c>
    </row>
    <row r="24" spans="1:18" x14ac:dyDescent="0.25">
      <c r="A24" t="s">
        <v>86</v>
      </c>
      <c r="B24">
        <v>0</v>
      </c>
      <c r="C24" s="111">
        <v>-3946</v>
      </c>
      <c r="D24" s="111">
        <v>-4512</v>
      </c>
      <c r="E24">
        <v>0</v>
      </c>
      <c r="F24">
        <v>0</v>
      </c>
      <c r="G24" s="193">
        <v>0</v>
      </c>
      <c r="H24" s="387">
        <f t="shared" si="1"/>
        <v>0</v>
      </c>
      <c r="I24" s="387">
        <f t="shared" si="2"/>
        <v>0</v>
      </c>
      <c r="J24" s="387">
        <f t="shared" si="3"/>
        <v>0</v>
      </c>
      <c r="K24" s="387">
        <f t="shared" si="4"/>
        <v>0</v>
      </c>
      <c r="L24" s="444">
        <f t="shared" si="5"/>
        <v>0</v>
      </c>
    </row>
    <row r="25" spans="1:18" x14ac:dyDescent="0.25">
      <c r="A25" t="s">
        <v>71</v>
      </c>
      <c r="B25" s="111">
        <v>1827</v>
      </c>
      <c r="C25" s="111">
        <v>1232</v>
      </c>
      <c r="D25" s="111">
        <v>1405</v>
      </c>
      <c r="E25" s="111">
        <v>1700</v>
      </c>
      <c r="F25" s="111">
        <v>2239</v>
      </c>
      <c r="G25" s="193">
        <v>2460</v>
      </c>
      <c r="H25" s="387">
        <f t="shared" si="1"/>
        <v>2951.3191061602292</v>
      </c>
      <c r="I25" s="387">
        <f t="shared" si="2"/>
        <v>3484.3831386577149</v>
      </c>
      <c r="J25" s="387">
        <f t="shared" si="3"/>
        <v>4119.8647296306026</v>
      </c>
      <c r="K25" s="387">
        <f t="shared" si="4"/>
        <v>4877.5323836177286</v>
      </c>
      <c r="L25" s="444">
        <f t="shared" si="5"/>
        <v>5780.9681538730729</v>
      </c>
    </row>
    <row r="26" spans="1:18" s="7" customFormat="1" ht="15.75" thickBot="1" x14ac:dyDescent="0.3">
      <c r="A26" s="119" t="s">
        <v>87</v>
      </c>
      <c r="B26" s="114">
        <f>SUM(B16:B25)</f>
        <v>11325</v>
      </c>
      <c r="C26" s="114">
        <f>SUM(C16:C25)</f>
        <v>9504</v>
      </c>
      <c r="D26" s="114">
        <f>SUM(D16:D25)</f>
        <v>2258</v>
      </c>
      <c r="E26" s="114">
        <f>SUM(E16:E25)</f>
        <v>10148</v>
      </c>
      <c r="F26" s="114">
        <f>SUM(F16:F25)</f>
        <v>13734</v>
      </c>
      <c r="G26" s="177">
        <f t="shared" ref="G26:L26" si="6">SUM(G16:G25)</f>
        <v>13614</v>
      </c>
      <c r="H26" s="388">
        <f t="shared" si="6"/>
        <v>16194.058804803528</v>
      </c>
      <c r="I26" s="388">
        <f t="shared" si="6"/>
        <v>19119.012013343941</v>
      </c>
      <c r="J26" s="388">
        <f t="shared" si="6"/>
        <v>22605.936294796527</v>
      </c>
      <c r="K26" s="388">
        <f t="shared" si="6"/>
        <v>26763.302578081421</v>
      </c>
      <c r="L26" s="445">
        <f t="shared" si="6"/>
        <v>31720.506954707616</v>
      </c>
    </row>
    <row r="27" spans="1:18" s="7" customFormat="1" ht="15.75" thickTop="1" x14ac:dyDescent="0.25">
      <c r="A27"/>
      <c r="B27" s="110"/>
      <c r="C27" s="110"/>
      <c r="D27" s="111"/>
      <c r="E27" s="111"/>
      <c r="F27" s="111"/>
      <c r="G27" s="178"/>
      <c r="H27" s="389"/>
      <c r="I27" s="389"/>
      <c r="J27" s="389"/>
      <c r="K27" s="389"/>
      <c r="L27" s="446"/>
      <c r="M27" s="144"/>
      <c r="N27" s="144"/>
      <c r="O27" s="144"/>
      <c r="P27" s="144"/>
      <c r="Q27" s="144"/>
      <c r="R27" s="144"/>
    </row>
    <row r="28" spans="1:18" s="7" customFormat="1" ht="15.75" thickBot="1" x14ac:dyDescent="0.3">
      <c r="A28" s="117" t="s">
        <v>99</v>
      </c>
      <c r="B28" s="118">
        <f t="shared" ref="B28:L28" si="7">B6-B14-B26</f>
        <v>9199</v>
      </c>
      <c r="C28" s="118">
        <f t="shared" si="7"/>
        <v>-10157</v>
      </c>
      <c r="D28" s="118">
        <f t="shared" si="7"/>
        <v>3884</v>
      </c>
      <c r="E28" s="118">
        <f t="shared" si="7"/>
        <v>5768</v>
      </c>
      <c r="F28" s="118">
        <f t="shared" si="7"/>
        <v>7862</v>
      </c>
      <c r="G28" s="179">
        <f t="shared" si="7"/>
        <v>8508</v>
      </c>
      <c r="H28" s="390">
        <f t="shared" si="7"/>
        <v>8657.8233762416421</v>
      </c>
      <c r="I28" s="390">
        <f t="shared" si="7"/>
        <v>10221.58997537259</v>
      </c>
      <c r="J28" s="390">
        <f t="shared" si="7"/>
        <v>12085.802951194943</v>
      </c>
      <c r="K28" s="390">
        <f t="shared" si="7"/>
        <v>14308.454074355381</v>
      </c>
      <c r="L28" s="447">
        <f t="shared" si="7"/>
        <v>16958.722327057487</v>
      </c>
    </row>
    <row r="29" spans="1:18" s="7" customFormat="1" x14ac:dyDescent="0.25">
      <c r="A29"/>
      <c r="B29" s="110"/>
      <c r="C29" s="110"/>
      <c r="D29" s="111"/>
      <c r="E29" s="111"/>
      <c r="F29" s="111"/>
      <c r="G29" s="104"/>
      <c r="H29" s="389"/>
      <c r="I29" s="389"/>
      <c r="J29" s="389"/>
      <c r="K29" s="389"/>
      <c r="L29" s="446"/>
    </row>
    <row r="30" spans="1:18" x14ac:dyDescent="0.25">
      <c r="A30" s="7" t="s">
        <v>88</v>
      </c>
      <c r="B30" s="108"/>
      <c r="C30" s="109"/>
      <c r="G30" s="194"/>
      <c r="H30" s="249"/>
      <c r="I30" s="249"/>
      <c r="J30" s="249"/>
      <c r="K30" s="249"/>
      <c r="L30" s="448"/>
    </row>
    <row r="31" spans="1:18" x14ac:dyDescent="0.25">
      <c r="A31" t="s">
        <v>97</v>
      </c>
      <c r="B31">
        <v>-301</v>
      </c>
      <c r="C31">
        <v>-929</v>
      </c>
      <c r="D31" s="111">
        <v>-1279</v>
      </c>
      <c r="E31" s="111">
        <v>-1029</v>
      </c>
      <c r="F31">
        <v>-834</v>
      </c>
      <c r="G31" s="195">
        <v>-747</v>
      </c>
      <c r="H31" s="391">
        <f>-'Debt Schedule'!B13</f>
        <v>-1439.6000000000001</v>
      </c>
      <c r="I31" s="391">
        <f>-'Debt Schedule'!C13</f>
        <v>-1208.3</v>
      </c>
      <c r="J31" s="391">
        <f>-'Debt Schedule'!D13</f>
        <v>-995</v>
      </c>
      <c r="K31" s="391">
        <f>-'Debt Schedule'!E13</f>
        <v>-806.6</v>
      </c>
      <c r="L31" s="449">
        <f>-'Debt Schedule'!F13</f>
        <v>-744.5</v>
      </c>
    </row>
    <row r="32" spans="1:18" x14ac:dyDescent="0.25">
      <c r="A32" t="s">
        <v>89</v>
      </c>
      <c r="B32">
        <v>-62</v>
      </c>
      <c r="C32" s="111">
        <v>-2432</v>
      </c>
      <c r="D32">
        <v>-337</v>
      </c>
      <c r="E32">
        <v>0</v>
      </c>
      <c r="F32">
        <v>0</v>
      </c>
      <c r="G32" s="182">
        <v>0</v>
      </c>
      <c r="H32" s="391"/>
      <c r="I32" s="391"/>
      <c r="J32" s="391"/>
      <c r="K32" s="391"/>
      <c r="L32" s="449"/>
      <c r="M32" s="93"/>
    </row>
    <row r="33" spans="1:15" x14ac:dyDescent="0.25">
      <c r="A33" t="s">
        <v>90</v>
      </c>
      <c r="B33">
        <v>119</v>
      </c>
      <c r="C33">
        <v>-105</v>
      </c>
      <c r="D33">
        <v>56</v>
      </c>
      <c r="E33">
        <v>-783</v>
      </c>
      <c r="F33" s="111">
        <v>1263</v>
      </c>
      <c r="G33" s="182">
        <v>-319</v>
      </c>
      <c r="H33" s="391"/>
      <c r="I33" s="391"/>
      <c r="J33" s="391"/>
      <c r="K33" s="391"/>
      <c r="L33" s="449"/>
      <c r="M33" s="93"/>
    </row>
    <row r="34" spans="1:15" x14ac:dyDescent="0.25">
      <c r="A34" t="s">
        <v>91</v>
      </c>
      <c r="B34">
        <v>0</v>
      </c>
      <c r="C34">
        <v>-8</v>
      </c>
      <c r="D34">
        <v>-319</v>
      </c>
      <c r="E34">
        <v>-100</v>
      </c>
      <c r="F34">
        <v>-63</v>
      </c>
      <c r="G34" s="182">
        <v>-39</v>
      </c>
      <c r="H34" s="391"/>
      <c r="I34" s="391"/>
      <c r="J34" s="391"/>
      <c r="K34" s="391"/>
      <c r="L34" s="449"/>
      <c r="M34" s="67"/>
    </row>
    <row r="35" spans="1:15" x14ac:dyDescent="0.25">
      <c r="A35" t="s">
        <v>92</v>
      </c>
      <c r="B35">
        <v>-65</v>
      </c>
      <c r="C35">
        <v>219</v>
      </c>
      <c r="D35">
        <v>451</v>
      </c>
      <c r="E35">
        <v>292</v>
      </c>
      <c r="F35">
        <v>-244</v>
      </c>
      <c r="G35" s="182">
        <v>0</v>
      </c>
      <c r="H35" s="391"/>
      <c r="I35" s="391"/>
      <c r="J35" s="391"/>
      <c r="K35" s="391"/>
      <c r="L35" s="449"/>
    </row>
    <row r="36" spans="1:15" x14ac:dyDescent="0.25">
      <c r="A36" t="s">
        <v>93</v>
      </c>
      <c r="B36">
        <v>-111</v>
      </c>
      <c r="C36">
        <v>137</v>
      </c>
      <c r="D36">
        <v>-60</v>
      </c>
      <c r="E36">
        <v>-127</v>
      </c>
      <c r="F36">
        <v>-35</v>
      </c>
      <c r="G36" s="183">
        <v>-232</v>
      </c>
      <c r="H36" s="392"/>
      <c r="I36" s="392"/>
      <c r="J36" s="392"/>
      <c r="K36" s="392"/>
      <c r="L36" s="450"/>
      <c r="M36" s="93"/>
      <c r="N36" s="93"/>
      <c r="O36" s="93"/>
    </row>
    <row r="37" spans="1:15" ht="15.75" thickBot="1" x14ac:dyDescent="0.3">
      <c r="A37" s="119" t="s">
        <v>102</v>
      </c>
      <c r="B37" s="119">
        <f t="shared" ref="B37:L37" si="8">SUM(B31:B36)</f>
        <v>-420</v>
      </c>
      <c r="C37" s="114">
        <f t="shared" si="8"/>
        <v>-3118</v>
      </c>
      <c r="D37" s="114">
        <f t="shared" si="8"/>
        <v>-1488</v>
      </c>
      <c r="E37" s="114">
        <f t="shared" si="8"/>
        <v>-1747</v>
      </c>
      <c r="F37" s="119">
        <f t="shared" si="8"/>
        <v>87</v>
      </c>
      <c r="G37" s="196">
        <f t="shared" si="8"/>
        <v>-1337</v>
      </c>
      <c r="H37" s="393">
        <f t="shared" si="8"/>
        <v>-1439.6000000000001</v>
      </c>
      <c r="I37" s="393">
        <f t="shared" si="8"/>
        <v>-1208.3</v>
      </c>
      <c r="J37" s="393">
        <f t="shared" si="8"/>
        <v>-995</v>
      </c>
      <c r="K37" s="393">
        <f t="shared" si="8"/>
        <v>-806.6</v>
      </c>
      <c r="L37" s="451">
        <f t="shared" si="8"/>
        <v>-744.5</v>
      </c>
      <c r="M37" s="93"/>
      <c r="N37" s="93"/>
      <c r="O37" s="93"/>
    </row>
    <row r="38" spans="1:15" ht="15.75" thickTop="1" x14ac:dyDescent="0.25">
      <c r="C38" s="111"/>
      <c r="D38" s="111"/>
      <c r="E38" s="111"/>
      <c r="G38" s="184"/>
      <c r="H38" s="383"/>
      <c r="I38" s="383"/>
      <c r="J38" s="383"/>
      <c r="K38" s="383"/>
      <c r="L38" s="440"/>
      <c r="M38" s="93"/>
      <c r="N38" s="93"/>
      <c r="O38" s="93"/>
    </row>
    <row r="39" spans="1:15" x14ac:dyDescent="0.25">
      <c r="A39" t="s">
        <v>6</v>
      </c>
      <c r="B39" s="111">
        <v>2581</v>
      </c>
      <c r="C39" s="111">
        <v>2312</v>
      </c>
      <c r="D39" s="111">
        <v>1998</v>
      </c>
      <c r="E39" s="111">
        <v>2107</v>
      </c>
      <c r="F39" s="111">
        <v>2341</v>
      </c>
      <c r="G39" s="185">
        <v>2513</v>
      </c>
      <c r="H39" s="394">
        <f>'Fixed Assets Schedule'!H9</f>
        <v>2861.7062895763929</v>
      </c>
      <c r="I39" s="394">
        <f>'Fixed Assets Schedule'!I9</f>
        <v>3225.0350470931335</v>
      </c>
      <c r="J39" s="394">
        <f>'Fixed Assets Schedule'!J9</f>
        <v>3664.7486600296525</v>
      </c>
      <c r="K39" s="394">
        <f>'Fixed Assets Schedule'!K9</f>
        <v>4195.1173742281935</v>
      </c>
      <c r="L39" s="452">
        <f>'Fixed Assets Schedule'!L9</f>
        <v>4833.1957399096909</v>
      </c>
      <c r="M39" s="93"/>
      <c r="N39" s="93"/>
      <c r="O39" s="93"/>
    </row>
    <row r="40" spans="1:15" x14ac:dyDescent="0.25">
      <c r="B40" s="111"/>
      <c r="C40" s="111"/>
      <c r="D40" s="111"/>
      <c r="E40" s="111"/>
      <c r="F40" s="111"/>
      <c r="G40" s="184"/>
      <c r="H40" s="395"/>
      <c r="I40" s="395"/>
      <c r="J40" s="395"/>
      <c r="K40" s="395"/>
      <c r="L40" s="453"/>
      <c r="M40" s="93"/>
      <c r="N40" s="93"/>
      <c r="O40" s="93"/>
    </row>
    <row r="41" spans="1:15" x14ac:dyDescent="0.25">
      <c r="A41" s="116" t="s">
        <v>399</v>
      </c>
      <c r="B41" s="115">
        <f>B28+B37-B39</f>
        <v>6198</v>
      </c>
      <c r="C41" s="115">
        <f t="shared" ref="C41:L41" si="9">C28+C37-C39</f>
        <v>-15587</v>
      </c>
      <c r="D41" s="115">
        <f t="shared" si="9"/>
        <v>398</v>
      </c>
      <c r="E41" s="115">
        <f t="shared" si="9"/>
        <v>1914</v>
      </c>
      <c r="F41" s="115">
        <f t="shared" si="9"/>
        <v>5608</v>
      </c>
      <c r="G41" s="197">
        <f t="shared" si="9"/>
        <v>4658</v>
      </c>
      <c r="H41" s="396">
        <f t="shared" si="9"/>
        <v>4356.5170866652488</v>
      </c>
      <c r="I41" s="396">
        <f t="shared" si="9"/>
        <v>5788.2549282794571</v>
      </c>
      <c r="J41" s="396">
        <f t="shared" si="9"/>
        <v>7426.0542911652901</v>
      </c>
      <c r="K41" s="396">
        <f t="shared" si="9"/>
        <v>9306.7367001271869</v>
      </c>
      <c r="L41" s="454">
        <f t="shared" si="9"/>
        <v>11381.026587147797</v>
      </c>
      <c r="M41" s="132"/>
      <c r="N41" s="132"/>
      <c r="O41" s="132"/>
    </row>
    <row r="42" spans="1:15" x14ac:dyDescent="0.25">
      <c r="G42" s="198"/>
      <c r="H42" s="248"/>
      <c r="I42" s="397"/>
      <c r="J42" s="397"/>
      <c r="K42" s="397"/>
      <c r="L42" s="455"/>
      <c r="M42" s="132"/>
      <c r="N42" s="132"/>
      <c r="O42" s="132"/>
    </row>
    <row r="43" spans="1:15" x14ac:dyDescent="0.25">
      <c r="A43" s="116" t="s">
        <v>94</v>
      </c>
      <c r="B43" s="115">
        <v>-1431</v>
      </c>
      <c r="C43" s="115">
        <v>3202</v>
      </c>
      <c r="D43" s="116">
        <v>-118</v>
      </c>
      <c r="E43" s="116">
        <v>-596</v>
      </c>
      <c r="F43" s="116">
        <v>-999</v>
      </c>
      <c r="G43" s="199">
        <v>-1201</v>
      </c>
      <c r="H43" s="396">
        <f>H41*$H$68</f>
        <v>1064.5517854366501</v>
      </c>
      <c r="I43" s="396">
        <f>I41*$H$68</f>
        <v>1414.4090326933822</v>
      </c>
      <c r="J43" s="396">
        <f>J41*$H$68</f>
        <v>1814.6191549683122</v>
      </c>
      <c r="K43" s="396">
        <f>K41*$H$68</f>
        <v>2274.1798031814947</v>
      </c>
      <c r="L43" s="454">
        <f>L41*$H$68</f>
        <v>2781.0500756521265</v>
      </c>
      <c r="M43" s="132"/>
      <c r="N43" s="132"/>
      <c r="O43" s="132"/>
    </row>
    <row r="44" spans="1:15" x14ac:dyDescent="0.25">
      <c r="G44" s="194"/>
      <c r="H44" s="248"/>
      <c r="I44" s="248"/>
      <c r="J44" s="248"/>
      <c r="K44" s="248"/>
      <c r="L44" s="298"/>
      <c r="M44" s="132"/>
      <c r="N44" s="132"/>
      <c r="O44" s="132"/>
    </row>
    <row r="45" spans="1:15" ht="15.75" thickBot="1" x14ac:dyDescent="0.3">
      <c r="A45" s="117" t="s">
        <v>95</v>
      </c>
      <c r="B45" s="118">
        <v>4767</v>
      </c>
      <c r="C45" s="118">
        <v>-12385</v>
      </c>
      <c r="D45" s="117">
        <v>280</v>
      </c>
      <c r="E45" s="118">
        <v>1318</v>
      </c>
      <c r="F45" s="118">
        <v>4609</v>
      </c>
      <c r="G45" s="186">
        <f t="shared" ref="G45:L45" si="10">G41+G43</f>
        <v>3457</v>
      </c>
      <c r="H45" s="398">
        <f t="shared" si="10"/>
        <v>5421.0688721018987</v>
      </c>
      <c r="I45" s="398">
        <f t="shared" si="10"/>
        <v>7202.663960972839</v>
      </c>
      <c r="J45" s="398">
        <f t="shared" si="10"/>
        <v>9240.6734461336018</v>
      </c>
      <c r="K45" s="398">
        <f t="shared" si="10"/>
        <v>11580.916503308681</v>
      </c>
      <c r="L45" s="456">
        <f t="shared" si="10"/>
        <v>14162.076662799924</v>
      </c>
      <c r="M45" s="132"/>
      <c r="N45" s="132"/>
      <c r="O45" s="132"/>
    </row>
    <row r="46" spans="1:15" ht="15.75" thickBot="1" x14ac:dyDescent="0.3">
      <c r="A46" s="123" t="s">
        <v>158</v>
      </c>
      <c r="B46" s="124">
        <v>980</v>
      </c>
      <c r="C46" s="124">
        <v>260</v>
      </c>
      <c r="D46" s="123">
        <v>0</v>
      </c>
      <c r="E46" s="123">
        <v>0</v>
      </c>
      <c r="F46" s="123">
        <v>128</v>
      </c>
      <c r="G46" s="187">
        <v>321</v>
      </c>
      <c r="H46" s="399">
        <f>$H$70*H45</f>
        <v>75.276287223805923</v>
      </c>
      <c r="I46" s="399">
        <f>$H$70*I45</f>
        <v>100.01529474989405</v>
      </c>
      <c r="J46" s="399">
        <f>$H$70*J45</f>
        <v>128.31484064928412</v>
      </c>
      <c r="K46" s="399">
        <f>$H$70*K45</f>
        <v>160.81116428981463</v>
      </c>
      <c r="L46" s="457">
        <f>$H$70*L45</f>
        <v>196.65283280954549</v>
      </c>
      <c r="M46" s="132"/>
      <c r="N46" s="132"/>
      <c r="O46" s="132"/>
    </row>
    <row r="47" spans="1:15" x14ac:dyDescent="0.25">
      <c r="A47" s="7"/>
      <c r="B47" s="207"/>
      <c r="C47" s="207"/>
      <c r="D47" s="7"/>
      <c r="E47" s="7"/>
      <c r="F47" s="7"/>
      <c r="G47" s="208"/>
      <c r="H47" s="400"/>
      <c r="I47" s="400"/>
      <c r="J47" s="400"/>
      <c r="K47" s="400"/>
      <c r="L47" s="400"/>
      <c r="M47" s="132"/>
      <c r="N47" s="132"/>
      <c r="O47" s="132"/>
    </row>
    <row r="48" spans="1:15" x14ac:dyDescent="0.25">
      <c r="B48" s="209">
        <v>2019</v>
      </c>
      <c r="C48" s="209">
        <v>2020</v>
      </c>
      <c r="D48" s="210">
        <v>2021</v>
      </c>
      <c r="E48" s="210">
        <v>2022</v>
      </c>
      <c r="F48" s="210">
        <v>2023</v>
      </c>
      <c r="G48" s="211">
        <v>2024</v>
      </c>
      <c r="H48" s="103"/>
      <c r="I48" s="107"/>
      <c r="J48" s="107"/>
      <c r="K48" s="107"/>
      <c r="L48" s="107"/>
      <c r="M48" s="132"/>
      <c r="N48" s="132"/>
      <c r="O48" s="132"/>
    </row>
    <row r="49" spans="1:15" x14ac:dyDescent="0.25">
      <c r="A49" s="7" t="s">
        <v>100</v>
      </c>
      <c r="B49" s="120"/>
      <c r="C49" s="120"/>
      <c r="D49" s="120"/>
      <c r="E49" s="120"/>
      <c r="F49" s="120"/>
      <c r="G49" s="9"/>
      <c r="H49" s="103"/>
      <c r="I49" s="103"/>
      <c r="J49" s="103"/>
      <c r="K49" s="103"/>
      <c r="L49" s="103"/>
      <c r="M49" s="132"/>
      <c r="N49" s="132"/>
      <c r="O49" s="132"/>
    </row>
    <row r="50" spans="1:15" x14ac:dyDescent="0.25">
      <c r="A50" t="s">
        <v>74</v>
      </c>
      <c r="B50" s="145">
        <f t="shared" ref="B50:G50" si="11">B9/B6</f>
        <v>0.24679303082519624</v>
      </c>
      <c r="C50" s="145">
        <f t="shared" si="11"/>
        <v>0.52652822462708393</v>
      </c>
      <c r="D50" s="145">
        <f t="shared" si="11"/>
        <v>0.32536205224254994</v>
      </c>
      <c r="E50" s="145">
        <f t="shared" si="11"/>
        <v>0.23530109525127516</v>
      </c>
      <c r="F50" s="145">
        <f t="shared" si="11"/>
        <v>0.25163657662624034</v>
      </c>
      <c r="G50" s="145">
        <f t="shared" si="11"/>
        <v>0.26217088720535991</v>
      </c>
      <c r="H50" s="225">
        <f t="shared" ref="H50:H68" si="12">MEDIAN(B50:G50)</f>
        <v>0.25690373191580013</v>
      </c>
      <c r="I50" s="103"/>
      <c r="J50" s="103"/>
      <c r="K50" s="103"/>
      <c r="L50" s="103"/>
      <c r="M50" s="132"/>
      <c r="N50" s="132"/>
      <c r="O50" s="132"/>
    </row>
    <row r="51" spans="1:15" x14ac:dyDescent="0.25">
      <c r="A51" t="s">
        <v>75</v>
      </c>
      <c r="B51" s="145">
        <f t="shared" ref="B51:G51" si="13">B10/B6</f>
        <v>0.18122832769587507</v>
      </c>
      <c r="C51" s="145">
        <f t="shared" si="13"/>
        <v>0.18578531734425272</v>
      </c>
      <c r="D51" s="145">
        <f t="shared" si="13"/>
        <v>0.18840094986454398</v>
      </c>
      <c r="E51" s="145">
        <f t="shared" si="13"/>
        <v>0.22699774623383812</v>
      </c>
      <c r="F51" s="145">
        <f t="shared" si="13"/>
        <v>0.19068701764057333</v>
      </c>
      <c r="G51" s="145">
        <f t="shared" si="13"/>
        <v>0.17140632350794088</v>
      </c>
      <c r="H51" s="225">
        <f t="shared" si="12"/>
        <v>0.18709313360439833</v>
      </c>
      <c r="I51" s="103"/>
      <c r="J51" s="103"/>
      <c r="K51" s="103"/>
      <c r="L51" s="103"/>
      <c r="M51" s="132"/>
      <c r="N51" s="132"/>
      <c r="O51" s="132"/>
    </row>
    <row r="52" spans="1:15" x14ac:dyDescent="0.25">
      <c r="A52" t="s">
        <v>76</v>
      </c>
      <c r="B52" s="145">
        <f t="shared" ref="B52:G52" si="14">B11/B6</f>
        <v>2.6485417065543429E-2</v>
      </c>
      <c r="C52" s="145">
        <f t="shared" si="14"/>
        <v>0.10441649605147704</v>
      </c>
      <c r="D52" s="145">
        <f t="shared" si="14"/>
        <v>0.13234556339676912</v>
      </c>
      <c r="E52" s="145">
        <f t="shared" si="14"/>
        <v>0.11379542129611324</v>
      </c>
      <c r="F52" s="145">
        <f t="shared" si="14"/>
        <v>7.1871554575523702E-2</v>
      </c>
      <c r="G52" s="145">
        <f t="shared" si="14"/>
        <v>8.7860746556786662E-2</v>
      </c>
      <c r="H52" s="225">
        <f t="shared" si="12"/>
        <v>9.6138621304131852E-2</v>
      </c>
      <c r="I52" s="103"/>
      <c r="J52" s="103"/>
      <c r="K52" s="103"/>
      <c r="L52" s="103"/>
      <c r="M52" s="132"/>
      <c r="N52" s="132"/>
      <c r="O52" s="132"/>
    </row>
    <row r="53" spans="1:15" x14ac:dyDescent="0.25">
      <c r="A53" t="s">
        <v>77</v>
      </c>
      <c r="B53" s="145">
        <f t="shared" ref="B53:G53" si="15">B12/B6</f>
        <v>6.2586423298657642E-2</v>
      </c>
      <c r="C53" s="145">
        <f t="shared" si="15"/>
        <v>0.114243930973969</v>
      </c>
      <c r="D53" s="145">
        <f t="shared" si="15"/>
        <v>8.0939161844877761E-2</v>
      </c>
      <c r="E53" s="145">
        <f t="shared" si="15"/>
        <v>6.6130243960302079E-2</v>
      </c>
      <c r="F53" s="145">
        <f t="shared" si="15"/>
        <v>6.9614801543550167E-2</v>
      </c>
      <c r="G53" s="145">
        <f t="shared" si="15"/>
        <v>6.8588485310578651E-2</v>
      </c>
      <c r="H53" s="225">
        <f t="shared" si="12"/>
        <v>6.9101643427064402E-2</v>
      </c>
      <c r="I53" s="103"/>
      <c r="J53" s="103"/>
      <c r="K53" s="103"/>
      <c r="L53" s="103"/>
      <c r="M53" s="132"/>
      <c r="N53" s="132"/>
      <c r="O53" s="132"/>
    </row>
    <row r="54" spans="1:15" x14ac:dyDescent="0.25">
      <c r="A54" t="s">
        <v>78</v>
      </c>
      <c r="B54" s="145">
        <f t="shared" ref="B54:G54" si="16">B13/B6</f>
        <v>4.6290977939455823E-2</v>
      </c>
      <c r="C54" s="145">
        <f t="shared" si="16"/>
        <v>0.10722433460076046</v>
      </c>
      <c r="D54" s="145">
        <f t="shared" si="16"/>
        <v>6.7527342051573624E-2</v>
      </c>
      <c r="E54" s="145">
        <f t="shared" si="16"/>
        <v>4.3118105254833734E-2</v>
      </c>
      <c r="F54" s="145">
        <f t="shared" si="16"/>
        <v>4.4153114663726574E-2</v>
      </c>
      <c r="G54" s="145">
        <f t="shared" si="16"/>
        <v>5.1100692698278799E-2</v>
      </c>
      <c r="H54" s="225">
        <f t="shared" si="12"/>
        <v>4.8695835318867314E-2</v>
      </c>
      <c r="I54" s="103"/>
      <c r="J54" s="103"/>
      <c r="K54" s="103"/>
      <c r="L54" s="103"/>
      <c r="M54" s="132"/>
      <c r="N54" s="132"/>
      <c r="O54" s="132"/>
    </row>
    <row r="55" spans="1:15" x14ac:dyDescent="0.25">
      <c r="B55" s="145"/>
      <c r="C55" s="145"/>
      <c r="D55" s="145"/>
      <c r="E55" s="145"/>
      <c r="F55" s="145"/>
      <c r="H55" s="225"/>
      <c r="I55" s="103"/>
      <c r="J55" s="103"/>
      <c r="K55" s="103"/>
      <c r="L55" s="103"/>
      <c r="M55" s="132"/>
      <c r="N55" s="132"/>
      <c r="O55" s="132"/>
    </row>
    <row r="56" spans="1:15" s="7" customFormat="1" x14ac:dyDescent="0.25">
      <c r="A56" s="7" t="s">
        <v>101</v>
      </c>
      <c r="B56" s="145"/>
      <c r="C56" s="145"/>
      <c r="D56" s="145"/>
      <c r="E56" s="145"/>
      <c r="F56" s="145"/>
      <c r="H56" s="225"/>
      <c r="I56" s="104"/>
      <c r="J56" s="104"/>
      <c r="K56" s="104"/>
      <c r="L56" s="104"/>
    </row>
    <row r="57" spans="1:15" s="7" customFormat="1" x14ac:dyDescent="0.25">
      <c r="A57" t="s">
        <v>79</v>
      </c>
      <c r="B57" s="145">
        <f t="shared" ref="B57:B66" si="17">B16/$B$6</f>
        <v>4.5908056246941942E-2</v>
      </c>
      <c r="C57" s="145">
        <f t="shared" ref="C57:C66" si="18">C16/$C$6</f>
        <v>9.2658672126352731E-2</v>
      </c>
      <c r="D57" s="145">
        <f t="shared" ref="D57:D66" si="19">D16/$D$6</f>
        <v>5.8062142546573464E-2</v>
      </c>
      <c r="E57" s="145">
        <f t="shared" ref="E57:E66" si="20">E16/$E$6</f>
        <v>4.0548021035150844E-2</v>
      </c>
      <c r="F57" s="145">
        <f t="shared" ref="F57:G66" si="21">F16/$F$6</f>
        <v>3.7899669239250276E-2</v>
      </c>
      <c r="G57" s="145">
        <f t="shared" si="21"/>
        <v>4.0104740904079381E-2</v>
      </c>
      <c r="H57" s="225">
        <f t="shared" si="12"/>
        <v>4.3228038641046393E-2</v>
      </c>
      <c r="I57" s="104"/>
      <c r="J57" s="104"/>
      <c r="K57" s="104"/>
      <c r="L57" s="104"/>
    </row>
    <row r="58" spans="1:15" s="7" customFormat="1" x14ac:dyDescent="0.25">
      <c r="A58" t="s">
        <v>80</v>
      </c>
      <c r="B58" s="145">
        <f t="shared" si="17"/>
        <v>3.7249771310655863E-2</v>
      </c>
      <c r="C58" s="145">
        <f t="shared" si="18"/>
        <v>4.80842351564785E-2</v>
      </c>
      <c r="D58" s="145">
        <f t="shared" si="19"/>
        <v>4.6857754439947823E-2</v>
      </c>
      <c r="E58" s="145">
        <f t="shared" si="20"/>
        <v>3.918389941085762E-2</v>
      </c>
      <c r="F58" s="145">
        <f t="shared" si="21"/>
        <v>4.1896361631753032E-2</v>
      </c>
      <c r="G58" s="145">
        <f t="shared" si="21"/>
        <v>4.5066152149944874E-2</v>
      </c>
      <c r="H58" s="225">
        <f t="shared" si="12"/>
        <v>4.3481256890848953E-2</v>
      </c>
      <c r="I58" s="104"/>
      <c r="J58" s="104"/>
      <c r="K58" s="104"/>
      <c r="L58" s="104"/>
    </row>
    <row r="59" spans="1:15" s="7" customFormat="1" x14ac:dyDescent="0.25">
      <c r="A59" t="s">
        <v>81</v>
      </c>
      <c r="B59" s="145">
        <f t="shared" si="17"/>
        <v>4.7035547897121707E-2</v>
      </c>
      <c r="C59" s="145">
        <f t="shared" si="18"/>
        <v>3.7613337233109098E-2</v>
      </c>
      <c r="D59" s="145">
        <f t="shared" si="19"/>
        <v>3.1873975718251443E-2</v>
      </c>
      <c r="E59" s="145">
        <f t="shared" si="20"/>
        <v>3.7384840457079592E-2</v>
      </c>
      <c r="F59" s="145">
        <f t="shared" si="21"/>
        <v>4.0208103638368249E-2</v>
      </c>
      <c r="G59" s="145">
        <f t="shared" si="21"/>
        <v>4.2809399117971332E-2</v>
      </c>
      <c r="H59" s="225">
        <f t="shared" si="12"/>
        <v>3.8910720435738677E-2</v>
      </c>
      <c r="I59" s="104"/>
      <c r="J59" s="104"/>
      <c r="K59" s="104"/>
      <c r="L59" s="104"/>
    </row>
    <row r="60" spans="1:15" s="7" customFormat="1" x14ac:dyDescent="0.25">
      <c r="A60" t="s">
        <v>82</v>
      </c>
      <c r="B60" s="145">
        <f t="shared" si="17"/>
        <v>2.7910736698789542E-2</v>
      </c>
      <c r="C60" s="145">
        <f t="shared" si="18"/>
        <v>3.2231646680315883E-2</v>
      </c>
      <c r="D60" s="145">
        <f t="shared" si="19"/>
        <v>2.5285126592862639E-2</v>
      </c>
      <c r="E60" s="145">
        <f t="shared" si="20"/>
        <v>2.8725633624609545E-2</v>
      </c>
      <c r="F60" s="145">
        <f t="shared" si="21"/>
        <v>3.0147464167585448E-2</v>
      </c>
      <c r="G60" s="145">
        <f t="shared" si="21"/>
        <v>3.0802094818081587E-2</v>
      </c>
      <c r="H60" s="225">
        <f t="shared" si="12"/>
        <v>2.9436548896097495E-2</v>
      </c>
      <c r="I60" s="104"/>
      <c r="J60" s="104"/>
      <c r="K60" s="104"/>
      <c r="L60" s="104"/>
    </row>
    <row r="61" spans="1:15" s="7" customFormat="1" x14ac:dyDescent="0.25">
      <c r="A61" t="s">
        <v>83</v>
      </c>
      <c r="B61" s="145">
        <f t="shared" si="17"/>
        <v>8.9986597740762016E-3</v>
      </c>
      <c r="C61" s="145">
        <f t="shared" si="18"/>
        <v>2.3340157940918396E-2</v>
      </c>
      <c r="D61" s="145">
        <f t="shared" si="19"/>
        <v>1.4381751898056792E-2</v>
      </c>
      <c r="E61" s="145">
        <f t="shared" si="20"/>
        <v>1.004309833537622E-2</v>
      </c>
      <c r="F61" s="145">
        <f t="shared" si="21"/>
        <v>9.1648291069459757E-3</v>
      </c>
      <c r="G61" s="145">
        <f t="shared" si="21"/>
        <v>9.4404630650496146E-3</v>
      </c>
      <c r="H61" s="225">
        <f t="shared" si="12"/>
        <v>9.7417807002129174E-3</v>
      </c>
      <c r="I61" s="104"/>
      <c r="J61" s="104"/>
      <c r="K61" s="104"/>
      <c r="L61" s="104"/>
    </row>
    <row r="62" spans="1:15" s="7" customFormat="1" x14ac:dyDescent="0.25">
      <c r="A62" t="s">
        <v>84</v>
      </c>
      <c r="B62" s="145">
        <f t="shared" si="17"/>
        <v>0</v>
      </c>
      <c r="C62" s="145">
        <f t="shared" si="18"/>
        <v>0.48078385492834164</v>
      </c>
      <c r="D62" s="145">
        <f t="shared" si="19"/>
        <v>-6.3547275828623035E-4</v>
      </c>
      <c r="E62" s="145">
        <f t="shared" si="20"/>
        <v>0</v>
      </c>
      <c r="F62" s="145">
        <f t="shared" si="21"/>
        <v>0</v>
      </c>
      <c r="G62" s="145">
        <f t="shared" si="21"/>
        <v>0</v>
      </c>
      <c r="H62" s="225">
        <f t="shared" si="12"/>
        <v>0</v>
      </c>
      <c r="I62" s="104"/>
      <c r="J62" s="104"/>
      <c r="K62" s="104"/>
      <c r="L62" s="104"/>
    </row>
    <row r="63" spans="1:15" s="7" customFormat="1" x14ac:dyDescent="0.25">
      <c r="A63" t="s">
        <v>96</v>
      </c>
      <c r="B63" s="145">
        <f t="shared" si="17"/>
        <v>0</v>
      </c>
      <c r="C63" s="145">
        <f t="shared" si="18"/>
        <v>0</v>
      </c>
      <c r="D63" s="145">
        <f t="shared" si="19"/>
        <v>0</v>
      </c>
      <c r="E63" s="145">
        <f t="shared" si="20"/>
        <v>0</v>
      </c>
      <c r="F63" s="145">
        <f t="shared" si="21"/>
        <v>1.4884233737596472E-2</v>
      </c>
      <c r="G63" s="145">
        <f t="shared" si="21"/>
        <v>0</v>
      </c>
      <c r="H63" s="225">
        <f t="shared" si="12"/>
        <v>0</v>
      </c>
      <c r="I63" s="104"/>
      <c r="J63" s="104"/>
      <c r="K63" s="104"/>
      <c r="L63" s="104"/>
    </row>
    <row r="64" spans="1:15" s="7" customFormat="1" x14ac:dyDescent="0.25">
      <c r="A64" t="s">
        <v>85</v>
      </c>
      <c r="B64" s="145">
        <f t="shared" si="17"/>
        <v>3.4952241155572578E-2</v>
      </c>
      <c r="C64" s="145">
        <f t="shared" si="18"/>
        <v>0</v>
      </c>
      <c r="D64" s="145">
        <f t="shared" si="19"/>
        <v>3.6121609418375195E-3</v>
      </c>
      <c r="E64" s="145">
        <f t="shared" si="20"/>
        <v>1.1130441659088212E-2</v>
      </c>
      <c r="F64" s="145">
        <f t="shared" si="21"/>
        <v>2.3825110253583241E-2</v>
      </c>
      <c r="G64" s="145">
        <f t="shared" si="21"/>
        <v>2.3928472987872106E-2</v>
      </c>
      <c r="H64" s="225">
        <f t="shared" si="12"/>
        <v>1.7477775956335727E-2</v>
      </c>
      <c r="I64" s="104"/>
      <c r="J64" s="104"/>
      <c r="K64" s="104"/>
      <c r="L64" s="104"/>
    </row>
    <row r="65" spans="1:13" s="7" customFormat="1" x14ac:dyDescent="0.25">
      <c r="A65" t="s">
        <v>86</v>
      </c>
      <c r="B65" s="145">
        <f t="shared" si="17"/>
        <v>0</v>
      </c>
      <c r="C65" s="145">
        <f t="shared" si="18"/>
        <v>-0.23082772740567417</v>
      </c>
      <c r="D65" s="145">
        <f t="shared" si="19"/>
        <v>-0.15090805712565639</v>
      </c>
      <c r="E65" s="145">
        <f t="shared" si="20"/>
        <v>0</v>
      </c>
      <c r="F65" s="145">
        <f t="shared" si="21"/>
        <v>0</v>
      </c>
      <c r="G65" s="145">
        <f t="shared" si="21"/>
        <v>0</v>
      </c>
      <c r="H65" s="225">
        <f t="shared" si="12"/>
        <v>0</v>
      </c>
      <c r="I65" s="104"/>
      <c r="J65" s="104"/>
      <c r="K65" s="104"/>
      <c r="L65" s="104"/>
    </row>
    <row r="66" spans="1:13" s="7" customFormat="1" x14ac:dyDescent="0.25">
      <c r="A66" t="s">
        <v>71</v>
      </c>
      <c r="B66" s="145">
        <f t="shared" si="17"/>
        <v>3.886655179015891E-2</v>
      </c>
      <c r="C66" s="145">
        <f t="shared" si="18"/>
        <v>7.2067856098274347E-2</v>
      </c>
      <c r="D66" s="145">
        <f t="shared" si="19"/>
        <v>4.6991538178534402E-2</v>
      </c>
      <c r="E66" s="145">
        <f t="shared" si="20"/>
        <v>3.3608793642007036E-2</v>
      </c>
      <c r="F66" s="145">
        <f t="shared" si="21"/>
        <v>3.8571527012127897E-2</v>
      </c>
      <c r="G66" s="145">
        <f t="shared" si="21"/>
        <v>4.2378721058434397E-2</v>
      </c>
      <c r="H66" s="225">
        <f t="shared" si="12"/>
        <v>4.0622636424296657E-2</v>
      </c>
      <c r="I66" s="104"/>
      <c r="J66" s="104"/>
      <c r="K66" s="104"/>
      <c r="L66" s="104"/>
    </row>
    <row r="67" spans="1:13" s="7" customFormat="1" x14ac:dyDescent="0.25">
      <c r="A67"/>
      <c r="B67" s="145"/>
      <c r="C67" s="145"/>
      <c r="D67" s="145"/>
      <c r="E67" s="145"/>
      <c r="F67" s="145"/>
      <c r="H67" s="225"/>
      <c r="I67" s="104"/>
      <c r="J67" s="104"/>
      <c r="K67" s="104"/>
      <c r="L67" s="104"/>
    </row>
    <row r="68" spans="1:13" s="7" customFormat="1" x14ac:dyDescent="0.25">
      <c r="A68" s="7" t="s">
        <v>103</v>
      </c>
      <c r="B68" s="145">
        <f t="shared" ref="B68:G68" si="22">-B43/B41</f>
        <v>0.2308809293320426</v>
      </c>
      <c r="C68" s="145">
        <f t="shared" si="22"/>
        <v>0.20542759992301277</v>
      </c>
      <c r="D68" s="145">
        <f t="shared" si="22"/>
        <v>0.29648241206030151</v>
      </c>
      <c r="E68" s="145">
        <f t="shared" si="22"/>
        <v>0.31138975966562171</v>
      </c>
      <c r="F68" s="145">
        <f t="shared" si="22"/>
        <v>0.17813837375178318</v>
      </c>
      <c r="G68" s="145">
        <f t="shared" si="22"/>
        <v>0.25783598110777156</v>
      </c>
      <c r="H68" s="225">
        <f t="shared" si="12"/>
        <v>0.24435845521990707</v>
      </c>
      <c r="I68" s="104"/>
      <c r="J68" s="104"/>
      <c r="K68" s="104"/>
      <c r="L68" s="104"/>
    </row>
    <row r="69" spans="1:13" s="7" customFormat="1" x14ac:dyDescent="0.25">
      <c r="A69"/>
      <c r="B69" s="145"/>
      <c r="C69" s="145"/>
      <c r="D69" s="145"/>
      <c r="E69" s="145"/>
      <c r="F69" s="145"/>
      <c r="H69" s="225"/>
      <c r="I69" s="104"/>
      <c r="J69" s="104"/>
      <c r="K69" s="104"/>
      <c r="L69" s="104"/>
    </row>
    <row r="70" spans="1:13" x14ac:dyDescent="0.25">
      <c r="A70" s="7" t="s">
        <v>157</v>
      </c>
      <c r="B70" s="145">
        <f t="shared" ref="B70:G70" si="23">B46/B45</f>
        <v>0.20558002936857561</v>
      </c>
      <c r="C70" s="145">
        <f t="shared" si="23"/>
        <v>-2.0993136859103756E-2</v>
      </c>
      <c r="D70" s="145">
        <f t="shared" si="23"/>
        <v>0</v>
      </c>
      <c r="E70" s="145">
        <f t="shared" si="23"/>
        <v>0</v>
      </c>
      <c r="F70" s="145">
        <f t="shared" si="23"/>
        <v>2.7771750922108918E-2</v>
      </c>
      <c r="G70" s="145">
        <f t="shared" si="23"/>
        <v>9.2855076656060173E-2</v>
      </c>
      <c r="H70" s="225">
        <f>MEDIAN(B70:G70)</f>
        <v>1.3885875461054459E-2</v>
      </c>
      <c r="I70" s="103"/>
      <c r="J70" s="103"/>
      <c r="K70" s="103"/>
      <c r="L70" s="103"/>
    </row>
    <row r="71" spans="1:13" x14ac:dyDescent="0.25">
      <c r="G71" s="105"/>
      <c r="H71" s="105"/>
      <c r="I71" s="105"/>
      <c r="J71" s="105"/>
      <c r="K71" s="105"/>
      <c r="L71" s="105"/>
      <c r="M71" s="93"/>
    </row>
    <row r="72" spans="1:13" x14ac:dyDescent="0.25">
      <c r="D72" s="111"/>
      <c r="E72" s="105"/>
      <c r="F72" s="105"/>
      <c r="G72" s="105"/>
      <c r="H72" s="105"/>
      <c r="I72" s="105"/>
      <c r="J72" s="105"/>
      <c r="K72" s="105"/>
      <c r="L72" s="105"/>
      <c r="M72" s="93"/>
    </row>
    <row r="73" spans="1:13" x14ac:dyDescent="0.25">
      <c r="D73" s="111"/>
      <c r="E73" s="106"/>
      <c r="F73" s="106"/>
      <c r="G73" s="107"/>
      <c r="H73" s="103"/>
      <c r="I73" s="107"/>
      <c r="J73" s="107"/>
      <c r="K73" s="107"/>
      <c r="L73" s="107"/>
    </row>
    <row r="74" spans="1:13" x14ac:dyDescent="0.25">
      <c r="D74" s="111"/>
      <c r="E74" s="106"/>
      <c r="F74" s="103"/>
      <c r="G74" s="103"/>
      <c r="H74" s="103"/>
      <c r="I74" s="103"/>
      <c r="J74" s="103"/>
      <c r="K74" s="103"/>
      <c r="L74" s="103"/>
    </row>
    <row r="75" spans="1:13" s="7" customFormat="1" x14ac:dyDescent="0.25">
      <c r="A75" s="6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3" x14ac:dyDescent="0.25">
      <c r="A76" s="3"/>
      <c r="B76" s="4"/>
      <c r="C76" s="4"/>
      <c r="D76" s="4"/>
      <c r="E76" s="4"/>
    </row>
    <row r="77" spans="1:13" x14ac:dyDescent="0.25">
      <c r="A77" s="74"/>
      <c r="B77" s="95"/>
      <c r="C77" s="95"/>
      <c r="D77" s="95"/>
      <c r="E77" s="95"/>
      <c r="F77" s="93"/>
      <c r="G77" s="27"/>
      <c r="H77" s="27"/>
      <c r="I77" s="27"/>
      <c r="J77" s="27"/>
      <c r="K77" s="27"/>
      <c r="L77" s="27"/>
    </row>
    <row r="78" spans="1:13" x14ac:dyDescent="0.25">
      <c r="A78" s="74"/>
      <c r="B78" s="93"/>
      <c r="C78" s="95"/>
      <c r="D78" s="95"/>
      <c r="E78" s="95"/>
      <c r="F78" s="95"/>
      <c r="G78" s="27"/>
      <c r="H78" s="27"/>
      <c r="I78" s="27"/>
      <c r="J78" s="27"/>
      <c r="K78" s="27"/>
      <c r="L78" s="27"/>
    </row>
    <row r="79" spans="1:13" x14ac:dyDescent="0.25">
      <c r="A79" s="68"/>
      <c r="B79" s="4"/>
      <c r="C79" s="4"/>
      <c r="D79" s="4"/>
      <c r="E79" s="4"/>
      <c r="F79" s="96"/>
      <c r="G79" s="96"/>
      <c r="H79" s="97"/>
      <c r="I79" s="44"/>
      <c r="J79" s="44"/>
      <c r="K79" s="44"/>
      <c r="L79" s="44"/>
    </row>
    <row r="80" spans="1:13" x14ac:dyDescent="0.25">
      <c r="A80" s="68"/>
      <c r="B80" s="4"/>
      <c r="C80" s="4"/>
      <c r="D80" s="4"/>
      <c r="E80" s="4"/>
    </row>
    <row r="81" spans="1:19" s="7" customFormat="1" x14ac:dyDescent="0.25">
      <c r="A81" s="2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9" x14ac:dyDescent="0.25">
      <c r="A82" s="2"/>
      <c r="B82" s="4"/>
      <c r="C82" s="4"/>
      <c r="D82" s="4"/>
      <c r="E82" s="4"/>
    </row>
    <row r="83" spans="1:19" x14ac:dyDescent="0.25">
      <c r="A83" s="5"/>
      <c r="B83" s="4"/>
      <c r="C83" s="4"/>
      <c r="D83" s="4"/>
      <c r="E83" s="4"/>
      <c r="F83" s="4"/>
      <c r="G83" s="30"/>
      <c r="H83" s="30"/>
      <c r="I83" s="30"/>
      <c r="J83" s="30"/>
      <c r="K83" s="30"/>
      <c r="L83" s="30"/>
    </row>
    <row r="84" spans="1:19" x14ac:dyDescent="0.25">
      <c r="A84" s="2"/>
      <c r="B84" s="4"/>
      <c r="C84" s="4"/>
      <c r="D84" s="4"/>
      <c r="E84" s="4"/>
    </row>
    <row r="85" spans="1:19" x14ac:dyDescent="0.25">
      <c r="A85" s="5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4"/>
      <c r="N85" s="94"/>
      <c r="O85" s="94"/>
      <c r="P85" s="13"/>
      <c r="Q85" s="13"/>
      <c r="R85" s="13"/>
      <c r="S85" s="13"/>
    </row>
    <row r="86" spans="1:19" x14ac:dyDescent="0.25">
      <c r="A86" s="2"/>
      <c r="B86" s="4"/>
      <c r="C86" s="4"/>
      <c r="D86" s="4"/>
      <c r="E86" s="4"/>
    </row>
    <row r="87" spans="1:19" s="29" customFormat="1" ht="32.450000000000003" customHeight="1" x14ac:dyDescent="0.25">
      <c r="A87" s="42"/>
      <c r="B87" s="542"/>
      <c r="C87" s="542"/>
      <c r="D87" s="542"/>
      <c r="E87" s="542"/>
      <c r="F87" s="543"/>
      <c r="G87" s="546"/>
      <c r="H87" s="546"/>
      <c r="I87" s="546"/>
      <c r="J87" s="546"/>
      <c r="K87" s="546"/>
      <c r="L87" s="546"/>
    </row>
    <row r="88" spans="1:19" x14ac:dyDescent="0.25">
      <c r="A88" s="2"/>
      <c r="B88" s="99"/>
      <c r="C88" s="99"/>
      <c r="D88" s="99"/>
      <c r="E88" s="99"/>
      <c r="F88" s="543"/>
    </row>
    <row r="89" spans="1:19" x14ac:dyDescent="0.25">
      <c r="A89" s="69"/>
      <c r="B89" s="100"/>
      <c r="C89" s="100"/>
      <c r="D89" s="100"/>
      <c r="E89" s="100"/>
      <c r="F89" s="543"/>
    </row>
    <row r="90" spans="1:19" x14ac:dyDescent="0.25">
      <c r="A90" s="70"/>
    </row>
    <row r="91" spans="1:19" x14ac:dyDescent="0.25">
      <c r="A91" s="48"/>
      <c r="B91" s="45"/>
      <c r="C91" s="45"/>
      <c r="D91" s="45"/>
      <c r="E91" s="45"/>
    </row>
    <row r="92" spans="1:19" x14ac:dyDescent="0.25">
      <c r="A92" s="48"/>
      <c r="B92" s="45"/>
      <c r="C92" s="45"/>
      <c r="D92" s="45"/>
      <c r="E92" s="45"/>
      <c r="F92" s="45"/>
    </row>
    <row r="93" spans="1:19" x14ac:dyDescent="0.25">
      <c r="A93" s="48"/>
      <c r="B93" s="45"/>
      <c r="C93" s="45"/>
      <c r="D93" s="45"/>
      <c r="E93" s="45"/>
      <c r="F93" s="45"/>
    </row>
    <row r="94" spans="1:19" x14ac:dyDescent="0.25">
      <c r="A94" s="48"/>
      <c r="B94" s="45"/>
      <c r="C94" s="45"/>
      <c r="D94" s="45"/>
      <c r="E94" s="45"/>
      <c r="F94" s="45"/>
    </row>
    <row r="95" spans="1:19" x14ac:dyDescent="0.25">
      <c r="A95" s="48"/>
      <c r="B95" s="45"/>
      <c r="C95" s="45"/>
      <c r="D95" s="45"/>
      <c r="E95" s="45"/>
      <c r="F95" s="45"/>
    </row>
    <row r="96" spans="1:19" x14ac:dyDescent="0.25">
      <c r="A96" s="48"/>
    </row>
    <row r="97" spans="1:12" x14ac:dyDescent="0.25">
      <c r="A97" s="70"/>
    </row>
    <row r="98" spans="1:12" x14ac:dyDescent="0.25">
      <c r="A98" s="48"/>
      <c r="B98" s="45"/>
      <c r="C98" s="45"/>
      <c r="D98" s="45"/>
      <c r="E98" s="45"/>
      <c r="F98" s="45"/>
      <c r="G98" s="90"/>
      <c r="I98" s="90"/>
      <c r="J98" s="90"/>
      <c r="K98" s="90"/>
      <c r="L98" s="90"/>
    </row>
    <row r="99" spans="1:12" x14ac:dyDescent="0.25">
      <c r="A99" s="48"/>
      <c r="B99" s="45"/>
      <c r="C99" s="45"/>
      <c r="D99" s="45"/>
      <c r="E99" s="45"/>
      <c r="F99" s="45"/>
      <c r="G99" s="90"/>
      <c r="I99" s="90"/>
      <c r="J99" s="90"/>
      <c r="K99" s="90"/>
      <c r="L99" s="90"/>
    </row>
    <row r="100" spans="1:12" x14ac:dyDescent="0.25">
      <c r="A100" s="48"/>
    </row>
    <row r="101" spans="1:12" x14ac:dyDescent="0.25">
      <c r="A101" s="31"/>
      <c r="B101" s="101"/>
      <c r="C101" s="101"/>
      <c r="D101" s="101"/>
      <c r="E101" s="101"/>
      <c r="F101" s="101"/>
      <c r="G101" s="101"/>
      <c r="I101" s="90"/>
      <c r="J101" s="102"/>
      <c r="K101" s="102"/>
      <c r="L101" s="102"/>
    </row>
    <row r="102" spans="1:12" x14ac:dyDescent="0.25">
      <c r="A102" s="48"/>
    </row>
    <row r="103" spans="1:12" x14ac:dyDescent="0.25">
      <c r="A103" s="71"/>
      <c r="B103" s="45"/>
      <c r="C103" s="45"/>
      <c r="D103" s="45"/>
      <c r="E103" s="45"/>
      <c r="F103" s="45"/>
      <c r="G103" s="90"/>
      <c r="I103" s="90"/>
      <c r="J103" s="90"/>
      <c r="K103" s="90"/>
      <c r="L103" s="90"/>
    </row>
    <row r="104" spans="1:12" x14ac:dyDescent="0.25">
      <c r="A104" s="72"/>
    </row>
    <row r="105" spans="1:12" x14ac:dyDescent="0.25">
      <c r="A105" s="48"/>
      <c r="B105" s="45"/>
      <c r="C105" s="45"/>
      <c r="D105" s="45"/>
      <c r="E105" s="45"/>
      <c r="F105" s="45"/>
      <c r="G105" s="90"/>
      <c r="I105" s="90"/>
      <c r="J105" s="90"/>
      <c r="K105" s="90"/>
      <c r="L105" s="90"/>
    </row>
    <row r="106" spans="1:12" x14ac:dyDescent="0.25">
      <c r="A106" s="73"/>
    </row>
    <row r="107" spans="1:12" x14ac:dyDescent="0.25">
      <c r="A107" s="73"/>
      <c r="G107" s="44"/>
      <c r="H107" s="44"/>
      <c r="I107" s="44"/>
      <c r="J107" s="44"/>
      <c r="K107" s="44"/>
      <c r="L107" s="44"/>
    </row>
    <row r="108" spans="1:12" x14ac:dyDescent="0.25">
      <c r="A108" s="48"/>
      <c r="B108" s="45"/>
      <c r="C108" s="45"/>
      <c r="D108" s="45"/>
      <c r="E108" s="45"/>
      <c r="F108" s="45"/>
      <c r="G108" s="90"/>
      <c r="I108" s="90"/>
      <c r="J108" s="90"/>
      <c r="K108" s="90"/>
      <c r="L108" s="90"/>
    </row>
    <row r="109" spans="1:12" x14ac:dyDescent="0.25">
      <c r="A109" s="64"/>
      <c r="C109" s="544"/>
      <c r="D109" s="545"/>
      <c r="E109" s="545"/>
    </row>
    <row r="110" spans="1:12" x14ac:dyDescent="0.25">
      <c r="A110" s="73"/>
    </row>
    <row r="111" spans="1:12" x14ac:dyDescent="0.25">
      <c r="A111" s="7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1:12" x14ac:dyDescent="0.25">
      <c r="A112" s="73"/>
      <c r="B112" s="45"/>
      <c r="C112" s="45"/>
      <c r="D112" s="45"/>
      <c r="E112" s="45"/>
      <c r="H112" s="90"/>
      <c r="I112" s="90"/>
      <c r="J112" s="90"/>
      <c r="K112" s="90"/>
      <c r="L112" s="90"/>
    </row>
    <row r="113" spans="1:5" x14ac:dyDescent="0.25">
      <c r="A113" s="64"/>
    </row>
    <row r="115" spans="1:5" x14ac:dyDescent="0.25">
      <c r="B115" s="30"/>
      <c r="C115" s="30"/>
      <c r="D115" s="30"/>
      <c r="E115" s="30"/>
    </row>
    <row r="116" spans="1:5" x14ac:dyDescent="0.25">
      <c r="B116" s="30"/>
      <c r="C116" s="30"/>
      <c r="D116" s="30"/>
      <c r="E116" s="30"/>
    </row>
    <row r="117" spans="1:5" x14ac:dyDescent="0.25">
      <c r="B117" s="30"/>
      <c r="C117" s="30"/>
      <c r="D117" s="30"/>
      <c r="E117" s="30"/>
    </row>
    <row r="118" spans="1:5" x14ac:dyDescent="0.25">
      <c r="B118" s="30"/>
      <c r="C118" s="30"/>
      <c r="D118" s="30"/>
      <c r="E118" s="30"/>
    </row>
    <row r="120" spans="1:5" x14ac:dyDescent="0.25">
      <c r="B120" s="9"/>
      <c r="C120" s="9"/>
      <c r="D120" s="9"/>
    </row>
    <row r="121" spans="1:5" x14ac:dyDescent="0.25">
      <c r="B121" s="9"/>
      <c r="C121" s="9"/>
      <c r="D121" s="9"/>
    </row>
    <row r="122" spans="1:5" x14ac:dyDescent="0.25">
      <c r="B122" s="9"/>
      <c r="C122" s="9"/>
      <c r="D122" s="9"/>
    </row>
  </sheetData>
  <mergeCells count="6">
    <mergeCell ref="A3:A4"/>
    <mergeCell ref="B87:C87"/>
    <mergeCell ref="D87:E87"/>
    <mergeCell ref="F87:F89"/>
    <mergeCell ref="C109:E109"/>
    <mergeCell ref="G87:L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7DBC-B477-45FE-B8F4-62842C413ABB}">
  <dimension ref="A1:P75"/>
  <sheetViews>
    <sheetView showGridLines="0" zoomScale="85" zoomScaleNormal="85" workbookViewId="0">
      <pane xSplit="1" ySplit="3" topLeftCell="B42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8.7109375" defaultRowHeight="15" x14ac:dyDescent="0.25"/>
  <cols>
    <col min="1" max="1" width="55" customWidth="1"/>
    <col min="2" max="2" width="11.140625" bestFit="1" customWidth="1"/>
    <col min="3" max="4" width="10" bestFit="1" customWidth="1"/>
    <col min="5" max="5" width="9.7109375" bestFit="1" customWidth="1"/>
    <col min="6" max="6" width="10" bestFit="1" customWidth="1"/>
    <col min="7" max="7" width="10.28515625" bestFit="1" customWidth="1"/>
    <col min="8" max="10" width="11" bestFit="1" customWidth="1"/>
    <col min="11" max="11" width="12.5703125" customWidth="1"/>
    <col min="12" max="12" width="11" bestFit="1" customWidth="1"/>
    <col min="13" max="13" width="10.42578125" hidden="1" customWidth="1"/>
    <col min="16" max="16" width="14.140625" bestFit="1" customWidth="1"/>
  </cols>
  <sheetData>
    <row r="1" spans="1:14" x14ac:dyDescent="0.25">
      <c r="A1" s="46" t="s">
        <v>104</v>
      </c>
      <c r="B1" s="47"/>
      <c r="C1" s="47"/>
      <c r="D1" s="47"/>
      <c r="E1" s="47"/>
      <c r="F1" s="47"/>
      <c r="G1" s="47"/>
      <c r="H1" s="47"/>
      <c r="I1" s="47"/>
      <c r="J1" s="47"/>
    </row>
    <row r="2" spans="1:14" x14ac:dyDescent="0.25">
      <c r="A2" s="48" t="s">
        <v>21</v>
      </c>
      <c r="B2" s="65"/>
      <c r="C2" s="65"/>
      <c r="D2" s="65"/>
      <c r="E2" s="65"/>
      <c r="F2" s="47"/>
      <c r="G2" s="47"/>
      <c r="H2" s="47"/>
      <c r="I2" s="47"/>
      <c r="J2" s="47"/>
    </row>
    <row r="3" spans="1:14" ht="33.75" customHeight="1" x14ac:dyDescent="0.25">
      <c r="A3" s="560" t="s">
        <v>433</v>
      </c>
      <c r="B3" s="52">
        <v>43830</v>
      </c>
      <c r="C3" s="52">
        <v>44196</v>
      </c>
      <c r="D3" s="52">
        <v>44561</v>
      </c>
      <c r="E3" s="52">
        <v>44926</v>
      </c>
      <c r="F3" s="52">
        <v>45291</v>
      </c>
      <c r="G3" s="181">
        <v>45657</v>
      </c>
      <c r="H3" s="432">
        <v>46022</v>
      </c>
      <c r="I3" s="433">
        <v>46387</v>
      </c>
      <c r="J3" s="433">
        <v>46752</v>
      </c>
      <c r="K3" s="433">
        <v>47118</v>
      </c>
      <c r="L3" s="434">
        <v>47483</v>
      </c>
      <c r="M3" s="54"/>
    </row>
    <row r="4" spans="1:14" x14ac:dyDescent="0.25">
      <c r="H4" s="251"/>
      <c r="I4" s="251"/>
      <c r="J4" s="251"/>
      <c r="K4" s="251"/>
      <c r="L4" s="251"/>
      <c r="M4" s="38"/>
      <c r="N4" s="435"/>
    </row>
    <row r="5" spans="1:14" x14ac:dyDescent="0.25">
      <c r="A5" s="2" t="s">
        <v>124</v>
      </c>
      <c r="H5" s="251"/>
      <c r="I5" s="251"/>
      <c r="J5" s="251"/>
      <c r="K5" s="251"/>
      <c r="L5" s="251"/>
      <c r="M5" s="38"/>
      <c r="N5" s="435"/>
    </row>
    <row r="6" spans="1:14" x14ac:dyDescent="0.25">
      <c r="A6" s="1" t="s">
        <v>1</v>
      </c>
      <c r="B6" s="6">
        <v>2882</v>
      </c>
      <c r="C6" s="6">
        <v>8307</v>
      </c>
      <c r="D6" s="6">
        <v>7933</v>
      </c>
      <c r="E6" s="6">
        <v>3266</v>
      </c>
      <c r="F6" s="6">
        <v>2741</v>
      </c>
      <c r="G6" s="6">
        <f>3069</f>
        <v>3069</v>
      </c>
      <c r="H6" s="206">
        <f>'DELTA AIRLINES-CFS'!B29</f>
        <v>3125.2251024917355</v>
      </c>
      <c r="I6" s="206">
        <f>'DELTA AIRLINES-CFS'!C29</f>
        <v>3606.0790470800548</v>
      </c>
      <c r="J6" s="206">
        <f>'DELTA AIRLINES-CFS'!D29</f>
        <v>5352.2918516167665</v>
      </c>
      <c r="K6" s="206">
        <f>'DELTA AIRLINES-CFS'!E29</f>
        <v>8559.428609257744</v>
      </c>
      <c r="L6" s="206">
        <f>'DELTA AIRLINES-CFS'!F29</f>
        <v>14274.049707116603</v>
      </c>
      <c r="M6" s="206">
        <f>H6-G6</f>
        <v>56.22510249173547</v>
      </c>
      <c r="N6" s="435" t="s">
        <v>143</v>
      </c>
    </row>
    <row r="7" spans="1:14" x14ac:dyDescent="0.25">
      <c r="A7" s="1" t="s">
        <v>2</v>
      </c>
      <c r="B7" s="4">
        <v>0</v>
      </c>
      <c r="C7" s="4">
        <v>5789</v>
      </c>
      <c r="D7" s="4">
        <v>3386</v>
      </c>
      <c r="E7" s="4">
        <v>3268</v>
      </c>
      <c r="F7" s="4">
        <v>1127</v>
      </c>
      <c r="G7" s="30">
        <v>0</v>
      </c>
      <c r="H7" s="252">
        <f>G7</f>
        <v>0</v>
      </c>
      <c r="I7" s="252">
        <f>H7</f>
        <v>0</v>
      </c>
      <c r="J7" s="252">
        <f>I7</f>
        <v>0</v>
      </c>
      <c r="K7" s="252">
        <f>J7</f>
        <v>0</v>
      </c>
      <c r="L7" s="252">
        <f>K7</f>
        <v>0</v>
      </c>
      <c r="M7" s="40">
        <f>H7-G7</f>
        <v>0</v>
      </c>
      <c r="N7" s="436" t="s">
        <v>142</v>
      </c>
    </row>
    <row r="8" spans="1:14" x14ac:dyDescent="0.25">
      <c r="A8" s="1" t="s">
        <v>106</v>
      </c>
      <c r="B8" s="4">
        <v>2854</v>
      </c>
      <c r="C8" s="4">
        <v>1396</v>
      </c>
      <c r="D8" s="4">
        <v>2404</v>
      </c>
      <c r="E8" s="4">
        <v>3176</v>
      </c>
      <c r="F8" s="4">
        <v>3130</v>
      </c>
      <c r="G8" s="30">
        <v>3224</v>
      </c>
      <c r="H8" s="204">
        <f>$H$63*'DELTA AIR LINES-IS'!H6/365</f>
        <v>4561.761336683031</v>
      </c>
      <c r="I8" s="204">
        <f>$H$63*'DELTA AIR LINES-IS'!I6/365</f>
        <v>5385.7016853724417</v>
      </c>
      <c r="J8" s="204">
        <f>$H$63*'DELTA AIR LINES-IS'!J6/365</f>
        <v>6367.9456405662713</v>
      </c>
      <c r="K8" s="204">
        <f>$H$63*'DELTA AIR LINES-IS'!K6/365</f>
        <v>7539.0487594393007</v>
      </c>
      <c r="L8" s="204">
        <f>$H$63*'DELTA AIR LINES-IS'!L6/365</f>
        <v>8935.4610817547909</v>
      </c>
      <c r="M8" s="206">
        <f>H8-G8</f>
        <v>1337.761336683031</v>
      </c>
      <c r="N8" s="436" t="s">
        <v>413</v>
      </c>
    </row>
    <row r="9" spans="1:14" x14ac:dyDescent="0.25">
      <c r="A9" s="1" t="s">
        <v>105</v>
      </c>
      <c r="B9" s="4">
        <v>1251</v>
      </c>
      <c r="C9" s="4">
        <v>732</v>
      </c>
      <c r="D9" s="4">
        <v>1098</v>
      </c>
      <c r="E9" s="4">
        <v>1424</v>
      </c>
      <c r="F9" s="4">
        <v>1314</v>
      </c>
      <c r="G9" s="30">
        <v>1428</v>
      </c>
      <c r="H9" s="204">
        <f>$H$68*'DELTA AIR LINES-IS'!H14/365</f>
        <v>1967.4991635227036</v>
      </c>
      <c r="I9" s="204">
        <f>$H$68*'DELTA AIR LINES-IS'!I14/365</f>
        <v>2322.8667128513061</v>
      </c>
      <c r="J9" s="204">
        <f>$H$68*'DELTA AIR LINES-IS'!J14/365</f>
        <v>2746.5110067073947</v>
      </c>
      <c r="K9" s="204">
        <f>$H$68*'DELTA AIR LINES-IS'!K14/365</f>
        <v>3251.6107339230489</v>
      </c>
      <c r="L9" s="204">
        <f>$H$68*'DELTA AIR LINES-IS'!L14/365</f>
        <v>3853.8868885292109</v>
      </c>
      <c r="M9" s="206">
        <f>H9-G9</f>
        <v>539.49916352270361</v>
      </c>
      <c r="N9" s="436" t="s">
        <v>411</v>
      </c>
    </row>
    <row r="10" spans="1:14" x14ac:dyDescent="0.25">
      <c r="A10" s="236" t="s">
        <v>4</v>
      </c>
      <c r="B10" s="4">
        <v>1262</v>
      </c>
      <c r="C10" s="4">
        <v>1180</v>
      </c>
      <c r="D10" s="4">
        <v>1119</v>
      </c>
      <c r="E10" s="4">
        <v>1877</v>
      </c>
      <c r="F10" s="4">
        <v>1957</v>
      </c>
      <c r="G10" s="30">
        <v>2123</v>
      </c>
      <c r="H10" s="252">
        <f>G10</f>
        <v>2123</v>
      </c>
      <c r="I10" s="252">
        <f>H10</f>
        <v>2123</v>
      </c>
      <c r="J10" s="252">
        <f>I10</f>
        <v>2123</v>
      </c>
      <c r="K10" s="252">
        <f>J10</f>
        <v>2123</v>
      </c>
      <c r="L10" s="252">
        <f>K10</f>
        <v>2123</v>
      </c>
      <c r="M10" s="40">
        <f>H10-G10</f>
        <v>0</v>
      </c>
      <c r="N10" s="436" t="s">
        <v>142</v>
      </c>
    </row>
    <row r="11" spans="1:14" s="7" customFormat="1" x14ac:dyDescent="0.25">
      <c r="A11" s="2" t="s">
        <v>55</v>
      </c>
      <c r="B11" s="20">
        <v>8249</v>
      </c>
      <c r="C11" s="20">
        <v>17404</v>
      </c>
      <c r="D11" s="20">
        <v>15940</v>
      </c>
      <c r="E11" s="20">
        <v>13011</v>
      </c>
      <c r="F11" s="20">
        <v>10269</v>
      </c>
      <c r="G11" s="20">
        <f t="shared" ref="G11:L11" si="0">SUM(G6:G10)</f>
        <v>9844</v>
      </c>
      <c r="H11" s="410">
        <f t="shared" si="0"/>
        <v>11777.48560269747</v>
      </c>
      <c r="I11" s="410">
        <f t="shared" si="0"/>
        <v>13437.647445303803</v>
      </c>
      <c r="J11" s="410">
        <f t="shared" si="0"/>
        <v>16589.748498890433</v>
      </c>
      <c r="K11" s="410">
        <f t="shared" si="0"/>
        <v>21473.088102620091</v>
      </c>
      <c r="L11" s="410">
        <f t="shared" si="0"/>
        <v>29186.397677400604</v>
      </c>
      <c r="M11" s="126"/>
      <c r="N11" s="437"/>
    </row>
    <row r="12" spans="1:14" s="7" customFormat="1" x14ac:dyDescent="0.25">
      <c r="A12" s="2"/>
      <c r="B12" s="19"/>
      <c r="C12" s="19"/>
      <c r="D12" s="19"/>
      <c r="E12" s="19"/>
      <c r="F12" s="19"/>
      <c r="G12" s="19"/>
      <c r="H12" s="411"/>
      <c r="I12" s="411"/>
      <c r="J12" s="411"/>
      <c r="K12" s="411"/>
      <c r="L12" s="411"/>
      <c r="M12" s="126"/>
      <c r="N12" s="437"/>
    </row>
    <row r="13" spans="1:14" x14ac:dyDescent="0.25">
      <c r="A13" s="2" t="s">
        <v>125</v>
      </c>
      <c r="B13" s="4"/>
      <c r="C13" s="4"/>
      <c r="D13" s="4"/>
      <c r="E13" s="4"/>
      <c r="F13" s="4"/>
      <c r="G13" s="30"/>
      <c r="H13" s="252"/>
      <c r="I13" s="252"/>
      <c r="J13" s="252"/>
      <c r="K13" s="252"/>
      <c r="L13" s="252"/>
      <c r="M13" s="40"/>
      <c r="N13" s="436"/>
    </row>
    <row r="14" spans="1:14" x14ac:dyDescent="0.25">
      <c r="A14" t="s">
        <v>108</v>
      </c>
      <c r="B14" s="4">
        <v>31310</v>
      </c>
      <c r="C14" s="4">
        <v>26529</v>
      </c>
      <c r="D14" s="4">
        <v>28749</v>
      </c>
      <c r="E14" s="4">
        <v>33109</v>
      </c>
      <c r="F14" s="4">
        <v>35486</v>
      </c>
      <c r="G14" s="30">
        <v>37595</v>
      </c>
      <c r="H14" s="204">
        <f>'Fixed Assets Schedule'!H10</f>
        <v>41979.348111187195</v>
      </c>
      <c r="I14" s="204">
        <f>'Fixed Assets Schedule'!I10</f>
        <v>47309.141894062835</v>
      </c>
      <c r="J14" s="204">
        <f>'Fixed Assets Schedule'!J10</f>
        <v>53759.451240596907</v>
      </c>
      <c r="K14" s="204">
        <f>'Fixed Assets Schedule'!K10</f>
        <v>61539.611266704625</v>
      </c>
      <c r="L14" s="204">
        <f>'Fixed Assets Schedule'!L10</f>
        <v>70899.801001314336</v>
      </c>
      <c r="M14" s="206">
        <f t="shared" ref="M14:M21" si="1">H14-G14</f>
        <v>4384.3481111871952</v>
      </c>
      <c r="N14" s="436" t="s">
        <v>144</v>
      </c>
    </row>
    <row r="15" spans="1:14" x14ac:dyDescent="0.25">
      <c r="A15" t="s">
        <v>109</v>
      </c>
      <c r="B15" s="4">
        <v>5629</v>
      </c>
      <c r="C15" s="4">
        <v>5733</v>
      </c>
      <c r="D15" s="4">
        <v>7237</v>
      </c>
      <c r="E15" s="4">
        <v>7036</v>
      </c>
      <c r="F15" s="4">
        <v>7004</v>
      </c>
      <c r="G15" s="30">
        <v>6644</v>
      </c>
      <c r="H15" s="252">
        <f t="shared" ref="H15:L21" si="2">G15</f>
        <v>6644</v>
      </c>
      <c r="I15" s="252">
        <f t="shared" si="2"/>
        <v>6644</v>
      </c>
      <c r="J15" s="252">
        <f t="shared" si="2"/>
        <v>6644</v>
      </c>
      <c r="K15" s="252">
        <f t="shared" si="2"/>
        <v>6644</v>
      </c>
      <c r="L15" s="252">
        <f t="shared" si="2"/>
        <v>6644</v>
      </c>
      <c r="M15" s="40">
        <f t="shared" si="1"/>
        <v>0</v>
      </c>
      <c r="N15" s="436" t="s">
        <v>142</v>
      </c>
    </row>
    <row r="16" spans="1:14" x14ac:dyDescent="0.25">
      <c r="A16" t="s">
        <v>53</v>
      </c>
      <c r="B16" s="4">
        <v>9781</v>
      </c>
      <c r="C16" s="4">
        <v>9753</v>
      </c>
      <c r="D16" s="4">
        <v>9753</v>
      </c>
      <c r="E16" s="4">
        <v>9753</v>
      </c>
      <c r="F16" s="4">
        <v>9753</v>
      </c>
      <c r="G16" s="30">
        <v>9753</v>
      </c>
      <c r="H16" s="252">
        <f t="shared" si="2"/>
        <v>9753</v>
      </c>
      <c r="I16" s="252">
        <f t="shared" si="2"/>
        <v>9753</v>
      </c>
      <c r="J16" s="252">
        <f t="shared" si="2"/>
        <v>9753</v>
      </c>
      <c r="K16" s="252">
        <f t="shared" si="2"/>
        <v>9753</v>
      </c>
      <c r="L16" s="252">
        <f t="shared" si="2"/>
        <v>9753</v>
      </c>
      <c r="M16" s="40">
        <f t="shared" si="1"/>
        <v>0</v>
      </c>
      <c r="N16" s="436" t="s">
        <v>142</v>
      </c>
    </row>
    <row r="17" spans="1:14" x14ac:dyDescent="0.25">
      <c r="A17" t="s">
        <v>110</v>
      </c>
      <c r="B17" s="4">
        <v>5163</v>
      </c>
      <c r="C17" s="4">
        <v>6011</v>
      </c>
      <c r="D17" s="4">
        <v>6001</v>
      </c>
      <c r="E17" s="4">
        <v>5992</v>
      </c>
      <c r="F17" s="4">
        <v>5983</v>
      </c>
      <c r="G17" s="30">
        <v>5975</v>
      </c>
      <c r="H17" s="252">
        <f t="shared" si="2"/>
        <v>5975</v>
      </c>
      <c r="I17" s="252">
        <f t="shared" si="2"/>
        <v>5975</v>
      </c>
      <c r="J17" s="252">
        <f t="shared" si="2"/>
        <v>5975</v>
      </c>
      <c r="K17" s="252">
        <f t="shared" si="2"/>
        <v>5975</v>
      </c>
      <c r="L17" s="252">
        <f t="shared" si="2"/>
        <v>5975</v>
      </c>
      <c r="M17" s="40">
        <f t="shared" si="1"/>
        <v>0</v>
      </c>
      <c r="N17" s="436" t="s">
        <v>142</v>
      </c>
    </row>
    <row r="18" spans="1:14" x14ac:dyDescent="0.25">
      <c r="A18" t="s">
        <v>111</v>
      </c>
      <c r="B18" s="4">
        <v>636</v>
      </c>
      <c r="C18" s="4">
        <v>1556</v>
      </c>
      <c r="D18" s="4">
        <v>473</v>
      </c>
      <c r="E18" s="4">
        <v>0</v>
      </c>
      <c r="F18" s="4">
        <v>0</v>
      </c>
      <c r="G18" s="4">
        <v>0</v>
      </c>
      <c r="H18" s="252">
        <f t="shared" si="2"/>
        <v>0</v>
      </c>
      <c r="I18" s="252">
        <f t="shared" si="2"/>
        <v>0</v>
      </c>
      <c r="J18" s="252">
        <f t="shared" si="2"/>
        <v>0</v>
      </c>
      <c r="K18" s="252">
        <f t="shared" si="2"/>
        <v>0</v>
      </c>
      <c r="L18" s="252">
        <f t="shared" si="2"/>
        <v>0</v>
      </c>
      <c r="M18" s="39">
        <f t="shared" si="1"/>
        <v>0</v>
      </c>
      <c r="N18" s="436" t="s">
        <v>142</v>
      </c>
    </row>
    <row r="19" spans="1:14" x14ac:dyDescent="0.25">
      <c r="A19" t="s">
        <v>112</v>
      </c>
      <c r="B19" s="4">
        <v>0</v>
      </c>
      <c r="C19" s="4">
        <v>1665</v>
      </c>
      <c r="D19" s="4">
        <v>1712</v>
      </c>
      <c r="E19" s="4">
        <v>2128</v>
      </c>
      <c r="F19" s="4">
        <v>3457</v>
      </c>
      <c r="G19" s="30">
        <v>2846</v>
      </c>
      <c r="H19" s="252">
        <f t="shared" si="2"/>
        <v>2846</v>
      </c>
      <c r="I19" s="252">
        <f t="shared" si="2"/>
        <v>2846</v>
      </c>
      <c r="J19" s="252">
        <f t="shared" si="2"/>
        <v>2846</v>
      </c>
      <c r="K19" s="252">
        <f t="shared" si="2"/>
        <v>2846</v>
      </c>
      <c r="L19" s="252">
        <f t="shared" si="2"/>
        <v>2846</v>
      </c>
      <c r="M19" s="40">
        <f t="shared" si="1"/>
        <v>0</v>
      </c>
      <c r="N19" s="436" t="s">
        <v>142</v>
      </c>
    </row>
    <row r="20" spans="1:14" x14ac:dyDescent="0.25">
      <c r="A20" t="s">
        <v>113</v>
      </c>
      <c r="B20" s="4">
        <v>0</v>
      </c>
      <c r="C20" s="4">
        <v>1988</v>
      </c>
      <c r="D20" s="4">
        <v>1294</v>
      </c>
      <c r="E20" s="4">
        <v>0</v>
      </c>
      <c r="F20" s="4">
        <v>0</v>
      </c>
      <c r="G20" s="30">
        <v>0</v>
      </c>
      <c r="H20" s="252">
        <f t="shared" si="2"/>
        <v>0</v>
      </c>
      <c r="I20" s="252">
        <f t="shared" si="2"/>
        <v>0</v>
      </c>
      <c r="J20" s="252">
        <f t="shared" si="2"/>
        <v>0</v>
      </c>
      <c r="K20" s="252">
        <f t="shared" si="2"/>
        <v>0</v>
      </c>
      <c r="L20" s="252">
        <f t="shared" si="2"/>
        <v>0</v>
      </c>
      <c r="M20" s="40">
        <f t="shared" si="1"/>
        <v>0</v>
      </c>
      <c r="N20" s="436" t="s">
        <v>142</v>
      </c>
    </row>
    <row r="21" spans="1:14" x14ac:dyDescent="0.25">
      <c r="A21" s="237" t="s">
        <v>114</v>
      </c>
      <c r="B21" s="4">
        <v>3766</v>
      </c>
      <c r="C21" s="4">
        <v>1357</v>
      </c>
      <c r="D21" s="4">
        <v>1300</v>
      </c>
      <c r="E21" s="4">
        <v>1259</v>
      </c>
      <c r="F21" s="4">
        <v>1692</v>
      </c>
      <c r="G21" s="30">
        <v>2715</v>
      </c>
      <c r="H21" s="252">
        <f t="shared" si="2"/>
        <v>2715</v>
      </c>
      <c r="I21" s="252">
        <f t="shared" si="2"/>
        <v>2715</v>
      </c>
      <c r="J21" s="252">
        <f t="shared" si="2"/>
        <v>2715</v>
      </c>
      <c r="K21" s="252">
        <f t="shared" si="2"/>
        <v>2715</v>
      </c>
      <c r="L21" s="252">
        <f t="shared" si="2"/>
        <v>2715</v>
      </c>
      <c r="M21" s="40">
        <f t="shared" si="1"/>
        <v>0</v>
      </c>
      <c r="N21" s="436" t="s">
        <v>142</v>
      </c>
    </row>
    <row r="22" spans="1:14" x14ac:dyDescent="0.25">
      <c r="A22" s="2" t="s">
        <v>107</v>
      </c>
      <c r="B22" s="20">
        <v>56283</v>
      </c>
      <c r="C22" s="20">
        <v>54592</v>
      </c>
      <c r="D22" s="20">
        <v>56519</v>
      </c>
      <c r="E22" s="20">
        <v>59277</v>
      </c>
      <c r="F22" s="20">
        <v>63375</v>
      </c>
      <c r="G22" s="200">
        <f t="shared" ref="G22:L22" si="3">SUM(G14:G21)</f>
        <v>65528</v>
      </c>
      <c r="H22" s="412">
        <f t="shared" si="3"/>
        <v>69912.348111187195</v>
      </c>
      <c r="I22" s="412">
        <f t="shared" si="3"/>
        <v>75242.141894062835</v>
      </c>
      <c r="J22" s="412">
        <f t="shared" si="3"/>
        <v>81692.451240596914</v>
      </c>
      <c r="K22" s="412">
        <f t="shared" si="3"/>
        <v>89472.611266704625</v>
      </c>
      <c r="L22" s="412">
        <f t="shared" si="3"/>
        <v>98832.801001314336</v>
      </c>
      <c r="M22" s="232"/>
      <c r="N22" s="436"/>
    </row>
    <row r="23" spans="1:14" x14ac:dyDescent="0.25">
      <c r="A23" s="2"/>
      <c r="B23" s="125"/>
      <c r="C23" s="125"/>
      <c r="D23" s="125"/>
      <c r="E23" s="125"/>
      <c r="F23" s="125"/>
      <c r="G23" s="201"/>
      <c r="H23" s="413"/>
      <c r="I23" s="413"/>
      <c r="J23" s="413"/>
      <c r="K23" s="413"/>
      <c r="L23" s="413"/>
      <c r="M23" s="233"/>
      <c r="N23" s="436"/>
    </row>
    <row r="24" spans="1:14" s="7" customFormat="1" ht="15.75" thickBot="1" x14ac:dyDescent="0.3">
      <c r="A24" s="238" t="s">
        <v>54</v>
      </c>
      <c r="B24" s="26">
        <f t="shared" ref="B24:G24" si="4">B11+B22</f>
        <v>64532</v>
      </c>
      <c r="C24" s="26">
        <f t="shared" si="4"/>
        <v>71996</v>
      </c>
      <c r="D24" s="26">
        <f t="shared" si="4"/>
        <v>72459</v>
      </c>
      <c r="E24" s="26">
        <f t="shared" si="4"/>
        <v>72288</v>
      </c>
      <c r="F24" s="26">
        <f t="shared" si="4"/>
        <v>73644</v>
      </c>
      <c r="G24" s="26">
        <f t="shared" si="4"/>
        <v>75372</v>
      </c>
      <c r="H24" s="414">
        <f>H22+H11</f>
        <v>81689.833713884669</v>
      </c>
      <c r="I24" s="414">
        <f>I22+I11</f>
        <v>88679.789339366631</v>
      </c>
      <c r="J24" s="414">
        <f>J22+J11</f>
        <v>98282.199739487347</v>
      </c>
      <c r="K24" s="414">
        <f>K22+K11</f>
        <v>110945.69936932472</v>
      </c>
      <c r="L24" s="414">
        <f>L22+L11</f>
        <v>128019.19867871494</v>
      </c>
      <c r="M24" s="126">
        <f>SUM(M4:M22)</f>
        <v>6317.8337138846655</v>
      </c>
      <c r="N24" s="437"/>
    </row>
    <row r="25" spans="1:14" ht="15.75" thickTop="1" x14ac:dyDescent="0.25">
      <c r="A25" s="1"/>
      <c r="B25" s="4"/>
      <c r="C25" s="4"/>
      <c r="D25" s="4"/>
      <c r="E25" s="4"/>
      <c r="H25" s="251"/>
      <c r="I25" s="251"/>
      <c r="J25" s="251"/>
      <c r="K25" s="251"/>
      <c r="L25" s="251"/>
      <c r="M25" s="38"/>
      <c r="N25" s="435"/>
    </row>
    <row r="26" spans="1:14" x14ac:dyDescent="0.25">
      <c r="A26" s="2" t="s">
        <v>126</v>
      </c>
      <c r="E26" s="1"/>
      <c r="H26" s="251"/>
      <c r="I26" s="251"/>
      <c r="J26" s="251"/>
      <c r="K26" s="251"/>
      <c r="L26" s="251"/>
      <c r="M26" s="38"/>
      <c r="N26" s="435"/>
    </row>
    <row r="27" spans="1:14" x14ac:dyDescent="0.25">
      <c r="A27" t="s">
        <v>115</v>
      </c>
      <c r="B27" s="4">
        <v>2287</v>
      </c>
      <c r="C27" s="4">
        <v>1732</v>
      </c>
      <c r="D27" s="4">
        <v>1782</v>
      </c>
      <c r="E27" s="4">
        <v>2359</v>
      </c>
      <c r="F27" s="4">
        <v>2983</v>
      </c>
      <c r="G27" s="30">
        <v>2175</v>
      </c>
      <c r="H27" s="204">
        <f>'Debt Schedule'!B10</f>
        <v>2313</v>
      </c>
      <c r="I27" s="204">
        <f>'Debt Schedule'!C10</f>
        <v>2133</v>
      </c>
      <c r="J27" s="204">
        <f>'Debt Schedule'!D10</f>
        <v>1884</v>
      </c>
      <c r="K27" s="204">
        <f>'Debt Schedule'!E10</f>
        <v>621</v>
      </c>
      <c r="L27" s="204">
        <f>'Debt Schedule'!F10</f>
        <v>621</v>
      </c>
      <c r="M27" s="206">
        <f t="shared" ref="M27:M34" si="5">H27-G27</f>
        <v>138</v>
      </c>
      <c r="N27" s="435" t="s">
        <v>145</v>
      </c>
    </row>
    <row r="28" spans="1:14" x14ac:dyDescent="0.25">
      <c r="A28" t="s">
        <v>116</v>
      </c>
      <c r="B28" s="4">
        <v>801</v>
      </c>
      <c r="C28" s="4">
        <v>678</v>
      </c>
      <c r="D28" s="4">
        <v>703</v>
      </c>
      <c r="E28" s="4">
        <v>714</v>
      </c>
      <c r="F28" s="4">
        <v>759</v>
      </c>
      <c r="G28" s="30">
        <v>763</v>
      </c>
      <c r="H28" s="252">
        <f t="shared" ref="H28:L29" si="6">G28</f>
        <v>763</v>
      </c>
      <c r="I28" s="252">
        <f t="shared" si="6"/>
        <v>763</v>
      </c>
      <c r="J28" s="252">
        <f t="shared" si="6"/>
        <v>763</v>
      </c>
      <c r="K28" s="252">
        <f t="shared" si="6"/>
        <v>763</v>
      </c>
      <c r="L28" s="252">
        <f t="shared" si="6"/>
        <v>763</v>
      </c>
      <c r="M28" s="40">
        <f t="shared" si="5"/>
        <v>0</v>
      </c>
      <c r="N28" s="436" t="s">
        <v>142</v>
      </c>
    </row>
    <row r="29" spans="1:14" x14ac:dyDescent="0.25">
      <c r="A29" t="s">
        <v>117</v>
      </c>
      <c r="B29" s="4">
        <v>5116</v>
      </c>
      <c r="C29" s="4">
        <v>4044</v>
      </c>
      <c r="D29" s="4">
        <v>6228</v>
      </c>
      <c r="E29" s="4">
        <v>8160</v>
      </c>
      <c r="F29" s="4">
        <v>7044</v>
      </c>
      <c r="G29" s="30">
        <v>7094</v>
      </c>
      <c r="H29" s="252">
        <f t="shared" si="6"/>
        <v>7094</v>
      </c>
      <c r="I29" s="252">
        <f t="shared" si="6"/>
        <v>7094</v>
      </c>
      <c r="J29" s="252">
        <f t="shared" si="6"/>
        <v>7094</v>
      </c>
      <c r="K29" s="252">
        <f t="shared" si="6"/>
        <v>7094</v>
      </c>
      <c r="L29" s="252">
        <f t="shared" si="6"/>
        <v>7094</v>
      </c>
      <c r="M29" s="40">
        <f t="shared" si="5"/>
        <v>0</v>
      </c>
      <c r="N29" s="436" t="s">
        <v>142</v>
      </c>
    </row>
    <row r="30" spans="1:14" x14ac:dyDescent="0.25">
      <c r="A30" t="s">
        <v>118</v>
      </c>
      <c r="B30" s="4">
        <v>3266</v>
      </c>
      <c r="C30" s="4">
        <v>2840</v>
      </c>
      <c r="D30" s="4">
        <v>4240</v>
      </c>
      <c r="E30" s="4">
        <v>5106</v>
      </c>
      <c r="F30" s="4">
        <v>4446</v>
      </c>
      <c r="G30" s="128">
        <v>4650</v>
      </c>
      <c r="H30" s="205">
        <f>$H$73*'DELTA AIR LINES-IS'!H14/365</f>
        <v>6467.7420269988679</v>
      </c>
      <c r="I30" s="205">
        <f>$H$73*'DELTA AIR LINES-IS'!I14/365</f>
        <v>7635.9385255981297</v>
      </c>
      <c r="J30" s="205">
        <f>$H$73*'DELTA AIR LINES-IS'!J14/365</f>
        <v>9028.5805427695195</v>
      </c>
      <c r="K30" s="205">
        <f>$H$73*'DELTA AIR LINES-IS'!K14/365</f>
        <v>10688.990261922447</v>
      </c>
      <c r="L30" s="205">
        <f>$H$73*'DELTA AIR LINES-IS'!L14/365</f>
        <v>12668.847163122393</v>
      </c>
      <c r="M30" s="206">
        <f t="shared" si="5"/>
        <v>1817.7420269988679</v>
      </c>
      <c r="N30" s="436" t="s">
        <v>412</v>
      </c>
    </row>
    <row r="31" spans="1:14" x14ac:dyDescent="0.25">
      <c r="A31" t="s">
        <v>119</v>
      </c>
      <c r="B31" s="4">
        <v>3701</v>
      </c>
      <c r="C31" s="4">
        <v>2086</v>
      </c>
      <c r="D31" s="4">
        <v>2457</v>
      </c>
      <c r="E31" s="4">
        <v>3288</v>
      </c>
      <c r="F31" s="4">
        <v>4561</v>
      </c>
      <c r="G31" s="30">
        <v>4762</v>
      </c>
      <c r="H31" s="204">
        <f>$H$75*'DELTA AIR LINES-IS'!H6</f>
        <v>5714.2991020077052</v>
      </c>
      <c r="I31" s="204">
        <f>$H$75*'DELTA AIR LINES-IS'!I6</f>
        <v>6746.4095626674671</v>
      </c>
      <c r="J31" s="204">
        <f>$H$75*'DELTA AIR LINES-IS'!J6</f>
        <v>7976.8193401324643</v>
      </c>
      <c r="K31" s="204">
        <f>$H$75*'DELTA AIR LINES-IS'!K6</f>
        <v>9443.8039117980479</v>
      </c>
      <c r="L31" s="204">
        <f>$H$75*'DELTA AIR LINES-IS'!L6</f>
        <v>11193.022489997933</v>
      </c>
      <c r="M31" s="206">
        <f t="shared" si="5"/>
        <v>952.29910200770519</v>
      </c>
      <c r="N31" s="436" t="s">
        <v>146</v>
      </c>
    </row>
    <row r="32" spans="1:14" x14ac:dyDescent="0.25">
      <c r="A32" t="s">
        <v>120</v>
      </c>
      <c r="B32" s="4">
        <v>3219</v>
      </c>
      <c r="C32" s="4">
        <v>1777</v>
      </c>
      <c r="D32" s="4">
        <v>2710</v>
      </c>
      <c r="E32" s="4">
        <v>3434</v>
      </c>
      <c r="F32" s="4">
        <v>3908</v>
      </c>
      <c r="G32" s="30">
        <v>4314</v>
      </c>
      <c r="H32" s="252">
        <f t="shared" ref="H32:L34" si="7">G32</f>
        <v>4314</v>
      </c>
      <c r="I32" s="252">
        <f t="shared" si="7"/>
        <v>4314</v>
      </c>
      <c r="J32" s="252">
        <f t="shared" si="7"/>
        <v>4314</v>
      </c>
      <c r="K32" s="252">
        <f t="shared" si="7"/>
        <v>4314</v>
      </c>
      <c r="L32" s="252">
        <f t="shared" si="7"/>
        <v>4314</v>
      </c>
      <c r="M32" s="40">
        <f t="shared" si="5"/>
        <v>0</v>
      </c>
      <c r="N32" s="436" t="s">
        <v>142</v>
      </c>
    </row>
    <row r="33" spans="1:14" x14ac:dyDescent="0.25">
      <c r="A33" t="s">
        <v>121</v>
      </c>
      <c r="B33" s="4">
        <v>736</v>
      </c>
      <c r="C33" s="4">
        <v>1100</v>
      </c>
      <c r="D33" s="4">
        <v>1100</v>
      </c>
      <c r="E33" s="4">
        <v>1100</v>
      </c>
      <c r="F33" s="4">
        <v>1100</v>
      </c>
      <c r="G33" s="30">
        <v>1100</v>
      </c>
      <c r="H33" s="252">
        <f t="shared" si="7"/>
        <v>1100</v>
      </c>
      <c r="I33" s="252">
        <f t="shared" si="7"/>
        <v>1100</v>
      </c>
      <c r="J33" s="252">
        <f t="shared" si="7"/>
        <v>1100</v>
      </c>
      <c r="K33" s="252">
        <f t="shared" si="7"/>
        <v>1100</v>
      </c>
      <c r="L33" s="252">
        <f t="shared" si="7"/>
        <v>1100</v>
      </c>
      <c r="M33" s="40">
        <f t="shared" si="5"/>
        <v>0</v>
      </c>
      <c r="N33" s="436" t="s">
        <v>142</v>
      </c>
    </row>
    <row r="34" spans="1:14" x14ac:dyDescent="0.25">
      <c r="A34" s="237" t="s">
        <v>122</v>
      </c>
      <c r="B34" s="4">
        <v>1078</v>
      </c>
      <c r="C34" s="4">
        <v>1670</v>
      </c>
      <c r="D34" s="4">
        <v>1746</v>
      </c>
      <c r="E34" s="4">
        <v>1779</v>
      </c>
      <c r="F34" s="4">
        <v>1617</v>
      </c>
      <c r="G34" s="30">
        <v>1812</v>
      </c>
      <c r="H34" s="252">
        <f t="shared" si="7"/>
        <v>1812</v>
      </c>
      <c r="I34" s="252">
        <f t="shared" si="7"/>
        <v>1812</v>
      </c>
      <c r="J34" s="252">
        <f t="shared" si="7"/>
        <v>1812</v>
      </c>
      <c r="K34" s="252">
        <f t="shared" si="7"/>
        <v>1812</v>
      </c>
      <c r="L34" s="252">
        <f t="shared" si="7"/>
        <v>1812</v>
      </c>
      <c r="M34" s="40">
        <f t="shared" si="5"/>
        <v>0</v>
      </c>
      <c r="N34" s="436" t="s">
        <v>142</v>
      </c>
    </row>
    <row r="35" spans="1:14" s="7" customFormat="1" x14ac:dyDescent="0.25">
      <c r="A35" s="2" t="s">
        <v>56</v>
      </c>
      <c r="B35" s="20">
        <v>20204</v>
      </c>
      <c r="C35" s="20">
        <v>15927</v>
      </c>
      <c r="D35" s="20">
        <v>20966</v>
      </c>
      <c r="E35" s="20">
        <v>25940</v>
      </c>
      <c r="F35" s="20">
        <v>26418</v>
      </c>
      <c r="G35" s="20">
        <f t="shared" ref="G35:L35" si="8">SUM(G27:G34)</f>
        <v>26670</v>
      </c>
      <c r="H35" s="410">
        <f t="shared" si="8"/>
        <v>29578.041129006575</v>
      </c>
      <c r="I35" s="410">
        <f t="shared" si="8"/>
        <v>31598.348088265597</v>
      </c>
      <c r="J35" s="410">
        <f t="shared" si="8"/>
        <v>33972.399882901984</v>
      </c>
      <c r="K35" s="410">
        <f t="shared" si="8"/>
        <v>35836.794173720496</v>
      </c>
      <c r="L35" s="410">
        <f t="shared" si="8"/>
        <v>39565.869653120331</v>
      </c>
      <c r="M35" s="126"/>
      <c r="N35" s="437"/>
    </row>
    <row r="36" spans="1:14" s="7" customFormat="1" x14ac:dyDescent="0.25">
      <c r="A36" s="2"/>
      <c r="B36" s="19"/>
      <c r="C36" s="19"/>
      <c r="D36" s="19"/>
      <c r="E36" s="19"/>
      <c r="F36" s="19"/>
      <c r="G36" s="19"/>
      <c r="H36" s="411"/>
      <c r="I36" s="411"/>
      <c r="J36" s="411"/>
      <c r="K36" s="411"/>
      <c r="L36" s="411"/>
      <c r="M36" s="126"/>
      <c r="N36" s="437"/>
    </row>
    <row r="37" spans="1:14" s="7" customFormat="1" x14ac:dyDescent="0.25">
      <c r="A37" s="2" t="s">
        <v>127</v>
      </c>
      <c r="B37" s="19"/>
      <c r="C37" s="19"/>
      <c r="D37" s="19"/>
      <c r="E37" s="19"/>
      <c r="F37" s="19"/>
      <c r="G37" s="19"/>
      <c r="H37" s="411"/>
      <c r="I37" s="411"/>
      <c r="J37" s="411"/>
      <c r="K37" s="411"/>
      <c r="L37" s="411"/>
      <c r="M37" s="126"/>
      <c r="N37" s="437"/>
    </row>
    <row r="38" spans="1:14" x14ac:dyDescent="0.25">
      <c r="A38" t="s">
        <v>128</v>
      </c>
      <c r="B38" s="4">
        <v>8873</v>
      </c>
      <c r="C38" s="4">
        <v>27425</v>
      </c>
      <c r="D38" s="4">
        <v>25183</v>
      </c>
      <c r="E38" s="4">
        <v>20671</v>
      </c>
      <c r="F38" s="4">
        <v>17071</v>
      </c>
      <c r="G38" s="30">
        <v>14019</v>
      </c>
      <c r="H38" s="204">
        <f>'Debt Schedule'!B11</f>
        <v>12083</v>
      </c>
      <c r="I38" s="204">
        <f>'Debt Schedule'!C11</f>
        <v>9950</v>
      </c>
      <c r="J38" s="204">
        <f>'Debt Schedule'!D11</f>
        <v>8066</v>
      </c>
      <c r="K38" s="204">
        <f>'Debt Schedule'!E11</f>
        <v>7445</v>
      </c>
      <c r="L38" s="204">
        <f>'Debt Schedule'!F11</f>
        <v>6824</v>
      </c>
      <c r="M38" s="206">
        <f>H38-G38</f>
        <v>-1936</v>
      </c>
      <c r="N38" s="436" t="s">
        <v>145</v>
      </c>
    </row>
    <row r="39" spans="1:14" x14ac:dyDescent="0.25">
      <c r="A39" t="s">
        <v>129</v>
      </c>
      <c r="B39" s="4">
        <v>8452</v>
      </c>
      <c r="C39" s="4">
        <v>10630</v>
      </c>
      <c r="D39" s="4">
        <v>6035</v>
      </c>
      <c r="E39" s="4">
        <v>3707</v>
      </c>
      <c r="F39" s="4">
        <v>3601</v>
      </c>
      <c r="G39" s="30">
        <v>3144</v>
      </c>
      <c r="H39" s="252">
        <f t="shared" ref="H39:L44" si="9">G39</f>
        <v>3144</v>
      </c>
      <c r="I39" s="252">
        <f t="shared" si="9"/>
        <v>3144</v>
      </c>
      <c r="J39" s="252">
        <f t="shared" si="9"/>
        <v>3144</v>
      </c>
      <c r="K39" s="252">
        <f t="shared" si="9"/>
        <v>3144</v>
      </c>
      <c r="L39" s="252">
        <f t="shared" si="9"/>
        <v>3144</v>
      </c>
      <c r="M39" s="40">
        <f t="shared" ref="M39:M44" si="10">H39-G39</f>
        <v>0</v>
      </c>
      <c r="N39" s="436" t="s">
        <v>142</v>
      </c>
    </row>
    <row r="40" spans="1:14" x14ac:dyDescent="0.25">
      <c r="A40" t="s">
        <v>130</v>
      </c>
      <c r="B40" s="483">
        <v>0</v>
      </c>
      <c r="C40" s="483">
        <v>500</v>
      </c>
      <c r="D40" s="483">
        <v>130</v>
      </c>
      <c r="E40" s="483">
        <v>0</v>
      </c>
      <c r="F40" s="483">
        <v>0</v>
      </c>
      <c r="G40" s="484">
        <v>0</v>
      </c>
      <c r="H40" s="252">
        <f t="shared" si="9"/>
        <v>0</v>
      </c>
      <c r="I40" s="252">
        <f t="shared" si="9"/>
        <v>0</v>
      </c>
      <c r="J40" s="252">
        <f t="shared" si="9"/>
        <v>0</v>
      </c>
      <c r="K40" s="252">
        <f t="shared" si="9"/>
        <v>0</v>
      </c>
      <c r="L40" s="252">
        <f t="shared" si="9"/>
        <v>0</v>
      </c>
      <c r="M40" s="40">
        <f t="shared" si="10"/>
        <v>0</v>
      </c>
      <c r="N40" s="436" t="s">
        <v>142</v>
      </c>
    </row>
    <row r="41" spans="1:14" x14ac:dyDescent="0.25">
      <c r="A41" t="s">
        <v>120</v>
      </c>
      <c r="B41" s="4">
        <v>3509</v>
      </c>
      <c r="C41" s="4">
        <v>5405</v>
      </c>
      <c r="D41" s="4">
        <v>4849</v>
      </c>
      <c r="E41" s="4">
        <v>4448</v>
      </c>
      <c r="F41" s="4">
        <v>4512</v>
      </c>
      <c r="G41" s="30">
        <v>4512</v>
      </c>
      <c r="H41" s="252">
        <f t="shared" si="9"/>
        <v>4512</v>
      </c>
      <c r="I41" s="252">
        <f t="shared" si="9"/>
        <v>4512</v>
      </c>
      <c r="J41" s="252">
        <f t="shared" si="9"/>
        <v>4512</v>
      </c>
      <c r="K41" s="252">
        <f t="shared" si="9"/>
        <v>4512</v>
      </c>
      <c r="L41" s="252">
        <f t="shared" si="9"/>
        <v>4512</v>
      </c>
      <c r="M41" s="40">
        <f t="shared" si="10"/>
        <v>0</v>
      </c>
      <c r="N41" s="436" t="s">
        <v>142</v>
      </c>
    </row>
    <row r="42" spans="1:14" x14ac:dyDescent="0.25">
      <c r="A42" t="s">
        <v>131</v>
      </c>
      <c r="B42" s="4">
        <v>5294</v>
      </c>
      <c r="C42" s="4">
        <v>5713</v>
      </c>
      <c r="D42" s="4">
        <v>7056</v>
      </c>
      <c r="E42" s="4">
        <v>6866</v>
      </c>
      <c r="F42" s="4">
        <v>6468</v>
      </c>
      <c r="G42" s="30">
        <v>5814</v>
      </c>
      <c r="H42" s="252">
        <f t="shared" si="9"/>
        <v>5814</v>
      </c>
      <c r="I42" s="252">
        <f t="shared" si="9"/>
        <v>5814</v>
      </c>
      <c r="J42" s="252">
        <f t="shared" si="9"/>
        <v>5814</v>
      </c>
      <c r="K42" s="252">
        <f t="shared" si="9"/>
        <v>5814</v>
      </c>
      <c r="L42" s="252">
        <f t="shared" si="9"/>
        <v>5814</v>
      </c>
      <c r="M42" s="40">
        <f t="shared" si="10"/>
        <v>0</v>
      </c>
      <c r="N42" s="436" t="s">
        <v>142</v>
      </c>
    </row>
    <row r="43" spans="1:14" x14ac:dyDescent="0.25">
      <c r="A43" t="s">
        <v>113</v>
      </c>
      <c r="B43" s="4">
        <v>1456</v>
      </c>
      <c r="C43" s="4">
        <v>0</v>
      </c>
      <c r="D43" s="4">
        <v>0</v>
      </c>
      <c r="E43" s="4">
        <v>24</v>
      </c>
      <c r="F43" s="4">
        <v>908</v>
      </c>
      <c r="G43" s="30">
        <v>2176</v>
      </c>
      <c r="H43" s="252">
        <f t="shared" si="9"/>
        <v>2176</v>
      </c>
      <c r="I43" s="252">
        <f t="shared" si="9"/>
        <v>2176</v>
      </c>
      <c r="J43" s="252">
        <f t="shared" si="9"/>
        <v>2176</v>
      </c>
      <c r="K43" s="252">
        <f t="shared" si="9"/>
        <v>2176</v>
      </c>
      <c r="L43" s="252">
        <f t="shared" si="9"/>
        <v>2176</v>
      </c>
      <c r="M43" s="40">
        <f t="shared" si="10"/>
        <v>0</v>
      </c>
      <c r="N43" s="436" t="s">
        <v>142</v>
      </c>
    </row>
    <row r="44" spans="1:14" x14ac:dyDescent="0.25">
      <c r="A44" s="237" t="s">
        <v>132</v>
      </c>
      <c r="B44" s="4">
        <v>1386</v>
      </c>
      <c r="C44" s="4">
        <v>4862</v>
      </c>
      <c r="D44" s="4">
        <v>4398</v>
      </c>
      <c r="E44" s="4">
        <v>4050</v>
      </c>
      <c r="F44" s="4">
        <v>3561</v>
      </c>
      <c r="G44" s="30">
        <v>3744</v>
      </c>
      <c r="H44" s="252">
        <f t="shared" si="9"/>
        <v>3744</v>
      </c>
      <c r="I44" s="252">
        <f t="shared" si="9"/>
        <v>3744</v>
      </c>
      <c r="J44" s="252">
        <f t="shared" si="9"/>
        <v>3744</v>
      </c>
      <c r="K44" s="252">
        <f t="shared" si="9"/>
        <v>3744</v>
      </c>
      <c r="L44" s="252">
        <f t="shared" si="9"/>
        <v>3744</v>
      </c>
      <c r="M44" s="40">
        <f t="shared" si="10"/>
        <v>0</v>
      </c>
      <c r="N44" s="436" t="s">
        <v>142</v>
      </c>
    </row>
    <row r="45" spans="1:14" x14ac:dyDescent="0.25">
      <c r="A45" s="2" t="s">
        <v>123</v>
      </c>
      <c r="B45" s="20">
        <v>28970</v>
      </c>
      <c r="C45" s="20">
        <v>54535</v>
      </c>
      <c r="D45" s="20">
        <v>47606</v>
      </c>
      <c r="E45" s="20">
        <v>39766</v>
      </c>
      <c r="F45" s="20">
        <v>36121</v>
      </c>
      <c r="G45" s="202">
        <f t="shared" ref="G45:L45" si="11">SUM(G38:G44)</f>
        <v>33409</v>
      </c>
      <c r="H45" s="415">
        <f t="shared" si="11"/>
        <v>31473</v>
      </c>
      <c r="I45" s="415">
        <f t="shared" si="11"/>
        <v>29340</v>
      </c>
      <c r="J45" s="415">
        <f t="shared" si="11"/>
        <v>27456</v>
      </c>
      <c r="K45" s="415">
        <f t="shared" si="11"/>
        <v>26835</v>
      </c>
      <c r="L45" s="415">
        <f t="shared" si="11"/>
        <v>26214</v>
      </c>
      <c r="M45" s="234"/>
      <c r="N45" s="436"/>
    </row>
    <row r="46" spans="1:14" x14ac:dyDescent="0.25">
      <c r="A46" s="2"/>
      <c r="B46" s="4"/>
      <c r="C46" s="4"/>
      <c r="D46" s="4"/>
      <c r="E46" s="4"/>
      <c r="F46" s="4"/>
      <c r="G46" s="30"/>
      <c r="H46" s="252"/>
      <c r="I46" s="252"/>
      <c r="J46" s="252"/>
      <c r="K46" s="252"/>
      <c r="L46" s="252"/>
      <c r="M46" s="40"/>
      <c r="N46" s="436"/>
    </row>
    <row r="47" spans="1:14" x14ac:dyDescent="0.25">
      <c r="A47" s="2" t="s">
        <v>133</v>
      </c>
      <c r="E47" s="1"/>
      <c r="H47" s="251"/>
      <c r="I47" s="251"/>
      <c r="J47" s="251"/>
      <c r="K47" s="251"/>
      <c r="L47" s="251"/>
      <c r="M47" s="38"/>
      <c r="N47" s="436"/>
    </row>
    <row r="48" spans="1:14" x14ac:dyDescent="0.25">
      <c r="A48" t="s">
        <v>134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30">
        <v>0</v>
      </c>
      <c r="H48" s="252">
        <f t="shared" ref="H48:L49" si="12">G48</f>
        <v>0</v>
      </c>
      <c r="I48" s="252">
        <f t="shared" si="12"/>
        <v>0</v>
      </c>
      <c r="J48" s="252">
        <f t="shared" si="12"/>
        <v>0</v>
      </c>
      <c r="K48" s="252">
        <f t="shared" si="12"/>
        <v>0</v>
      </c>
      <c r="L48" s="252">
        <f t="shared" si="12"/>
        <v>0</v>
      </c>
      <c r="M48" s="40">
        <f>H48-G48</f>
        <v>0</v>
      </c>
      <c r="N48" s="436" t="s">
        <v>142</v>
      </c>
    </row>
    <row r="49" spans="1:14" x14ac:dyDescent="0.25">
      <c r="A49" t="s">
        <v>135</v>
      </c>
      <c r="B49" s="4">
        <v>11129</v>
      </c>
      <c r="C49" s="4">
        <v>11259</v>
      </c>
      <c r="D49" s="4">
        <v>11447</v>
      </c>
      <c r="E49" s="4">
        <v>11526</v>
      </c>
      <c r="F49" s="4">
        <v>11641</v>
      </c>
      <c r="G49" s="30">
        <v>11740</v>
      </c>
      <c r="H49" s="252">
        <f t="shared" si="12"/>
        <v>11740</v>
      </c>
      <c r="I49" s="252">
        <f t="shared" si="12"/>
        <v>11740</v>
      </c>
      <c r="J49" s="252">
        <f t="shared" si="12"/>
        <v>11740</v>
      </c>
      <c r="K49" s="252">
        <f t="shared" si="12"/>
        <v>11740</v>
      </c>
      <c r="L49" s="252">
        <f t="shared" si="12"/>
        <v>11740</v>
      </c>
      <c r="M49" s="40">
        <f>H49-G49</f>
        <v>0</v>
      </c>
      <c r="N49" s="435" t="s">
        <v>142</v>
      </c>
    </row>
    <row r="50" spans="1:14" x14ac:dyDescent="0.25">
      <c r="A50" t="s">
        <v>136</v>
      </c>
      <c r="B50" s="4">
        <v>12454</v>
      </c>
      <c r="C50" s="4">
        <v>-489</v>
      </c>
      <c r="D50" s="4">
        <v>-148</v>
      </c>
      <c r="E50" s="4">
        <v>1170</v>
      </c>
      <c r="F50" s="4">
        <v>5650</v>
      </c>
      <c r="G50" s="30">
        <v>8783</v>
      </c>
      <c r="H50" s="204">
        <f>G50+'DELTA AIR LINES-IS'!H45-'DELTA AIR LINES-IS'!H46</f>
        <v>14128.792584878094</v>
      </c>
      <c r="I50" s="204">
        <f>H50+'DELTA AIR LINES-IS'!I45-'DELTA AIR LINES-IS'!I46</f>
        <v>21231.441251101038</v>
      </c>
      <c r="J50" s="204">
        <f>I50+'DELTA AIR LINES-IS'!J45-'DELTA AIR LINES-IS'!J46</f>
        <v>30343.799856585356</v>
      </c>
      <c r="K50" s="204">
        <f>J50+'DELTA AIR LINES-IS'!K45-'DELTA AIR LINES-IS'!K46</f>
        <v>41763.905195604224</v>
      </c>
      <c r="L50" s="204">
        <f>K50+'DELTA AIR LINES-IS'!L45-'DELTA AIR LINES-IS'!L46</f>
        <v>55729.329025594605</v>
      </c>
      <c r="M50" s="206">
        <f>H50-G50</f>
        <v>5345.7925848780942</v>
      </c>
      <c r="N50" s="436" t="s">
        <v>155</v>
      </c>
    </row>
    <row r="51" spans="1:14" x14ac:dyDescent="0.25">
      <c r="A51" t="s">
        <v>137</v>
      </c>
      <c r="B51" s="78">
        <v>-7989</v>
      </c>
      <c r="C51" s="78">
        <v>-9038</v>
      </c>
      <c r="D51" s="78">
        <v>-7130</v>
      </c>
      <c r="E51" s="78">
        <v>-5801</v>
      </c>
      <c r="F51" s="78">
        <v>-5845</v>
      </c>
      <c r="G51" s="78">
        <v>-4979</v>
      </c>
      <c r="H51" s="252">
        <f t="shared" ref="H51:L52" si="13">G51</f>
        <v>-4979</v>
      </c>
      <c r="I51" s="252">
        <f t="shared" si="13"/>
        <v>-4979</v>
      </c>
      <c r="J51" s="252">
        <f t="shared" si="13"/>
        <v>-4979</v>
      </c>
      <c r="K51" s="252">
        <f t="shared" si="13"/>
        <v>-4979</v>
      </c>
      <c r="L51" s="252">
        <f t="shared" si="13"/>
        <v>-4979</v>
      </c>
      <c r="M51" s="88">
        <f>H51-G51</f>
        <v>0</v>
      </c>
      <c r="N51" s="436" t="s">
        <v>142</v>
      </c>
    </row>
    <row r="52" spans="1:14" x14ac:dyDescent="0.25">
      <c r="A52" s="237" t="s">
        <v>138</v>
      </c>
      <c r="B52" s="78">
        <v>-286</v>
      </c>
      <c r="C52" s="78">
        <v>-259</v>
      </c>
      <c r="D52" s="78">
        <v>-282</v>
      </c>
      <c r="E52" s="78">
        <v>-313</v>
      </c>
      <c r="F52" s="78">
        <v>-341</v>
      </c>
      <c r="G52" s="78">
        <v>-251</v>
      </c>
      <c r="H52" s="252">
        <f>G52</f>
        <v>-251</v>
      </c>
      <c r="I52" s="252">
        <f t="shared" si="13"/>
        <v>-251</v>
      </c>
      <c r="J52" s="252">
        <f t="shared" si="13"/>
        <v>-251</v>
      </c>
      <c r="K52" s="252">
        <f t="shared" si="13"/>
        <v>-251</v>
      </c>
      <c r="L52" s="252">
        <f t="shared" si="13"/>
        <v>-251</v>
      </c>
      <c r="M52" s="88">
        <f>H52-G52</f>
        <v>0</v>
      </c>
      <c r="N52" s="436" t="s">
        <v>142</v>
      </c>
    </row>
    <row r="53" spans="1:14" s="7" customFormat="1" x14ac:dyDescent="0.25">
      <c r="A53" s="2" t="s">
        <v>57</v>
      </c>
      <c r="B53" s="20">
        <v>15358</v>
      </c>
      <c r="C53" s="20">
        <v>1534</v>
      </c>
      <c r="D53" s="20">
        <v>3887</v>
      </c>
      <c r="E53" s="20">
        <v>6582</v>
      </c>
      <c r="F53" s="20">
        <v>11105</v>
      </c>
      <c r="G53" s="20">
        <v>15293</v>
      </c>
      <c r="H53" s="410">
        <f>SUM(H48:H52)</f>
        <v>20638.792584878094</v>
      </c>
      <c r="I53" s="410">
        <f>SUM(I48:I52)</f>
        <v>27741.441251101038</v>
      </c>
      <c r="J53" s="410">
        <f>SUM(J48:J52)</f>
        <v>36853.799856585356</v>
      </c>
      <c r="K53" s="410">
        <f>SUM(K48:K52)</f>
        <v>48273.905195604224</v>
      </c>
      <c r="L53" s="410">
        <f>SUM(L48:L52)</f>
        <v>62239.329025594605</v>
      </c>
      <c r="M53" s="126"/>
      <c r="N53" s="437"/>
    </row>
    <row r="54" spans="1:14" x14ac:dyDescent="0.25">
      <c r="A54" s="1"/>
      <c r="B54" s="4"/>
      <c r="C54" s="4"/>
      <c r="D54" s="4"/>
      <c r="E54" s="4"/>
      <c r="F54" s="4"/>
      <c r="G54" s="4"/>
      <c r="H54" s="416"/>
      <c r="I54" s="416"/>
      <c r="J54" s="416"/>
      <c r="K54" s="416"/>
      <c r="L54" s="416"/>
      <c r="M54" s="39"/>
      <c r="N54" s="435"/>
    </row>
    <row r="55" spans="1:14" s="7" customFormat="1" ht="15.75" thickBot="1" x14ac:dyDescent="0.3">
      <c r="A55" s="238" t="s">
        <v>58</v>
      </c>
      <c r="B55" s="25">
        <f>B35+B45+B53</f>
        <v>64532</v>
      </c>
      <c r="C55" s="25">
        <f t="shared" ref="C55:L55" si="14">C35+C45+C53</f>
        <v>71996</v>
      </c>
      <c r="D55" s="25">
        <f t="shared" si="14"/>
        <v>72459</v>
      </c>
      <c r="E55" s="25">
        <f t="shared" si="14"/>
        <v>72288</v>
      </c>
      <c r="F55" s="25">
        <f t="shared" si="14"/>
        <v>73644</v>
      </c>
      <c r="G55" s="25">
        <f t="shared" si="14"/>
        <v>75372</v>
      </c>
      <c r="H55" s="486">
        <f t="shared" si="14"/>
        <v>81689.833713884669</v>
      </c>
      <c r="I55" s="486">
        <f t="shared" si="14"/>
        <v>88679.789339366631</v>
      </c>
      <c r="J55" s="486">
        <f t="shared" si="14"/>
        <v>98282.199739487347</v>
      </c>
      <c r="K55" s="486">
        <f t="shared" si="14"/>
        <v>110945.69936932472</v>
      </c>
      <c r="L55" s="486">
        <f t="shared" si="14"/>
        <v>128019.19867871494</v>
      </c>
      <c r="M55" s="235">
        <f>SUM(M27:M50)</f>
        <v>6317.8337138846673</v>
      </c>
      <c r="N55" s="437"/>
    </row>
    <row r="56" spans="1:14" ht="15.75" thickTop="1" x14ac:dyDescent="0.25">
      <c r="A56" s="67" t="s">
        <v>49</v>
      </c>
      <c r="B56" s="35">
        <f>B24-B55</f>
        <v>0</v>
      </c>
      <c r="C56" s="35">
        <f t="shared" ref="C56:M56" si="15">C24-C55</f>
        <v>0</v>
      </c>
      <c r="D56" s="35">
        <f t="shared" si="15"/>
        <v>0</v>
      </c>
      <c r="E56" s="35">
        <f t="shared" si="15"/>
        <v>0</v>
      </c>
      <c r="F56" s="35">
        <f t="shared" si="15"/>
        <v>0</v>
      </c>
      <c r="G56" s="35">
        <f t="shared" si="15"/>
        <v>0</v>
      </c>
      <c r="H56" s="35">
        <f t="shared" si="15"/>
        <v>0</v>
      </c>
      <c r="I56" s="35">
        <f t="shared" si="15"/>
        <v>0</v>
      </c>
      <c r="J56" s="35">
        <f t="shared" si="15"/>
        <v>0</v>
      </c>
      <c r="K56" s="35">
        <f t="shared" si="15"/>
        <v>0</v>
      </c>
      <c r="L56" s="35">
        <f t="shared" si="15"/>
        <v>0</v>
      </c>
      <c r="M56" s="35">
        <f t="shared" si="15"/>
        <v>0</v>
      </c>
    </row>
    <row r="57" spans="1:14" x14ac:dyDescent="0.25">
      <c r="A57" s="67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</row>
    <row r="58" spans="1:14" x14ac:dyDescent="0.25">
      <c r="A58" s="67"/>
      <c r="B58" s="67"/>
      <c r="C58" s="67"/>
      <c r="D58" s="67"/>
      <c r="E58" s="67"/>
      <c r="F58" s="227"/>
      <c r="G58" s="228"/>
      <c r="H58" s="226"/>
      <c r="I58" s="226"/>
      <c r="J58" s="226"/>
      <c r="K58" s="226"/>
    </row>
    <row r="59" spans="1:14" x14ac:dyDescent="0.25">
      <c r="A59" s="210" t="s">
        <v>139</v>
      </c>
      <c r="B59" s="485">
        <v>2019</v>
      </c>
      <c r="C59" s="485">
        <v>2020</v>
      </c>
      <c r="D59" s="485">
        <v>2021</v>
      </c>
      <c r="E59" s="485">
        <v>2022</v>
      </c>
      <c r="F59" s="485">
        <v>2023</v>
      </c>
      <c r="G59" s="485">
        <v>2024</v>
      </c>
    </row>
    <row r="60" spans="1:14" x14ac:dyDescent="0.25">
      <c r="A60" s="48" t="s">
        <v>147</v>
      </c>
      <c r="B60" s="152">
        <f>'DELTA AIR LINES-IS'!B6</f>
        <v>47007</v>
      </c>
      <c r="C60" s="152">
        <f>'DELTA AIR LINES-IS'!C6</f>
        <v>17095</v>
      </c>
      <c r="D60" s="152">
        <f>'DELTA AIR LINES-IS'!D6</f>
        <v>29899</v>
      </c>
      <c r="E60" s="152">
        <f>'DELTA AIR LINES-IS'!E6</f>
        <v>50582</v>
      </c>
      <c r="F60" s="152">
        <f>'DELTA AIR LINES-IS'!F6</f>
        <v>58048</v>
      </c>
      <c r="G60" s="152">
        <f>'DELTA AIR LINES-IS'!G6</f>
        <v>61643</v>
      </c>
      <c r="H60" s="134"/>
      <c r="I60" s="134"/>
      <c r="J60" s="134"/>
      <c r="K60" t="s">
        <v>148</v>
      </c>
    </row>
    <row r="61" spans="1:14" x14ac:dyDescent="0.25">
      <c r="A61" s="73" t="s">
        <v>140</v>
      </c>
      <c r="B61" s="146">
        <f t="shared" ref="B61:G61" si="16">B8</f>
        <v>2854</v>
      </c>
      <c r="C61" s="146">
        <f t="shared" si="16"/>
        <v>1396</v>
      </c>
      <c r="D61" s="146">
        <f t="shared" si="16"/>
        <v>2404</v>
      </c>
      <c r="E61" s="146">
        <f t="shared" si="16"/>
        <v>3176</v>
      </c>
      <c r="F61" s="146">
        <f t="shared" si="16"/>
        <v>3130</v>
      </c>
      <c r="G61" s="146">
        <f t="shared" si="16"/>
        <v>3224</v>
      </c>
      <c r="K61" t="s">
        <v>149</v>
      </c>
    </row>
    <row r="62" spans="1:14" x14ac:dyDescent="0.25">
      <c r="A62" s="73" t="s">
        <v>162</v>
      </c>
      <c r="B62" s="153">
        <f t="shared" ref="B62:G62" si="17">B60/B61</f>
        <v>16.470567624386824</v>
      </c>
      <c r="C62" s="153">
        <f t="shared" si="17"/>
        <v>12.245702005730658</v>
      </c>
      <c r="D62" s="153">
        <f t="shared" si="17"/>
        <v>12.437188019966722</v>
      </c>
      <c r="E62" s="153">
        <f t="shared" si="17"/>
        <v>15.926322418136021</v>
      </c>
      <c r="F62" s="153">
        <f t="shared" si="17"/>
        <v>18.545686900958465</v>
      </c>
      <c r="G62" s="153">
        <f t="shared" si="17"/>
        <v>19.120037220843674</v>
      </c>
      <c r="K62" t="s">
        <v>150</v>
      </c>
    </row>
    <row r="63" spans="1:14" x14ac:dyDescent="0.25">
      <c r="A63" s="73" t="s">
        <v>163</v>
      </c>
      <c r="B63" s="154">
        <f t="shared" ref="B63:G63" si="18">365/B62</f>
        <v>22.160742017146383</v>
      </c>
      <c r="C63" s="154">
        <f t="shared" si="18"/>
        <v>29.806376133372332</v>
      </c>
      <c r="D63" s="154">
        <f t="shared" si="18"/>
        <v>29.347469815043979</v>
      </c>
      <c r="E63" s="154">
        <f t="shared" si="18"/>
        <v>22.918034083270729</v>
      </c>
      <c r="F63" s="154">
        <f t="shared" si="18"/>
        <v>19.681125964718856</v>
      </c>
      <c r="G63" s="154">
        <f t="shared" si="18"/>
        <v>19.089920996706844</v>
      </c>
      <c r="H63" s="138">
        <f>MEDIAN(C63:G63)</f>
        <v>22.918034083270729</v>
      </c>
      <c r="I63" s="30"/>
      <c r="J63" s="30"/>
      <c r="K63" t="s">
        <v>151</v>
      </c>
    </row>
    <row r="64" spans="1:14" x14ac:dyDescent="0.25">
      <c r="A64" s="73"/>
      <c r="B64" s="155"/>
      <c r="C64" s="155"/>
      <c r="D64" s="155"/>
      <c r="E64" s="155"/>
      <c r="F64" s="155"/>
      <c r="G64" s="155"/>
      <c r="H64" s="30"/>
      <c r="I64" s="30"/>
      <c r="J64" s="30"/>
    </row>
    <row r="65" spans="1:16" x14ac:dyDescent="0.25">
      <c r="A65" s="48" t="s">
        <v>98</v>
      </c>
      <c r="B65" s="156">
        <f>'DELTA AIR LINES-IS'!B14</f>
        <v>26483</v>
      </c>
      <c r="C65" s="156">
        <f>'DELTA AIR LINES-IS'!C14</f>
        <v>17748</v>
      </c>
      <c r="D65" s="156">
        <f>'DELTA AIR LINES-IS'!D14</f>
        <v>23757</v>
      </c>
      <c r="E65" s="156">
        <f>'DELTA AIR LINES-IS'!E14</f>
        <v>34666</v>
      </c>
      <c r="F65" s="156">
        <f>'DELTA AIR LINES-IS'!F14</f>
        <v>36452</v>
      </c>
      <c r="G65" s="156">
        <f>'DELTA AIR LINES-IS'!G14</f>
        <v>39521</v>
      </c>
      <c r="H65" s="89"/>
      <c r="I65" s="89"/>
      <c r="J65" s="89"/>
      <c r="K65" s="7" t="s">
        <v>152</v>
      </c>
      <c r="L65" s="7"/>
      <c r="M65" s="7"/>
      <c r="N65" s="7"/>
      <c r="O65" s="7"/>
      <c r="P65" s="7"/>
    </row>
    <row r="66" spans="1:16" x14ac:dyDescent="0.25">
      <c r="A66" s="1" t="s">
        <v>141</v>
      </c>
      <c r="B66" s="146">
        <f t="shared" ref="B66:G66" si="19">B9</f>
        <v>1251</v>
      </c>
      <c r="C66" s="146">
        <f t="shared" si="19"/>
        <v>732</v>
      </c>
      <c r="D66" s="146">
        <f t="shared" si="19"/>
        <v>1098</v>
      </c>
      <c r="E66" s="146">
        <f t="shared" si="19"/>
        <v>1424</v>
      </c>
      <c r="F66" s="146">
        <f t="shared" si="19"/>
        <v>1314</v>
      </c>
      <c r="G66" s="146">
        <f t="shared" si="19"/>
        <v>1428</v>
      </c>
    </row>
    <row r="67" spans="1:16" x14ac:dyDescent="0.25">
      <c r="A67" s="48" t="s">
        <v>161</v>
      </c>
      <c r="B67" s="157">
        <f t="shared" ref="B67:G67" si="20">B65/B66</f>
        <v>21.169464428457236</v>
      </c>
      <c r="C67" s="157">
        <f t="shared" si="20"/>
        <v>24.245901639344261</v>
      </c>
      <c r="D67" s="157">
        <f t="shared" si="20"/>
        <v>21.636612021857925</v>
      </c>
      <c r="E67" s="157">
        <f t="shared" si="20"/>
        <v>24.344101123595507</v>
      </c>
      <c r="F67" s="157">
        <f t="shared" si="20"/>
        <v>27.74124809741248</v>
      </c>
      <c r="G67" s="157">
        <f t="shared" si="20"/>
        <v>27.675770308123248</v>
      </c>
      <c r="K67" s="7" t="s">
        <v>153</v>
      </c>
    </row>
    <row r="68" spans="1:16" x14ac:dyDescent="0.25">
      <c r="A68" s="48" t="s">
        <v>164</v>
      </c>
      <c r="B68" s="154">
        <f t="shared" ref="B68:G68" si="21">365/B67</f>
        <v>17.241815504285768</v>
      </c>
      <c r="C68" s="154">
        <f t="shared" si="21"/>
        <v>15.054090601757945</v>
      </c>
      <c r="D68" s="154">
        <f t="shared" si="21"/>
        <v>16.869554236646039</v>
      </c>
      <c r="E68" s="154">
        <f t="shared" si="21"/>
        <v>14.993365257024173</v>
      </c>
      <c r="F68" s="154">
        <f t="shared" si="21"/>
        <v>13.157302754307034</v>
      </c>
      <c r="G68" s="154">
        <f t="shared" si="21"/>
        <v>13.188431466815112</v>
      </c>
      <c r="H68" s="137">
        <f>MEDIAN(B68:G68)</f>
        <v>15.023727929391059</v>
      </c>
      <c r="K68" s="7"/>
    </row>
    <row r="69" spans="1:16" x14ac:dyDescent="0.25">
      <c r="A69" s="48"/>
      <c r="B69" s="154"/>
      <c r="C69" s="154"/>
      <c r="D69" s="154"/>
      <c r="E69" s="154"/>
      <c r="F69" s="154"/>
      <c r="G69" s="154"/>
      <c r="K69" s="7" t="s">
        <v>154</v>
      </c>
    </row>
    <row r="70" spans="1:16" x14ac:dyDescent="0.25">
      <c r="A70" s="48" t="s">
        <v>98</v>
      </c>
      <c r="B70" s="158">
        <f>'DELTA AIR LINES-IS'!B14</f>
        <v>26483</v>
      </c>
      <c r="C70" s="158">
        <f>'DELTA AIR LINES-IS'!C14</f>
        <v>17748</v>
      </c>
      <c r="D70" s="158">
        <f>'DELTA AIR LINES-IS'!D14</f>
        <v>23757</v>
      </c>
      <c r="E70" s="158">
        <f>'DELTA AIR LINES-IS'!E14</f>
        <v>34666</v>
      </c>
      <c r="F70" s="158">
        <f>'DELTA AIR LINES-IS'!F14</f>
        <v>36452</v>
      </c>
      <c r="G70" s="158">
        <f>'DELTA AIR LINES-IS'!G14</f>
        <v>39521</v>
      </c>
    </row>
    <row r="71" spans="1:16" x14ac:dyDescent="0.25">
      <c r="A71" t="s">
        <v>156</v>
      </c>
      <c r="B71" s="146">
        <f t="shared" ref="B71:G71" si="22">B30</f>
        <v>3266</v>
      </c>
      <c r="C71" s="146">
        <f t="shared" si="22"/>
        <v>2840</v>
      </c>
      <c r="D71" s="146">
        <f t="shared" si="22"/>
        <v>4240</v>
      </c>
      <c r="E71" s="146">
        <f t="shared" si="22"/>
        <v>5106</v>
      </c>
      <c r="F71" s="146">
        <f t="shared" si="22"/>
        <v>4446</v>
      </c>
      <c r="G71" s="146">
        <f t="shared" si="22"/>
        <v>4650</v>
      </c>
    </row>
    <row r="72" spans="1:16" x14ac:dyDescent="0.25">
      <c r="A72" t="s">
        <v>160</v>
      </c>
      <c r="B72" s="159">
        <f t="shared" ref="B72:G72" si="23">B70/B71</f>
        <v>8.1086956521739122</v>
      </c>
      <c r="C72" s="159">
        <f t="shared" si="23"/>
        <v>6.2492957746478872</v>
      </c>
      <c r="D72" s="159">
        <f t="shared" si="23"/>
        <v>5.6030660377358492</v>
      </c>
      <c r="E72" s="159">
        <f t="shared" si="23"/>
        <v>6.7892675283979633</v>
      </c>
      <c r="F72" s="159">
        <f t="shared" si="23"/>
        <v>8.1988304093567255</v>
      </c>
      <c r="G72" s="159">
        <f t="shared" si="23"/>
        <v>8.4991397849462373</v>
      </c>
    </row>
    <row r="73" spans="1:16" x14ac:dyDescent="0.25">
      <c r="A73" s="48" t="s">
        <v>165</v>
      </c>
      <c r="B73" s="151">
        <f t="shared" ref="B73:G73" si="24">365/B72</f>
        <v>45.013404825737268</v>
      </c>
      <c r="C73" s="151">
        <f t="shared" si="24"/>
        <v>58.406581023213882</v>
      </c>
      <c r="D73" s="151">
        <f t="shared" si="24"/>
        <v>65.142905248979247</v>
      </c>
      <c r="E73" s="151">
        <f t="shared" si="24"/>
        <v>53.76132233312179</v>
      </c>
      <c r="F73" s="151">
        <f t="shared" si="24"/>
        <v>44.518544935805991</v>
      </c>
      <c r="G73" s="151">
        <f t="shared" si="24"/>
        <v>42.945522633536598</v>
      </c>
      <c r="H73" s="137">
        <f>MEDIAN(B73:G73)</f>
        <v>49.387363579429532</v>
      </c>
    </row>
    <row r="74" spans="1:16" x14ac:dyDescent="0.25">
      <c r="B74" s="60"/>
      <c r="C74" s="60"/>
      <c r="D74" s="60"/>
      <c r="E74" s="60"/>
      <c r="F74" s="60"/>
      <c r="G74" s="60"/>
    </row>
    <row r="75" spans="1:16" x14ac:dyDescent="0.25">
      <c r="A75" t="s">
        <v>119</v>
      </c>
      <c r="B75" s="155">
        <f>B31/'DELTA AIR LINES-IS'!B6</f>
        <v>7.8732954666326294E-2</v>
      </c>
      <c r="C75" s="155">
        <f>C31/'DELTA AIR LINES-IS'!C6</f>
        <v>0.1220239836209418</v>
      </c>
      <c r="D75" s="155">
        <f>D31/'DELTA AIR LINES-IS'!D6</f>
        <v>8.2176661426803577E-2</v>
      </c>
      <c r="E75" s="155">
        <f>E31/'DELTA AIR LINES-IS'!E6</f>
        <v>6.5003360879364203E-2</v>
      </c>
      <c r="F75" s="155">
        <f>F31/'DELTA AIR LINES-IS'!F6</f>
        <v>7.8572905181918409E-2</v>
      </c>
      <c r="G75" s="155">
        <f>G31/'DELTA AIR LINES-IS'!G6</f>
        <v>7.725126940609639E-2</v>
      </c>
      <c r="H75" s="136">
        <f>MEDIAN(B75:G75)</f>
        <v>7.8652929924122345E-2</v>
      </c>
    </row>
  </sheetData>
  <pageMargins left="0.7" right="0.7" top="0.75" bottom="0.75" header="0.3" footer="0.3"/>
  <ignoredErrors>
    <ignoredError sqref="H50:L50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D86-A9D6-428C-81DD-4D0DB018AB1F}">
  <dimension ref="A1:H33"/>
  <sheetViews>
    <sheetView showGridLines="0" tabSelected="1" zoomScale="73" workbookViewId="0">
      <pane xSplit="1" ySplit="4" topLeftCell="B6" activePane="bottomRight" state="frozen"/>
      <selection pane="topRight" activeCell="B1" sqref="B1"/>
      <selection pane="bottomLeft" activeCell="A5" sqref="A5"/>
      <selection pane="bottomRight" activeCell="J13" sqref="J13"/>
    </sheetView>
  </sheetViews>
  <sheetFormatPr defaultRowHeight="15" x14ac:dyDescent="0.25"/>
  <cols>
    <col min="1" max="1" width="49.5703125" bestFit="1" customWidth="1"/>
    <col min="2" max="5" width="12.140625" bestFit="1" customWidth="1"/>
    <col min="6" max="6" width="11" customWidth="1"/>
  </cols>
  <sheetData>
    <row r="1" spans="1:8" x14ac:dyDescent="0.25">
      <c r="A1" s="46" t="s">
        <v>13</v>
      </c>
    </row>
    <row r="2" spans="1:8" x14ac:dyDescent="0.25">
      <c r="A2" s="48" t="s">
        <v>21</v>
      </c>
    </row>
    <row r="3" spans="1:8" x14ac:dyDescent="0.25">
      <c r="A3" s="561" t="s">
        <v>31</v>
      </c>
      <c r="B3" s="426">
        <v>12</v>
      </c>
      <c r="C3" s="427">
        <v>12</v>
      </c>
      <c r="D3" s="427">
        <v>12</v>
      </c>
      <c r="E3" s="427">
        <v>12</v>
      </c>
      <c r="F3" s="428">
        <v>12</v>
      </c>
    </row>
    <row r="4" spans="1:8" x14ac:dyDescent="0.25">
      <c r="A4" s="561"/>
      <c r="B4" s="429">
        <v>46022</v>
      </c>
      <c r="C4" s="430">
        <v>46387</v>
      </c>
      <c r="D4" s="430">
        <v>46752</v>
      </c>
      <c r="E4" s="430">
        <v>47118</v>
      </c>
      <c r="F4" s="431">
        <v>47483</v>
      </c>
    </row>
    <row r="5" spans="1:8" x14ac:dyDescent="0.25">
      <c r="A5" s="47"/>
      <c r="B5" s="14"/>
      <c r="C5" s="14"/>
      <c r="D5" s="14"/>
      <c r="E5" s="14"/>
      <c r="F5" s="417"/>
      <c r="G5" s="14"/>
      <c r="H5" s="14"/>
    </row>
    <row r="6" spans="1:8" x14ac:dyDescent="0.25">
      <c r="A6" s="215" t="s">
        <v>34</v>
      </c>
      <c r="B6" s="14"/>
      <c r="C6" s="14"/>
      <c r="D6" s="14"/>
      <c r="E6" s="14"/>
      <c r="F6" s="417"/>
      <c r="G6" s="14"/>
      <c r="H6" s="14"/>
    </row>
    <row r="7" spans="1:8" x14ac:dyDescent="0.25">
      <c r="A7" s="76" t="s">
        <v>35</v>
      </c>
      <c r="B7" s="14">
        <f>'DELTA AIR LINES-IS'!H45</f>
        <v>5421.0688721018987</v>
      </c>
      <c r="C7" s="14">
        <f>'DELTA AIR LINES-IS'!I45</f>
        <v>7202.663960972839</v>
      </c>
      <c r="D7" s="14">
        <f>'DELTA AIR LINES-IS'!J45</f>
        <v>9240.6734461336018</v>
      </c>
      <c r="E7" s="14">
        <f>'DELTA AIR LINES-IS'!K45</f>
        <v>11580.916503308681</v>
      </c>
      <c r="F7" s="417">
        <f>'DELTA AIR LINES-IS'!L45</f>
        <v>14162.076662799924</v>
      </c>
      <c r="G7" s="14"/>
      <c r="H7" s="14"/>
    </row>
    <row r="8" spans="1:8" x14ac:dyDescent="0.25">
      <c r="A8" s="76" t="s">
        <v>6</v>
      </c>
      <c r="B8" s="14">
        <f>'DELTA AIR LINES-IS'!H39</f>
        <v>2861.7062895763929</v>
      </c>
      <c r="C8" s="14">
        <f>'DELTA AIR LINES-IS'!I39</f>
        <v>3225.0350470931335</v>
      </c>
      <c r="D8" s="14">
        <f>'DELTA AIR LINES-IS'!J39</f>
        <v>3664.7486600296525</v>
      </c>
      <c r="E8" s="14">
        <f>'DELTA AIR LINES-IS'!K39</f>
        <v>4195.1173742281935</v>
      </c>
      <c r="F8" s="417">
        <f>'DELTA AIR LINES-IS'!L39</f>
        <v>4833.1957399096909</v>
      </c>
      <c r="G8" s="14"/>
      <c r="H8" s="14"/>
    </row>
    <row r="9" spans="1:8" x14ac:dyDescent="0.25">
      <c r="A9" s="77" t="s">
        <v>36</v>
      </c>
      <c r="B9" s="14"/>
      <c r="C9" s="14"/>
      <c r="D9" s="14"/>
      <c r="E9" s="14"/>
      <c r="F9" s="417"/>
      <c r="G9" s="14"/>
      <c r="H9" s="14"/>
    </row>
    <row r="10" spans="1:8" x14ac:dyDescent="0.25">
      <c r="A10" s="1" t="s">
        <v>50</v>
      </c>
      <c r="B10" s="78">
        <f>'DELTA AIRLINES-BS'!G8-'DELTA AIRLINES-BS'!H8</f>
        <v>-1337.761336683031</v>
      </c>
      <c r="C10" s="78">
        <f>'DELTA AIRLINES-BS'!H8-'DELTA AIRLINES-BS'!I8</f>
        <v>-823.94034868941071</v>
      </c>
      <c r="D10" s="78">
        <f>'DELTA AIRLINES-BS'!I8-'DELTA AIRLINES-BS'!J8</f>
        <v>-982.24395519382961</v>
      </c>
      <c r="E10" s="78">
        <f>'DELTA AIRLINES-BS'!J8-'DELTA AIRLINES-BS'!K8</f>
        <v>-1171.1031188730294</v>
      </c>
      <c r="F10" s="418">
        <f>'DELTA AIRLINES-BS'!K8-'DELTA AIRLINES-BS'!L8</f>
        <v>-1396.4123223154902</v>
      </c>
      <c r="G10" s="14"/>
      <c r="H10" s="14"/>
    </row>
    <row r="11" spans="1:8" x14ac:dyDescent="0.25">
      <c r="A11" s="76" t="s">
        <v>3</v>
      </c>
      <c r="B11" s="78">
        <f>'DELTA AIRLINES-BS'!G9-'DELTA AIRLINES-BS'!H9</f>
        <v>-539.49916352270361</v>
      </c>
      <c r="C11" s="78">
        <f>'DELTA AIRLINES-BS'!H9-'DELTA AIRLINES-BS'!I9</f>
        <v>-355.36754932860254</v>
      </c>
      <c r="D11" s="78">
        <f>'DELTA AIRLINES-BS'!I9-'DELTA AIRLINES-BS'!J9</f>
        <v>-423.64429385608855</v>
      </c>
      <c r="E11" s="78">
        <f>'DELTA AIRLINES-BS'!J9-'DELTA AIRLINES-BS'!K9</f>
        <v>-505.09972721565418</v>
      </c>
      <c r="F11" s="418">
        <f>'DELTA AIRLINES-BS'!K9-'DELTA AIRLINES-BS'!L9</f>
        <v>-602.27615460616198</v>
      </c>
      <c r="G11" s="14"/>
      <c r="H11" s="14"/>
    </row>
    <row r="12" spans="1:8" x14ac:dyDescent="0.25">
      <c r="A12" s="76" t="s">
        <v>37</v>
      </c>
      <c r="B12" s="78">
        <f>'DELTA AIRLINES-BS'!G10-'DELTA AIRLINES-BS'!H10</f>
        <v>0</v>
      </c>
      <c r="C12" s="78">
        <f>'DELTA AIRLINES-BS'!H10-'DELTA AIRLINES-BS'!I10</f>
        <v>0</v>
      </c>
      <c r="D12" s="78">
        <f>'DELTA AIRLINES-BS'!I10-'DELTA AIRLINES-BS'!J10</f>
        <v>0</v>
      </c>
      <c r="E12" s="78">
        <f>'DELTA AIRLINES-BS'!J10-'DELTA AIRLINES-BS'!K10</f>
        <v>0</v>
      </c>
      <c r="F12" s="418">
        <f>'DELTA AIRLINES-BS'!K10-'DELTA AIRLINES-BS'!L10</f>
        <v>0</v>
      </c>
      <c r="G12" s="14"/>
      <c r="H12" s="14"/>
    </row>
    <row r="13" spans="1:8" ht="15" customHeight="1" x14ac:dyDescent="0.25">
      <c r="A13" s="76" t="s">
        <v>420</v>
      </c>
      <c r="B13" s="78">
        <f>'DELTA AIRLINES-BS'!H31-'DELTA AIRLINES-BS'!G31</f>
        <v>952.29910200770519</v>
      </c>
      <c r="C13" s="78">
        <f>'DELTA AIRLINES-BS'!I31-'DELTA AIRLINES-BS'!H31</f>
        <v>1032.1104606597619</v>
      </c>
      <c r="D13" s="78">
        <f>'DELTA AIRLINES-BS'!J31-'DELTA AIRLINES-BS'!I31</f>
        <v>1230.4097774649972</v>
      </c>
      <c r="E13" s="78">
        <f>'DELTA AIRLINES-BS'!K31-'DELTA AIRLINES-BS'!J31</f>
        <v>1466.9845716655836</v>
      </c>
      <c r="F13" s="418">
        <f>'DELTA AIRLINES-BS'!L31-'DELTA AIRLINES-BS'!K31</f>
        <v>1749.2185781998851</v>
      </c>
      <c r="G13" s="14"/>
      <c r="H13" s="14"/>
    </row>
    <row r="14" spans="1:8" x14ac:dyDescent="0.25">
      <c r="A14" s="424" t="s">
        <v>5</v>
      </c>
      <c r="B14" s="78">
        <f>'DELTA AIRLINES-BS'!H30-'DELTA AIRLINES-BS'!G30</f>
        <v>1817.7420269988679</v>
      </c>
      <c r="C14" s="78">
        <f>'DELTA AIRLINES-BS'!I30-'DELTA AIRLINES-BS'!H30</f>
        <v>1168.1964985992618</v>
      </c>
      <c r="D14" s="78">
        <f>'DELTA AIRLINES-BS'!J30-'DELTA AIRLINES-BS'!I30</f>
        <v>1392.6420171713899</v>
      </c>
      <c r="E14" s="78">
        <f>'DELTA AIRLINES-BS'!K30-'DELTA AIRLINES-BS'!J30</f>
        <v>1660.4097191529272</v>
      </c>
      <c r="F14" s="418">
        <f>'DELTA AIRLINES-BS'!L30-'DELTA AIRLINES-BS'!K30</f>
        <v>1979.8569011999462</v>
      </c>
      <c r="G14" s="14"/>
      <c r="H14" s="14"/>
    </row>
    <row r="15" spans="1:8" x14ac:dyDescent="0.25">
      <c r="A15" s="219" t="s">
        <v>10</v>
      </c>
      <c r="B15" s="216">
        <f>SUM(B7:B14)</f>
        <v>9175.5557904791312</v>
      </c>
      <c r="C15" s="216">
        <f>SUM(C7:C14)</f>
        <v>11448.698069306984</v>
      </c>
      <c r="D15" s="216">
        <f>SUM(D7:D14)</f>
        <v>14122.585651749723</v>
      </c>
      <c r="E15" s="216">
        <f>SUM(E7:E14)</f>
        <v>17227.225322266702</v>
      </c>
      <c r="F15" s="419">
        <f>SUM(F7:F14)</f>
        <v>20725.659405187795</v>
      </c>
      <c r="G15" s="14"/>
      <c r="H15" s="14"/>
    </row>
    <row r="16" spans="1:8" x14ac:dyDescent="0.25">
      <c r="A16" s="47"/>
      <c r="B16" s="14"/>
      <c r="C16" s="14"/>
      <c r="D16" s="14"/>
      <c r="E16" s="14"/>
      <c r="F16" s="417"/>
      <c r="G16" s="14"/>
      <c r="H16" s="14"/>
    </row>
    <row r="17" spans="1:8" x14ac:dyDescent="0.25">
      <c r="A17" s="215" t="s">
        <v>38</v>
      </c>
      <c r="B17" s="14"/>
      <c r="C17" s="14"/>
      <c r="D17" s="14"/>
      <c r="E17" s="14"/>
      <c r="F17" s="417"/>
      <c r="G17" s="14"/>
      <c r="H17" s="14"/>
    </row>
    <row r="18" spans="1:8" x14ac:dyDescent="0.25">
      <c r="A18" s="424" t="s">
        <v>39</v>
      </c>
      <c r="B18" s="78">
        <f>-'Fixed Assets Schedule'!H7</f>
        <v>-7246.0544007635899</v>
      </c>
      <c r="C18" s="78">
        <f>-'Fixed Assets Schedule'!I7</f>
        <v>-8554.8288299687702</v>
      </c>
      <c r="D18" s="78">
        <f>-'Fixed Assets Schedule'!J7</f>
        <v>-10115.058006563728</v>
      </c>
      <c r="E18" s="78">
        <f>-'Fixed Assets Schedule'!K7</f>
        <v>-11975.27740033591</v>
      </c>
      <c r="F18" s="418">
        <f>-'Fixed Assets Schedule'!L7</f>
        <v>-14193.385474519391</v>
      </c>
      <c r="G18" s="14"/>
      <c r="H18" s="14"/>
    </row>
    <row r="19" spans="1:8" x14ac:dyDescent="0.25">
      <c r="A19" s="219" t="s">
        <v>40</v>
      </c>
      <c r="B19" s="217">
        <f>B18</f>
        <v>-7246.0544007635899</v>
      </c>
      <c r="C19" s="217">
        <f>C18</f>
        <v>-8554.8288299687702</v>
      </c>
      <c r="D19" s="217">
        <f>D18</f>
        <v>-10115.058006563728</v>
      </c>
      <c r="E19" s="217">
        <f>E18</f>
        <v>-11975.27740033591</v>
      </c>
      <c r="F19" s="420">
        <f>F18</f>
        <v>-14193.385474519391</v>
      </c>
      <c r="G19" s="14"/>
      <c r="H19" s="14"/>
    </row>
    <row r="20" spans="1:8" x14ac:dyDescent="0.25">
      <c r="A20" s="47"/>
      <c r="B20" s="14"/>
      <c r="C20" s="14"/>
      <c r="D20" s="14"/>
      <c r="E20" s="14"/>
      <c r="F20" s="417"/>
      <c r="G20" s="14"/>
      <c r="H20" s="14"/>
    </row>
    <row r="21" spans="1:8" x14ac:dyDescent="0.25">
      <c r="A21" s="215" t="s">
        <v>41</v>
      </c>
      <c r="B21" s="14"/>
      <c r="C21" s="14"/>
      <c r="D21" s="14"/>
      <c r="E21" s="14"/>
      <c r="F21" s="417"/>
      <c r="G21" s="14"/>
      <c r="H21" s="14"/>
    </row>
    <row r="22" spans="1:8" x14ac:dyDescent="0.25">
      <c r="A22" s="76" t="s">
        <v>42</v>
      </c>
      <c r="B22" s="78">
        <f>-'DELTA AIR LINES-IS'!H46</f>
        <v>-75.276287223805923</v>
      </c>
      <c r="C22" s="78">
        <f>-'DELTA AIR LINES-IS'!I46</f>
        <v>-100.01529474989405</v>
      </c>
      <c r="D22" s="78">
        <f>-'DELTA AIR LINES-IS'!J46</f>
        <v>-128.31484064928412</v>
      </c>
      <c r="E22" s="78">
        <f>-'DELTA AIR LINES-IS'!K46</f>
        <v>-160.81116428981463</v>
      </c>
      <c r="F22" s="418">
        <f>-'DELTA AIR LINES-IS'!L46</f>
        <v>-196.65283280954549</v>
      </c>
      <c r="G22" s="14"/>
      <c r="H22" s="14"/>
    </row>
    <row r="23" spans="1:8" x14ac:dyDescent="0.25">
      <c r="A23" s="76" t="s">
        <v>43</v>
      </c>
      <c r="B23" s="22">
        <f>'Debt Schedule'!B6</f>
        <v>0</v>
      </c>
      <c r="C23" s="22">
        <f>'Debt Schedule'!C6</f>
        <v>0</v>
      </c>
      <c r="D23" s="22">
        <f>'Debt Schedule'!D6</f>
        <v>0</v>
      </c>
      <c r="E23" s="22">
        <f>'Debt Schedule'!E6</f>
        <v>0</v>
      </c>
      <c r="F23" s="421">
        <f>'Debt Schedule'!F6</f>
        <v>0</v>
      </c>
      <c r="G23" s="14"/>
      <c r="H23" s="14"/>
    </row>
    <row r="24" spans="1:8" x14ac:dyDescent="0.25">
      <c r="A24" s="76" t="s">
        <v>44</v>
      </c>
      <c r="B24" s="78">
        <f>-'Debt Schedule'!B7</f>
        <v>-1798</v>
      </c>
      <c r="C24" s="78">
        <f>-'Debt Schedule'!C7</f>
        <v>-2313</v>
      </c>
      <c r="D24" s="78">
        <f>-'Debt Schedule'!D7</f>
        <v>-2133</v>
      </c>
      <c r="E24" s="78">
        <f>-'Debt Schedule'!E7</f>
        <v>-1884</v>
      </c>
      <c r="F24" s="418">
        <f>-'Debt Schedule'!F7</f>
        <v>-621</v>
      </c>
      <c r="G24" s="14"/>
      <c r="H24" s="14"/>
    </row>
    <row r="25" spans="1:8" x14ac:dyDescent="0.25">
      <c r="A25" s="425" t="s">
        <v>45</v>
      </c>
      <c r="B25" s="217">
        <f>B22+B23+B24</f>
        <v>-1873.2762872238059</v>
      </c>
      <c r="C25" s="217">
        <f>C22+C23+C24</f>
        <v>-2413.0152947498941</v>
      </c>
      <c r="D25" s="217">
        <f>D22+D23+D24</f>
        <v>-2261.3148406492842</v>
      </c>
      <c r="E25" s="217">
        <f>E22+E23+E24</f>
        <v>-2044.8111642898145</v>
      </c>
      <c r="F25" s="420">
        <f>F22+F23+F24</f>
        <v>-817.65283280954554</v>
      </c>
      <c r="G25" s="14"/>
      <c r="H25" s="14"/>
    </row>
    <row r="26" spans="1:8" x14ac:dyDescent="0.25">
      <c r="A26" s="47"/>
      <c r="B26" s="14"/>
      <c r="C26" s="14"/>
      <c r="D26" s="14"/>
      <c r="E26" s="14"/>
      <c r="F26" s="417"/>
      <c r="G26" s="14"/>
      <c r="H26" s="14"/>
    </row>
    <row r="27" spans="1:8" s="7" customFormat="1" x14ac:dyDescent="0.25">
      <c r="A27" s="75" t="s">
        <v>46</v>
      </c>
      <c r="B27" s="37">
        <f>B15+B19+B25</f>
        <v>56.22510249173547</v>
      </c>
      <c r="C27" s="37">
        <f>C15+C19+C25</f>
        <v>480.85394458831934</v>
      </c>
      <c r="D27" s="37">
        <f>D15+D19+D25</f>
        <v>1746.2128045367112</v>
      </c>
      <c r="E27" s="37">
        <f>E15+E19+E25</f>
        <v>3207.1367576409775</v>
      </c>
      <c r="F27" s="422">
        <f>F15+F19+F25</f>
        <v>5714.6210978588579</v>
      </c>
      <c r="G27" s="34"/>
      <c r="H27" s="34"/>
    </row>
    <row r="28" spans="1:8" x14ac:dyDescent="0.25">
      <c r="A28" s="75" t="s">
        <v>47</v>
      </c>
      <c r="B28" s="14">
        <f>'DELTA AIRLINES-BS'!G6</f>
        <v>3069</v>
      </c>
      <c r="C28" s="14">
        <f>B29</f>
        <v>3125.2251024917355</v>
      </c>
      <c r="D28" s="14">
        <f>C29</f>
        <v>3606.0790470800548</v>
      </c>
      <c r="E28" s="14">
        <f>D29</f>
        <v>5352.2918516167665</v>
      </c>
      <c r="F28" s="417">
        <f>E29</f>
        <v>8559.428609257744</v>
      </c>
      <c r="G28" s="14"/>
      <c r="H28" s="14"/>
    </row>
    <row r="29" spans="1:8" s="7" customFormat="1" ht="15.75" thickBot="1" x14ac:dyDescent="0.3">
      <c r="A29" s="220" t="s">
        <v>48</v>
      </c>
      <c r="B29" s="218">
        <f>B27+B28</f>
        <v>3125.2251024917355</v>
      </c>
      <c r="C29" s="218">
        <f>C28+C27</f>
        <v>3606.0790470800548</v>
      </c>
      <c r="D29" s="218">
        <f>D28+D27</f>
        <v>5352.2918516167665</v>
      </c>
      <c r="E29" s="218">
        <f>E28+E27</f>
        <v>8559.428609257744</v>
      </c>
      <c r="F29" s="423">
        <f>F28+F27</f>
        <v>14274.049707116603</v>
      </c>
      <c r="G29" s="34"/>
      <c r="H29" s="34"/>
    </row>
    <row r="30" spans="1:8" ht="15.75" thickTop="1" x14ac:dyDescent="0.25">
      <c r="B30" s="14"/>
      <c r="C30" s="14"/>
      <c r="D30" s="14"/>
      <c r="E30" s="14"/>
      <c r="F30" s="14"/>
      <c r="G30" s="14"/>
      <c r="H30" s="14"/>
    </row>
    <row r="31" spans="1:8" x14ac:dyDescent="0.25">
      <c r="A31" s="67"/>
      <c r="B31" s="547"/>
      <c r="C31" s="547"/>
      <c r="D31" s="547"/>
      <c r="E31" s="547"/>
      <c r="F31" s="14"/>
      <c r="G31" s="14"/>
      <c r="H31" s="14"/>
    </row>
    <row r="32" spans="1:8" x14ac:dyDescent="0.25">
      <c r="B32" s="14"/>
      <c r="C32" s="14"/>
      <c r="D32" s="14"/>
      <c r="E32" s="14"/>
      <c r="F32" s="14"/>
      <c r="G32" s="14"/>
      <c r="H32" s="14"/>
    </row>
    <row r="33" spans="2:8" x14ac:dyDescent="0.25">
      <c r="B33" s="14"/>
      <c r="C33" s="14"/>
      <c r="D33" s="14"/>
      <c r="E33" s="14"/>
      <c r="F33" s="14"/>
      <c r="G33" s="14"/>
      <c r="H33" s="14"/>
    </row>
  </sheetData>
  <mergeCells count="2">
    <mergeCell ref="B31:E31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51EE-CFAF-45FE-96C2-9B1943CF6847}">
  <dimension ref="A1:M24"/>
  <sheetViews>
    <sheetView showGridLines="0" topLeftCell="A9" zoomScale="92" workbookViewId="0">
      <selection activeCell="D27" sqref="D27"/>
    </sheetView>
  </sheetViews>
  <sheetFormatPr defaultRowHeight="15" x14ac:dyDescent="0.25"/>
  <cols>
    <col min="1" max="1" width="27.42578125" bestFit="1" customWidth="1"/>
    <col min="4" max="4" width="12.28515625" bestFit="1" customWidth="1"/>
    <col min="12" max="12" width="12" bestFit="1" customWidth="1"/>
  </cols>
  <sheetData>
    <row r="1" spans="1:13" x14ac:dyDescent="0.25">
      <c r="A1" s="162" t="s">
        <v>313</v>
      </c>
      <c r="B1" s="162" t="s">
        <v>170</v>
      </c>
      <c r="C1" s="162" t="s">
        <v>308</v>
      </c>
      <c r="D1" s="162" t="s">
        <v>309</v>
      </c>
      <c r="E1" s="162" t="s">
        <v>310</v>
      </c>
    </row>
    <row r="2" spans="1:13" x14ac:dyDescent="0.25">
      <c r="A2" s="487" t="s">
        <v>166</v>
      </c>
      <c r="B2" s="488">
        <v>61408</v>
      </c>
      <c r="C2" s="489">
        <f>103.31*328.88</f>
        <v>33976.592799999999</v>
      </c>
      <c r="D2" s="490">
        <f>B2/(B2+C2)</f>
        <v>0.64379370082083109</v>
      </c>
      <c r="E2" s="491">
        <f>1-D2</f>
        <v>0.35620629917916891</v>
      </c>
    </row>
    <row r="3" spans="1:13" x14ac:dyDescent="0.25">
      <c r="A3" s="487" t="s">
        <v>167</v>
      </c>
      <c r="B3" s="489">
        <v>23400</v>
      </c>
      <c r="C3" s="489">
        <f>29.77*592.7</f>
        <v>17644.679</v>
      </c>
      <c r="D3" s="490">
        <f t="shared" ref="D3:D9" si="0">B3/(B3+C3)</f>
        <v>0.57011043989404808</v>
      </c>
      <c r="E3" s="491">
        <f t="shared" ref="E3:E9" si="1">1-D3</f>
        <v>0.42988956010595192</v>
      </c>
    </row>
    <row r="4" spans="1:13" x14ac:dyDescent="0.25">
      <c r="A4" s="492" t="s">
        <v>168</v>
      </c>
      <c r="B4" s="489">
        <v>4731.09</v>
      </c>
      <c r="C4" s="489">
        <f>110.16*40.33</f>
        <v>4442.7527999999993</v>
      </c>
      <c r="D4" s="490">
        <f t="shared" si="0"/>
        <v>0.51571518099263713</v>
      </c>
      <c r="E4" s="491">
        <f t="shared" si="1"/>
        <v>0.48428481900736287</v>
      </c>
      <c r="M4" s="160"/>
    </row>
    <row r="5" spans="1:13" x14ac:dyDescent="0.25">
      <c r="A5" s="492" t="s">
        <v>415</v>
      </c>
      <c r="B5" s="489">
        <v>65760</v>
      </c>
      <c r="C5" s="489">
        <f>16.41*657.6</f>
        <v>10791.216</v>
      </c>
      <c r="D5" s="490">
        <f t="shared" si="0"/>
        <v>0.85903272914698048</v>
      </c>
      <c r="E5" s="491">
        <f t="shared" si="1"/>
        <v>0.14096727085301952</v>
      </c>
      <c r="M5" s="109"/>
    </row>
    <row r="6" spans="1:13" x14ac:dyDescent="0.25">
      <c r="A6" s="492" t="s">
        <v>169</v>
      </c>
      <c r="B6" s="493">
        <v>10516</v>
      </c>
      <c r="C6" s="493">
        <f>6.35*353</f>
        <v>2241.5499999999997</v>
      </c>
      <c r="D6" s="494">
        <f t="shared" si="0"/>
        <v>0.8242962010730901</v>
      </c>
      <c r="E6" s="495">
        <f t="shared" si="1"/>
        <v>0.1757037989269099</v>
      </c>
      <c r="M6" s="81"/>
    </row>
    <row r="7" spans="1:13" x14ac:dyDescent="0.25">
      <c r="B7" s="111"/>
      <c r="C7" s="111"/>
      <c r="D7" s="169">
        <f>AVERAGE(D2:D6)</f>
        <v>0.68258965038551733</v>
      </c>
      <c r="E7" s="169">
        <f>1-D7</f>
        <v>0.31741034961448267</v>
      </c>
      <c r="M7" s="160"/>
    </row>
    <row r="8" spans="1:13" x14ac:dyDescent="0.25">
      <c r="A8" s="237"/>
      <c r="B8" s="111"/>
      <c r="C8" s="111"/>
      <c r="D8" s="254"/>
      <c r="E8" s="9"/>
      <c r="I8" s="81"/>
      <c r="M8" s="160"/>
    </row>
    <row r="9" spans="1:13" x14ac:dyDescent="0.25">
      <c r="A9" s="492" t="s">
        <v>180</v>
      </c>
      <c r="B9" s="489">
        <v>68572</v>
      </c>
      <c r="C9" s="489">
        <f>64.75*645.96</f>
        <v>41825.910000000003</v>
      </c>
      <c r="D9" s="490">
        <f t="shared" si="0"/>
        <v>0.62113494721050422</v>
      </c>
      <c r="E9" s="491">
        <f t="shared" si="1"/>
        <v>0.37886505278949578</v>
      </c>
      <c r="M9" s="160"/>
    </row>
    <row r="11" spans="1:13" x14ac:dyDescent="0.25">
      <c r="A11" s="162" t="s">
        <v>324</v>
      </c>
      <c r="B11" s="168">
        <v>0.21</v>
      </c>
    </row>
    <row r="12" spans="1:13" x14ac:dyDescent="0.25">
      <c r="A12" s="237"/>
      <c r="B12" s="237"/>
    </row>
    <row r="13" spans="1:13" x14ac:dyDescent="0.25">
      <c r="A13" s="496" t="s">
        <v>311</v>
      </c>
      <c r="B13" s="497">
        <v>4.5359999999999998E-2</v>
      </c>
      <c r="D13" t="s">
        <v>312</v>
      </c>
    </row>
    <row r="14" spans="1:13" x14ac:dyDescent="0.25">
      <c r="A14" s="492" t="s">
        <v>172</v>
      </c>
      <c r="B14" s="498" t="s">
        <v>171</v>
      </c>
    </row>
    <row r="15" spans="1:13" x14ac:dyDescent="0.25">
      <c r="A15" s="499" t="s">
        <v>173</v>
      </c>
      <c r="B15" s="500">
        <v>1.2E-2</v>
      </c>
      <c r="D15" t="s">
        <v>174</v>
      </c>
    </row>
    <row r="16" spans="1:13" x14ac:dyDescent="0.25">
      <c r="A16" s="162" t="s">
        <v>175</v>
      </c>
      <c r="B16" s="255">
        <f>B13+B15</f>
        <v>5.7359999999999994E-2</v>
      </c>
      <c r="D16" t="s">
        <v>323</v>
      </c>
    </row>
    <row r="17" spans="1:4" x14ac:dyDescent="0.25">
      <c r="A17" s="237"/>
      <c r="B17" s="237"/>
    </row>
    <row r="18" spans="1:4" x14ac:dyDescent="0.25">
      <c r="A18" s="496" t="s">
        <v>319</v>
      </c>
      <c r="B18" s="501">
        <f>'REGRESSION BETA'!F5</f>
        <v>7.0273118254706571E-2</v>
      </c>
    </row>
    <row r="19" spans="1:4" x14ac:dyDescent="0.25">
      <c r="A19" s="492" t="s">
        <v>320</v>
      </c>
      <c r="B19" s="501">
        <v>4.3299999999999998E-2</v>
      </c>
    </row>
    <row r="20" spans="1:4" x14ac:dyDescent="0.25">
      <c r="A20" s="499" t="s">
        <v>176</v>
      </c>
      <c r="B20" s="502">
        <f>'REGRESSION BETA'!B2</f>
        <v>1.143372093792927</v>
      </c>
    </row>
    <row r="21" spans="1:4" x14ac:dyDescent="0.25">
      <c r="A21" s="162" t="s">
        <v>321</v>
      </c>
      <c r="B21" s="167">
        <f>B13+ B20*B19</f>
        <v>9.4868011661233737E-2</v>
      </c>
      <c r="D21" t="s">
        <v>322</v>
      </c>
    </row>
    <row r="24" spans="1:4" x14ac:dyDescent="0.25">
      <c r="A24" s="162" t="s">
        <v>414</v>
      </c>
      <c r="B24" s="167">
        <f>D7*B16*(1-B11)+E7*B21</f>
        <v>6.1043229202052504E-2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4AE-4A2A-4855-A322-2C889B091BFE}">
  <dimension ref="A1:AB221"/>
  <sheetViews>
    <sheetView showGridLines="0" workbookViewId="0">
      <selection activeCell="Y5" sqref="Y5"/>
    </sheetView>
  </sheetViews>
  <sheetFormatPr defaultRowHeight="15" x14ac:dyDescent="0.25"/>
  <cols>
    <col min="1" max="1" width="25.28515625" customWidth="1"/>
    <col min="2" max="2" width="15" style="161" customWidth="1"/>
    <col min="4" max="4" width="9.140625" style="9"/>
    <col min="5" max="5" width="12.85546875" customWidth="1"/>
    <col min="6" max="6" width="12.28515625" style="161" customWidth="1"/>
    <col min="7" max="7" width="9.140625" style="109"/>
    <col min="8" max="8" width="9.140625" style="9"/>
    <col min="10" max="10" width="12.140625" style="161" customWidth="1"/>
    <col min="12" max="12" width="9.140625" style="9"/>
    <col min="14" max="14" width="11.85546875" customWidth="1"/>
    <col min="16" max="16" width="9.140625" style="9"/>
    <col min="18" max="18" width="11.7109375" customWidth="1"/>
    <col min="20" max="20" width="9.140625" style="9"/>
    <col min="22" max="22" width="10.85546875" customWidth="1"/>
    <col min="24" max="24" width="9.140625" style="9"/>
    <col min="26" max="26" width="11.28515625" customWidth="1"/>
    <col min="28" max="28" width="9.140625" style="9"/>
  </cols>
  <sheetData>
    <row r="1" spans="1:28" x14ac:dyDescent="0.25">
      <c r="A1" s="162" t="s">
        <v>314</v>
      </c>
      <c r="B1" s="163" t="s">
        <v>176</v>
      </c>
      <c r="E1" s="549" t="s">
        <v>307</v>
      </c>
      <c r="F1" s="550"/>
      <c r="J1" s="7"/>
      <c r="K1" s="7"/>
    </row>
    <row r="2" spans="1:28" x14ac:dyDescent="0.25">
      <c r="A2" s="259" t="s">
        <v>180</v>
      </c>
      <c r="B2" s="260">
        <f>SLOPE(D13:D220,$AB$13:$AB$220)</f>
        <v>1.143372093792927</v>
      </c>
      <c r="E2" s="266" t="s">
        <v>315</v>
      </c>
      <c r="F2" s="267">
        <f>(AA13/AA221)^(1/4)-1</f>
        <v>0.11563311825470657</v>
      </c>
      <c r="G2" s="548" t="s">
        <v>331</v>
      </c>
      <c r="J2"/>
      <c r="K2" s="221"/>
    </row>
    <row r="3" spans="1:28" x14ac:dyDescent="0.25">
      <c r="A3" s="259" t="s">
        <v>166</v>
      </c>
      <c r="B3" s="260">
        <f>SLOPE(H13:H220,AB13:AB220)</f>
        <v>1.199095192110146</v>
      </c>
      <c r="D3" s="263"/>
      <c r="E3" s="262" t="s">
        <v>316</v>
      </c>
      <c r="F3" s="264">
        <f>_xlfn.RRI(4,AA221,AA13)</f>
        <v>0.11563311825470657</v>
      </c>
      <c r="G3" s="548"/>
      <c r="J3"/>
      <c r="K3" s="81"/>
    </row>
    <row r="4" spans="1:28" x14ac:dyDescent="0.25">
      <c r="A4" s="259" t="s">
        <v>167</v>
      </c>
      <c r="B4" s="260">
        <f>SLOPE(L13:L220,AB13:AB220)</f>
        <v>0.78311385605360484</v>
      </c>
      <c r="D4" s="263"/>
      <c r="E4" s="261" t="s">
        <v>317</v>
      </c>
      <c r="F4" s="265">
        <f>WACC!B13</f>
        <v>4.5359999999999998E-2</v>
      </c>
      <c r="J4" s="222"/>
      <c r="K4" s="223"/>
    </row>
    <row r="5" spans="1:28" x14ac:dyDescent="0.25">
      <c r="A5" s="259" t="s">
        <v>168</v>
      </c>
      <c r="B5" s="260">
        <f>SLOPE(P13:P220,AB13:AB220)</f>
        <v>1.0908195367518903</v>
      </c>
      <c r="E5" s="162" t="s">
        <v>318</v>
      </c>
      <c r="F5" s="170">
        <f>F2-F4</f>
        <v>7.0273118254706571E-2</v>
      </c>
    </row>
    <row r="6" spans="1:28" x14ac:dyDescent="0.25">
      <c r="A6" s="164" t="s">
        <v>415</v>
      </c>
      <c r="B6" s="256">
        <f>SLOPE(T13:T220,AB13:AB220)</f>
        <v>1.2127343346154205</v>
      </c>
    </row>
    <row r="7" spans="1:28" x14ac:dyDescent="0.25">
      <c r="A7" s="257" t="s">
        <v>169</v>
      </c>
      <c r="B7" s="258">
        <f>SLOPE(X13:X220,AB13:AB220)</f>
        <v>1.1462076338997593</v>
      </c>
      <c r="F7" s="161" t="s">
        <v>52</v>
      </c>
    </row>
    <row r="11" spans="1:28" x14ac:dyDescent="0.25">
      <c r="B11" s="511" t="s">
        <v>180</v>
      </c>
      <c r="F11" s="512" t="s">
        <v>166</v>
      </c>
      <c r="G11" s="513"/>
      <c r="H11" s="514"/>
      <c r="J11" s="512" t="s">
        <v>167</v>
      </c>
      <c r="K11" s="515"/>
      <c r="N11" s="516" t="s">
        <v>168</v>
      </c>
      <c r="R11" s="517" t="s">
        <v>415</v>
      </c>
      <c r="S11" s="518"/>
      <c r="T11" s="514"/>
      <c r="V11" s="519" t="s">
        <v>169</v>
      </c>
      <c r="W11" s="515"/>
      <c r="Z11" s="516" t="s">
        <v>307</v>
      </c>
    </row>
    <row r="12" spans="1:28" x14ac:dyDescent="0.25">
      <c r="B12" s="376" t="s">
        <v>177</v>
      </c>
      <c r="C12" s="378" t="s">
        <v>178</v>
      </c>
      <c r="D12" s="375" t="s">
        <v>179</v>
      </c>
      <c r="F12" s="379" t="s">
        <v>177</v>
      </c>
      <c r="G12" s="380" t="s">
        <v>178</v>
      </c>
      <c r="H12" s="381" t="s">
        <v>179</v>
      </c>
      <c r="J12" s="376" t="s">
        <v>177</v>
      </c>
      <c r="K12" s="377" t="s">
        <v>178</v>
      </c>
      <c r="L12" s="482" t="s">
        <v>179</v>
      </c>
      <c r="N12" s="377" t="s">
        <v>177</v>
      </c>
      <c r="O12" s="377" t="s">
        <v>178</v>
      </c>
      <c r="P12" s="482" t="s">
        <v>179</v>
      </c>
      <c r="R12" s="377" t="s">
        <v>177</v>
      </c>
      <c r="S12" s="377" t="s">
        <v>178</v>
      </c>
      <c r="T12" s="482" t="s">
        <v>179</v>
      </c>
      <c r="V12" s="377" t="s">
        <v>177</v>
      </c>
      <c r="W12" s="377" t="s">
        <v>178</v>
      </c>
      <c r="X12" s="482" t="s">
        <v>179</v>
      </c>
      <c r="Z12" s="377" t="s">
        <v>177</v>
      </c>
      <c r="AA12" s="377" t="s">
        <v>178</v>
      </c>
      <c r="AB12" s="375" t="s">
        <v>179</v>
      </c>
    </row>
    <row r="13" spans="1:28" x14ac:dyDescent="0.25">
      <c r="B13" s="503">
        <v>45902</v>
      </c>
      <c r="C13" s="504">
        <v>66.33</v>
      </c>
      <c r="D13" s="505">
        <f>C13/C14-1</f>
        <v>-2.6562958614616994E-2</v>
      </c>
      <c r="F13" s="520">
        <v>45902</v>
      </c>
      <c r="G13" s="521">
        <v>104.18</v>
      </c>
      <c r="H13" s="505">
        <f>G13/G14-1</f>
        <v>-4.4220183486238462E-2</v>
      </c>
      <c r="J13" s="503">
        <v>45902</v>
      </c>
      <c r="K13" s="502">
        <v>29.88</v>
      </c>
      <c r="L13" s="506">
        <f>K13/K14-1</f>
        <v>-3.612903225806452E-2</v>
      </c>
      <c r="N13" s="503">
        <v>45902</v>
      </c>
      <c r="O13" s="502">
        <v>110.82</v>
      </c>
      <c r="P13" s="506">
        <f>O13/O14-1</f>
        <v>-5.0873586844809915E-2</v>
      </c>
      <c r="R13" s="503">
        <v>45697</v>
      </c>
      <c r="S13" s="502">
        <v>15.97</v>
      </c>
      <c r="T13" s="506">
        <f>S13/S14-1</f>
        <v>-6.9889341875364108E-2</v>
      </c>
      <c r="V13" s="503">
        <v>45902</v>
      </c>
      <c r="W13" s="502">
        <v>6.61</v>
      </c>
      <c r="X13" s="506">
        <f>W13/W14-1</f>
        <v>-8.9955022488754643E-3</v>
      </c>
      <c r="Z13" s="503">
        <v>45902</v>
      </c>
      <c r="AA13" s="522">
        <v>6051.97</v>
      </c>
      <c r="AB13" s="523">
        <f>AA13/AA14-1</f>
        <v>4.311324778169201E-3</v>
      </c>
    </row>
    <row r="14" spans="1:28" x14ac:dyDescent="0.25">
      <c r="B14" s="503">
        <v>45690</v>
      </c>
      <c r="C14" s="502">
        <v>68.14</v>
      </c>
      <c r="D14" s="506">
        <f t="shared" ref="D14:D77" si="0">C14/C15-1</f>
        <v>1.2932956741489532E-2</v>
      </c>
      <c r="F14" s="503">
        <v>45690</v>
      </c>
      <c r="G14" s="521">
        <v>109</v>
      </c>
      <c r="H14" s="506">
        <f t="shared" ref="H14:H77" si="1">G14/G15-1</f>
        <v>2.9856386999244089E-2</v>
      </c>
      <c r="J14" s="503">
        <v>45690</v>
      </c>
      <c r="K14" s="502">
        <v>31</v>
      </c>
      <c r="L14" s="506">
        <f t="shared" ref="L14:L77" si="2">K14/K15-1</f>
        <v>9.4431781178769825E-3</v>
      </c>
      <c r="N14" s="503">
        <v>45690</v>
      </c>
      <c r="O14" s="502">
        <v>116.76</v>
      </c>
      <c r="P14" s="506">
        <f t="shared" ref="P14:P77" si="3">O14/O15-1</f>
        <v>-3.4402911015547488E-2</v>
      </c>
      <c r="R14" s="503">
        <v>45690</v>
      </c>
      <c r="S14" s="502">
        <v>17.170000000000002</v>
      </c>
      <c r="T14" s="506">
        <f t="shared" ref="T14:T77" si="4">S14/S15-1</f>
        <v>1.4775413711583862E-2</v>
      </c>
      <c r="V14" s="503">
        <v>45690</v>
      </c>
      <c r="W14" s="502">
        <v>6.67</v>
      </c>
      <c r="X14" s="506">
        <f t="shared" ref="X14:X77" si="5">W14/W15-1</f>
        <v>1.3677811550151908E-2</v>
      </c>
      <c r="Z14" s="503">
        <v>45690</v>
      </c>
      <c r="AA14" s="522">
        <v>6025.99</v>
      </c>
      <c r="AB14" s="524">
        <f t="shared" ref="AB14:AB77" si="6">AA14/AA15-1</f>
        <v>-2.4070735514929442E-3</v>
      </c>
    </row>
    <row r="15" spans="1:28" x14ac:dyDescent="0.25">
      <c r="B15" s="507" t="s">
        <v>181</v>
      </c>
      <c r="C15" s="502">
        <v>67.27</v>
      </c>
      <c r="D15" s="506">
        <f t="shared" si="0"/>
        <v>1.3396844298896315E-3</v>
      </c>
      <c r="F15" s="507" t="s">
        <v>181</v>
      </c>
      <c r="G15" s="521">
        <v>105.84</v>
      </c>
      <c r="H15" s="506">
        <f t="shared" si="1"/>
        <v>8.0000000000000071E-3</v>
      </c>
      <c r="J15" s="507" t="s">
        <v>181</v>
      </c>
      <c r="K15" s="502">
        <v>30.71</v>
      </c>
      <c r="L15" s="506">
        <f t="shared" si="2"/>
        <v>-4.538389804165377E-2</v>
      </c>
      <c r="N15" s="507" t="s">
        <v>181</v>
      </c>
      <c r="O15" s="502">
        <v>120.92</v>
      </c>
      <c r="P15" s="506">
        <f t="shared" si="3"/>
        <v>5.9679256857418261E-2</v>
      </c>
      <c r="R15" s="503">
        <v>45683</v>
      </c>
      <c r="S15" s="502">
        <v>16.920000000000002</v>
      </c>
      <c r="T15" s="506">
        <f t="shared" si="4"/>
        <v>-2.3584905660376521E-3</v>
      </c>
      <c r="V15" s="507" t="s">
        <v>181</v>
      </c>
      <c r="W15" s="502">
        <v>6.58</v>
      </c>
      <c r="X15" s="506">
        <f t="shared" si="5"/>
        <v>-0.18463444857496902</v>
      </c>
      <c r="Z15" s="507" t="s">
        <v>181</v>
      </c>
      <c r="AA15" s="522">
        <v>6040.53</v>
      </c>
      <c r="AB15" s="524">
        <f t="shared" si="6"/>
        <v>-9.9504363047511202E-3</v>
      </c>
    </row>
    <row r="16" spans="1:28" x14ac:dyDescent="0.25">
      <c r="B16" s="507" t="s">
        <v>182</v>
      </c>
      <c r="C16" s="502">
        <v>67.180000000000007</v>
      </c>
      <c r="D16" s="506">
        <f t="shared" si="0"/>
        <v>2.0662412640535033E-2</v>
      </c>
      <c r="F16" s="507" t="s">
        <v>182</v>
      </c>
      <c r="G16" s="521">
        <v>105</v>
      </c>
      <c r="H16" s="506">
        <f t="shared" si="1"/>
        <v>-2.2164276401564487E-2</v>
      </c>
      <c r="J16" s="507" t="s">
        <v>182</v>
      </c>
      <c r="K16" s="502">
        <v>32.17</v>
      </c>
      <c r="L16" s="506">
        <f t="shared" si="2"/>
        <v>2.1806853582555519E-3</v>
      </c>
      <c r="N16" s="507" t="s">
        <v>182</v>
      </c>
      <c r="O16" s="502">
        <v>114.11</v>
      </c>
      <c r="P16" s="506">
        <f t="shared" si="3"/>
        <v>4.41028456400403E-2</v>
      </c>
      <c r="R16" s="503">
        <v>45676</v>
      </c>
      <c r="S16" s="502">
        <v>16.96</v>
      </c>
      <c r="T16" s="506">
        <f t="shared" si="4"/>
        <v>-7.1702244116037206E-2</v>
      </c>
      <c r="V16" s="507" t="s">
        <v>182</v>
      </c>
      <c r="W16" s="502">
        <v>8.07</v>
      </c>
      <c r="X16" s="506">
        <f t="shared" si="5"/>
        <v>5.6282722513089078E-2</v>
      </c>
      <c r="Z16" s="507" t="s">
        <v>182</v>
      </c>
      <c r="AA16" s="522">
        <v>6101.24</v>
      </c>
      <c r="AB16" s="524">
        <f t="shared" si="6"/>
        <v>1.7439708104177942E-2</v>
      </c>
    </row>
    <row r="17" spans="2:28" x14ac:dyDescent="0.25">
      <c r="B17" s="503">
        <v>45992</v>
      </c>
      <c r="C17" s="502">
        <v>65.819999999999993</v>
      </c>
      <c r="D17" s="506">
        <f t="shared" si="0"/>
        <v>-1.6878267363704347E-2</v>
      </c>
      <c r="F17" s="503">
        <v>45992</v>
      </c>
      <c r="G17" s="521">
        <v>107.38</v>
      </c>
      <c r="H17" s="506">
        <f t="shared" si="1"/>
        <v>2.5207730370646608E-3</v>
      </c>
      <c r="J17" s="503">
        <v>45992</v>
      </c>
      <c r="K17" s="502">
        <v>32.1</v>
      </c>
      <c r="L17" s="506">
        <f t="shared" si="2"/>
        <v>-3.0797101449275277E-2</v>
      </c>
      <c r="N17" s="503">
        <v>45992</v>
      </c>
      <c r="O17" s="502">
        <v>109.29</v>
      </c>
      <c r="P17" s="506">
        <f t="shared" si="3"/>
        <v>-1.6114512063377662E-2</v>
      </c>
      <c r="R17" s="503">
        <v>45669</v>
      </c>
      <c r="S17" s="502">
        <v>18.27</v>
      </c>
      <c r="T17" s="506">
        <f t="shared" si="4"/>
        <v>-5.9847660500543798E-3</v>
      </c>
      <c r="V17" s="503">
        <v>45992</v>
      </c>
      <c r="W17" s="502">
        <v>7.64</v>
      </c>
      <c r="X17" s="506">
        <f t="shared" si="5"/>
        <v>-7.7922077922079058E-3</v>
      </c>
      <c r="Z17" s="503">
        <v>45992</v>
      </c>
      <c r="AA17" s="522">
        <v>5996.66</v>
      </c>
      <c r="AB17" s="524">
        <f t="shared" si="6"/>
        <v>2.9109118866525785E-2</v>
      </c>
    </row>
    <row r="18" spans="2:28" x14ac:dyDescent="0.25">
      <c r="B18" s="503">
        <v>45778</v>
      </c>
      <c r="C18" s="502">
        <v>66.95</v>
      </c>
      <c r="D18" s="506">
        <f t="shared" si="0"/>
        <v>0.13474576271186445</v>
      </c>
      <c r="F18" s="503">
        <v>45778</v>
      </c>
      <c r="G18" s="521">
        <v>107.11</v>
      </c>
      <c r="H18" s="506">
        <f t="shared" si="1"/>
        <v>0.11957771506219284</v>
      </c>
      <c r="J18" s="503">
        <v>45778</v>
      </c>
      <c r="K18" s="502">
        <v>33.119999999999997</v>
      </c>
      <c r="L18" s="506">
        <f t="shared" si="2"/>
        <v>-1.4578994346920671E-2</v>
      </c>
      <c r="N18" s="503">
        <v>45778</v>
      </c>
      <c r="O18" s="502">
        <v>111.08</v>
      </c>
      <c r="P18" s="506">
        <f t="shared" si="3"/>
        <v>7.0857032680998744E-2</v>
      </c>
      <c r="R18" s="503">
        <v>45662</v>
      </c>
      <c r="S18" s="502">
        <v>18.38</v>
      </c>
      <c r="T18" s="506">
        <f t="shared" si="4"/>
        <v>8.3087802003535716E-2</v>
      </c>
      <c r="V18" s="503">
        <v>45778</v>
      </c>
      <c r="W18" s="502">
        <v>7.7</v>
      </c>
      <c r="X18" s="506">
        <f t="shared" si="5"/>
        <v>2.5299600532623145E-2</v>
      </c>
      <c r="Z18" s="503">
        <v>45778</v>
      </c>
      <c r="AA18" s="522">
        <v>5827.04</v>
      </c>
      <c r="AB18" s="524">
        <f t="shared" si="6"/>
        <v>-1.9424582707190829E-2</v>
      </c>
    </row>
    <row r="19" spans="2:28" x14ac:dyDescent="0.25">
      <c r="B19" s="507" t="s">
        <v>183</v>
      </c>
      <c r="C19" s="502">
        <v>59</v>
      </c>
      <c r="D19" s="506">
        <f t="shared" si="0"/>
        <v>-3.6891936010447268E-2</v>
      </c>
      <c r="F19" s="507" t="s">
        <v>183</v>
      </c>
      <c r="G19" s="521">
        <v>95.67</v>
      </c>
      <c r="H19" s="506">
        <f t="shared" si="1"/>
        <v>-3.9939789262418479E-2</v>
      </c>
      <c r="J19" s="507" t="s">
        <v>183</v>
      </c>
      <c r="K19" s="502">
        <v>33.61</v>
      </c>
      <c r="L19" s="506">
        <f t="shared" si="2"/>
        <v>-1.2632197414806146E-2</v>
      </c>
      <c r="N19" s="507" t="s">
        <v>183</v>
      </c>
      <c r="O19" s="502">
        <v>103.73</v>
      </c>
      <c r="P19" s="506">
        <f t="shared" si="3"/>
        <v>2.43926525775231E-2</v>
      </c>
      <c r="R19" s="503">
        <v>45655</v>
      </c>
      <c r="S19" s="502">
        <v>16.97</v>
      </c>
      <c r="T19" s="506">
        <f t="shared" si="4"/>
        <v>-2.1902017291066445E-2</v>
      </c>
      <c r="V19" s="507" t="s">
        <v>183</v>
      </c>
      <c r="W19" s="502">
        <v>7.51</v>
      </c>
      <c r="X19" s="506">
        <f t="shared" si="5"/>
        <v>-3.7179487179487158E-2</v>
      </c>
      <c r="Z19" s="507" t="s">
        <v>183</v>
      </c>
      <c r="AA19" s="522">
        <v>5942.47</v>
      </c>
      <c r="AB19" s="524">
        <f t="shared" si="6"/>
        <v>-4.7514252600974194E-3</v>
      </c>
    </row>
    <row r="20" spans="2:28" x14ac:dyDescent="0.25">
      <c r="B20" s="507" t="s">
        <v>184</v>
      </c>
      <c r="C20" s="502">
        <v>61.26</v>
      </c>
      <c r="D20" s="506">
        <f t="shared" si="0"/>
        <v>5.4160512063023969E-3</v>
      </c>
      <c r="F20" s="507" t="s">
        <v>184</v>
      </c>
      <c r="G20" s="521">
        <v>99.65</v>
      </c>
      <c r="H20" s="506">
        <f t="shared" si="1"/>
        <v>2.31006160164271E-2</v>
      </c>
      <c r="J20" s="507" t="s">
        <v>184</v>
      </c>
      <c r="K20" s="502">
        <v>34.04</v>
      </c>
      <c r="L20" s="506">
        <f t="shared" si="2"/>
        <v>2.2836538461538325E-2</v>
      </c>
      <c r="N20" s="507" t="s">
        <v>184</v>
      </c>
      <c r="O20" s="502">
        <v>101.26</v>
      </c>
      <c r="P20" s="506">
        <f t="shared" si="3"/>
        <v>-5.3045186640470199E-3</v>
      </c>
      <c r="R20" s="503">
        <v>45648</v>
      </c>
      <c r="S20" s="502">
        <v>17.350000000000001</v>
      </c>
      <c r="T20" s="506">
        <f t="shared" si="4"/>
        <v>2.7843601895734649E-2</v>
      </c>
      <c r="V20" s="507" t="s">
        <v>184</v>
      </c>
      <c r="W20" s="502">
        <v>7.8</v>
      </c>
      <c r="X20" s="506">
        <f t="shared" si="5"/>
        <v>4.8387096774193505E-2</v>
      </c>
      <c r="Z20" s="507" t="s">
        <v>184</v>
      </c>
      <c r="AA20" s="522">
        <v>5970.84</v>
      </c>
      <c r="AB20" s="524">
        <f t="shared" si="6"/>
        <v>6.7427097296339777E-3</v>
      </c>
    </row>
    <row r="21" spans="2:28" x14ac:dyDescent="0.25">
      <c r="B21" s="507" t="s">
        <v>185</v>
      </c>
      <c r="C21" s="502">
        <v>60.93</v>
      </c>
      <c r="D21" s="506">
        <f t="shared" si="0"/>
        <v>-9.590377113134041E-3</v>
      </c>
      <c r="F21" s="507" t="s">
        <v>185</v>
      </c>
      <c r="G21" s="521">
        <v>97.4</v>
      </c>
      <c r="H21" s="506">
        <f t="shared" si="1"/>
        <v>2.407738408158977E-2</v>
      </c>
      <c r="J21" s="507" t="s">
        <v>185</v>
      </c>
      <c r="K21" s="502">
        <v>33.28</v>
      </c>
      <c r="L21" s="506">
        <f t="shared" si="2"/>
        <v>7.8740157480314821E-3</v>
      </c>
      <c r="N21" s="507" t="s">
        <v>185</v>
      </c>
      <c r="O21" s="502">
        <v>101.8</v>
      </c>
      <c r="P21" s="506">
        <f t="shared" si="3"/>
        <v>-4.5028142589118136E-2</v>
      </c>
      <c r="R21" s="503">
        <v>45641</v>
      </c>
      <c r="S21" s="502">
        <v>16.88</v>
      </c>
      <c r="T21" s="506">
        <f t="shared" si="4"/>
        <v>-2.3640661938535423E-3</v>
      </c>
      <c r="V21" s="507" t="s">
        <v>185</v>
      </c>
      <c r="W21" s="502">
        <v>7.44</v>
      </c>
      <c r="X21" s="506">
        <f t="shared" si="5"/>
        <v>5.6818181818181879E-2</v>
      </c>
      <c r="Z21" s="507" t="s">
        <v>185</v>
      </c>
      <c r="AA21" s="522">
        <v>5930.85</v>
      </c>
      <c r="AB21" s="524">
        <f t="shared" si="6"/>
        <v>-1.9870800136834843E-2</v>
      </c>
    </row>
    <row r="22" spans="2:28" x14ac:dyDescent="0.25">
      <c r="B22" s="503">
        <v>45516</v>
      </c>
      <c r="C22" s="502">
        <v>61.52</v>
      </c>
      <c r="D22" s="506">
        <f t="shared" si="0"/>
        <v>-4.6644971331163743E-2</v>
      </c>
      <c r="F22" s="503">
        <v>45516</v>
      </c>
      <c r="G22" s="521">
        <v>95.11</v>
      </c>
      <c r="H22" s="506">
        <f t="shared" si="1"/>
        <v>-5.1555644196250472E-2</v>
      </c>
      <c r="J22" s="503">
        <v>45516</v>
      </c>
      <c r="K22" s="502">
        <v>33.020000000000003</v>
      </c>
      <c r="L22" s="506">
        <f t="shared" si="2"/>
        <v>-3.3937975424224609E-2</v>
      </c>
      <c r="N22" s="503">
        <v>45516</v>
      </c>
      <c r="O22" s="502">
        <v>106.6</v>
      </c>
      <c r="P22" s="506">
        <f t="shared" si="3"/>
        <v>-2.7194743566344215E-2</v>
      </c>
      <c r="R22" s="503">
        <v>45634</v>
      </c>
      <c r="S22" s="502">
        <v>16.920000000000002</v>
      </c>
      <c r="T22" s="506">
        <f t="shared" si="4"/>
        <v>-2.7586206896551557E-2</v>
      </c>
      <c r="V22" s="503">
        <v>45516</v>
      </c>
      <c r="W22" s="502">
        <v>7.04</v>
      </c>
      <c r="X22" s="506">
        <f t="shared" si="5"/>
        <v>6.8285280728376252E-2</v>
      </c>
      <c r="Z22" s="503">
        <v>45516</v>
      </c>
      <c r="AA22" s="522">
        <v>6051.09</v>
      </c>
      <c r="AB22" s="524">
        <f t="shared" si="6"/>
        <v>-6.4332123206360947E-3</v>
      </c>
    </row>
    <row r="23" spans="2:28" x14ac:dyDescent="0.25">
      <c r="B23" s="503">
        <v>45303</v>
      </c>
      <c r="C23" s="502">
        <v>64.53</v>
      </c>
      <c r="D23" s="506">
        <f t="shared" si="0"/>
        <v>1.1125039172673157E-2</v>
      </c>
      <c r="F23" s="503">
        <v>45303</v>
      </c>
      <c r="G23" s="521">
        <v>100.28</v>
      </c>
      <c r="H23" s="506">
        <f t="shared" si="1"/>
        <v>3.5629453681710332E-2</v>
      </c>
      <c r="J23" s="503">
        <v>45303</v>
      </c>
      <c r="K23" s="502">
        <v>34.18</v>
      </c>
      <c r="L23" s="506">
        <f t="shared" si="2"/>
        <v>5.6242274412855453E-2</v>
      </c>
      <c r="N23" s="503">
        <v>45303</v>
      </c>
      <c r="O23" s="502">
        <v>109.58</v>
      </c>
      <c r="P23" s="506">
        <f t="shared" si="3"/>
        <v>-4.4971239323688295E-2</v>
      </c>
      <c r="R23" s="503">
        <v>45627</v>
      </c>
      <c r="S23" s="502">
        <v>17.399999999999999</v>
      </c>
      <c r="T23" s="506">
        <f t="shared" si="4"/>
        <v>0.19834710743801653</v>
      </c>
      <c r="V23" s="503">
        <v>45303</v>
      </c>
      <c r="W23" s="502">
        <v>6.59</v>
      </c>
      <c r="X23" s="506">
        <f t="shared" si="5"/>
        <v>0.10385259631490795</v>
      </c>
      <c r="Z23" s="503">
        <v>45303</v>
      </c>
      <c r="AA23" s="522">
        <v>6090.27</v>
      </c>
      <c r="AB23" s="524">
        <f t="shared" si="6"/>
        <v>9.5965439842982114E-3</v>
      </c>
    </row>
    <row r="24" spans="2:28" x14ac:dyDescent="0.25">
      <c r="B24" s="507" t="s">
        <v>186</v>
      </c>
      <c r="C24" s="502">
        <v>63.82</v>
      </c>
      <c r="D24" s="506">
        <f t="shared" si="0"/>
        <v>7.5781496684559357E-3</v>
      </c>
      <c r="F24" s="507" t="s">
        <v>186</v>
      </c>
      <c r="G24" s="521">
        <v>96.83</v>
      </c>
      <c r="H24" s="506">
        <f t="shared" si="1"/>
        <v>1.6694666106677802E-2</v>
      </c>
      <c r="J24" s="507" t="s">
        <v>186</v>
      </c>
      <c r="K24" s="502">
        <v>32.36</v>
      </c>
      <c r="L24" s="506">
        <f t="shared" si="2"/>
        <v>1.2198936502971547E-2</v>
      </c>
      <c r="N24" s="507" t="s">
        <v>186</v>
      </c>
      <c r="O24" s="502">
        <v>114.74</v>
      </c>
      <c r="P24" s="506">
        <f t="shared" si="3"/>
        <v>2.5379803395889189E-2</v>
      </c>
      <c r="R24" s="503">
        <v>45620</v>
      </c>
      <c r="S24" s="502">
        <v>14.52</v>
      </c>
      <c r="T24" s="506">
        <f t="shared" si="4"/>
        <v>9.7357440890124547E-3</v>
      </c>
      <c r="V24" s="507" t="s">
        <v>186</v>
      </c>
      <c r="W24" s="502">
        <v>5.97</v>
      </c>
      <c r="X24" s="506">
        <f t="shared" si="5"/>
        <v>-1.9704433497536922E-2</v>
      </c>
      <c r="Z24" s="507" t="s">
        <v>186</v>
      </c>
      <c r="AA24" s="522">
        <v>6032.38</v>
      </c>
      <c r="AB24" s="524">
        <f t="shared" si="6"/>
        <v>1.0560631493598871E-2</v>
      </c>
    </row>
    <row r="25" spans="2:28" x14ac:dyDescent="0.25">
      <c r="B25" s="507" t="s">
        <v>187</v>
      </c>
      <c r="C25" s="502">
        <v>63.34</v>
      </c>
      <c r="D25" s="506">
        <f t="shared" si="0"/>
        <v>-1.1393788044326336E-2</v>
      </c>
      <c r="F25" s="507" t="s">
        <v>187</v>
      </c>
      <c r="G25" s="521">
        <v>95.24</v>
      </c>
      <c r="H25" s="506">
        <f t="shared" si="1"/>
        <v>4.4641877810683184E-2</v>
      </c>
      <c r="J25" s="507" t="s">
        <v>187</v>
      </c>
      <c r="K25" s="502">
        <v>31.97</v>
      </c>
      <c r="L25" s="506">
        <f t="shared" si="2"/>
        <v>-1.9325153374233239E-2</v>
      </c>
      <c r="N25" s="507" t="s">
        <v>187</v>
      </c>
      <c r="O25" s="502">
        <v>111.9</v>
      </c>
      <c r="P25" s="506">
        <f t="shared" si="3"/>
        <v>5.1199137698734187E-3</v>
      </c>
      <c r="R25" s="503">
        <v>45613</v>
      </c>
      <c r="S25" s="502">
        <v>14.38</v>
      </c>
      <c r="T25" s="506">
        <f t="shared" si="4"/>
        <v>-6.9492703266160749E-4</v>
      </c>
      <c r="V25" s="507" t="s">
        <v>187</v>
      </c>
      <c r="W25" s="502">
        <v>6.09</v>
      </c>
      <c r="X25" s="506">
        <f t="shared" si="5"/>
        <v>-0.13739376770538236</v>
      </c>
      <c r="Z25" s="507" t="s">
        <v>187</v>
      </c>
      <c r="AA25" s="522">
        <v>5969.34</v>
      </c>
      <c r="AB25" s="524">
        <f t="shared" si="6"/>
        <v>1.6815941076070429E-2</v>
      </c>
    </row>
    <row r="26" spans="2:28" x14ac:dyDescent="0.25">
      <c r="B26" s="503">
        <v>45576</v>
      </c>
      <c r="C26" s="502">
        <v>64.069999999999993</v>
      </c>
      <c r="D26" s="506">
        <f t="shared" si="0"/>
        <v>4.9467649467649366E-2</v>
      </c>
      <c r="F26" s="503">
        <v>45576</v>
      </c>
      <c r="G26" s="521">
        <v>91.17</v>
      </c>
      <c r="H26" s="506">
        <f t="shared" si="1"/>
        <v>4.1823791566678148E-2</v>
      </c>
      <c r="J26" s="503">
        <v>45576</v>
      </c>
      <c r="K26" s="502">
        <v>32.6</v>
      </c>
      <c r="L26" s="506">
        <f t="shared" si="2"/>
        <v>2.5802391441158035E-2</v>
      </c>
      <c r="N26" s="503">
        <v>45576</v>
      </c>
      <c r="O26" s="502">
        <v>111.33</v>
      </c>
      <c r="P26" s="506">
        <f t="shared" si="3"/>
        <v>-1.3906111603188775E-2</v>
      </c>
      <c r="R26" s="503">
        <v>45606</v>
      </c>
      <c r="S26" s="502">
        <v>14.39</v>
      </c>
      <c r="T26" s="506">
        <f t="shared" si="4"/>
        <v>4.1998551774076853E-2</v>
      </c>
      <c r="V26" s="503">
        <v>45576</v>
      </c>
      <c r="W26" s="502">
        <v>7.06</v>
      </c>
      <c r="X26" s="506">
        <f t="shared" si="5"/>
        <v>0.11356466876971605</v>
      </c>
      <c r="Z26" s="503">
        <v>45576</v>
      </c>
      <c r="AA26" s="522">
        <v>5870.62</v>
      </c>
      <c r="AB26" s="524">
        <f t="shared" si="6"/>
        <v>-2.0835487712532963E-2</v>
      </c>
    </row>
    <row r="27" spans="2:28" x14ac:dyDescent="0.25">
      <c r="B27" s="503">
        <v>45362</v>
      </c>
      <c r="C27" s="502">
        <v>61.05</v>
      </c>
      <c r="D27" s="506">
        <f t="shared" si="0"/>
        <v>4.5555745846891593E-2</v>
      </c>
      <c r="F27" s="503">
        <v>45362</v>
      </c>
      <c r="G27" s="521">
        <v>87.51</v>
      </c>
      <c r="H27" s="506">
        <f t="shared" si="1"/>
        <v>8.762117822520521E-2</v>
      </c>
      <c r="J27" s="503">
        <v>45362</v>
      </c>
      <c r="K27" s="502">
        <v>31.78</v>
      </c>
      <c r="L27" s="506">
        <f t="shared" si="2"/>
        <v>3.8222803005553807E-2</v>
      </c>
      <c r="N27" s="503">
        <v>45362</v>
      </c>
      <c r="O27" s="502">
        <v>112.9</v>
      </c>
      <c r="P27" s="506">
        <f t="shared" si="3"/>
        <v>0.114181387545643</v>
      </c>
      <c r="R27" s="503">
        <v>45599</v>
      </c>
      <c r="S27" s="502">
        <v>13.81</v>
      </c>
      <c r="T27" s="506">
        <f t="shared" si="4"/>
        <v>1.994091580502233E-2</v>
      </c>
      <c r="V27" s="503">
        <v>45362</v>
      </c>
      <c r="W27" s="502">
        <v>6.34</v>
      </c>
      <c r="X27" s="506">
        <f t="shared" si="5"/>
        <v>9.8786828422877004E-2</v>
      </c>
      <c r="Z27" s="503">
        <v>45362</v>
      </c>
      <c r="AA27" s="522">
        <v>5995.54</v>
      </c>
      <c r="AB27" s="524">
        <f t="shared" si="6"/>
        <v>4.6561234464460144E-2</v>
      </c>
    </row>
    <row r="28" spans="2:28" x14ac:dyDescent="0.25">
      <c r="B28" s="507" t="s">
        <v>188</v>
      </c>
      <c r="C28" s="502">
        <v>58.39</v>
      </c>
      <c r="D28" s="506">
        <f t="shared" si="0"/>
        <v>7.8898743532889837E-2</v>
      </c>
      <c r="F28" s="507" t="s">
        <v>188</v>
      </c>
      <c r="G28" s="521">
        <v>80.459999999999994</v>
      </c>
      <c r="H28" s="506">
        <f t="shared" si="1"/>
        <v>7.7974276527331021E-2</v>
      </c>
      <c r="J28" s="507" t="s">
        <v>188</v>
      </c>
      <c r="K28" s="502">
        <v>30.61</v>
      </c>
      <c r="L28" s="506">
        <f t="shared" si="2"/>
        <v>4.0095141012572277E-2</v>
      </c>
      <c r="N28" s="507" t="s">
        <v>188</v>
      </c>
      <c r="O28" s="502">
        <v>101.33</v>
      </c>
      <c r="P28" s="506">
        <f t="shared" si="3"/>
        <v>7.7864057015211152E-2</v>
      </c>
      <c r="R28" s="503">
        <v>45592</v>
      </c>
      <c r="S28" s="502">
        <v>13.54</v>
      </c>
      <c r="T28" s="506">
        <f t="shared" si="4"/>
        <v>2.965779467680596E-2</v>
      </c>
      <c r="V28" s="507" t="s">
        <v>188</v>
      </c>
      <c r="W28" s="502">
        <v>5.77</v>
      </c>
      <c r="X28" s="506">
        <f t="shared" si="5"/>
        <v>-0.19637883008356549</v>
      </c>
      <c r="Z28" s="507" t="s">
        <v>188</v>
      </c>
      <c r="AA28" s="522">
        <v>5728.8</v>
      </c>
      <c r="AB28" s="524">
        <f t="shared" si="6"/>
        <v>-1.3656742629284513E-2</v>
      </c>
    </row>
    <row r="29" spans="2:28" x14ac:dyDescent="0.25">
      <c r="B29" s="507" t="s">
        <v>189</v>
      </c>
      <c r="C29" s="502">
        <v>54.12</v>
      </c>
      <c r="D29" s="506">
        <f t="shared" si="0"/>
        <v>-3.010752688172047E-2</v>
      </c>
      <c r="F29" s="507" t="s">
        <v>189</v>
      </c>
      <c r="G29" s="521">
        <v>74.64</v>
      </c>
      <c r="H29" s="506">
        <f t="shared" si="1"/>
        <v>6.6082265677680496E-3</v>
      </c>
      <c r="J29" s="507" t="s">
        <v>189</v>
      </c>
      <c r="K29" s="502">
        <v>29.43</v>
      </c>
      <c r="L29" s="506">
        <f t="shared" si="2"/>
        <v>-5.0032278889606263E-2</v>
      </c>
      <c r="N29" s="507" t="s">
        <v>189</v>
      </c>
      <c r="O29" s="502">
        <v>94.01</v>
      </c>
      <c r="P29" s="506">
        <f t="shared" si="3"/>
        <v>-1.8582315481783129E-2</v>
      </c>
      <c r="R29" s="503">
        <v>45585</v>
      </c>
      <c r="S29" s="502">
        <v>13.15</v>
      </c>
      <c r="T29" s="506">
        <f t="shared" si="4"/>
        <v>4.5836516424753171E-3</v>
      </c>
      <c r="V29" s="507" t="s">
        <v>189</v>
      </c>
      <c r="W29" s="502">
        <v>7.18</v>
      </c>
      <c r="X29" s="506">
        <f t="shared" si="5"/>
        <v>-0.10807453416149082</v>
      </c>
      <c r="Z29" s="507" t="s">
        <v>189</v>
      </c>
      <c r="AA29" s="522">
        <v>5808.12</v>
      </c>
      <c r="AB29" s="524">
        <f t="shared" si="6"/>
        <v>-9.6424862780003506E-3</v>
      </c>
    </row>
    <row r="30" spans="2:28" x14ac:dyDescent="0.25">
      <c r="B30" s="507" t="s">
        <v>190</v>
      </c>
      <c r="C30" s="502">
        <v>55.8</v>
      </c>
      <c r="D30" s="506">
        <f t="shared" si="0"/>
        <v>8.7083576855639944E-2</v>
      </c>
      <c r="F30" s="507" t="s">
        <v>190</v>
      </c>
      <c r="G30" s="521">
        <v>74.150000000000006</v>
      </c>
      <c r="H30" s="506">
        <f t="shared" si="1"/>
        <v>0.19983818770226547</v>
      </c>
      <c r="J30" s="507" t="s">
        <v>190</v>
      </c>
      <c r="K30" s="502">
        <v>30.98</v>
      </c>
      <c r="L30" s="506">
        <f t="shared" si="2"/>
        <v>1.1757021554539504E-2</v>
      </c>
      <c r="N30" s="507" t="s">
        <v>190</v>
      </c>
      <c r="O30" s="502">
        <v>95.79</v>
      </c>
      <c r="P30" s="506">
        <f t="shared" si="3"/>
        <v>4.8948751642575727E-2</v>
      </c>
      <c r="R30" s="503">
        <v>45578</v>
      </c>
      <c r="S30" s="502">
        <v>13.09</v>
      </c>
      <c r="T30" s="506">
        <f t="shared" si="4"/>
        <v>0.11026293469041559</v>
      </c>
      <c r="V30" s="507" t="s">
        <v>190</v>
      </c>
      <c r="W30" s="502">
        <v>8.0500000000000007</v>
      </c>
      <c r="X30" s="506">
        <f t="shared" si="5"/>
        <v>0.19791666666666674</v>
      </c>
      <c r="Z30" s="507" t="s">
        <v>190</v>
      </c>
      <c r="AA30" s="522">
        <v>5864.67</v>
      </c>
      <c r="AB30" s="524">
        <f t="shared" si="6"/>
        <v>8.5364993817744761E-3</v>
      </c>
    </row>
    <row r="31" spans="2:28" x14ac:dyDescent="0.25">
      <c r="B31" s="503">
        <v>45453</v>
      </c>
      <c r="C31" s="502">
        <v>51.33</v>
      </c>
      <c r="D31" s="506">
        <f t="shared" si="0"/>
        <v>4.1599025974025983E-2</v>
      </c>
      <c r="F31" s="503">
        <v>45453</v>
      </c>
      <c r="G31" s="521">
        <v>61.8</v>
      </c>
      <c r="H31" s="506">
        <f t="shared" si="1"/>
        <v>4.3566362715298901E-2</v>
      </c>
      <c r="J31" s="503">
        <v>45453</v>
      </c>
      <c r="K31" s="502">
        <v>30.62</v>
      </c>
      <c r="L31" s="506">
        <f t="shared" si="2"/>
        <v>-2.0159999999999956E-2</v>
      </c>
      <c r="N31" s="503">
        <v>45453</v>
      </c>
      <c r="O31" s="502">
        <v>91.32</v>
      </c>
      <c r="P31" s="506">
        <f t="shared" si="3"/>
        <v>7.2208524128213991E-2</v>
      </c>
      <c r="R31" s="503">
        <v>45571</v>
      </c>
      <c r="S31" s="502">
        <v>11.79</v>
      </c>
      <c r="T31" s="506">
        <f t="shared" si="4"/>
        <v>2.4326672458731435E-2</v>
      </c>
      <c r="V31" s="503">
        <v>45453</v>
      </c>
      <c r="W31" s="502">
        <v>6.72</v>
      </c>
      <c r="X31" s="506">
        <f t="shared" si="5"/>
        <v>-7.9452054794520555E-2</v>
      </c>
      <c r="Z31" s="503">
        <v>45453</v>
      </c>
      <c r="AA31" s="522">
        <v>5815.03</v>
      </c>
      <c r="AB31" s="524">
        <f t="shared" si="6"/>
        <v>1.1121408711770142E-2</v>
      </c>
    </row>
    <row r="32" spans="2:28" x14ac:dyDescent="0.25">
      <c r="B32" s="507" t="s">
        <v>191</v>
      </c>
      <c r="C32" s="502">
        <v>49.28</v>
      </c>
      <c r="D32" s="506">
        <f t="shared" si="0"/>
        <v>-4.3849437330228946E-2</v>
      </c>
      <c r="F32" s="507" t="s">
        <v>191</v>
      </c>
      <c r="G32" s="521">
        <v>59.22</v>
      </c>
      <c r="H32" s="506">
        <f t="shared" si="1"/>
        <v>2.1210553543714372E-2</v>
      </c>
      <c r="J32" s="507" t="s">
        <v>191</v>
      </c>
      <c r="K32" s="502">
        <v>31.25</v>
      </c>
      <c r="L32" s="506">
        <f t="shared" si="2"/>
        <v>5.8245851676261395E-2</v>
      </c>
      <c r="N32" s="507" t="s">
        <v>191</v>
      </c>
      <c r="O32" s="502">
        <v>85.17</v>
      </c>
      <c r="P32" s="506">
        <f t="shared" si="3"/>
        <v>1.0560037968675884E-2</v>
      </c>
      <c r="R32" s="503">
        <v>45564</v>
      </c>
      <c r="S32" s="502">
        <v>11.51</v>
      </c>
      <c r="T32" s="506">
        <f t="shared" si="4"/>
        <v>-4.325259515570945E-3</v>
      </c>
      <c r="V32" s="507" t="s">
        <v>191</v>
      </c>
      <c r="W32" s="502">
        <v>7.3</v>
      </c>
      <c r="X32" s="506">
        <f t="shared" si="5"/>
        <v>0.13707165109034269</v>
      </c>
      <c r="Z32" s="507" t="s">
        <v>191</v>
      </c>
      <c r="AA32" s="522">
        <v>5751.07</v>
      </c>
      <c r="AB32" s="524">
        <f t="shared" si="6"/>
        <v>2.2481034894399343E-3</v>
      </c>
    </row>
    <row r="33" spans="2:28" x14ac:dyDescent="0.25">
      <c r="B33" s="507" t="s">
        <v>192</v>
      </c>
      <c r="C33" s="502">
        <v>51.54</v>
      </c>
      <c r="D33" s="506">
        <f t="shared" si="0"/>
        <v>9.7997443544951102E-2</v>
      </c>
      <c r="F33" s="507" t="s">
        <v>192</v>
      </c>
      <c r="G33" s="521">
        <v>57.99</v>
      </c>
      <c r="H33" s="506">
        <f t="shared" si="1"/>
        <v>0.11155836687751575</v>
      </c>
      <c r="J33" s="507" t="s">
        <v>192</v>
      </c>
      <c r="K33" s="502">
        <v>29.53</v>
      </c>
      <c r="L33" s="506">
        <f t="shared" si="2"/>
        <v>1.6873278236914757E-2</v>
      </c>
      <c r="N33" s="507" t="s">
        <v>192</v>
      </c>
      <c r="O33" s="502">
        <v>84.28</v>
      </c>
      <c r="P33" s="506">
        <f t="shared" si="3"/>
        <v>2.9185492734155494E-2</v>
      </c>
      <c r="R33" s="503">
        <v>45557</v>
      </c>
      <c r="S33" s="502">
        <v>11.56</v>
      </c>
      <c r="T33" s="506">
        <f t="shared" si="4"/>
        <v>4.9954586739327844E-2</v>
      </c>
      <c r="V33" s="507" t="s">
        <v>192</v>
      </c>
      <c r="W33" s="502">
        <v>6.42</v>
      </c>
      <c r="X33" s="506">
        <f t="shared" si="5"/>
        <v>0.12237762237762251</v>
      </c>
      <c r="Z33" s="507" t="s">
        <v>192</v>
      </c>
      <c r="AA33" s="522">
        <v>5738.17</v>
      </c>
      <c r="AB33" s="524">
        <f t="shared" si="6"/>
        <v>6.2463283969451666E-3</v>
      </c>
    </row>
    <row r="34" spans="2:28" x14ac:dyDescent="0.25">
      <c r="B34" s="507" t="s">
        <v>193</v>
      </c>
      <c r="C34" s="502">
        <v>46.94</v>
      </c>
      <c r="D34" s="506">
        <f t="shared" si="0"/>
        <v>3.8955289951305927E-2</v>
      </c>
      <c r="F34" s="507" t="s">
        <v>193</v>
      </c>
      <c r="G34" s="521">
        <v>52.17</v>
      </c>
      <c r="H34" s="506">
        <f t="shared" si="1"/>
        <v>3.8829151732377554E-2</v>
      </c>
      <c r="J34" s="507" t="s">
        <v>193</v>
      </c>
      <c r="K34" s="502">
        <v>29.04</v>
      </c>
      <c r="L34" s="506">
        <f t="shared" si="2"/>
        <v>1.2552301255230214E-2</v>
      </c>
      <c r="N34" s="507" t="s">
        <v>193</v>
      </c>
      <c r="O34" s="502">
        <v>81.89</v>
      </c>
      <c r="P34" s="506">
        <f t="shared" si="3"/>
        <v>4.6383848709430131E-2</v>
      </c>
      <c r="R34" s="503">
        <v>45550</v>
      </c>
      <c r="S34" s="502">
        <v>11.01</v>
      </c>
      <c r="T34" s="506">
        <f t="shared" si="4"/>
        <v>2.9934518241347075E-2</v>
      </c>
      <c r="V34" s="507" t="s">
        <v>193</v>
      </c>
      <c r="W34" s="502">
        <v>5.72</v>
      </c>
      <c r="X34" s="506">
        <f t="shared" si="5"/>
        <v>-3.703703703703709E-2</v>
      </c>
      <c r="Z34" s="507" t="s">
        <v>193</v>
      </c>
      <c r="AA34" s="522">
        <v>5702.55</v>
      </c>
      <c r="AB34" s="524">
        <f t="shared" si="6"/>
        <v>1.3602866680175296E-2</v>
      </c>
    </row>
    <row r="35" spans="2:28" x14ac:dyDescent="0.25">
      <c r="B35" s="503">
        <v>45513</v>
      </c>
      <c r="C35" s="502">
        <v>45.18</v>
      </c>
      <c r="D35" s="506">
        <f t="shared" si="0"/>
        <v>7.4946466809421741E-2</v>
      </c>
      <c r="F35" s="503">
        <v>45513</v>
      </c>
      <c r="G35" s="521">
        <v>50.22</v>
      </c>
      <c r="H35" s="506">
        <f t="shared" si="1"/>
        <v>9.1501847424472871E-2</v>
      </c>
      <c r="J35" s="503">
        <v>45513</v>
      </c>
      <c r="K35" s="502">
        <v>28.68</v>
      </c>
      <c r="L35" s="506">
        <f t="shared" si="2"/>
        <v>-3.4343434343434343E-2</v>
      </c>
      <c r="N35" s="503">
        <v>45513</v>
      </c>
      <c r="O35" s="502">
        <v>78.260000000000005</v>
      </c>
      <c r="P35" s="506">
        <f t="shared" si="3"/>
        <v>3.6830948595654389E-2</v>
      </c>
      <c r="R35" s="503">
        <v>45543</v>
      </c>
      <c r="S35" s="502">
        <v>10.69</v>
      </c>
      <c r="T35" s="506">
        <f t="shared" si="4"/>
        <v>-1.0185185185185297E-2</v>
      </c>
      <c r="V35" s="503">
        <v>45513</v>
      </c>
      <c r="W35" s="502">
        <v>5.94</v>
      </c>
      <c r="X35" s="506">
        <f t="shared" si="5"/>
        <v>0.12075471698113227</v>
      </c>
      <c r="Z35" s="503">
        <v>45513</v>
      </c>
      <c r="AA35" s="522">
        <v>5626.02</v>
      </c>
      <c r="AB35" s="524">
        <f t="shared" si="6"/>
        <v>4.0233561742616164E-2</v>
      </c>
    </row>
    <row r="36" spans="2:28" x14ac:dyDescent="0.25">
      <c r="B36" s="503">
        <v>45300</v>
      </c>
      <c r="C36" s="502">
        <v>42.03</v>
      </c>
      <c r="D36" s="506">
        <f t="shared" si="0"/>
        <v>-1.0826076723935096E-2</v>
      </c>
      <c r="F36" s="503">
        <v>45300</v>
      </c>
      <c r="G36" s="521">
        <v>46.01</v>
      </c>
      <c r="H36" s="506">
        <f t="shared" si="1"/>
        <v>4.4732061762034592E-2</v>
      </c>
      <c r="J36" s="503">
        <v>45300</v>
      </c>
      <c r="K36" s="502">
        <v>29.7</v>
      </c>
      <c r="L36" s="506">
        <f t="shared" si="2"/>
        <v>2.6970954356846377E-2</v>
      </c>
      <c r="N36" s="503">
        <v>45300</v>
      </c>
      <c r="O36" s="502">
        <v>75.48</v>
      </c>
      <c r="P36" s="506">
        <f t="shared" si="3"/>
        <v>-2.6566933195769971E-2</v>
      </c>
      <c r="R36" s="503">
        <v>45536</v>
      </c>
      <c r="S36" s="502">
        <v>10.8</v>
      </c>
      <c r="T36" s="506">
        <f t="shared" si="4"/>
        <v>1.6949152542373058E-2</v>
      </c>
      <c r="V36" s="503">
        <v>45300</v>
      </c>
      <c r="W36" s="502">
        <v>5.3</v>
      </c>
      <c r="X36" s="506">
        <f t="shared" si="5"/>
        <v>4.3307086614173151E-2</v>
      </c>
      <c r="Z36" s="503">
        <v>45300</v>
      </c>
      <c r="AA36" s="522">
        <v>5408.42</v>
      </c>
      <c r="AB36" s="524">
        <f t="shared" si="6"/>
        <v>-4.2486367820975812E-2</v>
      </c>
    </row>
    <row r="37" spans="2:28" x14ac:dyDescent="0.25">
      <c r="B37" s="507" t="s">
        <v>194</v>
      </c>
      <c r="C37" s="502">
        <v>42.49</v>
      </c>
      <c r="D37" s="506">
        <f t="shared" si="0"/>
        <v>2.6824552924118006E-2</v>
      </c>
      <c r="F37" s="507" t="s">
        <v>194</v>
      </c>
      <c r="G37" s="521">
        <v>44.04</v>
      </c>
      <c r="H37" s="506">
        <f t="shared" si="1"/>
        <v>1.6620498614958512E-2</v>
      </c>
      <c r="J37" s="507" t="s">
        <v>194</v>
      </c>
      <c r="K37" s="502">
        <v>28.92</v>
      </c>
      <c r="L37" s="506">
        <f t="shared" si="2"/>
        <v>2.6259758694109347E-2</v>
      </c>
      <c r="N37" s="507" t="s">
        <v>194</v>
      </c>
      <c r="O37" s="502">
        <v>77.540000000000006</v>
      </c>
      <c r="P37" s="506">
        <f t="shared" si="3"/>
        <v>1.6384847293223315E-2</v>
      </c>
      <c r="R37" s="503">
        <v>45529</v>
      </c>
      <c r="S37" s="502">
        <v>10.62</v>
      </c>
      <c r="T37" s="506">
        <f t="shared" si="4"/>
        <v>2.21366698748795E-2</v>
      </c>
      <c r="V37" s="507" t="s">
        <v>194</v>
      </c>
      <c r="W37" s="502">
        <v>5.08</v>
      </c>
      <c r="X37" s="506">
        <f t="shared" si="5"/>
        <v>6.2761506276150625E-2</v>
      </c>
      <c r="Z37" s="507" t="s">
        <v>194</v>
      </c>
      <c r="AA37" s="522">
        <v>5648.4</v>
      </c>
      <c r="AB37" s="524">
        <f t="shared" si="6"/>
        <v>2.4473743524395797E-3</v>
      </c>
    </row>
    <row r="38" spans="2:28" x14ac:dyDescent="0.25">
      <c r="B38" s="507" t="s">
        <v>195</v>
      </c>
      <c r="C38" s="502">
        <v>41.38</v>
      </c>
      <c r="D38" s="506">
        <f t="shared" si="0"/>
        <v>3.063511830635135E-2</v>
      </c>
      <c r="F38" s="507" t="s">
        <v>195</v>
      </c>
      <c r="G38" s="521">
        <v>43.32</v>
      </c>
      <c r="H38" s="506">
        <f t="shared" si="1"/>
        <v>2.9712384121701962E-2</v>
      </c>
      <c r="J38" s="507" t="s">
        <v>195</v>
      </c>
      <c r="K38" s="502">
        <v>28.18</v>
      </c>
      <c r="L38" s="506">
        <f t="shared" si="2"/>
        <v>7.0262058488416379E-2</v>
      </c>
      <c r="N38" s="507" t="s">
        <v>195</v>
      </c>
      <c r="O38" s="502">
        <v>76.290000000000006</v>
      </c>
      <c r="P38" s="506">
        <f t="shared" si="3"/>
        <v>5.242102358946088E-2</v>
      </c>
      <c r="R38" s="503">
        <v>45522</v>
      </c>
      <c r="S38" s="502">
        <v>10.39</v>
      </c>
      <c r="T38" s="506">
        <f t="shared" si="4"/>
        <v>3.3830845771144258E-2</v>
      </c>
      <c r="V38" s="507" t="s">
        <v>195</v>
      </c>
      <c r="W38" s="502">
        <v>4.78</v>
      </c>
      <c r="X38" s="506">
        <f t="shared" si="5"/>
        <v>8.4388185654007408E-3</v>
      </c>
      <c r="Z38" s="507" t="s">
        <v>195</v>
      </c>
      <c r="AA38" s="522">
        <v>5634.61</v>
      </c>
      <c r="AB38" s="524">
        <f t="shared" si="6"/>
        <v>1.4468200027006217E-2</v>
      </c>
    </row>
    <row r="39" spans="2:28" x14ac:dyDescent="0.25">
      <c r="B39" s="503">
        <v>45604</v>
      </c>
      <c r="C39" s="502">
        <v>40.15</v>
      </c>
      <c r="D39" s="506">
        <f t="shared" si="0"/>
        <v>2.1628498727735312E-2</v>
      </c>
      <c r="F39" s="503">
        <v>45604</v>
      </c>
      <c r="G39" s="521">
        <v>42.07</v>
      </c>
      <c r="H39" s="506">
        <f t="shared" si="1"/>
        <v>1.4712976362759367E-2</v>
      </c>
      <c r="J39" s="503">
        <v>45604</v>
      </c>
      <c r="K39" s="502">
        <v>26.33</v>
      </c>
      <c r="L39" s="506">
        <f t="shared" si="2"/>
        <v>3.9478878799842132E-2</v>
      </c>
      <c r="N39" s="503">
        <v>45604</v>
      </c>
      <c r="O39" s="502">
        <v>72.489999999999995</v>
      </c>
      <c r="P39" s="506">
        <f t="shared" si="3"/>
        <v>-6.1694543460378837E-3</v>
      </c>
      <c r="R39" s="503">
        <v>45515</v>
      </c>
      <c r="S39" s="502">
        <v>10.050000000000001</v>
      </c>
      <c r="T39" s="506">
        <f t="shared" si="4"/>
        <v>1.9269776876267963E-2</v>
      </c>
      <c r="V39" s="503">
        <v>45604</v>
      </c>
      <c r="W39" s="502">
        <v>4.74</v>
      </c>
      <c r="X39" s="506">
        <f t="shared" si="5"/>
        <v>-0.21652892561983461</v>
      </c>
      <c r="Z39" s="503">
        <v>45604</v>
      </c>
      <c r="AA39" s="522">
        <v>5554.25</v>
      </c>
      <c r="AB39" s="524">
        <f t="shared" si="6"/>
        <v>3.9312071494865375E-2</v>
      </c>
    </row>
    <row r="40" spans="2:28" x14ac:dyDescent="0.25">
      <c r="B40" s="503">
        <v>45390</v>
      </c>
      <c r="C40" s="502">
        <v>39.299999999999997</v>
      </c>
      <c r="D40" s="506">
        <f t="shared" si="0"/>
        <v>-1.3306552849610909E-2</v>
      </c>
      <c r="F40" s="503">
        <v>45390</v>
      </c>
      <c r="G40" s="521">
        <v>41.46</v>
      </c>
      <c r="H40" s="506">
        <f t="shared" si="1"/>
        <v>3.1599900472754516E-2</v>
      </c>
      <c r="J40" s="503">
        <v>45390</v>
      </c>
      <c r="K40" s="502">
        <v>25.33</v>
      </c>
      <c r="L40" s="506">
        <f t="shared" si="2"/>
        <v>1.1177644710578694E-2</v>
      </c>
      <c r="N40" s="503">
        <v>45390</v>
      </c>
      <c r="O40" s="502">
        <v>72.94</v>
      </c>
      <c r="P40" s="506">
        <f t="shared" si="3"/>
        <v>1.5735969920623871E-2</v>
      </c>
      <c r="R40" s="503">
        <v>45508</v>
      </c>
      <c r="S40" s="502">
        <v>9.86</v>
      </c>
      <c r="T40" s="506">
        <f t="shared" si="4"/>
        <v>2.388369678089286E-2</v>
      </c>
      <c r="V40" s="503">
        <v>45390</v>
      </c>
      <c r="W40" s="502">
        <v>6.05</v>
      </c>
      <c r="X40" s="506">
        <f t="shared" si="5"/>
        <v>8.8129496402877816E-2</v>
      </c>
      <c r="Z40" s="503">
        <v>45390</v>
      </c>
      <c r="AA40" s="522">
        <v>5344.16</v>
      </c>
      <c r="AB40" s="524">
        <f t="shared" si="6"/>
        <v>-4.4888676083321144E-4</v>
      </c>
    </row>
    <row r="41" spans="2:28" x14ac:dyDescent="0.25">
      <c r="B41" s="507" t="s">
        <v>196</v>
      </c>
      <c r="C41" s="502">
        <v>39.83</v>
      </c>
      <c r="D41" s="506">
        <f t="shared" si="0"/>
        <v>-9.7439383639247756E-2</v>
      </c>
      <c r="F41" s="507" t="s">
        <v>196</v>
      </c>
      <c r="G41" s="521">
        <v>40.19</v>
      </c>
      <c r="H41" s="506">
        <f t="shared" si="1"/>
        <v>-0.15157272535359934</v>
      </c>
      <c r="J41" s="507" t="s">
        <v>196</v>
      </c>
      <c r="K41" s="502">
        <v>25.05</v>
      </c>
      <c r="L41" s="506">
        <f t="shared" si="2"/>
        <v>-8.0058758721997747E-2</v>
      </c>
      <c r="N41" s="507" t="s">
        <v>196</v>
      </c>
      <c r="O41" s="502">
        <v>71.81</v>
      </c>
      <c r="P41" s="506">
        <f t="shared" si="3"/>
        <v>-6.4242898097471857E-2</v>
      </c>
      <c r="R41" s="503">
        <v>45501</v>
      </c>
      <c r="S41" s="502">
        <v>9.6300000000000008</v>
      </c>
      <c r="T41" s="506">
        <f t="shared" si="4"/>
        <v>-9.322033898305071E-2</v>
      </c>
      <c r="V41" s="507" t="s">
        <v>196</v>
      </c>
      <c r="W41" s="502">
        <v>5.56</v>
      </c>
      <c r="X41" s="506">
        <f t="shared" si="5"/>
        <v>-0.10466988727858295</v>
      </c>
      <c r="Z41" s="507" t="s">
        <v>196</v>
      </c>
      <c r="AA41" s="522">
        <v>5346.56</v>
      </c>
      <c r="AB41" s="524">
        <f t="shared" si="6"/>
        <v>-2.0615119708376817E-2</v>
      </c>
    </row>
    <row r="42" spans="2:28" x14ac:dyDescent="0.25">
      <c r="B42" s="507" t="s">
        <v>197</v>
      </c>
      <c r="C42" s="502">
        <v>44.13</v>
      </c>
      <c r="D42" s="506">
        <f t="shared" si="0"/>
        <v>-2.882922535211252E-2</v>
      </c>
      <c r="F42" s="507" t="s">
        <v>197</v>
      </c>
      <c r="G42" s="521">
        <v>47.37</v>
      </c>
      <c r="H42" s="506">
        <f t="shared" si="1"/>
        <v>-1.1683705403713773E-2</v>
      </c>
      <c r="J42" s="507" t="s">
        <v>197</v>
      </c>
      <c r="K42" s="502">
        <v>27.23</v>
      </c>
      <c r="L42" s="506">
        <f t="shared" si="2"/>
        <v>1.8395879323032105E-3</v>
      </c>
      <c r="N42" s="507" t="s">
        <v>197</v>
      </c>
      <c r="O42" s="502">
        <v>76.739999999999995</v>
      </c>
      <c r="P42" s="506">
        <f t="shared" si="3"/>
        <v>-6.8237008256435194E-2</v>
      </c>
      <c r="R42" s="503">
        <v>45494</v>
      </c>
      <c r="S42" s="502">
        <v>10.62</v>
      </c>
      <c r="T42" s="506">
        <f t="shared" si="4"/>
        <v>3.780718336483746E-3</v>
      </c>
      <c r="V42" s="507" t="s">
        <v>197</v>
      </c>
      <c r="W42" s="502">
        <v>6.21</v>
      </c>
      <c r="X42" s="506">
        <f t="shared" si="5"/>
        <v>3.8461538461538325E-2</v>
      </c>
      <c r="Z42" s="507" t="s">
        <v>197</v>
      </c>
      <c r="AA42" s="522">
        <v>5459.1</v>
      </c>
      <c r="AB42" s="524">
        <f t="shared" si="6"/>
        <v>-8.3378746594005015E-3</v>
      </c>
    </row>
    <row r="43" spans="2:28" x14ac:dyDescent="0.25">
      <c r="B43" s="507" t="s">
        <v>198</v>
      </c>
      <c r="C43" s="502">
        <v>45.44</v>
      </c>
      <c r="D43" s="506">
        <f t="shared" si="0"/>
        <v>4.1723979825768032E-2</v>
      </c>
      <c r="F43" s="507" t="s">
        <v>198</v>
      </c>
      <c r="G43" s="521">
        <v>47.93</v>
      </c>
      <c r="H43" s="506">
        <f t="shared" si="1"/>
        <v>7.1779964221824644E-2</v>
      </c>
      <c r="J43" s="507" t="s">
        <v>198</v>
      </c>
      <c r="K43" s="502">
        <v>27.18</v>
      </c>
      <c r="L43" s="506">
        <f t="shared" si="2"/>
        <v>-1.2713403559753034E-2</v>
      </c>
      <c r="N43" s="507" t="s">
        <v>198</v>
      </c>
      <c r="O43" s="502">
        <v>82.36</v>
      </c>
      <c r="P43" s="506">
        <f t="shared" si="3"/>
        <v>-1.2825122857485383E-2</v>
      </c>
      <c r="R43" s="503">
        <v>45487</v>
      </c>
      <c r="S43" s="502">
        <v>10.58</v>
      </c>
      <c r="T43" s="506">
        <f t="shared" si="4"/>
        <v>-9.3632958801497246E-3</v>
      </c>
      <c r="V43" s="507" t="s">
        <v>198</v>
      </c>
      <c r="W43" s="502">
        <v>5.98</v>
      </c>
      <c r="X43" s="506">
        <f t="shared" si="5"/>
        <v>-1.967213114754085E-2</v>
      </c>
      <c r="Z43" s="507" t="s">
        <v>198</v>
      </c>
      <c r="AA43" s="522">
        <v>5505</v>
      </c>
      <c r="AB43" s="524">
        <f t="shared" si="6"/>
        <v>-1.965149100234187E-2</v>
      </c>
    </row>
    <row r="44" spans="2:28" x14ac:dyDescent="0.25">
      <c r="B44" s="503">
        <v>45480</v>
      </c>
      <c r="C44" s="502">
        <v>43.62</v>
      </c>
      <c r="D44" s="506">
        <f t="shared" si="0"/>
        <v>-5.2151238591916727E-2</v>
      </c>
      <c r="F44" s="503">
        <v>45480</v>
      </c>
      <c r="G44" s="521">
        <v>44.72</v>
      </c>
      <c r="H44" s="506">
        <f t="shared" si="1"/>
        <v>-4.8510638297872388E-2</v>
      </c>
      <c r="J44" s="503">
        <v>45480</v>
      </c>
      <c r="K44" s="502">
        <v>27.53</v>
      </c>
      <c r="L44" s="506">
        <f t="shared" si="2"/>
        <v>2.1900519673348162E-2</v>
      </c>
      <c r="N44" s="503">
        <v>45480</v>
      </c>
      <c r="O44" s="502">
        <v>83.43</v>
      </c>
      <c r="P44" s="506">
        <f t="shared" si="3"/>
        <v>1.8059792556436971E-2</v>
      </c>
      <c r="R44" s="503">
        <v>45480</v>
      </c>
      <c r="S44" s="502">
        <v>10.68</v>
      </c>
      <c r="T44" s="506">
        <f t="shared" si="4"/>
        <v>-3.2608695652173836E-2</v>
      </c>
      <c r="V44" s="503">
        <v>45480</v>
      </c>
      <c r="W44" s="502">
        <v>6.1</v>
      </c>
      <c r="X44" s="506">
        <f t="shared" si="5"/>
        <v>4.4520547945205546E-2</v>
      </c>
      <c r="Z44" s="503">
        <v>45480</v>
      </c>
      <c r="AA44" s="522">
        <v>5615.35</v>
      </c>
      <c r="AB44" s="524">
        <f t="shared" si="6"/>
        <v>8.6506837381157276E-3</v>
      </c>
    </row>
    <row r="45" spans="2:28" x14ac:dyDescent="0.25">
      <c r="B45" s="507" t="s">
        <v>199</v>
      </c>
      <c r="C45" s="502">
        <v>46.02</v>
      </c>
      <c r="D45" s="506">
        <f t="shared" si="0"/>
        <v>-2.9932546374367486E-2</v>
      </c>
      <c r="F45" s="507" t="s">
        <v>199</v>
      </c>
      <c r="G45" s="521">
        <v>47</v>
      </c>
      <c r="H45" s="506">
        <f t="shared" si="1"/>
        <v>-3.4114262227702308E-2</v>
      </c>
      <c r="J45" s="507" t="s">
        <v>199</v>
      </c>
      <c r="K45" s="502">
        <v>26.94</v>
      </c>
      <c r="L45" s="506">
        <f t="shared" si="2"/>
        <v>-5.8371198881509878E-2</v>
      </c>
      <c r="N45" s="507" t="s">
        <v>199</v>
      </c>
      <c r="O45" s="502">
        <v>81.95</v>
      </c>
      <c r="P45" s="506">
        <f t="shared" si="3"/>
        <v>-1.4621664432800108E-3</v>
      </c>
      <c r="R45" s="503">
        <v>45473</v>
      </c>
      <c r="S45" s="502">
        <v>11.04</v>
      </c>
      <c r="T45" s="506">
        <f t="shared" si="4"/>
        <v>-2.5595763459841159E-2</v>
      </c>
      <c r="V45" s="507" t="s">
        <v>199</v>
      </c>
      <c r="W45" s="502">
        <v>5.84</v>
      </c>
      <c r="X45" s="506">
        <f t="shared" si="5"/>
        <v>-4.1050903119868587E-2</v>
      </c>
      <c r="Z45" s="507" t="s">
        <v>199</v>
      </c>
      <c r="AA45" s="522">
        <v>5567.19</v>
      </c>
      <c r="AB45" s="524">
        <f t="shared" si="6"/>
        <v>1.9542238045006988E-2</v>
      </c>
    </row>
    <row r="46" spans="2:28" x14ac:dyDescent="0.25">
      <c r="B46" s="507" t="s">
        <v>200</v>
      </c>
      <c r="C46" s="502">
        <v>47.44</v>
      </c>
      <c r="D46" s="506">
        <f t="shared" si="0"/>
        <v>-3.9287160793843756E-2</v>
      </c>
      <c r="F46" s="507" t="s">
        <v>200</v>
      </c>
      <c r="G46" s="521">
        <v>48.66</v>
      </c>
      <c r="H46" s="506">
        <f t="shared" si="1"/>
        <v>9.9626400996264408E-3</v>
      </c>
      <c r="J46" s="507" t="s">
        <v>200</v>
      </c>
      <c r="K46" s="502">
        <v>28.61</v>
      </c>
      <c r="L46" s="506">
        <f t="shared" si="2"/>
        <v>8.8152327221437954E-3</v>
      </c>
      <c r="N46" s="507" t="s">
        <v>200</v>
      </c>
      <c r="O46" s="502">
        <v>82.07</v>
      </c>
      <c r="P46" s="506">
        <f t="shared" si="3"/>
        <v>3.3106747230614353E-2</v>
      </c>
      <c r="R46" s="503">
        <v>45466</v>
      </c>
      <c r="S46" s="502">
        <v>11.33</v>
      </c>
      <c r="T46" s="506">
        <f t="shared" si="4"/>
        <v>1.1607142857142927E-2</v>
      </c>
      <c r="V46" s="507" t="s">
        <v>200</v>
      </c>
      <c r="W46" s="502">
        <v>6.09</v>
      </c>
      <c r="X46" s="506">
        <f t="shared" si="5"/>
        <v>6.0975609756097393E-2</v>
      </c>
      <c r="Z46" s="507" t="s">
        <v>200</v>
      </c>
      <c r="AA46" s="522">
        <v>5460.48</v>
      </c>
      <c r="AB46" s="524">
        <f t="shared" si="6"/>
        <v>-7.5760071148589514E-4</v>
      </c>
    </row>
    <row r="47" spans="2:28" x14ac:dyDescent="0.25">
      <c r="B47" s="507" t="s">
        <v>201</v>
      </c>
      <c r="C47" s="502">
        <v>49.38</v>
      </c>
      <c r="D47" s="506">
        <f t="shared" si="0"/>
        <v>1.3546798029556717E-2</v>
      </c>
      <c r="F47" s="507" t="s">
        <v>201</v>
      </c>
      <c r="G47" s="521">
        <v>48.18</v>
      </c>
      <c r="H47" s="506">
        <f t="shared" si="1"/>
        <v>-3.038840813040844E-2</v>
      </c>
      <c r="J47" s="507" t="s">
        <v>201</v>
      </c>
      <c r="K47" s="502">
        <v>28.36</v>
      </c>
      <c r="L47" s="506">
        <f t="shared" si="2"/>
        <v>-7.0472163495416407E-4</v>
      </c>
      <c r="N47" s="507" t="s">
        <v>201</v>
      </c>
      <c r="O47" s="502">
        <v>79.44</v>
      </c>
      <c r="P47" s="506">
        <f t="shared" si="3"/>
        <v>3.4644438655899945E-2</v>
      </c>
      <c r="R47" s="503">
        <v>45459</v>
      </c>
      <c r="S47" s="502">
        <v>11.2</v>
      </c>
      <c r="T47" s="506">
        <f t="shared" si="4"/>
        <v>-7.0921985815602939E-3</v>
      </c>
      <c r="V47" s="507" t="s">
        <v>201</v>
      </c>
      <c r="W47" s="502">
        <v>5.74</v>
      </c>
      <c r="X47" s="506">
        <f t="shared" si="5"/>
        <v>5.3211009174311874E-2</v>
      </c>
      <c r="Z47" s="507" t="s">
        <v>201</v>
      </c>
      <c r="AA47" s="522">
        <v>5464.62</v>
      </c>
      <c r="AB47" s="524">
        <f t="shared" si="6"/>
        <v>6.079240002945685E-3</v>
      </c>
    </row>
    <row r="48" spans="2:28" x14ac:dyDescent="0.25">
      <c r="B48" s="503">
        <v>45541</v>
      </c>
      <c r="C48" s="502">
        <v>48.72</v>
      </c>
      <c r="D48" s="506">
        <f t="shared" si="0"/>
        <v>-3.4099920697858832E-2</v>
      </c>
      <c r="F48" s="503">
        <v>45541</v>
      </c>
      <c r="G48" s="521">
        <v>49.69</v>
      </c>
      <c r="H48" s="506">
        <f t="shared" si="1"/>
        <v>-6.2452830188679309E-2</v>
      </c>
      <c r="J48" s="503">
        <v>45541</v>
      </c>
      <c r="K48" s="502">
        <v>28.38</v>
      </c>
      <c r="L48" s="506">
        <f t="shared" si="2"/>
        <v>2.2702702702702693E-2</v>
      </c>
      <c r="N48" s="503">
        <v>45541</v>
      </c>
      <c r="O48" s="502">
        <v>76.78</v>
      </c>
      <c r="P48" s="506">
        <f t="shared" si="3"/>
        <v>-2.3030919964372121E-2</v>
      </c>
      <c r="R48" s="503">
        <v>45452</v>
      </c>
      <c r="S48" s="502">
        <v>11.28</v>
      </c>
      <c r="T48" s="506">
        <f t="shared" si="4"/>
        <v>-1.9130434782608785E-2</v>
      </c>
      <c r="V48" s="503">
        <v>45541</v>
      </c>
      <c r="W48" s="502">
        <v>5.45</v>
      </c>
      <c r="X48" s="506">
        <f t="shared" si="5"/>
        <v>-1.9784172661870381E-2</v>
      </c>
      <c r="Z48" s="503">
        <v>45541</v>
      </c>
      <c r="AA48" s="522">
        <v>5431.6</v>
      </c>
      <c r="AB48" s="524">
        <f t="shared" si="6"/>
        <v>1.5823856038631234E-2</v>
      </c>
    </row>
    <row r="49" spans="2:28" x14ac:dyDescent="0.25">
      <c r="B49" s="503">
        <v>45328</v>
      </c>
      <c r="C49" s="502">
        <v>50.44</v>
      </c>
      <c r="D49" s="506">
        <f t="shared" si="0"/>
        <v>-1.1368090944727682E-2</v>
      </c>
      <c r="F49" s="503">
        <v>45328</v>
      </c>
      <c r="G49" s="521">
        <v>53</v>
      </c>
      <c r="H49" s="506">
        <f t="shared" si="1"/>
        <v>1.8871485185889547E-4</v>
      </c>
      <c r="J49" s="503">
        <v>45328</v>
      </c>
      <c r="K49" s="502">
        <v>27.75</v>
      </c>
      <c r="L49" s="506">
        <f t="shared" si="2"/>
        <v>3.3904619970193783E-2</v>
      </c>
      <c r="N49" s="503">
        <v>45328</v>
      </c>
      <c r="O49" s="502">
        <v>78.59</v>
      </c>
      <c r="P49" s="506">
        <f t="shared" si="3"/>
        <v>5.2497656354627109E-2</v>
      </c>
      <c r="R49" s="503">
        <v>45445</v>
      </c>
      <c r="S49" s="502">
        <v>11.5</v>
      </c>
      <c r="T49" s="506">
        <f t="shared" si="4"/>
        <v>0</v>
      </c>
      <c r="V49" s="503">
        <v>45328</v>
      </c>
      <c r="W49" s="502">
        <v>5.56</v>
      </c>
      <c r="X49" s="506">
        <f t="shared" si="5"/>
        <v>-5.3667262969588903E-3</v>
      </c>
      <c r="Z49" s="503">
        <v>45328</v>
      </c>
      <c r="AA49" s="522">
        <v>5346.99</v>
      </c>
      <c r="AB49" s="524">
        <f t="shared" si="6"/>
        <v>1.3165299544671605E-2</v>
      </c>
    </row>
    <row r="50" spans="2:28" x14ac:dyDescent="0.25">
      <c r="B50" s="507" t="s">
        <v>202</v>
      </c>
      <c r="C50" s="502">
        <v>51.02</v>
      </c>
      <c r="D50" s="506">
        <f t="shared" si="0"/>
        <v>-1.5817901234567944E-2</v>
      </c>
      <c r="F50" s="507" t="s">
        <v>202</v>
      </c>
      <c r="G50" s="521">
        <v>52.99</v>
      </c>
      <c r="H50" s="506">
        <f t="shared" si="1"/>
        <v>2.4357239512855289E-2</v>
      </c>
      <c r="J50" s="507" t="s">
        <v>202</v>
      </c>
      <c r="K50" s="502">
        <v>26.84</v>
      </c>
      <c r="L50" s="506">
        <f t="shared" si="2"/>
        <v>0</v>
      </c>
      <c r="N50" s="507" t="s">
        <v>202</v>
      </c>
      <c r="O50" s="502">
        <v>74.67</v>
      </c>
      <c r="P50" s="506">
        <f t="shared" si="3"/>
        <v>-5.0632911392404223E-3</v>
      </c>
      <c r="R50" s="503">
        <v>45438</v>
      </c>
      <c r="S50" s="502">
        <v>11.5</v>
      </c>
      <c r="T50" s="506">
        <f t="shared" si="4"/>
        <v>-0.16907514450867056</v>
      </c>
      <c r="V50" s="507" t="s">
        <v>202</v>
      </c>
      <c r="W50" s="502">
        <v>5.59</v>
      </c>
      <c r="X50" s="506">
        <f t="shared" si="5"/>
        <v>2.5688073394495303E-2</v>
      </c>
      <c r="Z50" s="507" t="s">
        <v>202</v>
      </c>
      <c r="AA50" s="522">
        <v>5277.51</v>
      </c>
      <c r="AB50" s="524">
        <f t="shared" si="6"/>
        <v>-5.1293941998823422E-3</v>
      </c>
    </row>
    <row r="51" spans="2:28" x14ac:dyDescent="0.25">
      <c r="B51" s="507" t="s">
        <v>203</v>
      </c>
      <c r="C51" s="502">
        <v>51.84</v>
      </c>
      <c r="D51" s="506">
        <f t="shared" si="0"/>
        <v>-1.6318785578747663E-2</v>
      </c>
      <c r="F51" s="507" t="s">
        <v>203</v>
      </c>
      <c r="G51" s="521">
        <v>51.73</v>
      </c>
      <c r="H51" s="506">
        <f t="shared" si="1"/>
        <v>-5.8941240676732787E-2</v>
      </c>
      <c r="J51" s="507" t="s">
        <v>203</v>
      </c>
      <c r="K51" s="502">
        <v>26.84</v>
      </c>
      <c r="L51" s="506">
        <f t="shared" si="2"/>
        <v>-3.6611629576453697E-2</v>
      </c>
      <c r="N51" s="507" t="s">
        <v>203</v>
      </c>
      <c r="O51" s="502">
        <v>75.05</v>
      </c>
      <c r="P51" s="506">
        <f t="shared" si="3"/>
        <v>-1.5995804379179246E-2</v>
      </c>
      <c r="R51" s="503">
        <v>45431</v>
      </c>
      <c r="S51" s="502">
        <v>13.84</v>
      </c>
      <c r="T51" s="506">
        <f t="shared" si="4"/>
        <v>-6.0420909708078785E-2</v>
      </c>
      <c r="V51" s="507" t="s">
        <v>203</v>
      </c>
      <c r="W51" s="502">
        <v>5.45</v>
      </c>
      <c r="X51" s="506">
        <f t="shared" si="5"/>
        <v>-9.7682119205298013E-2</v>
      </c>
      <c r="Z51" s="507" t="s">
        <v>203</v>
      </c>
      <c r="AA51" s="522">
        <v>5304.72</v>
      </c>
      <c r="AB51" s="524">
        <f t="shared" si="6"/>
        <v>2.7341621301579799E-4</v>
      </c>
    </row>
    <row r="52" spans="2:28" x14ac:dyDescent="0.25">
      <c r="B52" s="503">
        <v>45631</v>
      </c>
      <c r="C52" s="502">
        <v>52.7</v>
      </c>
      <c r="D52" s="506">
        <f t="shared" si="0"/>
        <v>1.9011406844107182E-3</v>
      </c>
      <c r="F52" s="503">
        <v>45631</v>
      </c>
      <c r="G52" s="521">
        <v>54.97</v>
      </c>
      <c r="H52" s="506">
        <f t="shared" si="1"/>
        <v>4.267830045523513E-2</v>
      </c>
      <c r="J52" s="503">
        <v>45631</v>
      </c>
      <c r="K52" s="502">
        <v>27.86</v>
      </c>
      <c r="L52" s="506">
        <f t="shared" si="2"/>
        <v>1.8274853801169666E-2</v>
      </c>
      <c r="N52" s="503">
        <v>45631</v>
      </c>
      <c r="O52" s="502">
        <v>76.27</v>
      </c>
      <c r="P52" s="506">
        <f t="shared" si="3"/>
        <v>-1.953978660496225E-2</v>
      </c>
      <c r="R52" s="503">
        <v>45424</v>
      </c>
      <c r="S52" s="502">
        <v>14.73</v>
      </c>
      <c r="T52" s="506">
        <f t="shared" si="4"/>
        <v>2.2916666666666696E-2</v>
      </c>
      <c r="V52" s="503">
        <v>45631</v>
      </c>
      <c r="W52" s="502">
        <v>6.04</v>
      </c>
      <c r="X52" s="506">
        <f t="shared" si="5"/>
        <v>4.6793760831889131E-2</v>
      </c>
      <c r="Z52" s="503">
        <v>45631</v>
      </c>
      <c r="AA52" s="522">
        <v>5303.27</v>
      </c>
      <c r="AB52" s="524">
        <f t="shared" si="6"/>
        <v>1.5430775004403818E-2</v>
      </c>
    </row>
    <row r="53" spans="2:28" x14ac:dyDescent="0.25">
      <c r="B53" s="503">
        <v>45417</v>
      </c>
      <c r="C53" s="502">
        <v>52.6</v>
      </c>
      <c r="D53" s="506">
        <f t="shared" si="0"/>
        <v>2.0368574199806089E-2</v>
      </c>
      <c r="F53" s="503">
        <v>45417</v>
      </c>
      <c r="G53" s="521">
        <v>52.72</v>
      </c>
      <c r="H53" s="506">
        <f t="shared" si="1"/>
        <v>2.0716360116166621E-2</v>
      </c>
      <c r="J53" s="503">
        <v>45417</v>
      </c>
      <c r="K53" s="502">
        <v>27.36</v>
      </c>
      <c r="L53" s="506">
        <f t="shared" si="2"/>
        <v>4.6271510516252334E-2</v>
      </c>
      <c r="N53" s="503">
        <v>45417</v>
      </c>
      <c r="O53" s="502">
        <v>77.790000000000006</v>
      </c>
      <c r="P53" s="506">
        <f t="shared" si="3"/>
        <v>3.2656312226204909E-2</v>
      </c>
      <c r="R53" s="503">
        <v>45417</v>
      </c>
      <c r="S53" s="502">
        <v>14.4</v>
      </c>
      <c r="T53" s="506">
        <f t="shared" si="4"/>
        <v>3.9711191335740192E-2</v>
      </c>
      <c r="V53" s="503">
        <v>45417</v>
      </c>
      <c r="W53" s="502">
        <v>5.77</v>
      </c>
      <c r="X53" s="506">
        <f t="shared" si="5"/>
        <v>-5.1724137931035141E-3</v>
      </c>
      <c r="Z53" s="503">
        <v>45417</v>
      </c>
      <c r="AA53" s="522">
        <v>5222.68</v>
      </c>
      <c r="AB53" s="524">
        <f t="shared" si="6"/>
        <v>1.8505047983634393E-2</v>
      </c>
    </row>
    <row r="54" spans="2:28" x14ac:dyDescent="0.25">
      <c r="B54" s="507" t="s">
        <v>204</v>
      </c>
      <c r="C54" s="502">
        <v>51.55</v>
      </c>
      <c r="D54" s="506">
        <f t="shared" si="0"/>
        <v>3.265224358974339E-2</v>
      </c>
      <c r="F54" s="507" t="s">
        <v>204</v>
      </c>
      <c r="G54" s="521">
        <v>51.65</v>
      </c>
      <c r="H54" s="506">
        <f t="shared" si="1"/>
        <v>-2.2520817562452722E-2</v>
      </c>
      <c r="J54" s="507" t="s">
        <v>204</v>
      </c>
      <c r="K54" s="502">
        <v>26.15</v>
      </c>
      <c r="L54" s="506">
        <f t="shared" si="2"/>
        <v>-3.2556418793932784E-2</v>
      </c>
      <c r="N54" s="507" t="s">
        <v>204</v>
      </c>
      <c r="O54" s="502">
        <v>75.33</v>
      </c>
      <c r="P54" s="506">
        <f t="shared" si="3"/>
        <v>2.2671734998642501E-2</v>
      </c>
      <c r="R54" s="503">
        <v>45410</v>
      </c>
      <c r="S54" s="502">
        <v>13.85</v>
      </c>
      <c r="T54" s="506">
        <f t="shared" si="4"/>
        <v>-2.1613832853026871E-3</v>
      </c>
      <c r="V54" s="507" t="s">
        <v>204</v>
      </c>
      <c r="W54" s="502">
        <v>5.8</v>
      </c>
      <c r="X54" s="506">
        <f t="shared" si="5"/>
        <v>3.4602076124565784E-3</v>
      </c>
      <c r="Z54" s="507" t="s">
        <v>204</v>
      </c>
      <c r="AA54" s="522">
        <v>5127.79</v>
      </c>
      <c r="AB54" s="524">
        <f t="shared" si="6"/>
        <v>5.4569055443571823E-3</v>
      </c>
    </row>
    <row r="55" spans="2:28" x14ac:dyDescent="0.25">
      <c r="B55" s="507" t="s">
        <v>205</v>
      </c>
      <c r="C55" s="502">
        <v>49.92</v>
      </c>
      <c r="D55" s="506">
        <f t="shared" si="0"/>
        <v>4.9400882909396815E-2</v>
      </c>
      <c r="F55" s="507" t="s">
        <v>205</v>
      </c>
      <c r="G55" s="521">
        <v>52.84</v>
      </c>
      <c r="H55" s="506">
        <f t="shared" si="1"/>
        <v>2.841572596340991E-2</v>
      </c>
      <c r="J55" s="507" t="s">
        <v>205</v>
      </c>
      <c r="K55" s="502">
        <v>27.03</v>
      </c>
      <c r="L55" s="506">
        <f t="shared" si="2"/>
        <v>-7.9986385296119789E-2</v>
      </c>
      <c r="N55" s="507" t="s">
        <v>205</v>
      </c>
      <c r="O55" s="502">
        <v>73.66</v>
      </c>
      <c r="P55" s="506">
        <f t="shared" si="3"/>
        <v>6.5528714017069278E-2</v>
      </c>
      <c r="R55" s="503">
        <v>45403</v>
      </c>
      <c r="S55" s="502">
        <v>13.88</v>
      </c>
      <c r="T55" s="506">
        <f t="shared" si="4"/>
        <v>-1.6300496102055195E-2</v>
      </c>
      <c r="V55" s="507" t="s">
        <v>205</v>
      </c>
      <c r="W55" s="502">
        <v>5.78</v>
      </c>
      <c r="X55" s="506">
        <f t="shared" si="5"/>
        <v>-0.18706047819971872</v>
      </c>
      <c r="Z55" s="507" t="s">
        <v>205</v>
      </c>
      <c r="AA55" s="522">
        <v>5099.96</v>
      </c>
      <c r="AB55" s="524">
        <f t="shared" si="6"/>
        <v>2.6721130287907124E-2</v>
      </c>
    </row>
    <row r="56" spans="2:28" x14ac:dyDescent="0.25">
      <c r="B56" s="507" t="s">
        <v>206</v>
      </c>
      <c r="C56" s="502">
        <v>47.57</v>
      </c>
      <c r="D56" s="506">
        <f t="shared" si="0"/>
        <v>1.5151515151515138E-2</v>
      </c>
      <c r="F56" s="507" t="s">
        <v>206</v>
      </c>
      <c r="G56" s="521">
        <v>51.38</v>
      </c>
      <c r="H56" s="506">
        <f t="shared" si="1"/>
        <v>0.2291866028708136</v>
      </c>
      <c r="J56" s="507" t="s">
        <v>206</v>
      </c>
      <c r="K56" s="502">
        <v>29.38</v>
      </c>
      <c r="L56" s="506">
        <f t="shared" si="2"/>
        <v>6.681190994916486E-2</v>
      </c>
      <c r="N56" s="507" t="s">
        <v>206</v>
      </c>
      <c r="O56" s="502">
        <v>69.13</v>
      </c>
      <c r="P56" s="506">
        <f t="shared" si="3"/>
        <v>2.0821027761370292E-2</v>
      </c>
      <c r="R56" s="503">
        <v>45396</v>
      </c>
      <c r="S56" s="502">
        <v>14.11</v>
      </c>
      <c r="T56" s="506">
        <f t="shared" si="4"/>
        <v>7.3003802281368824E-2</v>
      </c>
      <c r="V56" s="507" t="s">
        <v>206</v>
      </c>
      <c r="W56" s="502">
        <v>7.11</v>
      </c>
      <c r="X56" s="506">
        <f t="shared" si="5"/>
        <v>5.3333333333333455E-2</v>
      </c>
      <c r="Z56" s="507" t="s">
        <v>206</v>
      </c>
      <c r="AA56" s="522">
        <v>4967.2299999999996</v>
      </c>
      <c r="AB56" s="524">
        <f t="shared" si="6"/>
        <v>-3.0483603693633787E-2</v>
      </c>
    </row>
    <row r="57" spans="2:28" x14ac:dyDescent="0.25">
      <c r="B57" s="503">
        <v>45477</v>
      </c>
      <c r="C57" s="502">
        <v>46.86</v>
      </c>
      <c r="D57" s="506">
        <f t="shared" si="0"/>
        <v>1.7368649587494511E-2</v>
      </c>
      <c r="F57" s="503">
        <v>45477</v>
      </c>
      <c r="G57" s="521">
        <v>41.8</v>
      </c>
      <c r="H57" s="506">
        <f t="shared" si="1"/>
        <v>-3.2183375781430934E-2</v>
      </c>
      <c r="J57" s="503">
        <v>45477</v>
      </c>
      <c r="K57" s="502">
        <v>27.54</v>
      </c>
      <c r="L57" s="506">
        <f t="shared" si="2"/>
        <v>-2.8228652081863093E-2</v>
      </c>
      <c r="N57" s="503">
        <v>45477</v>
      </c>
      <c r="O57" s="502">
        <v>67.72</v>
      </c>
      <c r="P57" s="506">
        <f t="shared" si="3"/>
        <v>-2.1670037561398403E-2</v>
      </c>
      <c r="R57" s="503">
        <v>45389</v>
      </c>
      <c r="S57" s="502">
        <v>13.15</v>
      </c>
      <c r="T57" s="506">
        <f t="shared" si="4"/>
        <v>-4.4331395348837122E-2</v>
      </c>
      <c r="V57" s="503">
        <v>45477</v>
      </c>
      <c r="W57" s="502">
        <v>6.75</v>
      </c>
      <c r="X57" s="506">
        <f t="shared" si="5"/>
        <v>-7.3529411764705621E-3</v>
      </c>
      <c r="Z57" s="503">
        <v>45477</v>
      </c>
      <c r="AA57" s="522">
        <v>5123.41</v>
      </c>
      <c r="AB57" s="524">
        <f t="shared" si="6"/>
        <v>-1.5550482866223292E-2</v>
      </c>
    </row>
    <row r="58" spans="2:28" x14ac:dyDescent="0.25">
      <c r="B58" s="507" t="s">
        <v>207</v>
      </c>
      <c r="C58" s="502">
        <v>46.06</v>
      </c>
      <c r="D58" s="506">
        <f t="shared" si="0"/>
        <v>-3.781073741382901E-2</v>
      </c>
      <c r="F58" s="507" t="s">
        <v>207</v>
      </c>
      <c r="G58" s="521">
        <v>43.19</v>
      </c>
      <c r="H58" s="506">
        <f t="shared" si="1"/>
        <v>-9.7953216374269125E-2</v>
      </c>
      <c r="J58" s="507" t="s">
        <v>207</v>
      </c>
      <c r="K58" s="502">
        <v>28.34</v>
      </c>
      <c r="L58" s="506">
        <f t="shared" si="2"/>
        <v>-2.9119561493662238E-2</v>
      </c>
      <c r="N58" s="507" t="s">
        <v>207</v>
      </c>
      <c r="O58" s="502">
        <v>69.22</v>
      </c>
      <c r="P58" s="506">
        <f t="shared" si="3"/>
        <v>2.0266357845974969E-3</v>
      </c>
      <c r="R58" s="503">
        <v>45382</v>
      </c>
      <c r="S58" s="502">
        <v>13.76</v>
      </c>
      <c r="T58" s="506">
        <f t="shared" si="4"/>
        <v>-0.10358306188925082</v>
      </c>
      <c r="V58" s="507" t="s">
        <v>207</v>
      </c>
      <c r="W58" s="502">
        <v>6.8</v>
      </c>
      <c r="X58" s="506">
        <f t="shared" si="5"/>
        <v>-8.3557951482479798E-2</v>
      </c>
      <c r="Z58" s="507" t="s">
        <v>207</v>
      </c>
      <c r="AA58" s="522">
        <v>5204.34</v>
      </c>
      <c r="AB58" s="524">
        <f t="shared" si="6"/>
        <v>-9.5178280853007724E-3</v>
      </c>
    </row>
    <row r="59" spans="2:28" x14ac:dyDescent="0.25">
      <c r="B59" s="507" t="s">
        <v>208</v>
      </c>
      <c r="C59" s="502">
        <v>47.87</v>
      </c>
      <c r="D59" s="506">
        <f t="shared" si="0"/>
        <v>5.0010967317394073E-2</v>
      </c>
      <c r="F59" s="507" t="s">
        <v>208</v>
      </c>
      <c r="G59" s="521">
        <v>47.88</v>
      </c>
      <c r="H59" s="506">
        <f t="shared" si="1"/>
        <v>3.0342156229825834E-2</v>
      </c>
      <c r="J59" s="507" t="s">
        <v>208</v>
      </c>
      <c r="K59" s="502">
        <v>29.19</v>
      </c>
      <c r="L59" s="506">
        <f t="shared" si="2"/>
        <v>2.6010544815465719E-2</v>
      </c>
      <c r="N59" s="507" t="s">
        <v>208</v>
      </c>
      <c r="O59" s="502">
        <v>69.08</v>
      </c>
      <c r="P59" s="506">
        <f t="shared" si="3"/>
        <v>2.8894846589216483E-2</v>
      </c>
      <c r="R59" s="503">
        <v>45375</v>
      </c>
      <c r="S59" s="502">
        <v>15.35</v>
      </c>
      <c r="T59" s="506">
        <f t="shared" si="4"/>
        <v>3.5762483130904243E-2</v>
      </c>
      <c r="V59" s="507" t="s">
        <v>208</v>
      </c>
      <c r="W59" s="502">
        <v>7.42</v>
      </c>
      <c r="X59" s="506">
        <f t="shared" si="5"/>
        <v>4.8022598870056443E-2</v>
      </c>
      <c r="Z59" s="507" t="s">
        <v>208</v>
      </c>
      <c r="AA59" s="522">
        <v>5254.35</v>
      </c>
      <c r="AB59" s="524">
        <f t="shared" si="6"/>
        <v>3.8535166922040176E-3</v>
      </c>
    </row>
    <row r="60" spans="2:28" x14ac:dyDescent="0.25">
      <c r="B60" s="507" t="s">
        <v>209</v>
      </c>
      <c r="C60" s="502">
        <v>45.59</v>
      </c>
      <c r="D60" s="506">
        <f t="shared" si="0"/>
        <v>5.7282003710575236E-2</v>
      </c>
      <c r="F60" s="507" t="s">
        <v>209</v>
      </c>
      <c r="G60" s="521">
        <v>46.47</v>
      </c>
      <c r="H60" s="506">
        <f t="shared" si="1"/>
        <v>6.5337001375515902E-2</v>
      </c>
      <c r="J60" s="507" t="s">
        <v>209</v>
      </c>
      <c r="K60" s="502">
        <v>28.45</v>
      </c>
      <c r="L60" s="506">
        <f t="shared" si="2"/>
        <v>3.5273368606700828E-3</v>
      </c>
      <c r="N60" s="507" t="s">
        <v>209</v>
      </c>
      <c r="O60" s="502">
        <v>67.14</v>
      </c>
      <c r="P60" s="506">
        <f t="shared" si="3"/>
        <v>1.2059089538739798E-2</v>
      </c>
      <c r="R60" s="503">
        <v>45368</v>
      </c>
      <c r="S60" s="502">
        <v>14.82</v>
      </c>
      <c r="T60" s="506">
        <f t="shared" si="4"/>
        <v>6.1604584527220618E-2</v>
      </c>
      <c r="V60" s="507" t="s">
        <v>209</v>
      </c>
      <c r="W60" s="502">
        <v>7.08</v>
      </c>
      <c r="X60" s="506">
        <f t="shared" si="5"/>
        <v>5.6818181818181213E-3</v>
      </c>
      <c r="Z60" s="507" t="s">
        <v>209</v>
      </c>
      <c r="AA60" s="522">
        <v>5234.18</v>
      </c>
      <c r="AB60" s="524">
        <f t="shared" si="6"/>
        <v>2.2882145907146434E-2</v>
      </c>
    </row>
    <row r="61" spans="2:28" x14ac:dyDescent="0.25">
      <c r="B61" s="503">
        <v>45568</v>
      </c>
      <c r="C61" s="502">
        <v>43.12</v>
      </c>
      <c r="D61" s="506">
        <f t="shared" si="0"/>
        <v>2.0833333333333259E-2</v>
      </c>
      <c r="F61" s="503">
        <v>45568</v>
      </c>
      <c r="G61" s="521">
        <v>43.62</v>
      </c>
      <c r="H61" s="506">
        <f t="shared" si="1"/>
        <v>7.3903002309470001E-3</v>
      </c>
      <c r="J61" s="503">
        <v>45568</v>
      </c>
      <c r="K61" s="502">
        <v>28.35</v>
      </c>
      <c r="L61" s="506">
        <f t="shared" si="2"/>
        <v>-0.17250437828371268</v>
      </c>
      <c r="N61" s="503">
        <v>45568</v>
      </c>
      <c r="O61" s="502">
        <v>66.34</v>
      </c>
      <c r="P61" s="506">
        <f t="shared" si="3"/>
        <v>-1.8493860038467203E-2</v>
      </c>
      <c r="R61" s="503">
        <v>45361</v>
      </c>
      <c r="S61" s="502">
        <v>13.96</v>
      </c>
      <c r="T61" s="506">
        <f t="shared" si="4"/>
        <v>-4.9046321525885506E-2</v>
      </c>
      <c r="V61" s="503">
        <v>45568</v>
      </c>
      <c r="W61" s="502">
        <v>7.04</v>
      </c>
      <c r="X61" s="506">
        <f t="shared" si="5"/>
        <v>-2.0862308762169768E-2</v>
      </c>
      <c r="Z61" s="503">
        <v>45568</v>
      </c>
      <c r="AA61" s="522">
        <v>5117.09</v>
      </c>
      <c r="AB61" s="524">
        <f t="shared" si="6"/>
        <v>-1.2881341377014577E-3</v>
      </c>
    </row>
    <row r="62" spans="2:28" x14ac:dyDescent="0.25">
      <c r="B62" s="503">
        <v>45354</v>
      </c>
      <c r="C62" s="502">
        <v>42.24</v>
      </c>
      <c r="D62" s="506">
        <f t="shared" si="0"/>
        <v>1.8975332068311701E-3</v>
      </c>
      <c r="F62" s="503">
        <v>45354</v>
      </c>
      <c r="G62" s="521">
        <v>43.3</v>
      </c>
      <c r="H62" s="506">
        <f t="shared" si="1"/>
        <v>-3.4344335414808302E-2</v>
      </c>
      <c r="J62" s="503">
        <v>45354</v>
      </c>
      <c r="K62" s="502">
        <v>34.26</v>
      </c>
      <c r="L62" s="506">
        <f t="shared" si="2"/>
        <v>8.8339222614839397E-3</v>
      </c>
      <c r="N62" s="503">
        <v>45354</v>
      </c>
      <c r="O62" s="502">
        <v>67.59</v>
      </c>
      <c r="P62" s="506">
        <f t="shared" si="3"/>
        <v>4.4667697063369483E-2</v>
      </c>
      <c r="R62" s="503">
        <v>45354</v>
      </c>
      <c r="S62" s="502">
        <v>14.68</v>
      </c>
      <c r="T62" s="506">
        <f t="shared" si="4"/>
        <v>-6.2579821200510866E-2</v>
      </c>
      <c r="V62" s="503">
        <v>45354</v>
      </c>
      <c r="W62" s="502">
        <v>7.19</v>
      </c>
      <c r="X62" s="506">
        <f t="shared" si="5"/>
        <v>0.11128284389489962</v>
      </c>
      <c r="Z62" s="503">
        <v>45354</v>
      </c>
      <c r="AA62" s="522">
        <v>5123.6899999999996</v>
      </c>
      <c r="AB62" s="524">
        <f t="shared" si="6"/>
        <v>-2.6065391233931479E-3</v>
      </c>
    </row>
    <row r="63" spans="2:28" x14ac:dyDescent="0.25">
      <c r="B63" s="507" t="s">
        <v>210</v>
      </c>
      <c r="C63" s="502">
        <v>42.16</v>
      </c>
      <c r="D63" s="506">
        <f t="shared" si="0"/>
        <v>1.0546500479386323E-2</v>
      </c>
      <c r="F63" s="507" t="s">
        <v>210</v>
      </c>
      <c r="G63" s="521">
        <v>44.84</v>
      </c>
      <c r="H63" s="506">
        <f t="shared" si="1"/>
        <v>-1.472203911228287E-2</v>
      </c>
      <c r="J63" s="507" t="s">
        <v>210</v>
      </c>
      <c r="K63" s="502">
        <v>33.96</v>
      </c>
      <c r="L63" s="506">
        <f t="shared" si="2"/>
        <v>5.3285968028418118E-3</v>
      </c>
      <c r="N63" s="507" t="s">
        <v>210</v>
      </c>
      <c r="O63" s="502">
        <v>64.7</v>
      </c>
      <c r="P63" s="506">
        <f t="shared" si="3"/>
        <v>6.9598280707555027E-2</v>
      </c>
      <c r="R63" s="503">
        <v>45347</v>
      </c>
      <c r="S63" s="502">
        <v>15.66</v>
      </c>
      <c r="T63" s="506">
        <f t="shared" si="4"/>
        <v>3.5029742233972261E-2</v>
      </c>
      <c r="V63" s="507" t="s">
        <v>210</v>
      </c>
      <c r="W63" s="502">
        <v>6.47</v>
      </c>
      <c r="X63" s="506">
        <f t="shared" si="5"/>
        <v>9.3603744149766133E-3</v>
      </c>
      <c r="Z63" s="507" t="s">
        <v>210</v>
      </c>
      <c r="AA63" s="522">
        <v>5137.08</v>
      </c>
      <c r="AB63" s="524">
        <f t="shared" si="6"/>
        <v>9.4875019650997316E-3</v>
      </c>
    </row>
    <row r="64" spans="2:28" x14ac:dyDescent="0.25">
      <c r="B64" s="507" t="s">
        <v>211</v>
      </c>
      <c r="C64" s="502">
        <v>41.72</v>
      </c>
      <c r="D64" s="506">
        <f t="shared" si="0"/>
        <v>3.9880358923230386E-2</v>
      </c>
      <c r="F64" s="507" t="s">
        <v>211</v>
      </c>
      <c r="G64" s="521">
        <v>45.51</v>
      </c>
      <c r="H64" s="506">
        <f t="shared" si="1"/>
        <v>8.3829483210288158E-2</v>
      </c>
      <c r="J64" s="507" t="s">
        <v>211</v>
      </c>
      <c r="K64" s="502">
        <v>33.78</v>
      </c>
      <c r="L64" s="506">
        <f t="shared" si="2"/>
        <v>-4.4208664898319761E-3</v>
      </c>
      <c r="N64" s="507" t="s">
        <v>211</v>
      </c>
      <c r="O64" s="502">
        <v>60.49</v>
      </c>
      <c r="P64" s="506">
        <f t="shared" si="3"/>
        <v>2.4039275435923546E-2</v>
      </c>
      <c r="R64" s="503">
        <v>45340</v>
      </c>
      <c r="S64" s="502">
        <v>15.13</v>
      </c>
      <c r="T64" s="506">
        <f t="shared" si="4"/>
        <v>3.3469945355191211E-2</v>
      </c>
      <c r="V64" s="507" t="s">
        <v>211</v>
      </c>
      <c r="W64" s="502">
        <v>6.41</v>
      </c>
      <c r="X64" s="506">
        <f t="shared" si="5"/>
        <v>-7.9022988505747072E-2</v>
      </c>
      <c r="Z64" s="507" t="s">
        <v>211</v>
      </c>
      <c r="AA64" s="522">
        <v>5088.8</v>
      </c>
      <c r="AB64" s="524">
        <f t="shared" si="6"/>
        <v>1.6627476990632495E-2</v>
      </c>
    </row>
    <row r="65" spans="2:28" x14ac:dyDescent="0.25">
      <c r="B65" s="503">
        <v>45598</v>
      </c>
      <c r="C65" s="502">
        <v>40.119999999999997</v>
      </c>
      <c r="D65" s="506">
        <f t="shared" si="0"/>
        <v>-9.6272525302394385E-3</v>
      </c>
      <c r="F65" s="503">
        <v>45598</v>
      </c>
      <c r="G65" s="521">
        <v>41.99</v>
      </c>
      <c r="H65" s="506">
        <f t="shared" si="1"/>
        <v>-8.0321285140561027E-3</v>
      </c>
      <c r="J65" s="503">
        <v>45598</v>
      </c>
      <c r="K65" s="502">
        <v>33.93</v>
      </c>
      <c r="L65" s="506">
        <f t="shared" si="2"/>
        <v>4.4321329639889218E-2</v>
      </c>
      <c r="N65" s="503">
        <v>45598</v>
      </c>
      <c r="O65" s="502">
        <v>59.07</v>
      </c>
      <c r="P65" s="506">
        <f t="shared" si="3"/>
        <v>-4.2144302090357799E-3</v>
      </c>
      <c r="R65" s="503">
        <v>45333</v>
      </c>
      <c r="S65" s="502">
        <v>14.64</v>
      </c>
      <c r="T65" s="506">
        <f t="shared" si="4"/>
        <v>-1.6129032258064502E-2</v>
      </c>
      <c r="V65" s="503">
        <v>45598</v>
      </c>
      <c r="W65" s="502">
        <v>6.96</v>
      </c>
      <c r="X65" s="506">
        <f t="shared" si="5"/>
        <v>0.17171717171717171</v>
      </c>
      <c r="Z65" s="503">
        <v>45598</v>
      </c>
      <c r="AA65" s="522">
        <v>5005.57</v>
      </c>
      <c r="AB65" s="524">
        <f t="shared" si="6"/>
        <v>-4.1857235791119551E-3</v>
      </c>
    </row>
    <row r="66" spans="2:28" x14ac:dyDescent="0.25">
      <c r="B66" s="503">
        <v>45384</v>
      </c>
      <c r="C66" s="502">
        <v>40.51</v>
      </c>
      <c r="D66" s="506">
        <f t="shared" si="0"/>
        <v>1.3256628314157082E-2</v>
      </c>
      <c r="F66" s="503">
        <v>45384</v>
      </c>
      <c r="G66" s="521">
        <v>42.33</v>
      </c>
      <c r="H66" s="506">
        <f t="shared" si="1"/>
        <v>2.3205221174764423E-2</v>
      </c>
      <c r="J66" s="503">
        <v>45384</v>
      </c>
      <c r="K66" s="502">
        <v>32.49</v>
      </c>
      <c r="L66" s="506">
        <f t="shared" si="2"/>
        <v>6.9805729338162648E-2</v>
      </c>
      <c r="N66" s="503">
        <v>45384</v>
      </c>
      <c r="O66" s="502">
        <v>59.32</v>
      </c>
      <c r="P66" s="506">
        <f t="shared" si="3"/>
        <v>1.3843787386771611E-2</v>
      </c>
      <c r="R66" s="503">
        <v>45326</v>
      </c>
      <c r="S66" s="502">
        <v>14.88</v>
      </c>
      <c r="T66" s="506">
        <f t="shared" si="4"/>
        <v>2.19780219780219E-2</v>
      </c>
      <c r="V66" s="503">
        <v>45384</v>
      </c>
      <c r="W66" s="502">
        <v>5.94</v>
      </c>
      <c r="X66" s="506">
        <f t="shared" si="5"/>
        <v>3.4843205574912828E-2</v>
      </c>
      <c r="Z66" s="503">
        <v>45384</v>
      </c>
      <c r="AA66" s="522">
        <v>5026.6099999999997</v>
      </c>
      <c r="AB66" s="524">
        <f t="shared" si="6"/>
        <v>1.3713520522888434E-2</v>
      </c>
    </row>
    <row r="67" spans="2:28" x14ac:dyDescent="0.25">
      <c r="B67" s="507" t="s">
        <v>212</v>
      </c>
      <c r="C67" s="502">
        <v>39.979999999999997</v>
      </c>
      <c r="D67" s="506">
        <f t="shared" si="0"/>
        <v>8.8316931617460348E-3</v>
      </c>
      <c r="F67" s="507" t="s">
        <v>212</v>
      </c>
      <c r="G67" s="521">
        <v>41.37</v>
      </c>
      <c r="H67" s="506">
        <f t="shared" si="1"/>
        <v>-2.7732079905992912E-2</v>
      </c>
      <c r="J67" s="507" t="s">
        <v>212</v>
      </c>
      <c r="K67" s="502">
        <v>30.37</v>
      </c>
      <c r="L67" s="506">
        <f t="shared" si="2"/>
        <v>9.3054170820872084E-3</v>
      </c>
      <c r="N67" s="507" t="s">
        <v>212</v>
      </c>
      <c r="O67" s="502">
        <v>58.51</v>
      </c>
      <c r="P67" s="506">
        <f t="shared" si="3"/>
        <v>8.1915680473372721E-2</v>
      </c>
      <c r="R67" s="503">
        <v>45319</v>
      </c>
      <c r="S67" s="502">
        <v>14.56</v>
      </c>
      <c r="T67" s="506">
        <f t="shared" si="4"/>
        <v>-3.7673496364838077E-2</v>
      </c>
      <c r="V67" s="507" t="s">
        <v>212</v>
      </c>
      <c r="W67" s="502">
        <v>5.74</v>
      </c>
      <c r="X67" s="506">
        <f t="shared" si="5"/>
        <v>3.7974683544303778E-2</v>
      </c>
      <c r="Z67" s="507" t="s">
        <v>212</v>
      </c>
      <c r="AA67" s="522">
        <v>4958.6099999999997</v>
      </c>
      <c r="AB67" s="524">
        <f t="shared" si="6"/>
        <v>1.3829567549995092E-2</v>
      </c>
    </row>
    <row r="68" spans="2:28" x14ac:dyDescent="0.25">
      <c r="B68" s="507" t="s">
        <v>213</v>
      </c>
      <c r="C68" s="502">
        <v>39.630000000000003</v>
      </c>
      <c r="D68" s="506">
        <f t="shared" si="0"/>
        <v>6.3036480686695207E-2</v>
      </c>
      <c r="F68" s="507" t="s">
        <v>213</v>
      </c>
      <c r="G68" s="521">
        <v>42.55</v>
      </c>
      <c r="H68" s="506">
        <f t="shared" si="1"/>
        <v>9.6084492529623811E-2</v>
      </c>
      <c r="J68" s="507" t="s">
        <v>213</v>
      </c>
      <c r="K68" s="502">
        <v>30.09</v>
      </c>
      <c r="L68" s="506">
        <f t="shared" si="2"/>
        <v>3.3344448149383865E-3</v>
      </c>
      <c r="N68" s="507" t="s">
        <v>213</v>
      </c>
      <c r="O68" s="502">
        <v>54.08</v>
      </c>
      <c r="P68" s="506">
        <f t="shared" si="3"/>
        <v>8.7253719340570912E-2</v>
      </c>
      <c r="R68" s="503">
        <v>45312</v>
      </c>
      <c r="S68" s="502">
        <v>15.13</v>
      </c>
      <c r="T68" s="506">
        <f t="shared" si="4"/>
        <v>0.10761346998535881</v>
      </c>
      <c r="V68" s="507" t="s">
        <v>213</v>
      </c>
      <c r="W68" s="502">
        <v>5.53</v>
      </c>
      <c r="X68" s="506">
        <f t="shared" si="5"/>
        <v>0.10821643286573157</v>
      </c>
      <c r="Z68" s="507" t="s">
        <v>213</v>
      </c>
      <c r="AA68" s="522">
        <v>4890.97</v>
      </c>
      <c r="AB68" s="524">
        <f t="shared" si="6"/>
        <v>1.0570662897923633E-2</v>
      </c>
    </row>
    <row r="69" spans="2:28" x14ac:dyDescent="0.25">
      <c r="B69" s="507" t="s">
        <v>214</v>
      </c>
      <c r="C69" s="502">
        <v>37.28</v>
      </c>
      <c r="D69" s="506">
        <f t="shared" si="0"/>
        <v>-3.0933194697166599E-2</v>
      </c>
      <c r="F69" s="507" t="s">
        <v>214</v>
      </c>
      <c r="G69" s="521">
        <v>38.82</v>
      </c>
      <c r="H69" s="506">
        <f t="shared" si="1"/>
        <v>-2.4132730015082982E-2</v>
      </c>
      <c r="J69" s="507" t="s">
        <v>214</v>
      </c>
      <c r="K69" s="502">
        <v>29.99</v>
      </c>
      <c r="L69" s="506">
        <f t="shared" si="2"/>
        <v>4.9702485124256235E-2</v>
      </c>
      <c r="N69" s="507" t="s">
        <v>214</v>
      </c>
      <c r="O69" s="502">
        <v>49.74</v>
      </c>
      <c r="P69" s="506">
        <f t="shared" si="3"/>
        <v>4.0225261464210682E-4</v>
      </c>
      <c r="R69" s="503">
        <v>45305</v>
      </c>
      <c r="S69" s="502">
        <v>13.66</v>
      </c>
      <c r="T69" s="506">
        <f t="shared" si="4"/>
        <v>3.4065102195306451E-2</v>
      </c>
      <c r="V69" s="507" t="s">
        <v>214</v>
      </c>
      <c r="W69" s="502">
        <v>4.99</v>
      </c>
      <c r="X69" s="506">
        <f t="shared" si="5"/>
        <v>2.0449897750511425E-2</v>
      </c>
      <c r="Z69" s="507" t="s">
        <v>214</v>
      </c>
      <c r="AA69" s="522">
        <v>4839.8100000000004</v>
      </c>
      <c r="AB69" s="524">
        <f t="shared" si="6"/>
        <v>1.1701920845849534E-2</v>
      </c>
    </row>
    <row r="70" spans="2:28" x14ac:dyDescent="0.25">
      <c r="B70" s="503">
        <v>45474</v>
      </c>
      <c r="C70" s="502">
        <v>38.47</v>
      </c>
      <c r="D70" s="506">
        <f t="shared" si="0"/>
        <v>-5.1060680809077441E-2</v>
      </c>
      <c r="F70" s="503">
        <v>45474</v>
      </c>
      <c r="G70" s="521">
        <v>39.78</v>
      </c>
      <c r="H70" s="506">
        <f t="shared" si="1"/>
        <v>-4.7413793103448176E-2</v>
      </c>
      <c r="J70" s="503">
        <v>45474</v>
      </c>
      <c r="K70" s="502">
        <v>28.57</v>
      </c>
      <c r="L70" s="506">
        <f t="shared" si="2"/>
        <v>-1.9897084048027369E-2</v>
      </c>
      <c r="N70" s="503">
        <v>45474</v>
      </c>
      <c r="O70" s="502">
        <v>49.72</v>
      </c>
      <c r="P70" s="506">
        <f t="shared" si="3"/>
        <v>-2.9095879710994033E-2</v>
      </c>
      <c r="R70" s="503">
        <v>45298</v>
      </c>
      <c r="S70" s="502">
        <v>13.21</v>
      </c>
      <c r="T70" s="506">
        <f t="shared" si="4"/>
        <v>-2.8676470588235192E-2</v>
      </c>
      <c r="V70" s="503">
        <v>45474</v>
      </c>
      <c r="W70" s="502">
        <v>4.8899999999999997</v>
      </c>
      <c r="X70" s="506">
        <f t="shared" si="5"/>
        <v>-0.12365591397849474</v>
      </c>
      <c r="Z70" s="503">
        <v>45474</v>
      </c>
      <c r="AA70" s="522">
        <v>4783.83</v>
      </c>
      <c r="AB70" s="524">
        <f t="shared" si="6"/>
        <v>1.8434229462407803E-2</v>
      </c>
    </row>
    <row r="71" spans="2:28" x14ac:dyDescent="0.25">
      <c r="B71" s="507" t="s">
        <v>215</v>
      </c>
      <c r="C71" s="502">
        <v>40.54</v>
      </c>
      <c r="D71" s="506">
        <f t="shared" si="0"/>
        <v>7.7056922694507257E-3</v>
      </c>
      <c r="F71" s="507" t="s">
        <v>215</v>
      </c>
      <c r="G71" s="521">
        <v>41.76</v>
      </c>
      <c r="H71" s="506">
        <f t="shared" si="1"/>
        <v>1.2118274357731496E-2</v>
      </c>
      <c r="J71" s="507" t="s">
        <v>215</v>
      </c>
      <c r="K71" s="502">
        <v>29.15</v>
      </c>
      <c r="L71" s="506">
        <f t="shared" si="2"/>
        <v>9.3490304709140659E-3</v>
      </c>
      <c r="N71" s="507" t="s">
        <v>215</v>
      </c>
      <c r="O71" s="502">
        <v>51.21</v>
      </c>
      <c r="P71" s="506">
        <f t="shared" si="3"/>
        <v>-1.8965517241379293E-2</v>
      </c>
      <c r="R71" s="503">
        <v>45291</v>
      </c>
      <c r="S71" s="502">
        <v>13.6</v>
      </c>
      <c r="T71" s="506">
        <f t="shared" si="4"/>
        <v>-1.0189228529839944E-2</v>
      </c>
      <c r="V71" s="507" t="s">
        <v>215</v>
      </c>
      <c r="W71" s="502">
        <v>5.58</v>
      </c>
      <c r="X71" s="506">
        <f t="shared" si="5"/>
        <v>5.4054054054053502E-3</v>
      </c>
      <c r="Z71" s="507" t="s">
        <v>215</v>
      </c>
      <c r="AA71" s="522">
        <v>4697.24</v>
      </c>
      <c r="AB71" s="524">
        <f t="shared" si="6"/>
        <v>-1.5218571731067998E-2</v>
      </c>
    </row>
    <row r="72" spans="2:28" x14ac:dyDescent="0.25">
      <c r="B72" s="507" t="s">
        <v>216</v>
      </c>
      <c r="C72" s="502">
        <v>40.229999999999997</v>
      </c>
      <c r="D72" s="506">
        <f t="shared" si="0"/>
        <v>-2.1881838074398363E-2</v>
      </c>
      <c r="F72" s="507" t="s">
        <v>216</v>
      </c>
      <c r="G72" s="521">
        <v>41.26</v>
      </c>
      <c r="H72" s="506">
        <f t="shared" si="1"/>
        <v>-3.0317273795534616E-2</v>
      </c>
      <c r="J72" s="507" t="s">
        <v>216</v>
      </c>
      <c r="K72" s="502">
        <v>28.88</v>
      </c>
      <c r="L72" s="506">
        <f t="shared" si="2"/>
        <v>-2.1016949152542375E-2</v>
      </c>
      <c r="N72" s="507" t="s">
        <v>216</v>
      </c>
      <c r="O72" s="502">
        <v>52.2</v>
      </c>
      <c r="P72" s="506">
        <f t="shared" si="3"/>
        <v>9.6711798839459462E-3</v>
      </c>
      <c r="R72" s="503">
        <v>45284</v>
      </c>
      <c r="S72" s="502">
        <v>13.74</v>
      </c>
      <c r="T72" s="506">
        <f t="shared" si="4"/>
        <v>-3.9832285115304011E-2</v>
      </c>
      <c r="V72" s="507" t="s">
        <v>216</v>
      </c>
      <c r="W72" s="502">
        <v>5.55</v>
      </c>
      <c r="X72" s="506">
        <f t="shared" si="5"/>
        <v>-3.645833333333337E-2</v>
      </c>
      <c r="Z72" s="507" t="s">
        <v>216</v>
      </c>
      <c r="AA72" s="522">
        <v>4769.83</v>
      </c>
      <c r="AB72" s="524">
        <f t="shared" si="6"/>
        <v>3.1968838795026766E-3</v>
      </c>
    </row>
    <row r="73" spans="2:28" x14ac:dyDescent="0.25">
      <c r="B73" s="507" t="s">
        <v>217</v>
      </c>
      <c r="C73" s="502">
        <v>41.13</v>
      </c>
      <c r="D73" s="506">
        <f t="shared" si="0"/>
        <v>-2.8578176665092103E-2</v>
      </c>
      <c r="F73" s="507" t="s">
        <v>217</v>
      </c>
      <c r="G73" s="521">
        <v>42.55</v>
      </c>
      <c r="H73" s="506">
        <f t="shared" si="1"/>
        <v>-2.3634694814134938E-2</v>
      </c>
      <c r="J73" s="507" t="s">
        <v>217</v>
      </c>
      <c r="K73" s="502">
        <v>29.5</v>
      </c>
      <c r="L73" s="506">
        <f t="shared" si="2"/>
        <v>1.6890727335401534E-2</v>
      </c>
      <c r="N73" s="507" t="s">
        <v>217</v>
      </c>
      <c r="O73" s="502">
        <v>51.7</v>
      </c>
      <c r="P73" s="506">
        <f t="shared" si="3"/>
        <v>4.7194652623050448E-2</v>
      </c>
      <c r="R73" s="503">
        <v>45277</v>
      </c>
      <c r="S73" s="502">
        <v>14.31</v>
      </c>
      <c r="T73" s="506">
        <f t="shared" si="4"/>
        <v>-1.2422360248447228E-2</v>
      </c>
      <c r="V73" s="507" t="s">
        <v>217</v>
      </c>
      <c r="W73" s="502">
        <v>5.76</v>
      </c>
      <c r="X73" s="506">
        <f t="shared" si="5"/>
        <v>2.1276595744680771E-2</v>
      </c>
      <c r="Z73" s="507" t="s">
        <v>217</v>
      </c>
      <c r="AA73" s="522">
        <v>4754.63</v>
      </c>
      <c r="AB73" s="524">
        <f t="shared" si="6"/>
        <v>7.5097633280287734E-3</v>
      </c>
    </row>
    <row r="74" spans="2:28" x14ac:dyDescent="0.25">
      <c r="B74" s="503">
        <v>45211</v>
      </c>
      <c r="C74" s="502">
        <v>42.34</v>
      </c>
      <c r="D74" s="506">
        <f t="shared" si="0"/>
        <v>4.9318463444857574E-2</v>
      </c>
      <c r="F74" s="503">
        <v>45211</v>
      </c>
      <c r="G74" s="521">
        <v>43.58</v>
      </c>
      <c r="H74" s="506">
        <f t="shared" si="1"/>
        <v>6.3705150109836461E-2</v>
      </c>
      <c r="J74" s="503">
        <v>45211</v>
      </c>
      <c r="K74" s="502">
        <v>29.01</v>
      </c>
      <c r="L74" s="506">
        <f t="shared" si="2"/>
        <v>-2.0639834881320818E-3</v>
      </c>
      <c r="N74" s="503">
        <v>45211</v>
      </c>
      <c r="O74" s="502">
        <v>49.37</v>
      </c>
      <c r="P74" s="506">
        <f t="shared" si="3"/>
        <v>7.3454397061825105E-3</v>
      </c>
      <c r="R74" s="503">
        <v>45270</v>
      </c>
      <c r="S74" s="502">
        <v>14.49</v>
      </c>
      <c r="T74" s="506">
        <f t="shared" si="4"/>
        <v>5.3052325581395277E-2</v>
      </c>
      <c r="V74" s="503">
        <v>45211</v>
      </c>
      <c r="W74" s="502">
        <v>5.64</v>
      </c>
      <c r="X74" s="506">
        <f t="shared" si="5"/>
        <v>4.2513863216266046E-2</v>
      </c>
      <c r="Z74" s="503">
        <v>45211</v>
      </c>
      <c r="AA74" s="522">
        <v>4719.1899999999996</v>
      </c>
      <c r="AB74" s="524">
        <f t="shared" si="6"/>
        <v>2.493717924493466E-2</v>
      </c>
    </row>
    <row r="75" spans="2:28" x14ac:dyDescent="0.25">
      <c r="B75" s="503">
        <v>44997</v>
      </c>
      <c r="C75" s="502">
        <v>40.35</v>
      </c>
      <c r="D75" s="506">
        <f t="shared" si="0"/>
        <v>6.0446780551905555E-2</v>
      </c>
      <c r="F75" s="503">
        <v>44997</v>
      </c>
      <c r="G75" s="521">
        <v>40.97</v>
      </c>
      <c r="H75" s="506">
        <f t="shared" si="1"/>
        <v>1.8141153081510764E-2</v>
      </c>
      <c r="J75" s="503">
        <v>44997</v>
      </c>
      <c r="K75" s="502">
        <v>29.07</v>
      </c>
      <c r="L75" s="506">
        <f t="shared" si="2"/>
        <v>8.9171974522292974E-2</v>
      </c>
      <c r="N75" s="503">
        <v>44997</v>
      </c>
      <c r="O75" s="502">
        <v>49.01</v>
      </c>
      <c r="P75" s="506">
        <f t="shared" si="3"/>
        <v>1.6804979253111973E-2</v>
      </c>
      <c r="R75" s="503">
        <v>45263</v>
      </c>
      <c r="S75" s="502">
        <v>13.76</v>
      </c>
      <c r="T75" s="506">
        <f t="shared" si="4"/>
        <v>5.6835637480798784E-2</v>
      </c>
      <c r="V75" s="503">
        <v>44997</v>
      </c>
      <c r="W75" s="502">
        <v>5.41</v>
      </c>
      <c r="X75" s="506">
        <f t="shared" si="5"/>
        <v>0.16846652267818585</v>
      </c>
      <c r="Z75" s="503">
        <v>44997</v>
      </c>
      <c r="AA75" s="522">
        <v>4604.37</v>
      </c>
      <c r="AB75" s="524">
        <f t="shared" si="6"/>
        <v>2.1198660175030248E-3</v>
      </c>
    </row>
    <row r="76" spans="2:28" x14ac:dyDescent="0.25">
      <c r="B76" s="507" t="s">
        <v>218</v>
      </c>
      <c r="C76" s="502">
        <v>38.049999999999997</v>
      </c>
      <c r="D76" s="506">
        <f t="shared" si="0"/>
        <v>5.4016620498614776E-2</v>
      </c>
      <c r="F76" s="507" t="s">
        <v>218</v>
      </c>
      <c r="G76" s="521">
        <v>40.24</v>
      </c>
      <c r="H76" s="506">
        <f t="shared" si="1"/>
        <v>1.3346764039284809E-2</v>
      </c>
      <c r="J76" s="507" t="s">
        <v>218</v>
      </c>
      <c r="K76" s="502">
        <v>26.69</v>
      </c>
      <c r="L76" s="506">
        <f t="shared" si="2"/>
        <v>7.3180538801769224E-2</v>
      </c>
      <c r="N76" s="507" t="s">
        <v>218</v>
      </c>
      <c r="O76" s="502">
        <v>48.2</v>
      </c>
      <c r="P76" s="506">
        <f t="shared" si="3"/>
        <v>3.7898363479758945E-2</v>
      </c>
      <c r="R76" s="503">
        <v>45256</v>
      </c>
      <c r="S76" s="502">
        <v>13.02</v>
      </c>
      <c r="T76" s="506">
        <f t="shared" si="4"/>
        <v>5.76766856214459E-2</v>
      </c>
      <c r="V76" s="507" t="s">
        <v>218</v>
      </c>
      <c r="W76" s="502">
        <v>4.63</v>
      </c>
      <c r="X76" s="506">
        <f t="shared" si="5"/>
        <v>9.1981132075471539E-2</v>
      </c>
      <c r="Z76" s="507" t="s">
        <v>218</v>
      </c>
      <c r="AA76" s="522">
        <v>4594.63</v>
      </c>
      <c r="AB76" s="524">
        <f t="shared" si="6"/>
        <v>7.740155373365365E-3</v>
      </c>
    </row>
    <row r="77" spans="2:28" x14ac:dyDescent="0.25">
      <c r="B77" s="507" t="s">
        <v>219</v>
      </c>
      <c r="C77" s="502">
        <v>36.1</v>
      </c>
      <c r="D77" s="506">
        <f t="shared" si="0"/>
        <v>1.1092623405435376E-3</v>
      </c>
      <c r="F77" s="507" t="s">
        <v>219</v>
      </c>
      <c r="G77" s="521">
        <v>39.71</v>
      </c>
      <c r="H77" s="506">
        <f t="shared" si="1"/>
        <v>-1.2575452716296898E-3</v>
      </c>
      <c r="J77" s="507" t="s">
        <v>219</v>
      </c>
      <c r="K77" s="502">
        <v>24.87</v>
      </c>
      <c r="L77" s="506">
        <f t="shared" si="2"/>
        <v>2.4183796856107609E-3</v>
      </c>
      <c r="N77" s="507" t="s">
        <v>219</v>
      </c>
      <c r="O77" s="502">
        <v>46.44</v>
      </c>
      <c r="P77" s="506">
        <f t="shared" si="3"/>
        <v>-2.3630504833511701E-3</v>
      </c>
      <c r="R77" s="503">
        <v>45249</v>
      </c>
      <c r="S77" s="502">
        <v>12.31</v>
      </c>
      <c r="T77" s="506">
        <f t="shared" si="4"/>
        <v>1.6273393002441683E-3</v>
      </c>
      <c r="V77" s="507" t="s">
        <v>219</v>
      </c>
      <c r="W77" s="502">
        <v>4.24</v>
      </c>
      <c r="X77" s="506">
        <f t="shared" si="5"/>
        <v>1.193317422434359E-2</v>
      </c>
      <c r="Z77" s="507" t="s">
        <v>219</v>
      </c>
      <c r="AA77" s="522">
        <v>4559.34</v>
      </c>
      <c r="AB77" s="524">
        <f t="shared" si="6"/>
        <v>1.003983145843379E-2</v>
      </c>
    </row>
    <row r="78" spans="2:28" x14ac:dyDescent="0.25">
      <c r="B78" s="503">
        <v>45271</v>
      </c>
      <c r="C78" s="502">
        <v>36.06</v>
      </c>
      <c r="D78" s="506">
        <f t="shared" ref="D78:D141" si="7">C78/C79-1</f>
        <v>5.871990604815025E-2</v>
      </c>
      <c r="F78" s="503">
        <v>45271</v>
      </c>
      <c r="G78" s="521">
        <v>39.76</v>
      </c>
      <c r="H78" s="506">
        <f t="shared" ref="H78:H141" si="8">G78/G79-1</f>
        <v>4.6591208212687363E-2</v>
      </c>
      <c r="J78" s="503">
        <v>45271</v>
      </c>
      <c r="K78" s="502">
        <v>24.81</v>
      </c>
      <c r="L78" s="506">
        <f t="shared" ref="L78:L141" si="9">K78/K79-1</f>
        <v>7.1243523316062207E-2</v>
      </c>
      <c r="N78" s="503">
        <v>45271</v>
      </c>
      <c r="O78" s="502">
        <v>46.55</v>
      </c>
      <c r="P78" s="506">
        <f t="shared" ref="P78:P141" si="10">O78/O79-1</f>
        <v>8.9143659335517045E-2</v>
      </c>
      <c r="R78" s="503">
        <v>45242</v>
      </c>
      <c r="S78" s="502">
        <v>12.29</v>
      </c>
      <c r="T78" s="506">
        <f t="shared" ref="T78:T141" si="11">S78/S79-1</f>
        <v>4.1525423728813404E-2</v>
      </c>
      <c r="V78" s="503">
        <v>45271</v>
      </c>
      <c r="W78" s="502">
        <v>4.1900000000000004</v>
      </c>
      <c r="X78" s="506">
        <f t="shared" ref="X78:X141" si="12">W78/W79-1</f>
        <v>8.2687338501292063E-2</v>
      </c>
      <c r="Z78" s="503">
        <v>45271</v>
      </c>
      <c r="AA78" s="522">
        <v>4514.0200000000004</v>
      </c>
      <c r="AB78" s="524">
        <f t="shared" ref="AB78:AB141" si="13">AA78/AA79-1</f>
        <v>2.2372509761643844E-2</v>
      </c>
    </row>
    <row r="79" spans="2:28" x14ac:dyDescent="0.25">
      <c r="B79" s="503">
        <v>45057</v>
      </c>
      <c r="C79" s="502">
        <v>34.06</v>
      </c>
      <c r="D79" s="506">
        <f t="shared" si="7"/>
        <v>2.1289355322338777E-2</v>
      </c>
      <c r="F79" s="503">
        <v>45057</v>
      </c>
      <c r="G79" s="521">
        <v>37.99</v>
      </c>
      <c r="H79" s="506">
        <f t="shared" si="8"/>
        <v>1.2796587576646257E-2</v>
      </c>
      <c r="J79" s="503">
        <v>45057</v>
      </c>
      <c r="K79" s="502">
        <v>23.16</v>
      </c>
      <c r="L79" s="506">
        <f t="shared" si="9"/>
        <v>-2.2784810126582289E-2</v>
      </c>
      <c r="N79" s="503">
        <v>45057</v>
      </c>
      <c r="O79" s="502">
        <v>42.74</v>
      </c>
      <c r="P79" s="506">
        <f t="shared" si="10"/>
        <v>-3.9766344641653517E-2</v>
      </c>
      <c r="R79" s="503">
        <v>45235</v>
      </c>
      <c r="S79" s="502">
        <v>11.8</v>
      </c>
      <c r="T79" s="506">
        <f t="shared" si="11"/>
        <v>-1.5025041736226985E-2</v>
      </c>
      <c r="V79" s="503">
        <v>45057</v>
      </c>
      <c r="W79" s="502">
        <v>3.87</v>
      </c>
      <c r="X79" s="506">
        <f t="shared" si="12"/>
        <v>-0.11845102505694749</v>
      </c>
      <c r="Z79" s="503">
        <v>45057</v>
      </c>
      <c r="AA79" s="522">
        <v>4415.24</v>
      </c>
      <c r="AB79" s="524">
        <f t="shared" si="13"/>
        <v>1.3055429360719906E-2</v>
      </c>
    </row>
    <row r="80" spans="2:28" x14ac:dyDescent="0.25">
      <c r="B80" s="507" t="s">
        <v>220</v>
      </c>
      <c r="C80" s="502">
        <v>33.35</v>
      </c>
      <c r="D80" s="506">
        <f t="shared" si="7"/>
        <v>8.8091353996737398E-2</v>
      </c>
      <c r="F80" s="507" t="s">
        <v>220</v>
      </c>
      <c r="G80" s="521">
        <v>37.51</v>
      </c>
      <c r="H80" s="506">
        <f t="shared" si="8"/>
        <v>0.10648967551622412</v>
      </c>
      <c r="J80" s="507" t="s">
        <v>220</v>
      </c>
      <c r="K80" s="502">
        <v>23.7</v>
      </c>
      <c r="L80" s="506">
        <f t="shared" si="9"/>
        <v>6.0877350044762801E-2</v>
      </c>
      <c r="N80" s="507" t="s">
        <v>220</v>
      </c>
      <c r="O80" s="502">
        <v>44.51</v>
      </c>
      <c r="P80" s="506">
        <f t="shared" si="10"/>
        <v>5.2992666193517834E-2</v>
      </c>
      <c r="R80" s="503">
        <v>45228</v>
      </c>
      <c r="S80" s="502">
        <v>11.98</v>
      </c>
      <c r="T80" s="506">
        <f t="shared" si="11"/>
        <v>9.7069597069597169E-2</v>
      </c>
      <c r="V80" s="507" t="s">
        <v>220</v>
      </c>
      <c r="W80" s="502">
        <v>4.3899999999999997</v>
      </c>
      <c r="X80" s="506">
        <f t="shared" si="12"/>
        <v>6.2953995157384979E-2</v>
      </c>
      <c r="Z80" s="507" t="s">
        <v>220</v>
      </c>
      <c r="AA80" s="522">
        <v>4358.34</v>
      </c>
      <c r="AB80" s="524">
        <f t="shared" si="13"/>
        <v>5.852522362576118E-2</v>
      </c>
    </row>
    <row r="81" spans="2:28" x14ac:dyDescent="0.25">
      <c r="B81" s="507" t="s">
        <v>221</v>
      </c>
      <c r="C81" s="502">
        <v>30.65</v>
      </c>
      <c r="D81" s="506">
        <f t="shared" si="7"/>
        <v>-4.9022649705243504E-2</v>
      </c>
      <c r="F81" s="507" t="s">
        <v>221</v>
      </c>
      <c r="G81" s="521">
        <v>33.9</v>
      </c>
      <c r="H81" s="506">
        <f t="shared" si="8"/>
        <v>-3.3912795668281648E-2</v>
      </c>
      <c r="J81" s="507" t="s">
        <v>221</v>
      </c>
      <c r="K81" s="502">
        <v>22.34</v>
      </c>
      <c r="L81" s="506">
        <f t="shared" si="9"/>
        <v>-7.6859504132231415E-2</v>
      </c>
      <c r="N81" s="507" t="s">
        <v>221</v>
      </c>
      <c r="O81" s="502">
        <v>42.27</v>
      </c>
      <c r="P81" s="506">
        <f t="shared" si="10"/>
        <v>0.13506981740064439</v>
      </c>
      <c r="R81" s="503">
        <v>45221</v>
      </c>
      <c r="S81" s="502">
        <v>10.92</v>
      </c>
      <c r="T81" s="506">
        <f t="shared" si="11"/>
        <v>-1.4440433212996373E-2</v>
      </c>
      <c r="V81" s="507" t="s">
        <v>221</v>
      </c>
      <c r="W81" s="502">
        <v>4.13</v>
      </c>
      <c r="X81" s="506">
        <f t="shared" si="12"/>
        <v>-7.8125000000000111E-2</v>
      </c>
      <c r="Z81" s="507" t="s">
        <v>221</v>
      </c>
      <c r="AA81" s="522">
        <v>4117.37</v>
      </c>
      <c r="AB81" s="524">
        <f t="shared" si="13"/>
        <v>-2.5280765880080325E-2</v>
      </c>
    </row>
    <row r="82" spans="2:28" x14ac:dyDescent="0.25">
      <c r="B82" s="507" t="s">
        <v>222</v>
      </c>
      <c r="C82" s="502">
        <v>32.229999999999997</v>
      </c>
      <c r="D82" s="506">
        <f t="shared" si="7"/>
        <v>-5.4838709677419439E-2</v>
      </c>
      <c r="F82" s="507" t="s">
        <v>222</v>
      </c>
      <c r="G82" s="521">
        <v>35.090000000000003</v>
      </c>
      <c r="H82" s="506">
        <f t="shared" si="8"/>
        <v>-9.3749999999999889E-2</v>
      </c>
      <c r="J82" s="507" t="s">
        <v>222</v>
      </c>
      <c r="K82" s="502">
        <v>24.2</v>
      </c>
      <c r="L82" s="506">
        <f t="shared" si="9"/>
        <v>-4.6117461568782048E-2</v>
      </c>
      <c r="N82" s="507" t="s">
        <v>222</v>
      </c>
      <c r="O82" s="502">
        <v>37.24</v>
      </c>
      <c r="P82" s="506">
        <f t="shared" si="10"/>
        <v>-6.1255356692714868E-2</v>
      </c>
      <c r="R82" s="503">
        <v>45214</v>
      </c>
      <c r="S82" s="502">
        <v>11.08</v>
      </c>
      <c r="T82" s="506">
        <f t="shared" si="11"/>
        <v>-5.4607508532423243E-2</v>
      </c>
      <c r="V82" s="507" t="s">
        <v>222</v>
      </c>
      <c r="W82" s="502">
        <v>4.4800000000000004</v>
      </c>
      <c r="X82" s="506">
        <f t="shared" si="12"/>
        <v>0</v>
      </c>
      <c r="Z82" s="507" t="s">
        <v>222</v>
      </c>
      <c r="AA82" s="522">
        <v>4224.16</v>
      </c>
      <c r="AB82" s="524">
        <f t="shared" si="13"/>
        <v>-2.3942991556872073E-2</v>
      </c>
    </row>
    <row r="83" spans="2:28" x14ac:dyDescent="0.25">
      <c r="B83" s="503">
        <v>45148</v>
      </c>
      <c r="C83" s="502">
        <v>34.1</v>
      </c>
      <c r="D83" s="506">
        <f t="shared" si="7"/>
        <v>-7.8378378378378355E-2</v>
      </c>
      <c r="F83" s="503">
        <v>45148</v>
      </c>
      <c r="G83" s="521">
        <v>38.72</v>
      </c>
      <c r="H83" s="506">
        <f t="shared" si="8"/>
        <v>-7.4127211860353981E-2</v>
      </c>
      <c r="J83" s="503">
        <v>45148</v>
      </c>
      <c r="K83" s="502">
        <v>25.37</v>
      </c>
      <c r="L83" s="506">
        <f t="shared" si="9"/>
        <v>-6.3146233382570083E-2</v>
      </c>
      <c r="N83" s="503">
        <v>45148</v>
      </c>
      <c r="O83" s="502">
        <v>39.67</v>
      </c>
      <c r="P83" s="506">
        <f t="shared" si="10"/>
        <v>-4.593554593554583E-2</v>
      </c>
      <c r="R83" s="503">
        <v>45207</v>
      </c>
      <c r="S83" s="502">
        <v>11.72</v>
      </c>
      <c r="T83" s="506">
        <f t="shared" si="11"/>
        <v>-8.1504702194357348E-2</v>
      </c>
      <c r="V83" s="503">
        <v>45148</v>
      </c>
      <c r="W83" s="502">
        <v>4.4800000000000004</v>
      </c>
      <c r="X83" s="506">
        <f t="shared" si="12"/>
        <v>-4.6808510638297829E-2</v>
      </c>
      <c r="Z83" s="503">
        <v>45148</v>
      </c>
      <c r="AA83" s="522">
        <v>4327.78</v>
      </c>
      <c r="AB83" s="524">
        <f t="shared" si="13"/>
        <v>4.4748752466055031E-3</v>
      </c>
    </row>
    <row r="84" spans="2:28" x14ac:dyDescent="0.25">
      <c r="B84" s="503">
        <v>44936</v>
      </c>
      <c r="C84" s="502">
        <v>37</v>
      </c>
      <c r="D84" s="506">
        <f t="shared" si="7"/>
        <v>0</v>
      </c>
      <c r="F84" s="503">
        <v>44936</v>
      </c>
      <c r="G84" s="521">
        <v>41.82</v>
      </c>
      <c r="H84" s="506">
        <f t="shared" si="8"/>
        <v>-1.1347517730496359E-2</v>
      </c>
      <c r="J84" s="503">
        <v>44936</v>
      </c>
      <c r="K84" s="502">
        <v>27.08</v>
      </c>
      <c r="L84" s="506">
        <f t="shared" si="9"/>
        <v>3.6941263391199186E-4</v>
      </c>
      <c r="N84" s="503">
        <v>44936</v>
      </c>
      <c r="O84" s="502">
        <v>41.58</v>
      </c>
      <c r="P84" s="506">
        <f t="shared" si="10"/>
        <v>-8.5836909871244149E-3</v>
      </c>
      <c r="R84" s="503">
        <v>45200</v>
      </c>
      <c r="S84" s="502">
        <v>12.76</v>
      </c>
      <c r="T84" s="506">
        <f t="shared" si="11"/>
        <v>-3.9032006245121043E-3</v>
      </c>
      <c r="V84" s="503">
        <v>44936</v>
      </c>
      <c r="W84" s="502">
        <v>4.7</v>
      </c>
      <c r="X84" s="506">
        <f t="shared" si="12"/>
        <v>2.1739130434782705E-2</v>
      </c>
      <c r="Z84" s="503">
        <v>44936</v>
      </c>
      <c r="AA84" s="522">
        <v>4308.5</v>
      </c>
      <c r="AB84" s="524">
        <f t="shared" si="13"/>
        <v>4.7690675248655001E-3</v>
      </c>
    </row>
    <row r="85" spans="2:28" x14ac:dyDescent="0.25">
      <c r="B85" s="507" t="s">
        <v>223</v>
      </c>
      <c r="C85" s="502">
        <v>37</v>
      </c>
      <c r="D85" s="506">
        <f t="shared" si="7"/>
        <v>-1.7786036633926194E-2</v>
      </c>
      <c r="F85" s="507" t="s">
        <v>223</v>
      </c>
      <c r="G85" s="521">
        <v>42.3</v>
      </c>
      <c r="H85" s="506">
        <f t="shared" si="8"/>
        <v>-1.7877873229626307E-2</v>
      </c>
      <c r="J85" s="507" t="s">
        <v>223</v>
      </c>
      <c r="K85" s="502">
        <v>27.07</v>
      </c>
      <c r="L85" s="506">
        <f t="shared" si="9"/>
        <v>-3.493761140819962E-2</v>
      </c>
      <c r="N85" s="507" t="s">
        <v>223</v>
      </c>
      <c r="O85" s="502">
        <v>41.94</v>
      </c>
      <c r="P85" s="506">
        <f t="shared" si="10"/>
        <v>2.3849272597176174E-4</v>
      </c>
      <c r="R85" s="503">
        <v>45193</v>
      </c>
      <c r="S85" s="502">
        <v>12.81</v>
      </c>
      <c r="T85" s="506">
        <f t="shared" si="11"/>
        <v>-6.9767441860465462E-3</v>
      </c>
      <c r="V85" s="507" t="s">
        <v>223</v>
      </c>
      <c r="W85" s="502">
        <v>4.5999999999999996</v>
      </c>
      <c r="X85" s="506">
        <f t="shared" si="12"/>
        <v>1.7699115044247815E-2</v>
      </c>
      <c r="Z85" s="507" t="s">
        <v>223</v>
      </c>
      <c r="AA85" s="522">
        <v>4288.05</v>
      </c>
      <c r="AB85" s="524">
        <f t="shared" si="13"/>
        <v>-7.4096193108429409E-3</v>
      </c>
    </row>
    <row r="86" spans="2:28" x14ac:dyDescent="0.25">
      <c r="B86" s="507" t="s">
        <v>224</v>
      </c>
      <c r="C86" s="502">
        <v>37.67</v>
      </c>
      <c r="D86" s="506">
        <f t="shared" si="7"/>
        <v>-5.5889724310776878E-2</v>
      </c>
      <c r="F86" s="507" t="s">
        <v>224</v>
      </c>
      <c r="G86" s="521">
        <v>43.07</v>
      </c>
      <c r="H86" s="506">
        <f t="shared" si="8"/>
        <v>-5.7549234135667482E-2</v>
      </c>
      <c r="J86" s="507" t="s">
        <v>224</v>
      </c>
      <c r="K86" s="502">
        <v>28.05</v>
      </c>
      <c r="L86" s="506">
        <f t="shared" si="9"/>
        <v>-5.5237453688110505E-2</v>
      </c>
      <c r="N86" s="507" t="s">
        <v>224</v>
      </c>
      <c r="O86" s="502">
        <v>41.93</v>
      </c>
      <c r="P86" s="506">
        <f t="shared" si="10"/>
        <v>-2.1926755306741263E-2</v>
      </c>
      <c r="R86" s="503">
        <v>45186</v>
      </c>
      <c r="S86" s="502">
        <v>12.9</v>
      </c>
      <c r="T86" s="506">
        <f t="shared" si="11"/>
        <v>-3.0803906836964656E-2</v>
      </c>
      <c r="V86" s="507" t="s">
        <v>224</v>
      </c>
      <c r="W86" s="502">
        <v>4.5199999999999996</v>
      </c>
      <c r="X86" s="506">
        <f t="shared" si="12"/>
        <v>-9.0543259557344102E-2</v>
      </c>
      <c r="Z86" s="507" t="s">
        <v>224</v>
      </c>
      <c r="AA86" s="522">
        <v>4320.0600000000004</v>
      </c>
      <c r="AB86" s="524">
        <f t="shared" si="13"/>
        <v>-2.9269805317370334E-2</v>
      </c>
    </row>
    <row r="87" spans="2:28" x14ac:dyDescent="0.25">
      <c r="B87" s="503">
        <v>45208</v>
      </c>
      <c r="C87" s="502">
        <v>39.9</v>
      </c>
      <c r="D87" s="506">
        <f t="shared" si="7"/>
        <v>-2.2537971582557659E-2</v>
      </c>
      <c r="F87" s="503">
        <v>45208</v>
      </c>
      <c r="G87" s="521">
        <v>45.7</v>
      </c>
      <c r="H87" s="506">
        <f t="shared" si="8"/>
        <v>-3.6677908937605253E-2</v>
      </c>
      <c r="J87" s="503">
        <v>45208</v>
      </c>
      <c r="K87" s="502">
        <v>29.69</v>
      </c>
      <c r="L87" s="506">
        <f t="shared" si="9"/>
        <v>5.4182187605824605E-3</v>
      </c>
      <c r="N87" s="503">
        <v>45208</v>
      </c>
      <c r="O87" s="502">
        <v>42.87</v>
      </c>
      <c r="P87" s="506">
        <f t="shared" si="10"/>
        <v>8.2314205079960789E-3</v>
      </c>
      <c r="R87" s="503">
        <v>45179</v>
      </c>
      <c r="S87" s="502">
        <v>13.31</v>
      </c>
      <c r="T87" s="506">
        <f t="shared" si="11"/>
        <v>-4.7925608011444965E-2</v>
      </c>
      <c r="V87" s="503">
        <v>45208</v>
      </c>
      <c r="W87" s="502">
        <v>4.97</v>
      </c>
      <c r="X87" s="506">
        <f t="shared" si="12"/>
        <v>-4.0540540540540571E-2</v>
      </c>
      <c r="Z87" s="503">
        <v>45208</v>
      </c>
      <c r="AA87" s="522">
        <v>4450.32</v>
      </c>
      <c r="AB87" s="524">
        <f t="shared" si="13"/>
        <v>-1.6085285665251581E-3</v>
      </c>
    </row>
    <row r="88" spans="2:28" x14ac:dyDescent="0.25">
      <c r="B88" s="503">
        <v>44994</v>
      </c>
      <c r="C88" s="502">
        <v>40.82</v>
      </c>
      <c r="D88" s="506">
        <f t="shared" si="7"/>
        <v>-4.7596826878208098E-2</v>
      </c>
      <c r="F88" s="503">
        <v>44994</v>
      </c>
      <c r="G88" s="521">
        <v>47.44</v>
      </c>
      <c r="H88" s="506">
        <f t="shared" si="8"/>
        <v>-4.5856798069187521E-2</v>
      </c>
      <c r="J88" s="503">
        <v>44994</v>
      </c>
      <c r="K88" s="502">
        <v>29.53</v>
      </c>
      <c r="L88" s="506">
        <f t="shared" si="9"/>
        <v>-6.0152768936982848E-2</v>
      </c>
      <c r="N88" s="503">
        <v>44994</v>
      </c>
      <c r="O88" s="502">
        <v>42.52</v>
      </c>
      <c r="P88" s="506">
        <f t="shared" si="10"/>
        <v>-4.1910770617395232E-2</v>
      </c>
      <c r="R88" s="503">
        <v>45172</v>
      </c>
      <c r="S88" s="502">
        <v>13.98</v>
      </c>
      <c r="T88" s="506">
        <f t="shared" si="11"/>
        <v>-4.7683923705722053E-2</v>
      </c>
      <c r="V88" s="503">
        <v>44994</v>
      </c>
      <c r="W88" s="502">
        <v>5.18</v>
      </c>
      <c r="X88" s="506">
        <f t="shared" si="12"/>
        <v>-0.12647554806070826</v>
      </c>
      <c r="Z88" s="503">
        <v>44994</v>
      </c>
      <c r="AA88" s="522">
        <v>4457.49</v>
      </c>
      <c r="AB88" s="524">
        <f t="shared" si="13"/>
        <v>-1.290588316056851E-2</v>
      </c>
    </row>
    <row r="89" spans="2:28" x14ac:dyDescent="0.25">
      <c r="B89" s="507" t="s">
        <v>225</v>
      </c>
      <c r="C89" s="502">
        <v>42.86</v>
      </c>
      <c r="D89" s="506">
        <f t="shared" si="7"/>
        <v>2.7817745803357274E-2</v>
      </c>
      <c r="F89" s="507" t="s">
        <v>225</v>
      </c>
      <c r="G89" s="521">
        <v>49.72</v>
      </c>
      <c r="H89" s="506">
        <f t="shared" si="8"/>
        <v>1.5937883122190355E-2</v>
      </c>
      <c r="J89" s="507" t="s">
        <v>225</v>
      </c>
      <c r="K89" s="502">
        <v>31.42</v>
      </c>
      <c r="L89" s="506">
        <f t="shared" si="9"/>
        <v>6.4061499039078651E-3</v>
      </c>
      <c r="N89" s="507" t="s">
        <v>225</v>
      </c>
      <c r="O89" s="502">
        <v>44.38</v>
      </c>
      <c r="P89" s="506">
        <f t="shared" si="10"/>
        <v>0.10480458053273578</v>
      </c>
      <c r="R89" s="503">
        <v>45165</v>
      </c>
      <c r="S89" s="502">
        <v>14.68</v>
      </c>
      <c r="T89" s="506">
        <f t="shared" si="11"/>
        <v>6.8587105624142719E-3</v>
      </c>
      <c r="V89" s="507" t="s">
        <v>225</v>
      </c>
      <c r="W89" s="502">
        <v>5.93</v>
      </c>
      <c r="X89" s="506">
        <f t="shared" si="12"/>
        <v>-2.1452145214521434E-2</v>
      </c>
      <c r="Z89" s="507" t="s">
        <v>225</v>
      </c>
      <c r="AA89" s="522">
        <v>4515.7700000000004</v>
      </c>
      <c r="AB89" s="524">
        <f t="shared" si="13"/>
        <v>2.4981217556307778E-2</v>
      </c>
    </row>
    <row r="90" spans="2:28" x14ac:dyDescent="0.25">
      <c r="B90" s="507" t="s">
        <v>226</v>
      </c>
      <c r="C90" s="502">
        <v>41.7</v>
      </c>
      <c r="D90" s="506">
        <f t="shared" si="7"/>
        <v>5.0614605929140133E-3</v>
      </c>
      <c r="F90" s="507" t="s">
        <v>226</v>
      </c>
      <c r="G90" s="521">
        <v>48.94</v>
      </c>
      <c r="H90" s="506">
        <f t="shared" si="8"/>
        <v>-3.2586558044807035E-3</v>
      </c>
      <c r="J90" s="507" t="s">
        <v>226</v>
      </c>
      <c r="K90" s="502">
        <v>31.22</v>
      </c>
      <c r="L90" s="506">
        <f t="shared" si="9"/>
        <v>-2.8926905132192871E-2</v>
      </c>
      <c r="N90" s="507" t="s">
        <v>226</v>
      </c>
      <c r="O90" s="502">
        <v>40.17</v>
      </c>
      <c r="P90" s="506">
        <f t="shared" si="10"/>
        <v>5.0037528146109622E-3</v>
      </c>
      <c r="R90" s="503">
        <v>45158</v>
      </c>
      <c r="S90" s="502">
        <v>14.58</v>
      </c>
      <c r="T90" s="506">
        <f t="shared" si="11"/>
        <v>-3.0585106382978622E-2</v>
      </c>
      <c r="V90" s="507" t="s">
        <v>226</v>
      </c>
      <c r="W90" s="502">
        <v>6.06</v>
      </c>
      <c r="X90" s="506">
        <f t="shared" si="12"/>
        <v>-4.5669291338582663E-2</v>
      </c>
      <c r="Z90" s="507" t="s">
        <v>226</v>
      </c>
      <c r="AA90" s="522">
        <v>4405.71</v>
      </c>
      <c r="AB90" s="524">
        <f t="shared" si="13"/>
        <v>8.2385329918919226E-3</v>
      </c>
    </row>
    <row r="91" spans="2:28" x14ac:dyDescent="0.25">
      <c r="B91" s="507" t="s">
        <v>227</v>
      </c>
      <c r="C91" s="502">
        <v>41.49</v>
      </c>
      <c r="D91" s="506">
        <f t="shared" si="7"/>
        <v>-6.0674666062938587E-2</v>
      </c>
      <c r="F91" s="507" t="s">
        <v>227</v>
      </c>
      <c r="G91" s="521">
        <v>49.1</v>
      </c>
      <c r="H91" s="506">
        <f t="shared" si="8"/>
        <v>-6.0466896287791783E-2</v>
      </c>
      <c r="J91" s="507" t="s">
        <v>227</v>
      </c>
      <c r="K91" s="502">
        <v>32.15</v>
      </c>
      <c r="L91" s="506">
        <f t="shared" si="9"/>
        <v>-4.5994065281899199E-2</v>
      </c>
      <c r="N91" s="507" t="s">
        <v>227</v>
      </c>
      <c r="O91" s="502">
        <v>39.97</v>
      </c>
      <c r="P91" s="506">
        <f t="shared" si="10"/>
        <v>-4.8559866698405174E-2</v>
      </c>
      <c r="R91" s="503">
        <v>45151</v>
      </c>
      <c r="S91" s="502">
        <v>15.04</v>
      </c>
      <c r="T91" s="506">
        <f t="shared" si="11"/>
        <v>-3.897763578274771E-2</v>
      </c>
      <c r="V91" s="507" t="s">
        <v>227</v>
      </c>
      <c r="W91" s="502">
        <v>6.35</v>
      </c>
      <c r="X91" s="506">
        <f t="shared" si="12"/>
        <v>-2.3076923076923106E-2</v>
      </c>
      <c r="Z91" s="507" t="s">
        <v>227</v>
      </c>
      <c r="AA91" s="522">
        <v>4369.71</v>
      </c>
      <c r="AB91" s="524">
        <f t="shared" si="13"/>
        <v>-2.1133275836964227E-2</v>
      </c>
    </row>
    <row r="92" spans="2:28" x14ac:dyDescent="0.25">
      <c r="B92" s="503">
        <v>45085</v>
      </c>
      <c r="C92" s="502">
        <v>44.17</v>
      </c>
      <c r="D92" s="506">
        <f t="shared" si="7"/>
        <v>-9.4191522762951951E-3</v>
      </c>
      <c r="F92" s="503">
        <v>45085</v>
      </c>
      <c r="G92" s="521">
        <v>52.26</v>
      </c>
      <c r="H92" s="506">
        <f t="shared" si="8"/>
        <v>-2.1004391827381674E-3</v>
      </c>
      <c r="J92" s="503">
        <v>45085</v>
      </c>
      <c r="K92" s="502">
        <v>33.700000000000003</v>
      </c>
      <c r="L92" s="506">
        <f t="shared" si="9"/>
        <v>2.9636419187290208E-2</v>
      </c>
      <c r="N92" s="503">
        <v>45085</v>
      </c>
      <c r="O92" s="502">
        <v>42.01</v>
      </c>
      <c r="P92" s="506">
        <f t="shared" si="10"/>
        <v>-1.6634980988593506E-3</v>
      </c>
      <c r="R92" s="503">
        <v>45144</v>
      </c>
      <c r="S92" s="502">
        <v>15.65</v>
      </c>
      <c r="T92" s="506">
        <f t="shared" si="11"/>
        <v>-1.1994949494949503E-2</v>
      </c>
      <c r="V92" s="503">
        <v>45085</v>
      </c>
      <c r="W92" s="502">
        <v>6.5</v>
      </c>
      <c r="X92" s="506">
        <f t="shared" si="12"/>
        <v>-2.6946107784431073E-2</v>
      </c>
      <c r="Z92" s="503">
        <v>45085</v>
      </c>
      <c r="AA92" s="522">
        <v>4464.05</v>
      </c>
      <c r="AB92" s="524">
        <f t="shared" si="13"/>
        <v>-3.1219085178079142E-3</v>
      </c>
    </row>
    <row r="93" spans="2:28" x14ac:dyDescent="0.25">
      <c r="B93" s="507" t="s">
        <v>228</v>
      </c>
      <c r="C93" s="502">
        <v>44.59</v>
      </c>
      <c r="D93" s="506">
        <f t="shared" si="7"/>
        <v>-2.4715660542432127E-2</v>
      </c>
      <c r="F93" s="507" t="s">
        <v>228</v>
      </c>
      <c r="G93" s="521">
        <v>52.37</v>
      </c>
      <c r="H93" s="506">
        <f t="shared" si="8"/>
        <v>-3.3228724386191733E-2</v>
      </c>
      <c r="J93" s="507" t="s">
        <v>228</v>
      </c>
      <c r="K93" s="502">
        <v>32.729999999999997</v>
      </c>
      <c r="L93" s="506">
        <f t="shared" si="9"/>
        <v>-2.8783382789317691E-2</v>
      </c>
      <c r="N93" s="507" t="s">
        <v>228</v>
      </c>
      <c r="O93" s="502">
        <v>42.08</v>
      </c>
      <c r="P93" s="506">
        <f t="shared" si="10"/>
        <v>-5.5231252806466125E-2</v>
      </c>
      <c r="R93" s="503">
        <v>45137</v>
      </c>
      <c r="S93" s="502">
        <v>15.84</v>
      </c>
      <c r="T93" s="506">
        <f t="shared" si="11"/>
        <v>-5.6581298391899848E-2</v>
      </c>
      <c r="V93" s="507" t="s">
        <v>228</v>
      </c>
      <c r="W93" s="502">
        <v>6.68</v>
      </c>
      <c r="X93" s="506">
        <f t="shared" si="12"/>
        <v>-0.14904458598726111</v>
      </c>
      <c r="Z93" s="507" t="s">
        <v>228</v>
      </c>
      <c r="AA93" s="522">
        <v>4478.03</v>
      </c>
      <c r="AB93" s="524">
        <f t="shared" si="13"/>
        <v>-2.2740019597444872E-2</v>
      </c>
    </row>
    <row r="94" spans="2:28" x14ac:dyDescent="0.25">
      <c r="B94" s="507" t="s">
        <v>229</v>
      </c>
      <c r="C94" s="502">
        <v>45.72</v>
      </c>
      <c r="D94" s="506">
        <f t="shared" si="7"/>
        <v>-5.8290422245108053E-2</v>
      </c>
      <c r="F94" s="507" t="s">
        <v>229</v>
      </c>
      <c r="G94" s="521">
        <v>54.17</v>
      </c>
      <c r="H94" s="506">
        <f t="shared" si="8"/>
        <v>-5.9711855580628304E-2</v>
      </c>
      <c r="J94" s="507" t="s">
        <v>229</v>
      </c>
      <c r="K94" s="502">
        <v>33.700000000000003</v>
      </c>
      <c r="L94" s="506">
        <f t="shared" si="9"/>
        <v>-9.5302013422818743E-2</v>
      </c>
      <c r="N94" s="507" t="s">
        <v>229</v>
      </c>
      <c r="O94" s="502">
        <v>44.54</v>
      </c>
      <c r="P94" s="506">
        <f t="shared" si="10"/>
        <v>8.4489895300706053E-2</v>
      </c>
      <c r="R94" s="503">
        <v>45130</v>
      </c>
      <c r="S94" s="502">
        <v>16.79</v>
      </c>
      <c r="T94" s="506">
        <f t="shared" si="11"/>
        <v>-3.616532721010346E-2</v>
      </c>
      <c r="V94" s="507" t="s">
        <v>229</v>
      </c>
      <c r="W94" s="502">
        <v>7.85</v>
      </c>
      <c r="X94" s="506">
        <f t="shared" si="12"/>
        <v>-5.1932367149758463E-2</v>
      </c>
      <c r="Z94" s="507" t="s">
        <v>229</v>
      </c>
      <c r="AA94" s="522">
        <v>4582.2299999999996</v>
      </c>
      <c r="AB94" s="524">
        <f t="shared" si="13"/>
        <v>1.0116084773187151E-2</v>
      </c>
    </row>
    <row r="95" spans="2:28" x14ac:dyDescent="0.25">
      <c r="B95" s="507" t="s">
        <v>230</v>
      </c>
      <c r="C95" s="502">
        <v>48.55</v>
      </c>
      <c r="D95" s="506">
        <f t="shared" si="7"/>
        <v>4.4310604431060385E-2</v>
      </c>
      <c r="F95" s="507" t="s">
        <v>230</v>
      </c>
      <c r="G95" s="521">
        <v>57.61</v>
      </c>
      <c r="H95" s="506">
        <f t="shared" si="8"/>
        <v>8.0052493438320216E-2</v>
      </c>
      <c r="J95" s="507" t="s">
        <v>230</v>
      </c>
      <c r="K95" s="502">
        <v>37.25</v>
      </c>
      <c r="L95" s="506">
        <f t="shared" si="9"/>
        <v>2.447744774477445E-2</v>
      </c>
      <c r="N95" s="507" t="s">
        <v>230</v>
      </c>
      <c r="O95" s="502">
        <v>41.07</v>
      </c>
      <c r="P95" s="506">
        <f t="shared" si="10"/>
        <v>1.5829829334652601E-2</v>
      </c>
      <c r="R95" s="503">
        <v>45123</v>
      </c>
      <c r="S95" s="502">
        <v>17.420000000000002</v>
      </c>
      <c r="T95" s="506">
        <f t="shared" si="11"/>
        <v>-3.9691289966923837E-2</v>
      </c>
      <c r="V95" s="507" t="s">
        <v>230</v>
      </c>
      <c r="W95" s="502">
        <v>8.2799999999999994</v>
      </c>
      <c r="X95" s="506">
        <f t="shared" si="12"/>
        <v>2.857142857142847E-2</v>
      </c>
      <c r="Z95" s="507" t="s">
        <v>230</v>
      </c>
      <c r="AA95" s="522">
        <v>4536.34</v>
      </c>
      <c r="AB95" s="524">
        <f t="shared" si="13"/>
        <v>6.8628451953425262E-3</v>
      </c>
    </row>
    <row r="96" spans="2:28" x14ac:dyDescent="0.25">
      <c r="B96" s="503">
        <v>45176</v>
      </c>
      <c r="C96" s="502">
        <v>46.49</v>
      </c>
      <c r="D96" s="506">
        <f t="shared" si="7"/>
        <v>-2.9030910609857963E-2</v>
      </c>
      <c r="F96" s="503">
        <v>45176</v>
      </c>
      <c r="G96" s="521">
        <v>53.34</v>
      </c>
      <c r="H96" s="506">
        <f t="shared" si="8"/>
        <v>-3.7010290666185219E-2</v>
      </c>
      <c r="J96" s="503">
        <v>45176</v>
      </c>
      <c r="K96" s="502">
        <v>36.36</v>
      </c>
      <c r="L96" s="506">
        <f t="shared" si="9"/>
        <v>-3.2721468475658488E-2</v>
      </c>
      <c r="N96" s="503">
        <v>45176</v>
      </c>
      <c r="O96" s="502">
        <v>40.43</v>
      </c>
      <c r="P96" s="506">
        <f t="shared" si="10"/>
        <v>-1.0523739598629511E-2</v>
      </c>
      <c r="R96" s="503">
        <v>45116</v>
      </c>
      <c r="S96" s="502">
        <v>18.14</v>
      </c>
      <c r="T96" s="506">
        <f t="shared" si="11"/>
        <v>-1.1444141689373355E-2</v>
      </c>
      <c r="V96" s="503">
        <v>45176</v>
      </c>
      <c r="W96" s="502">
        <v>8.0500000000000007</v>
      </c>
      <c r="X96" s="506">
        <f t="shared" si="12"/>
        <v>-9.8544232922732289E-2</v>
      </c>
      <c r="Z96" s="503">
        <v>45176</v>
      </c>
      <c r="AA96" s="522">
        <v>4505.42</v>
      </c>
      <c r="AB96" s="524">
        <f t="shared" si="13"/>
        <v>2.4203503108696456E-2</v>
      </c>
    </row>
    <row r="97" spans="2:28" x14ac:dyDescent="0.25">
      <c r="B97" s="503">
        <v>44964</v>
      </c>
      <c r="C97" s="502">
        <v>47.88</v>
      </c>
      <c r="D97" s="506">
        <f t="shared" si="7"/>
        <v>7.1518721076988534E-3</v>
      </c>
      <c r="F97" s="503">
        <v>44964</v>
      </c>
      <c r="G97" s="521">
        <v>55.39</v>
      </c>
      <c r="H97" s="506">
        <f t="shared" si="8"/>
        <v>9.4769455075633946E-3</v>
      </c>
      <c r="J97" s="503">
        <v>44964</v>
      </c>
      <c r="K97" s="502">
        <v>37.590000000000003</v>
      </c>
      <c r="L97" s="506">
        <f t="shared" si="9"/>
        <v>3.8111019055509621E-2</v>
      </c>
      <c r="N97" s="503">
        <v>44964</v>
      </c>
      <c r="O97" s="502">
        <v>40.86</v>
      </c>
      <c r="P97" s="506">
        <f t="shared" si="10"/>
        <v>3.4381139489194634E-3</v>
      </c>
      <c r="R97" s="503">
        <v>45109</v>
      </c>
      <c r="S97" s="502">
        <v>18.350000000000001</v>
      </c>
      <c r="T97" s="506">
        <f t="shared" si="11"/>
        <v>2.285395763656628E-2</v>
      </c>
      <c r="V97" s="503">
        <v>44964</v>
      </c>
      <c r="W97" s="502">
        <v>8.93</v>
      </c>
      <c r="X97" s="506">
        <f t="shared" si="12"/>
        <v>7.900677200902928E-3</v>
      </c>
      <c r="Z97" s="503">
        <v>44964</v>
      </c>
      <c r="AA97" s="522">
        <v>4398.95</v>
      </c>
      <c r="AB97" s="524">
        <f t="shared" si="13"/>
        <v>-1.1556316539261924E-2</v>
      </c>
    </row>
    <row r="98" spans="2:28" x14ac:dyDescent="0.25">
      <c r="B98" s="507" t="s">
        <v>231</v>
      </c>
      <c r="C98" s="502">
        <v>47.54</v>
      </c>
      <c r="D98" s="506">
        <f t="shared" si="7"/>
        <v>0.10919272048530093</v>
      </c>
      <c r="F98" s="507" t="s">
        <v>231</v>
      </c>
      <c r="G98" s="521">
        <v>54.87</v>
      </c>
      <c r="H98" s="506">
        <f t="shared" si="8"/>
        <v>4.2165242165242089E-2</v>
      </c>
      <c r="J98" s="507" t="s">
        <v>231</v>
      </c>
      <c r="K98" s="502">
        <v>36.21</v>
      </c>
      <c r="L98" s="506">
        <f t="shared" si="9"/>
        <v>6.7197170645446613E-2</v>
      </c>
      <c r="N98" s="507" t="s">
        <v>231</v>
      </c>
      <c r="O98" s="502">
        <v>40.72</v>
      </c>
      <c r="P98" s="506">
        <f t="shared" si="10"/>
        <v>2.9062421026029739E-2</v>
      </c>
      <c r="R98" s="503">
        <v>45102</v>
      </c>
      <c r="S98" s="502">
        <v>17.940000000000001</v>
      </c>
      <c r="T98" s="506">
        <f t="shared" si="11"/>
        <v>0.10332103321033204</v>
      </c>
      <c r="V98" s="507" t="s">
        <v>231</v>
      </c>
      <c r="W98" s="502">
        <v>8.86</v>
      </c>
      <c r="X98" s="506">
        <f t="shared" si="12"/>
        <v>0.11586901763224167</v>
      </c>
      <c r="Z98" s="507" t="s">
        <v>231</v>
      </c>
      <c r="AA98" s="522">
        <v>4450.38</v>
      </c>
      <c r="AB98" s="524">
        <f t="shared" si="13"/>
        <v>2.3468779968401687E-2</v>
      </c>
    </row>
    <row r="99" spans="2:28" x14ac:dyDescent="0.25">
      <c r="B99" s="507" t="s">
        <v>232</v>
      </c>
      <c r="C99" s="502">
        <v>42.86</v>
      </c>
      <c r="D99" s="506">
        <f t="shared" si="7"/>
        <v>1.6358962374387609E-3</v>
      </c>
      <c r="F99" s="507" t="s">
        <v>232</v>
      </c>
      <c r="G99" s="521">
        <v>52.65</v>
      </c>
      <c r="H99" s="506">
        <f t="shared" si="8"/>
        <v>-1.5887850467289799E-2</v>
      </c>
      <c r="J99" s="507" t="s">
        <v>232</v>
      </c>
      <c r="K99" s="502">
        <v>33.93</v>
      </c>
      <c r="L99" s="506">
        <f t="shared" si="9"/>
        <v>-9.3430656934306855E-3</v>
      </c>
      <c r="N99" s="507" t="s">
        <v>232</v>
      </c>
      <c r="O99" s="502">
        <v>39.57</v>
      </c>
      <c r="P99" s="506">
        <f t="shared" si="10"/>
        <v>2.2744895321788583E-2</v>
      </c>
      <c r="R99" s="503">
        <v>45095</v>
      </c>
      <c r="S99" s="502">
        <v>16.260000000000002</v>
      </c>
      <c r="T99" s="506">
        <f t="shared" si="11"/>
        <v>-1.3349514563106735E-2</v>
      </c>
      <c r="V99" s="507" t="s">
        <v>232</v>
      </c>
      <c r="W99" s="502">
        <v>7.94</v>
      </c>
      <c r="X99" s="506">
        <f t="shared" si="12"/>
        <v>-1.488833746898266E-2</v>
      </c>
      <c r="Z99" s="507" t="s">
        <v>232</v>
      </c>
      <c r="AA99" s="522">
        <v>4348.33</v>
      </c>
      <c r="AB99" s="524">
        <f t="shared" si="13"/>
        <v>-1.389244805072587E-2</v>
      </c>
    </row>
    <row r="100" spans="2:28" x14ac:dyDescent="0.25">
      <c r="B100" s="503">
        <v>45236</v>
      </c>
      <c r="C100" s="502">
        <v>42.79</v>
      </c>
      <c r="D100" s="506">
        <f t="shared" si="7"/>
        <v>8.9358452138492916E-2</v>
      </c>
      <c r="F100" s="503">
        <v>45236</v>
      </c>
      <c r="G100" s="521">
        <v>53.5</v>
      </c>
      <c r="H100" s="506">
        <f t="shared" si="8"/>
        <v>6.1086870289567496E-2</v>
      </c>
      <c r="J100" s="503">
        <v>45236</v>
      </c>
      <c r="K100" s="502">
        <v>34.25</v>
      </c>
      <c r="L100" s="506">
        <f t="shared" si="9"/>
        <v>0.11854996734160683</v>
      </c>
      <c r="N100" s="503">
        <v>45236</v>
      </c>
      <c r="O100" s="502">
        <v>38.69</v>
      </c>
      <c r="P100" s="506">
        <f t="shared" si="10"/>
        <v>0.13894612893729752</v>
      </c>
      <c r="R100" s="503">
        <v>45088</v>
      </c>
      <c r="S100" s="502">
        <v>16.48</v>
      </c>
      <c r="T100" s="506">
        <f t="shared" si="11"/>
        <v>5.844572896596012E-2</v>
      </c>
      <c r="V100" s="503">
        <v>45236</v>
      </c>
      <c r="W100" s="502">
        <v>8.06</v>
      </c>
      <c r="X100" s="506">
        <f t="shared" si="12"/>
        <v>7.8982597054886305E-2</v>
      </c>
      <c r="Z100" s="503">
        <v>45236</v>
      </c>
      <c r="AA100" s="522">
        <v>4409.59</v>
      </c>
      <c r="AB100" s="524">
        <f t="shared" si="13"/>
        <v>2.5757991653601264E-2</v>
      </c>
    </row>
    <row r="101" spans="2:28" x14ac:dyDescent="0.25">
      <c r="B101" s="503">
        <v>45022</v>
      </c>
      <c r="C101" s="502">
        <v>39.28</v>
      </c>
      <c r="D101" s="506">
        <f t="shared" si="7"/>
        <v>6.1334774385301438E-2</v>
      </c>
      <c r="F101" s="503">
        <v>45022</v>
      </c>
      <c r="G101" s="521">
        <v>50.42</v>
      </c>
      <c r="H101" s="506">
        <f t="shared" si="8"/>
        <v>3.958762886597933E-2</v>
      </c>
      <c r="J101" s="503">
        <v>45022</v>
      </c>
      <c r="K101" s="502">
        <v>30.62</v>
      </c>
      <c r="L101" s="506">
        <f t="shared" si="9"/>
        <v>1.8290655138011314E-2</v>
      </c>
      <c r="N101" s="503">
        <v>45022</v>
      </c>
      <c r="O101" s="502">
        <v>33.97</v>
      </c>
      <c r="P101" s="506">
        <f t="shared" si="10"/>
        <v>4.9752781211372055E-2</v>
      </c>
      <c r="R101" s="503">
        <v>45081</v>
      </c>
      <c r="S101" s="502">
        <v>15.57</v>
      </c>
      <c r="T101" s="506">
        <f t="shared" si="11"/>
        <v>4.7074646940147957E-2</v>
      </c>
      <c r="V101" s="503">
        <v>45022</v>
      </c>
      <c r="W101" s="502">
        <v>7.47</v>
      </c>
      <c r="X101" s="506">
        <f t="shared" si="12"/>
        <v>4.0389972144846853E-2</v>
      </c>
      <c r="Z101" s="503">
        <v>45022</v>
      </c>
      <c r="AA101" s="522">
        <v>4298.8599999999997</v>
      </c>
      <c r="AB101" s="524">
        <f t="shared" si="13"/>
        <v>3.8506714739734438E-3</v>
      </c>
    </row>
    <row r="102" spans="2:28" x14ac:dyDescent="0.25">
      <c r="B102" s="507" t="s">
        <v>233</v>
      </c>
      <c r="C102" s="502">
        <v>37.01</v>
      </c>
      <c r="D102" s="506">
        <f t="shared" si="7"/>
        <v>3.1206464196154915E-2</v>
      </c>
      <c r="F102" s="507" t="s">
        <v>233</v>
      </c>
      <c r="G102" s="521">
        <v>48.5</v>
      </c>
      <c r="H102" s="506">
        <f t="shared" si="8"/>
        <v>2.6237833262801491E-2</v>
      </c>
      <c r="J102" s="507" t="s">
        <v>233</v>
      </c>
      <c r="K102" s="502">
        <v>30.07</v>
      </c>
      <c r="L102" s="506">
        <f t="shared" si="9"/>
        <v>1.4165261382799388E-2</v>
      </c>
      <c r="N102" s="507" t="s">
        <v>233</v>
      </c>
      <c r="O102" s="502">
        <v>32.36</v>
      </c>
      <c r="P102" s="506">
        <f t="shared" si="10"/>
        <v>6.5174456879526055E-2</v>
      </c>
      <c r="R102" s="503">
        <v>45074</v>
      </c>
      <c r="S102" s="502">
        <v>14.87</v>
      </c>
      <c r="T102" s="506">
        <f t="shared" si="11"/>
        <v>3.6236933797909376E-2</v>
      </c>
      <c r="V102" s="507" t="s">
        <v>233</v>
      </c>
      <c r="W102" s="502">
        <v>7.18</v>
      </c>
      <c r="X102" s="506">
        <f t="shared" si="12"/>
        <v>5.1244509516837455E-2</v>
      </c>
      <c r="Z102" s="507" t="s">
        <v>233</v>
      </c>
      <c r="AA102" s="522">
        <v>4282.37</v>
      </c>
      <c r="AB102" s="524">
        <f t="shared" si="13"/>
        <v>1.8290551546207956E-2</v>
      </c>
    </row>
    <row r="103" spans="2:28" x14ac:dyDescent="0.25">
      <c r="B103" s="507" t="s">
        <v>234</v>
      </c>
      <c r="C103" s="502">
        <v>35.89</v>
      </c>
      <c r="D103" s="506">
        <f t="shared" si="7"/>
        <v>8.4293340826073759E-3</v>
      </c>
      <c r="F103" s="507" t="s">
        <v>234</v>
      </c>
      <c r="G103" s="521">
        <v>47.26</v>
      </c>
      <c r="H103" s="506">
        <f t="shared" si="8"/>
        <v>-5.8897770298695917E-3</v>
      </c>
      <c r="J103" s="507" t="s">
        <v>234</v>
      </c>
      <c r="K103" s="502">
        <v>29.65</v>
      </c>
      <c r="L103" s="506">
        <f t="shared" si="9"/>
        <v>5.7666214382632308E-3</v>
      </c>
      <c r="N103" s="507" t="s">
        <v>234</v>
      </c>
      <c r="O103" s="502">
        <v>30.38</v>
      </c>
      <c r="P103" s="506">
        <f t="shared" si="10"/>
        <v>6.4844023834560005E-2</v>
      </c>
      <c r="R103" s="503">
        <v>45067</v>
      </c>
      <c r="S103" s="502">
        <v>14.35</v>
      </c>
      <c r="T103" s="506">
        <f t="shared" si="11"/>
        <v>-3.1713900134952788E-2</v>
      </c>
      <c r="V103" s="507" t="s">
        <v>234</v>
      </c>
      <c r="W103" s="502">
        <v>6.83</v>
      </c>
      <c r="X103" s="506">
        <f t="shared" si="12"/>
        <v>-3.667136812411842E-2</v>
      </c>
      <c r="Z103" s="507" t="s">
        <v>234</v>
      </c>
      <c r="AA103" s="522">
        <v>4205.45</v>
      </c>
      <c r="AB103" s="524">
        <f t="shared" si="13"/>
        <v>3.2132786893068754E-3</v>
      </c>
    </row>
    <row r="104" spans="2:28" x14ac:dyDescent="0.25">
      <c r="B104" s="507" t="s">
        <v>235</v>
      </c>
      <c r="C104" s="502">
        <v>35.590000000000003</v>
      </c>
      <c r="D104" s="506">
        <f t="shared" si="7"/>
        <v>7.1020162503761863E-2</v>
      </c>
      <c r="F104" s="507" t="s">
        <v>235</v>
      </c>
      <c r="G104" s="521">
        <v>47.54</v>
      </c>
      <c r="H104" s="506">
        <f t="shared" si="8"/>
        <v>5.4569653948535857E-2</v>
      </c>
      <c r="J104" s="507" t="s">
        <v>235</v>
      </c>
      <c r="K104" s="502">
        <v>29.48</v>
      </c>
      <c r="L104" s="506">
        <f t="shared" si="9"/>
        <v>2.9689137268599453E-2</v>
      </c>
      <c r="N104" s="507" t="s">
        <v>235</v>
      </c>
      <c r="O104" s="502">
        <v>28.53</v>
      </c>
      <c r="P104" s="506">
        <f t="shared" si="10"/>
        <v>9.3103448275862144E-2</v>
      </c>
      <c r="R104" s="503">
        <v>45060</v>
      </c>
      <c r="S104" s="502">
        <v>14.82</v>
      </c>
      <c r="T104" s="506">
        <f t="shared" si="11"/>
        <v>5.7061340941512162E-2</v>
      </c>
      <c r="V104" s="507" t="s">
        <v>235</v>
      </c>
      <c r="W104" s="502">
        <v>7.09</v>
      </c>
      <c r="X104" s="506">
        <f t="shared" si="12"/>
        <v>5.1928783382789279E-2</v>
      </c>
      <c r="Z104" s="507" t="s">
        <v>235</v>
      </c>
      <c r="AA104" s="522">
        <v>4191.9799999999996</v>
      </c>
      <c r="AB104" s="524">
        <f t="shared" si="13"/>
        <v>1.6464278093538454E-2</v>
      </c>
    </row>
    <row r="105" spans="2:28" x14ac:dyDescent="0.25">
      <c r="B105" s="503">
        <v>45112</v>
      </c>
      <c r="C105" s="502">
        <v>33.229999999999997</v>
      </c>
      <c r="D105" s="506">
        <f t="shared" si="7"/>
        <v>-2.0919269298762533E-2</v>
      </c>
      <c r="F105" s="503">
        <v>45112</v>
      </c>
      <c r="G105" s="521">
        <v>45.08</v>
      </c>
      <c r="H105" s="506">
        <f t="shared" si="8"/>
        <v>6.0254407498325779E-3</v>
      </c>
      <c r="J105" s="503">
        <v>45112</v>
      </c>
      <c r="K105" s="502">
        <v>28.63</v>
      </c>
      <c r="L105" s="506">
        <f t="shared" si="9"/>
        <v>-3.472690492245456E-2</v>
      </c>
      <c r="N105" s="503">
        <v>45112</v>
      </c>
      <c r="O105" s="502">
        <v>26.1</v>
      </c>
      <c r="P105" s="506">
        <f t="shared" si="10"/>
        <v>-6.9850320741268623E-2</v>
      </c>
      <c r="R105" s="503">
        <v>45053</v>
      </c>
      <c r="S105" s="502">
        <v>14.02</v>
      </c>
      <c r="T105" s="506">
        <f t="shared" si="11"/>
        <v>1.0814708002883977E-2</v>
      </c>
      <c r="V105" s="503">
        <v>45112</v>
      </c>
      <c r="W105" s="502">
        <v>6.74</v>
      </c>
      <c r="X105" s="506">
        <f t="shared" si="12"/>
        <v>-3.9886039886039781E-2</v>
      </c>
      <c r="Z105" s="503">
        <v>45112</v>
      </c>
      <c r="AA105" s="522">
        <v>4124.08</v>
      </c>
      <c r="AB105" s="524">
        <f t="shared" si="13"/>
        <v>-2.9422786340284057E-3</v>
      </c>
    </row>
    <row r="106" spans="2:28" x14ac:dyDescent="0.25">
      <c r="B106" s="507" t="s">
        <v>236</v>
      </c>
      <c r="C106" s="502">
        <v>33.94</v>
      </c>
      <c r="D106" s="506">
        <f t="shared" si="7"/>
        <v>-1.0784027980180855E-2</v>
      </c>
      <c r="F106" s="507" t="s">
        <v>236</v>
      </c>
      <c r="G106" s="521">
        <v>44.81</v>
      </c>
      <c r="H106" s="506">
        <f t="shared" si="8"/>
        <v>2.3059360730593781E-2</v>
      </c>
      <c r="J106" s="507" t="s">
        <v>236</v>
      </c>
      <c r="K106" s="502">
        <v>29.66</v>
      </c>
      <c r="L106" s="506">
        <f t="shared" si="9"/>
        <v>-2.0798943545724646E-2</v>
      </c>
      <c r="N106" s="507" t="s">
        <v>236</v>
      </c>
      <c r="O106" s="502">
        <v>28.06</v>
      </c>
      <c r="P106" s="506">
        <f t="shared" si="10"/>
        <v>-8.4805653710248174E-3</v>
      </c>
      <c r="R106" s="503">
        <v>45046</v>
      </c>
      <c r="S106" s="502">
        <v>13.87</v>
      </c>
      <c r="T106" s="506">
        <f t="shared" si="11"/>
        <v>1.6862170087976525E-2</v>
      </c>
      <c r="V106" s="507" t="s">
        <v>236</v>
      </c>
      <c r="W106" s="502">
        <v>7.02</v>
      </c>
      <c r="X106" s="506">
        <f t="shared" si="12"/>
        <v>-1.6806722689075682E-2</v>
      </c>
      <c r="Z106" s="507" t="s">
        <v>236</v>
      </c>
      <c r="AA106" s="522">
        <v>4136.25</v>
      </c>
      <c r="AB106" s="524">
        <f t="shared" si="13"/>
        <v>-7.9698187783607821E-3</v>
      </c>
    </row>
    <row r="107" spans="2:28" x14ac:dyDescent="0.25">
      <c r="B107" s="507" t="s">
        <v>237</v>
      </c>
      <c r="C107" s="502">
        <v>34.31</v>
      </c>
      <c r="D107" s="506">
        <f t="shared" si="7"/>
        <v>-5.825808330904847E-4</v>
      </c>
      <c r="F107" s="507" t="s">
        <v>237</v>
      </c>
      <c r="G107" s="521">
        <v>43.8</v>
      </c>
      <c r="H107" s="506">
        <f t="shared" si="8"/>
        <v>-1.4623172103487181E-2</v>
      </c>
      <c r="J107" s="507" t="s">
        <v>237</v>
      </c>
      <c r="K107" s="502">
        <v>30.29</v>
      </c>
      <c r="L107" s="506">
        <f t="shared" si="9"/>
        <v>-5.785381026438563E-2</v>
      </c>
      <c r="N107" s="507" t="s">
        <v>237</v>
      </c>
      <c r="O107" s="502">
        <v>28.3</v>
      </c>
      <c r="P107" s="506">
        <f t="shared" si="10"/>
        <v>0.16893845518380823</v>
      </c>
      <c r="R107" s="503">
        <v>45039</v>
      </c>
      <c r="S107" s="502">
        <v>13.64</v>
      </c>
      <c r="T107" s="506">
        <f t="shared" si="11"/>
        <v>1.7910447761193993E-2</v>
      </c>
      <c r="V107" s="507" t="s">
        <v>237</v>
      </c>
      <c r="W107" s="502">
        <v>7.14</v>
      </c>
      <c r="X107" s="506">
        <f t="shared" si="12"/>
        <v>3.1791907514450823E-2</v>
      </c>
      <c r="Z107" s="507" t="s">
        <v>237</v>
      </c>
      <c r="AA107" s="522">
        <v>4169.4799999999996</v>
      </c>
      <c r="AB107" s="524">
        <f t="shared" si="13"/>
        <v>8.6996071145171161E-3</v>
      </c>
    </row>
    <row r="108" spans="2:28" x14ac:dyDescent="0.25">
      <c r="B108" s="507" t="s">
        <v>238</v>
      </c>
      <c r="C108" s="502">
        <v>34.33</v>
      </c>
      <c r="D108" s="506">
        <f t="shared" si="7"/>
        <v>1.6582765768433427E-2</v>
      </c>
      <c r="F108" s="507" t="s">
        <v>238</v>
      </c>
      <c r="G108" s="521">
        <v>44.45</v>
      </c>
      <c r="H108" s="506">
        <f t="shared" si="8"/>
        <v>6.6714662826973914E-2</v>
      </c>
      <c r="J108" s="507" t="s">
        <v>238</v>
      </c>
      <c r="K108" s="502">
        <v>32.15</v>
      </c>
      <c r="L108" s="506">
        <f t="shared" si="9"/>
        <v>1.5156299336911871E-2</v>
      </c>
      <c r="N108" s="507" t="s">
        <v>238</v>
      </c>
      <c r="O108" s="502">
        <v>24.21</v>
      </c>
      <c r="P108" s="506">
        <f t="shared" si="10"/>
        <v>2.3678646934460978E-2</v>
      </c>
      <c r="R108" s="503">
        <v>45032</v>
      </c>
      <c r="S108" s="502">
        <v>13.4</v>
      </c>
      <c r="T108" s="506">
        <f t="shared" si="11"/>
        <v>4.7693510555121277E-2</v>
      </c>
      <c r="V108" s="507" t="s">
        <v>238</v>
      </c>
      <c r="W108" s="502">
        <v>6.92</v>
      </c>
      <c r="X108" s="506">
        <f t="shared" si="12"/>
        <v>1.9145802650957222E-2</v>
      </c>
      <c r="Z108" s="507" t="s">
        <v>238</v>
      </c>
      <c r="AA108" s="522">
        <v>4133.5200000000004</v>
      </c>
      <c r="AB108" s="524">
        <f t="shared" si="13"/>
        <v>-9.9573670014785343E-4</v>
      </c>
    </row>
    <row r="109" spans="2:28" x14ac:dyDescent="0.25">
      <c r="B109" s="503">
        <v>45173</v>
      </c>
      <c r="C109" s="502">
        <v>33.770000000000003</v>
      </c>
      <c r="D109" s="506">
        <f t="shared" si="7"/>
        <v>2.3745918670230459E-3</v>
      </c>
      <c r="F109" s="503">
        <v>45173</v>
      </c>
      <c r="G109" s="521">
        <v>41.67</v>
      </c>
      <c r="H109" s="506">
        <f t="shared" si="8"/>
        <v>-2.3206751054852148E-2</v>
      </c>
      <c r="J109" s="503">
        <v>45173</v>
      </c>
      <c r="K109" s="502">
        <v>31.67</v>
      </c>
      <c r="L109" s="506">
        <f t="shared" si="9"/>
        <v>2.5324469768914781E-3</v>
      </c>
      <c r="N109" s="503">
        <v>45173</v>
      </c>
      <c r="O109" s="502">
        <v>23.65</v>
      </c>
      <c r="P109" s="506">
        <f t="shared" si="10"/>
        <v>5.2514463729417038E-2</v>
      </c>
      <c r="R109" s="503">
        <v>45025</v>
      </c>
      <c r="S109" s="502">
        <v>12.79</v>
      </c>
      <c r="T109" s="506">
        <f t="shared" si="11"/>
        <v>-8.7080656673804491E-2</v>
      </c>
      <c r="V109" s="503">
        <v>45173</v>
      </c>
      <c r="W109" s="502">
        <v>6.79</v>
      </c>
      <c r="X109" s="506">
        <f t="shared" si="12"/>
        <v>-1.8786127167630062E-2</v>
      </c>
      <c r="Z109" s="503">
        <v>45173</v>
      </c>
      <c r="AA109" s="522">
        <v>4137.6400000000003</v>
      </c>
      <c r="AB109" s="524">
        <f t="shared" si="13"/>
        <v>7.9463681053928426E-3</v>
      </c>
    </row>
    <row r="110" spans="2:28" x14ac:dyDescent="0.25">
      <c r="B110" s="503">
        <v>44961</v>
      </c>
      <c r="C110" s="502">
        <v>33.69</v>
      </c>
      <c r="D110" s="506">
        <f t="shared" si="7"/>
        <v>-3.5223367697594599E-2</v>
      </c>
      <c r="F110" s="503">
        <v>44961</v>
      </c>
      <c r="G110" s="521">
        <v>42.66</v>
      </c>
      <c r="H110" s="506">
        <f t="shared" si="8"/>
        <v>-3.5932203389830608E-2</v>
      </c>
      <c r="J110" s="503">
        <v>44961</v>
      </c>
      <c r="K110" s="502">
        <v>31.59</v>
      </c>
      <c r="L110" s="506">
        <f t="shared" si="9"/>
        <v>-2.9194837123540207E-2</v>
      </c>
      <c r="N110" s="503">
        <v>44961</v>
      </c>
      <c r="O110" s="502">
        <v>22.47</v>
      </c>
      <c r="P110" s="506">
        <f t="shared" si="10"/>
        <v>1.3531799729363803E-2</v>
      </c>
      <c r="R110" s="503">
        <v>45018</v>
      </c>
      <c r="S110" s="502">
        <v>14.01</v>
      </c>
      <c r="T110" s="506">
        <f t="shared" si="11"/>
        <v>-5.0169491525423715E-2</v>
      </c>
      <c r="V110" s="503">
        <v>44961</v>
      </c>
      <c r="W110" s="502">
        <v>6.92</v>
      </c>
      <c r="X110" s="506">
        <f t="shared" si="12"/>
        <v>-4.9450549450549497E-2</v>
      </c>
      <c r="Z110" s="503">
        <v>44961</v>
      </c>
      <c r="AA110" s="522">
        <v>4105.0200000000004</v>
      </c>
      <c r="AB110" s="524">
        <f t="shared" si="13"/>
        <v>-1.0439708856231356E-3</v>
      </c>
    </row>
    <row r="111" spans="2:28" x14ac:dyDescent="0.25">
      <c r="B111" s="507" t="s">
        <v>239</v>
      </c>
      <c r="C111" s="502">
        <v>34.92</v>
      </c>
      <c r="D111" s="506">
        <f t="shared" si="7"/>
        <v>0.10541310541310556</v>
      </c>
      <c r="F111" s="507" t="s">
        <v>239</v>
      </c>
      <c r="G111" s="521">
        <v>44.25</v>
      </c>
      <c r="H111" s="506">
        <f t="shared" si="8"/>
        <v>6.987427466150864E-2</v>
      </c>
      <c r="J111" s="507" t="s">
        <v>239</v>
      </c>
      <c r="K111" s="502">
        <v>32.54</v>
      </c>
      <c r="L111" s="506">
        <f t="shared" si="9"/>
        <v>9.8211272359095547E-2</v>
      </c>
      <c r="N111" s="507" t="s">
        <v>239</v>
      </c>
      <c r="O111" s="502">
        <v>22.17</v>
      </c>
      <c r="P111" s="506">
        <f t="shared" si="10"/>
        <v>0.17925531914893611</v>
      </c>
      <c r="R111" s="503">
        <v>45011</v>
      </c>
      <c r="S111" s="502">
        <v>14.75</v>
      </c>
      <c r="T111" s="506">
        <f t="shared" si="11"/>
        <v>7.5072886297375963E-2</v>
      </c>
      <c r="V111" s="507" t="s">
        <v>239</v>
      </c>
      <c r="W111" s="502">
        <v>7.28</v>
      </c>
      <c r="X111" s="506">
        <f t="shared" si="12"/>
        <v>8.6567164179104594E-2</v>
      </c>
      <c r="Z111" s="507" t="s">
        <v>239</v>
      </c>
      <c r="AA111" s="522">
        <v>4109.3100000000004</v>
      </c>
      <c r="AB111" s="524">
        <f t="shared" si="13"/>
        <v>3.4832623602678581E-2</v>
      </c>
    </row>
    <row r="112" spans="2:28" x14ac:dyDescent="0.25">
      <c r="B112" s="507" t="s">
        <v>240</v>
      </c>
      <c r="C112" s="502">
        <v>31.59</v>
      </c>
      <c r="D112" s="506">
        <f t="shared" si="7"/>
        <v>-4.1565533980582603E-2</v>
      </c>
      <c r="F112" s="507" t="s">
        <v>240</v>
      </c>
      <c r="G112" s="521">
        <v>41.36</v>
      </c>
      <c r="H112" s="506">
        <f t="shared" si="8"/>
        <v>-3.9033457249070591E-2</v>
      </c>
      <c r="J112" s="507" t="s">
        <v>240</v>
      </c>
      <c r="K112" s="502">
        <v>29.63</v>
      </c>
      <c r="L112" s="506">
        <f t="shared" si="9"/>
        <v>-1.3320013320013424E-2</v>
      </c>
      <c r="N112" s="507" t="s">
        <v>240</v>
      </c>
      <c r="O112" s="502">
        <v>18.8</v>
      </c>
      <c r="P112" s="506">
        <f t="shared" si="10"/>
        <v>5.0866405813303484E-2</v>
      </c>
      <c r="R112" s="503">
        <v>45004</v>
      </c>
      <c r="S112" s="502">
        <v>13.72</v>
      </c>
      <c r="T112" s="506">
        <f t="shared" si="11"/>
        <v>-1.859799713876964E-2</v>
      </c>
      <c r="V112" s="507" t="s">
        <v>240</v>
      </c>
      <c r="W112" s="502">
        <v>6.7</v>
      </c>
      <c r="X112" s="506">
        <f t="shared" si="12"/>
        <v>-3.1791907514450823E-2</v>
      </c>
      <c r="Z112" s="507" t="s">
        <v>240</v>
      </c>
      <c r="AA112" s="522">
        <v>3970.99</v>
      </c>
      <c r="AB112" s="524">
        <f t="shared" si="13"/>
        <v>1.3876690224273736E-2</v>
      </c>
    </row>
    <row r="113" spans="2:28" x14ac:dyDescent="0.25">
      <c r="B113" s="503">
        <v>45263</v>
      </c>
      <c r="C113" s="502">
        <v>32.96</v>
      </c>
      <c r="D113" s="506">
        <f t="shared" si="7"/>
        <v>-0.11516778523489934</v>
      </c>
      <c r="F113" s="503">
        <v>45263</v>
      </c>
      <c r="G113" s="521">
        <v>43.04</v>
      </c>
      <c r="H113" s="506">
        <f t="shared" si="8"/>
        <v>-0.15558171473415738</v>
      </c>
      <c r="J113" s="503">
        <v>45263</v>
      </c>
      <c r="K113" s="502">
        <v>30.03</v>
      </c>
      <c r="L113" s="506">
        <f t="shared" si="9"/>
        <v>-8.3613060726274058E-2</v>
      </c>
      <c r="N113" s="503">
        <v>45263</v>
      </c>
      <c r="O113" s="502">
        <v>17.89</v>
      </c>
      <c r="P113" s="506">
        <f t="shared" si="10"/>
        <v>-8.2093381221138961E-2</v>
      </c>
      <c r="R113" s="503">
        <v>44997</v>
      </c>
      <c r="S113" s="502">
        <v>13.98</v>
      </c>
      <c r="T113" s="506">
        <f t="shared" si="11"/>
        <v>-9.5730918499353224E-2</v>
      </c>
      <c r="V113" s="503">
        <v>45263</v>
      </c>
      <c r="W113" s="502">
        <v>6.92</v>
      </c>
      <c r="X113" s="506">
        <f t="shared" si="12"/>
        <v>-8.1009296148738419E-2</v>
      </c>
      <c r="Z113" s="503">
        <v>45263</v>
      </c>
      <c r="AA113" s="522">
        <v>3916.64</v>
      </c>
      <c r="AB113" s="524">
        <f t="shared" si="13"/>
        <v>1.4255785829153211E-2</v>
      </c>
    </row>
    <row r="114" spans="2:28" x14ac:dyDescent="0.25">
      <c r="B114" s="503">
        <v>45049</v>
      </c>
      <c r="C114" s="502">
        <v>37.25</v>
      </c>
      <c r="D114" s="506">
        <f t="shared" si="7"/>
        <v>-4.1184041184041176E-2</v>
      </c>
      <c r="F114" s="503">
        <v>45049</v>
      </c>
      <c r="G114" s="521">
        <v>50.97</v>
      </c>
      <c r="H114" s="506">
        <f t="shared" si="8"/>
        <v>-3.9389370523935208E-2</v>
      </c>
      <c r="J114" s="503">
        <v>45049</v>
      </c>
      <c r="K114" s="502">
        <v>32.770000000000003</v>
      </c>
      <c r="L114" s="506">
        <f t="shared" si="9"/>
        <v>-4.1252194265652298E-2</v>
      </c>
      <c r="N114" s="503">
        <v>45049</v>
      </c>
      <c r="O114" s="502">
        <v>19.489999999999998</v>
      </c>
      <c r="P114" s="506">
        <f t="shared" si="10"/>
        <v>-6.4330292846855541E-2</v>
      </c>
      <c r="R114" s="503">
        <v>44990</v>
      </c>
      <c r="S114" s="502">
        <v>15.46</v>
      </c>
      <c r="T114" s="506">
        <f t="shared" si="11"/>
        <v>-5.5012224938875254E-2</v>
      </c>
      <c r="V114" s="503">
        <v>45049</v>
      </c>
      <c r="W114" s="502">
        <v>7.53</v>
      </c>
      <c r="X114" s="506">
        <f t="shared" si="12"/>
        <v>-9.4951923076923128E-2</v>
      </c>
      <c r="Z114" s="503">
        <v>45049</v>
      </c>
      <c r="AA114" s="522">
        <v>3861.59</v>
      </c>
      <c r="AB114" s="524">
        <f t="shared" si="13"/>
        <v>-4.5493420076922253E-2</v>
      </c>
    </row>
    <row r="115" spans="2:28" x14ac:dyDescent="0.25">
      <c r="B115" s="507" t="s">
        <v>241</v>
      </c>
      <c r="C115" s="502">
        <v>38.85</v>
      </c>
      <c r="D115" s="506">
        <f t="shared" si="7"/>
        <v>3.9882226980728186E-2</v>
      </c>
      <c r="F115" s="507" t="s">
        <v>241</v>
      </c>
      <c r="G115" s="521">
        <v>53.06</v>
      </c>
      <c r="H115" s="506">
        <f t="shared" si="8"/>
        <v>5.6761601274646578E-2</v>
      </c>
      <c r="J115" s="507" t="s">
        <v>241</v>
      </c>
      <c r="K115" s="502">
        <v>34.18</v>
      </c>
      <c r="L115" s="506">
        <f t="shared" si="9"/>
        <v>1.8170985999404143E-2</v>
      </c>
      <c r="N115" s="507" t="s">
        <v>241</v>
      </c>
      <c r="O115" s="502">
        <v>20.83</v>
      </c>
      <c r="P115" s="506">
        <f t="shared" si="10"/>
        <v>5.25517938352702E-2</v>
      </c>
      <c r="R115" s="503">
        <v>44983</v>
      </c>
      <c r="S115" s="502">
        <v>16.36</v>
      </c>
      <c r="T115" s="506">
        <f t="shared" si="11"/>
        <v>5.1413881748071821E-2</v>
      </c>
      <c r="V115" s="507" t="s">
        <v>241</v>
      </c>
      <c r="W115" s="502">
        <v>8.32</v>
      </c>
      <c r="X115" s="506">
        <f t="shared" si="12"/>
        <v>2.0858895705521352E-2</v>
      </c>
      <c r="Z115" s="507" t="s">
        <v>241</v>
      </c>
      <c r="AA115" s="522">
        <v>4045.64</v>
      </c>
      <c r="AB115" s="524">
        <f t="shared" si="13"/>
        <v>1.9042629293407609E-2</v>
      </c>
    </row>
    <row r="116" spans="2:28" x14ac:dyDescent="0.25">
      <c r="B116" s="507" t="s">
        <v>242</v>
      </c>
      <c r="C116" s="502">
        <v>37.36</v>
      </c>
      <c r="D116" s="506">
        <f t="shared" si="7"/>
        <v>-2.6068821689259614E-2</v>
      </c>
      <c r="F116" s="507" t="s">
        <v>242</v>
      </c>
      <c r="G116" s="521">
        <v>50.21</v>
      </c>
      <c r="H116" s="506">
        <f t="shared" si="8"/>
        <v>1.168647995164207E-2</v>
      </c>
      <c r="J116" s="507" t="s">
        <v>242</v>
      </c>
      <c r="K116" s="502">
        <v>33.57</v>
      </c>
      <c r="L116" s="506">
        <f t="shared" si="9"/>
        <v>-5.0622171945701289E-2</v>
      </c>
      <c r="N116" s="507" t="s">
        <v>242</v>
      </c>
      <c r="O116" s="502">
        <v>19.79</v>
      </c>
      <c r="P116" s="506">
        <f t="shared" si="10"/>
        <v>-3.3691406250000111E-2</v>
      </c>
      <c r="R116" s="503">
        <v>44976</v>
      </c>
      <c r="S116" s="502">
        <v>15.56</v>
      </c>
      <c r="T116" s="506">
        <f t="shared" si="11"/>
        <v>-4.8899755501222386E-2</v>
      </c>
      <c r="V116" s="507" t="s">
        <v>242</v>
      </c>
      <c r="W116" s="502">
        <v>8.15</v>
      </c>
      <c r="X116" s="506">
        <f t="shared" si="12"/>
        <v>-5.4524361948955824E-2</v>
      </c>
      <c r="Z116" s="507" t="s">
        <v>242</v>
      </c>
      <c r="AA116" s="522">
        <v>3970.04</v>
      </c>
      <c r="AB116" s="524">
        <f t="shared" si="13"/>
        <v>-2.6733903885425514E-2</v>
      </c>
    </row>
    <row r="117" spans="2:28" x14ac:dyDescent="0.25">
      <c r="B117" s="503">
        <v>45262</v>
      </c>
      <c r="C117" s="502">
        <v>38.36</v>
      </c>
      <c r="D117" s="506">
        <f t="shared" si="7"/>
        <v>4.97773120251499E-3</v>
      </c>
      <c r="F117" s="503">
        <v>45262</v>
      </c>
      <c r="G117" s="521">
        <v>49.63</v>
      </c>
      <c r="H117" s="506">
        <f t="shared" si="8"/>
        <v>1.5759312320916985E-2</v>
      </c>
      <c r="J117" s="503">
        <v>45262</v>
      </c>
      <c r="K117" s="502">
        <v>35.36</v>
      </c>
      <c r="L117" s="506">
        <f t="shared" si="9"/>
        <v>2.285218397454436E-2</v>
      </c>
      <c r="N117" s="503">
        <v>45262</v>
      </c>
      <c r="O117" s="502">
        <v>20.48</v>
      </c>
      <c r="P117" s="506">
        <f t="shared" si="10"/>
        <v>7.7894736842105239E-2</v>
      </c>
      <c r="R117" s="503">
        <v>44969</v>
      </c>
      <c r="S117" s="502">
        <v>16.36</v>
      </c>
      <c r="T117" s="506">
        <f t="shared" si="11"/>
        <v>4.9140049140048436E-3</v>
      </c>
      <c r="V117" s="503">
        <v>45262</v>
      </c>
      <c r="W117" s="502">
        <v>8.6199999999999992</v>
      </c>
      <c r="X117" s="506">
        <f t="shared" si="12"/>
        <v>3.6057692307692069E-2</v>
      </c>
      <c r="Z117" s="503">
        <v>45262</v>
      </c>
      <c r="AA117" s="522">
        <v>4079.09</v>
      </c>
      <c r="AB117" s="524">
        <f t="shared" si="13"/>
        <v>-2.7796384758682624E-3</v>
      </c>
    </row>
    <row r="118" spans="2:28" x14ac:dyDescent="0.25">
      <c r="B118" s="503">
        <v>45048</v>
      </c>
      <c r="C118" s="502">
        <v>38.17</v>
      </c>
      <c r="D118" s="506">
        <f t="shared" si="7"/>
        <v>-3.5624052551793794E-2</v>
      </c>
      <c r="F118" s="503">
        <v>45048</v>
      </c>
      <c r="G118" s="521">
        <v>48.86</v>
      </c>
      <c r="H118" s="506">
        <f t="shared" si="8"/>
        <v>-4.4209702660406802E-2</v>
      </c>
      <c r="J118" s="503">
        <v>45048</v>
      </c>
      <c r="K118" s="502">
        <v>34.57</v>
      </c>
      <c r="L118" s="506">
        <f t="shared" si="9"/>
        <v>-4.8968363136176141E-2</v>
      </c>
      <c r="N118" s="503">
        <v>45048</v>
      </c>
      <c r="O118" s="502">
        <v>19</v>
      </c>
      <c r="P118" s="506">
        <f t="shared" si="10"/>
        <v>2.5364274150026844E-2</v>
      </c>
      <c r="R118" s="503">
        <v>44962</v>
      </c>
      <c r="S118" s="502">
        <v>16.28</v>
      </c>
      <c r="T118" s="506">
        <f t="shared" si="11"/>
        <v>-4.3478260869565077E-2</v>
      </c>
      <c r="V118" s="503">
        <v>45048</v>
      </c>
      <c r="W118" s="502">
        <v>8.32</v>
      </c>
      <c r="X118" s="506">
        <f t="shared" si="12"/>
        <v>-4.6964490263459391E-2</v>
      </c>
      <c r="Z118" s="503">
        <v>45048</v>
      </c>
      <c r="AA118" s="522">
        <v>4090.46</v>
      </c>
      <c r="AB118" s="524">
        <f t="shared" si="13"/>
        <v>-1.1125401307391702E-2</v>
      </c>
    </row>
    <row r="119" spans="2:28" x14ac:dyDescent="0.25">
      <c r="B119" s="507" t="s">
        <v>243</v>
      </c>
      <c r="C119" s="502">
        <v>39.58</v>
      </c>
      <c r="D119" s="506">
        <f t="shared" si="7"/>
        <v>2.194681125742326E-2</v>
      </c>
      <c r="F119" s="507" t="s">
        <v>243</v>
      </c>
      <c r="G119" s="521">
        <v>51.12</v>
      </c>
      <c r="H119" s="506">
        <f t="shared" si="8"/>
        <v>4.9045762364046785E-2</v>
      </c>
      <c r="J119" s="507" t="s">
        <v>243</v>
      </c>
      <c r="K119" s="502">
        <v>36.35</v>
      </c>
      <c r="L119" s="506">
        <f t="shared" si="9"/>
        <v>3.0353200883002085E-3</v>
      </c>
      <c r="N119" s="507" t="s">
        <v>243</v>
      </c>
      <c r="O119" s="502">
        <v>18.53</v>
      </c>
      <c r="P119" s="506">
        <f t="shared" si="10"/>
        <v>-8.5389930898321809E-2</v>
      </c>
      <c r="R119" s="503">
        <v>44955</v>
      </c>
      <c r="S119" s="502">
        <v>17.02</v>
      </c>
      <c r="T119" s="506">
        <f t="shared" si="11"/>
        <v>3.5909920876445511E-2</v>
      </c>
      <c r="V119" s="507" t="s">
        <v>243</v>
      </c>
      <c r="W119" s="502">
        <v>8.73</v>
      </c>
      <c r="X119" s="506">
        <f t="shared" si="12"/>
        <v>9.5357590966123063E-2</v>
      </c>
      <c r="Z119" s="507" t="s">
        <v>243</v>
      </c>
      <c r="AA119" s="522">
        <v>4136.4799999999996</v>
      </c>
      <c r="AB119" s="524">
        <f t="shared" si="13"/>
        <v>1.6194331983805599E-2</v>
      </c>
    </row>
    <row r="120" spans="2:28" x14ac:dyDescent="0.25">
      <c r="B120" s="507" t="s">
        <v>244</v>
      </c>
      <c r="C120" s="502">
        <v>38.729999999999997</v>
      </c>
      <c r="D120" s="506">
        <f t="shared" si="7"/>
        <v>-7.6863950807072312E-3</v>
      </c>
      <c r="F120" s="507" t="s">
        <v>244</v>
      </c>
      <c r="G120" s="521">
        <v>48.73</v>
      </c>
      <c r="H120" s="506">
        <f t="shared" si="8"/>
        <v>-1.4759401536595274E-2</v>
      </c>
      <c r="J120" s="507" t="s">
        <v>244</v>
      </c>
      <c r="K120" s="502">
        <v>36.24</v>
      </c>
      <c r="L120" s="506">
        <f t="shared" si="9"/>
        <v>-2.2126281705342699E-2</v>
      </c>
      <c r="N120" s="507" t="s">
        <v>244</v>
      </c>
      <c r="O120" s="502">
        <v>20.260000000000002</v>
      </c>
      <c r="P120" s="506">
        <f t="shared" si="10"/>
        <v>3.4201123021950108E-2</v>
      </c>
      <c r="R120" s="503">
        <v>44948</v>
      </c>
      <c r="S120" s="502">
        <v>16.43</v>
      </c>
      <c r="T120" s="506">
        <f t="shared" si="11"/>
        <v>5.5079559363524488E-3</v>
      </c>
      <c r="V120" s="507" t="s">
        <v>244</v>
      </c>
      <c r="W120" s="502">
        <v>7.97</v>
      </c>
      <c r="X120" s="506">
        <f t="shared" si="12"/>
        <v>-7.1095571095571186E-2</v>
      </c>
      <c r="Z120" s="507" t="s">
        <v>244</v>
      </c>
      <c r="AA120" s="522">
        <v>4070.56</v>
      </c>
      <c r="AB120" s="524">
        <f t="shared" si="13"/>
        <v>2.4656334248768452E-2</v>
      </c>
    </row>
    <row r="121" spans="2:28" x14ac:dyDescent="0.25">
      <c r="B121" s="507" t="s">
        <v>245</v>
      </c>
      <c r="C121" s="502">
        <v>39.03</v>
      </c>
      <c r="D121" s="506">
        <f t="shared" si="7"/>
        <v>2.1727748691099391E-2</v>
      </c>
      <c r="F121" s="507" t="s">
        <v>245</v>
      </c>
      <c r="G121" s="521">
        <v>49.46</v>
      </c>
      <c r="H121" s="506">
        <f t="shared" si="8"/>
        <v>-4.2400774443368761E-2</v>
      </c>
      <c r="J121" s="507" t="s">
        <v>245</v>
      </c>
      <c r="K121" s="502">
        <v>37.06</v>
      </c>
      <c r="L121" s="506">
        <f t="shared" si="9"/>
        <v>1.8924033522573769E-3</v>
      </c>
      <c r="N121" s="507" t="s">
        <v>245</v>
      </c>
      <c r="O121" s="502">
        <v>19.59</v>
      </c>
      <c r="P121" s="506">
        <f t="shared" si="10"/>
        <v>-3.9705882352941146E-2</v>
      </c>
      <c r="R121" s="503">
        <v>44941</v>
      </c>
      <c r="S121" s="502">
        <v>16.34</v>
      </c>
      <c r="T121" s="506">
        <f t="shared" si="11"/>
        <v>-3.9952996474735603E-2</v>
      </c>
      <c r="V121" s="507" t="s">
        <v>245</v>
      </c>
      <c r="W121" s="502">
        <v>8.58</v>
      </c>
      <c r="X121" s="506">
        <f t="shared" si="12"/>
        <v>4.1262135922329968E-2</v>
      </c>
      <c r="Z121" s="507" t="s">
        <v>245</v>
      </c>
      <c r="AA121" s="522">
        <v>3972.61</v>
      </c>
      <c r="AB121" s="524">
        <f t="shared" si="13"/>
        <v>-6.6215063927043127E-3</v>
      </c>
    </row>
    <row r="122" spans="2:28" x14ac:dyDescent="0.25">
      <c r="B122" s="503">
        <v>45139</v>
      </c>
      <c r="C122" s="502">
        <v>38.200000000000003</v>
      </c>
      <c r="D122" s="506">
        <f t="shared" si="7"/>
        <v>6.0227588121010367E-2</v>
      </c>
      <c r="F122" s="503">
        <v>45139</v>
      </c>
      <c r="G122" s="521">
        <v>51.65</v>
      </c>
      <c r="H122" s="506">
        <f t="shared" si="8"/>
        <v>0.2227746212121211</v>
      </c>
      <c r="J122" s="503">
        <v>45139</v>
      </c>
      <c r="K122" s="502">
        <v>36.99</v>
      </c>
      <c r="L122" s="506">
        <f t="shared" si="9"/>
        <v>5.4446978335233931E-2</v>
      </c>
      <c r="N122" s="503">
        <v>45139</v>
      </c>
      <c r="O122" s="502">
        <v>20.399999999999999</v>
      </c>
      <c r="P122" s="506">
        <f t="shared" si="10"/>
        <v>0.11597374179431053</v>
      </c>
      <c r="R122" s="503">
        <v>44934</v>
      </c>
      <c r="S122" s="502">
        <v>17.02</v>
      </c>
      <c r="T122" s="506">
        <f t="shared" si="11"/>
        <v>0.20028208744710851</v>
      </c>
      <c r="V122" s="503">
        <v>45139</v>
      </c>
      <c r="W122" s="502">
        <v>8.24</v>
      </c>
      <c r="X122" s="506">
        <f t="shared" si="12"/>
        <v>0.13186813186813184</v>
      </c>
      <c r="Z122" s="503">
        <v>45139</v>
      </c>
      <c r="AA122" s="522">
        <v>3999.09</v>
      </c>
      <c r="AB122" s="524">
        <f t="shared" si="13"/>
        <v>2.6702917526726155E-2</v>
      </c>
    </row>
    <row r="123" spans="2:28" x14ac:dyDescent="0.25">
      <c r="B123" s="503">
        <v>44927</v>
      </c>
      <c r="C123" s="502">
        <v>36.03</v>
      </c>
      <c r="D123" s="506">
        <f t="shared" si="7"/>
        <v>9.646987218502745E-2</v>
      </c>
      <c r="F123" s="503">
        <v>44927</v>
      </c>
      <c r="G123" s="521">
        <v>42.24</v>
      </c>
      <c r="H123" s="506">
        <f t="shared" si="8"/>
        <v>0.12042440318302394</v>
      </c>
      <c r="J123" s="503">
        <v>44927</v>
      </c>
      <c r="K123" s="502">
        <v>35.08</v>
      </c>
      <c r="L123" s="506">
        <f t="shared" si="9"/>
        <v>4.1877041877041776E-2</v>
      </c>
      <c r="N123" s="503">
        <v>44927</v>
      </c>
      <c r="O123" s="502">
        <v>18.28</v>
      </c>
      <c r="P123" s="506">
        <f t="shared" si="10"/>
        <v>0.10720775287704409</v>
      </c>
      <c r="R123" s="503">
        <v>44927</v>
      </c>
      <c r="S123" s="502">
        <v>14.18</v>
      </c>
      <c r="T123" s="506">
        <f t="shared" si="11"/>
        <v>0.1147798742138364</v>
      </c>
      <c r="V123" s="503">
        <v>44927</v>
      </c>
      <c r="W123" s="502">
        <v>7.28</v>
      </c>
      <c r="X123" s="506">
        <f t="shared" si="12"/>
        <v>0.12345679012345667</v>
      </c>
      <c r="Z123" s="503">
        <v>44927</v>
      </c>
      <c r="AA123" s="522">
        <v>3895.08</v>
      </c>
      <c r="AB123" s="524">
        <f t="shared" si="13"/>
        <v>1.447584320875106E-2</v>
      </c>
    </row>
    <row r="124" spans="2:28" x14ac:dyDescent="0.25">
      <c r="B124" s="507" t="s">
        <v>246</v>
      </c>
      <c r="C124" s="502">
        <v>32.86</v>
      </c>
      <c r="D124" s="506">
        <f t="shared" si="7"/>
        <v>-9.0470446320867204E-3</v>
      </c>
      <c r="F124" s="507" t="s">
        <v>246</v>
      </c>
      <c r="G124" s="521">
        <v>37.700000000000003</v>
      </c>
      <c r="H124" s="506">
        <f t="shared" si="8"/>
        <v>-1.7973430580880412E-2</v>
      </c>
      <c r="J124" s="507" t="s">
        <v>246</v>
      </c>
      <c r="K124" s="502">
        <v>33.67</v>
      </c>
      <c r="L124" s="506">
        <f t="shared" si="9"/>
        <v>-6.7054585757827745E-2</v>
      </c>
      <c r="N124" s="507" t="s">
        <v>246</v>
      </c>
      <c r="O124" s="502">
        <v>16.510000000000002</v>
      </c>
      <c r="P124" s="506">
        <f t="shared" si="10"/>
        <v>5.8333333333333348E-2</v>
      </c>
      <c r="R124" s="503">
        <v>44920</v>
      </c>
      <c r="S124" s="502">
        <v>12.72</v>
      </c>
      <c r="T124" s="506">
        <f t="shared" si="11"/>
        <v>7.8678206136895135E-4</v>
      </c>
      <c r="V124" s="507" t="s">
        <v>246</v>
      </c>
      <c r="W124" s="502">
        <v>6.48</v>
      </c>
      <c r="X124" s="506">
        <f t="shared" si="12"/>
        <v>4.6511627906977715E-3</v>
      </c>
      <c r="Z124" s="507" t="s">
        <v>246</v>
      </c>
      <c r="AA124" s="522">
        <v>3839.5</v>
      </c>
      <c r="AB124" s="524">
        <f t="shared" si="13"/>
        <v>-1.3836798601755129E-3</v>
      </c>
    </row>
    <row r="125" spans="2:28" x14ac:dyDescent="0.25">
      <c r="B125" s="507" t="s">
        <v>247</v>
      </c>
      <c r="C125" s="502">
        <v>33.159999999999997</v>
      </c>
      <c r="D125" s="506">
        <f t="shared" si="7"/>
        <v>1.5101177891874151E-3</v>
      </c>
      <c r="F125" s="507" t="s">
        <v>247</v>
      </c>
      <c r="G125" s="521">
        <v>38.39</v>
      </c>
      <c r="H125" s="506">
        <f t="shared" si="8"/>
        <v>-1.0408534998698205E-3</v>
      </c>
      <c r="J125" s="507" t="s">
        <v>247</v>
      </c>
      <c r="K125" s="502">
        <v>36.090000000000003</v>
      </c>
      <c r="L125" s="506">
        <f t="shared" si="9"/>
        <v>-3.1920600858369008E-2</v>
      </c>
      <c r="N125" s="507" t="s">
        <v>247</v>
      </c>
      <c r="O125" s="502">
        <v>15.6</v>
      </c>
      <c r="P125" s="506">
        <f t="shared" si="10"/>
        <v>-6.3063063063062974E-2</v>
      </c>
      <c r="R125" s="503">
        <v>44913</v>
      </c>
      <c r="S125" s="502">
        <v>12.71</v>
      </c>
      <c r="T125" s="506">
        <f t="shared" si="11"/>
        <v>-7.8064012490242085E-3</v>
      </c>
      <c r="V125" s="507" t="s">
        <v>247</v>
      </c>
      <c r="W125" s="502">
        <v>6.45</v>
      </c>
      <c r="X125" s="506">
        <f t="shared" si="12"/>
        <v>-5.7017543859649078E-2</v>
      </c>
      <c r="Z125" s="507" t="s">
        <v>247</v>
      </c>
      <c r="AA125" s="522">
        <v>3844.82</v>
      </c>
      <c r="AB125" s="524">
        <f t="shared" si="13"/>
        <v>-1.9572417946401854E-3</v>
      </c>
    </row>
    <row r="126" spans="2:28" x14ac:dyDescent="0.25">
      <c r="B126" s="503">
        <v>44877</v>
      </c>
      <c r="C126" s="502">
        <v>33.11</v>
      </c>
      <c r="D126" s="506">
        <f t="shared" si="7"/>
        <v>-2.0414201183431846E-2</v>
      </c>
      <c r="F126" s="503">
        <v>44877</v>
      </c>
      <c r="G126" s="521">
        <v>38.43</v>
      </c>
      <c r="H126" s="506">
        <f t="shared" si="8"/>
        <v>-0.10710966542750933</v>
      </c>
      <c r="J126" s="503">
        <v>44877</v>
      </c>
      <c r="K126" s="502">
        <v>37.28</v>
      </c>
      <c r="L126" s="506">
        <f t="shared" si="9"/>
        <v>-1.9205472244146149E-2</v>
      </c>
      <c r="N126" s="503">
        <v>44877</v>
      </c>
      <c r="O126" s="502">
        <v>16.649999999999999</v>
      </c>
      <c r="P126" s="506">
        <f t="shared" si="10"/>
        <v>-8.3654375343973797E-2</v>
      </c>
      <c r="R126" s="503">
        <v>44906</v>
      </c>
      <c r="S126" s="502">
        <v>12.81</v>
      </c>
      <c r="T126" s="506">
        <f t="shared" si="11"/>
        <v>-5.3215077605321404E-2</v>
      </c>
      <c r="V126" s="503">
        <v>44877</v>
      </c>
      <c r="W126" s="502">
        <v>6.84</v>
      </c>
      <c r="X126" s="506">
        <f t="shared" si="12"/>
        <v>-7.816711590296499E-2</v>
      </c>
      <c r="Z126" s="503">
        <v>44877</v>
      </c>
      <c r="AA126" s="522">
        <v>3852.36</v>
      </c>
      <c r="AB126" s="524">
        <f t="shared" si="13"/>
        <v>-2.0846994952190667E-2</v>
      </c>
    </row>
    <row r="127" spans="2:28" x14ac:dyDescent="0.25">
      <c r="B127" s="503">
        <v>44663</v>
      </c>
      <c r="C127" s="502">
        <v>33.799999999999997</v>
      </c>
      <c r="D127" s="506">
        <f t="shared" si="7"/>
        <v>-5.3486418370204514E-2</v>
      </c>
      <c r="F127" s="503">
        <v>44663</v>
      </c>
      <c r="G127" s="521">
        <v>43.04</v>
      </c>
      <c r="H127" s="506">
        <f t="shared" si="8"/>
        <v>-1.936659831396681E-2</v>
      </c>
      <c r="J127" s="503">
        <v>44663</v>
      </c>
      <c r="K127" s="502">
        <v>38.01</v>
      </c>
      <c r="L127" s="506">
        <f t="shared" si="9"/>
        <v>-4.3773584905660412E-2</v>
      </c>
      <c r="N127" s="503">
        <v>44663</v>
      </c>
      <c r="O127" s="502">
        <v>18.170000000000002</v>
      </c>
      <c r="P127" s="506">
        <f t="shared" si="10"/>
        <v>2.7593818984548157E-3</v>
      </c>
      <c r="R127" s="503">
        <v>44899</v>
      </c>
      <c r="S127" s="502">
        <v>13.53</v>
      </c>
      <c r="T127" s="506">
        <f t="shared" si="11"/>
        <v>-3.1496062992126039E-2</v>
      </c>
      <c r="V127" s="503">
        <v>44663</v>
      </c>
      <c r="W127" s="502">
        <v>7.42</v>
      </c>
      <c r="X127" s="506">
        <f t="shared" si="12"/>
        <v>-6.5491183879093251E-2</v>
      </c>
      <c r="Z127" s="503">
        <v>44663</v>
      </c>
      <c r="AA127" s="522">
        <v>3934.38</v>
      </c>
      <c r="AB127" s="524">
        <f t="shared" si="13"/>
        <v>-3.3725470933516632E-2</v>
      </c>
    </row>
    <row r="128" spans="2:28" x14ac:dyDescent="0.25">
      <c r="B128" s="507" t="s">
        <v>248</v>
      </c>
      <c r="C128" s="502">
        <v>35.71</v>
      </c>
      <c r="D128" s="506">
        <f t="shared" si="7"/>
        <v>1.7378917378917391E-2</v>
      </c>
      <c r="F128" s="507" t="s">
        <v>248</v>
      </c>
      <c r="G128" s="521">
        <v>43.89</v>
      </c>
      <c r="H128" s="506">
        <f t="shared" si="8"/>
        <v>-1.1931562359297598E-2</v>
      </c>
      <c r="J128" s="507" t="s">
        <v>248</v>
      </c>
      <c r="K128" s="502">
        <v>39.75</v>
      </c>
      <c r="L128" s="506">
        <f t="shared" si="9"/>
        <v>1.3513513513513598E-2</v>
      </c>
      <c r="N128" s="507" t="s">
        <v>248</v>
      </c>
      <c r="O128" s="502">
        <v>18.12</v>
      </c>
      <c r="P128" s="506">
        <f t="shared" si="10"/>
        <v>2.7670171555063128E-3</v>
      </c>
      <c r="R128" s="503">
        <v>44892</v>
      </c>
      <c r="S128" s="502">
        <v>13.97</v>
      </c>
      <c r="T128" s="506">
        <f t="shared" si="11"/>
        <v>-3.6551724137930952E-2</v>
      </c>
      <c r="V128" s="507" t="s">
        <v>248</v>
      </c>
      <c r="W128" s="502">
        <v>7.94</v>
      </c>
      <c r="X128" s="506">
        <f t="shared" si="12"/>
        <v>-5.0125313283208017E-3</v>
      </c>
      <c r="Z128" s="507" t="s">
        <v>248</v>
      </c>
      <c r="AA128" s="522">
        <v>4071.7</v>
      </c>
      <c r="AB128" s="524">
        <f t="shared" si="13"/>
        <v>1.1321073390758274E-2</v>
      </c>
    </row>
    <row r="129" spans="2:28" x14ac:dyDescent="0.25">
      <c r="B129" s="507" t="s">
        <v>249</v>
      </c>
      <c r="C129" s="502">
        <v>35.1</v>
      </c>
      <c r="D129" s="506">
        <f t="shared" si="7"/>
        <v>1.8276762402088753E-2</v>
      </c>
      <c r="F129" s="507" t="s">
        <v>249</v>
      </c>
      <c r="G129" s="521">
        <v>44.42</v>
      </c>
      <c r="H129" s="506">
        <f t="shared" si="8"/>
        <v>1.3692377909630293E-2</v>
      </c>
      <c r="J129" s="507" t="s">
        <v>249</v>
      </c>
      <c r="K129" s="502">
        <v>39.22</v>
      </c>
      <c r="L129" s="506">
        <f t="shared" si="9"/>
        <v>2.9126213592232997E-2</v>
      </c>
      <c r="N129" s="507" t="s">
        <v>249</v>
      </c>
      <c r="O129" s="502">
        <v>18.07</v>
      </c>
      <c r="P129" s="506">
        <f t="shared" si="10"/>
        <v>1.0061486864169966E-2</v>
      </c>
      <c r="R129" s="503">
        <v>44885</v>
      </c>
      <c r="S129" s="502">
        <v>14.5</v>
      </c>
      <c r="T129" s="506">
        <f t="shared" si="11"/>
        <v>3.2028469750889688E-2</v>
      </c>
      <c r="V129" s="507" t="s">
        <v>249</v>
      </c>
      <c r="W129" s="502">
        <v>7.98</v>
      </c>
      <c r="X129" s="506">
        <f t="shared" si="12"/>
        <v>1.5267175572519109E-2</v>
      </c>
      <c r="Z129" s="507" t="s">
        <v>249</v>
      </c>
      <c r="AA129" s="522">
        <v>4026.12</v>
      </c>
      <c r="AB129" s="524">
        <f t="shared" si="13"/>
        <v>1.5327815521493759E-2</v>
      </c>
    </row>
    <row r="130" spans="2:28" x14ac:dyDescent="0.25">
      <c r="B130" s="507" t="s">
        <v>250</v>
      </c>
      <c r="C130" s="502">
        <v>34.47</v>
      </c>
      <c r="D130" s="506">
        <f t="shared" si="7"/>
        <v>-2.7370203160270834E-2</v>
      </c>
      <c r="F130" s="507" t="s">
        <v>250</v>
      </c>
      <c r="G130" s="521">
        <v>43.82</v>
      </c>
      <c r="H130" s="506">
        <f t="shared" si="8"/>
        <v>-1.9906061283829102E-2</v>
      </c>
      <c r="J130" s="507" t="s">
        <v>250</v>
      </c>
      <c r="K130" s="502">
        <v>38.11</v>
      </c>
      <c r="L130" s="506">
        <f t="shared" si="9"/>
        <v>-6.5172054223149312E-3</v>
      </c>
      <c r="N130" s="507" t="s">
        <v>250</v>
      </c>
      <c r="O130" s="502">
        <v>17.89</v>
      </c>
      <c r="P130" s="506">
        <f t="shared" si="10"/>
        <v>-1.5951595159515941E-2</v>
      </c>
      <c r="R130" s="503">
        <v>44878</v>
      </c>
      <c r="S130" s="502">
        <v>14.05</v>
      </c>
      <c r="T130" s="506">
        <f t="shared" si="11"/>
        <v>-5.5779569892473124E-2</v>
      </c>
      <c r="V130" s="507" t="s">
        <v>250</v>
      </c>
      <c r="W130" s="502">
        <v>7.86</v>
      </c>
      <c r="X130" s="506">
        <f t="shared" si="12"/>
        <v>-3.0826140567200899E-2</v>
      </c>
      <c r="Z130" s="507" t="s">
        <v>250</v>
      </c>
      <c r="AA130" s="522">
        <v>3965.34</v>
      </c>
      <c r="AB130" s="524">
        <f t="shared" si="13"/>
        <v>-6.9097129175818006E-3</v>
      </c>
    </row>
    <row r="131" spans="2:28" x14ac:dyDescent="0.25">
      <c r="B131" s="503">
        <v>44723</v>
      </c>
      <c r="C131" s="502">
        <v>35.44</v>
      </c>
      <c r="D131" s="506">
        <f t="shared" si="7"/>
        <v>8.1807081807081738E-2</v>
      </c>
      <c r="F131" s="503">
        <v>44723</v>
      </c>
      <c r="G131" s="521">
        <v>44.71</v>
      </c>
      <c r="H131" s="506">
        <f t="shared" si="8"/>
        <v>4.9038010323791736E-2</v>
      </c>
      <c r="J131" s="503">
        <v>44723</v>
      </c>
      <c r="K131" s="502">
        <v>38.36</v>
      </c>
      <c r="L131" s="506">
        <f t="shared" si="9"/>
        <v>3.4519956850054045E-2</v>
      </c>
      <c r="N131" s="503">
        <v>44723</v>
      </c>
      <c r="O131" s="502">
        <v>18.18</v>
      </c>
      <c r="P131" s="506">
        <f t="shared" si="10"/>
        <v>3.6488027366020637E-2</v>
      </c>
      <c r="R131" s="503">
        <v>44871</v>
      </c>
      <c r="S131" s="502">
        <v>14.88</v>
      </c>
      <c r="T131" s="506">
        <f t="shared" si="11"/>
        <v>5.4571226080793789E-2</v>
      </c>
      <c r="V131" s="503">
        <v>44723</v>
      </c>
      <c r="W131" s="502">
        <v>8.11</v>
      </c>
      <c r="X131" s="506">
        <f t="shared" si="12"/>
        <v>6.8511198945981455E-2</v>
      </c>
      <c r="Z131" s="503">
        <v>44723</v>
      </c>
      <c r="AA131" s="522">
        <v>3992.93</v>
      </c>
      <c r="AB131" s="524">
        <f t="shared" si="13"/>
        <v>5.8978133163596791E-2</v>
      </c>
    </row>
    <row r="132" spans="2:28" x14ac:dyDescent="0.25">
      <c r="B132" s="507" t="s">
        <v>251</v>
      </c>
      <c r="C132" s="502">
        <v>32.76</v>
      </c>
      <c r="D132" s="506">
        <f t="shared" si="7"/>
        <v>-5.50908566483993E-2</v>
      </c>
      <c r="F132" s="507" t="s">
        <v>251</v>
      </c>
      <c r="G132" s="521">
        <v>42.62</v>
      </c>
      <c r="H132" s="506">
        <f t="shared" si="8"/>
        <v>-2.5160109789570062E-2</v>
      </c>
      <c r="J132" s="507" t="s">
        <v>251</v>
      </c>
      <c r="K132" s="502">
        <v>37.08</v>
      </c>
      <c r="L132" s="506">
        <f t="shared" si="9"/>
        <v>2.3461219983439197E-2</v>
      </c>
      <c r="N132" s="507" t="s">
        <v>251</v>
      </c>
      <c r="O132" s="502">
        <v>17.54</v>
      </c>
      <c r="P132" s="506">
        <f t="shared" si="10"/>
        <v>-8.4793668739402417E-3</v>
      </c>
      <c r="R132" s="503">
        <v>44864</v>
      </c>
      <c r="S132" s="502">
        <v>14.11</v>
      </c>
      <c r="T132" s="506">
        <f t="shared" si="11"/>
        <v>7.8571428571427848E-3</v>
      </c>
      <c r="V132" s="507" t="s">
        <v>251</v>
      </c>
      <c r="W132" s="502">
        <v>7.59</v>
      </c>
      <c r="X132" s="506">
        <f t="shared" si="12"/>
        <v>-2.1907216494845394E-2</v>
      </c>
      <c r="Z132" s="507" t="s">
        <v>251</v>
      </c>
      <c r="AA132" s="522">
        <v>3770.55</v>
      </c>
      <c r="AB132" s="524">
        <f t="shared" si="13"/>
        <v>-3.3455009664040025E-2</v>
      </c>
    </row>
    <row r="133" spans="2:28" x14ac:dyDescent="0.25">
      <c r="B133" s="507" t="s">
        <v>252</v>
      </c>
      <c r="C133" s="502">
        <v>34.67</v>
      </c>
      <c r="D133" s="506">
        <f t="shared" si="7"/>
        <v>6.4149785144260285E-2</v>
      </c>
      <c r="F133" s="507" t="s">
        <v>252</v>
      </c>
      <c r="G133" s="521">
        <v>43.72</v>
      </c>
      <c r="H133" s="506">
        <f t="shared" si="8"/>
        <v>8.1107814045499493E-2</v>
      </c>
      <c r="J133" s="507" t="s">
        <v>252</v>
      </c>
      <c r="K133" s="502">
        <v>36.229999999999997</v>
      </c>
      <c r="L133" s="506">
        <f t="shared" si="9"/>
        <v>9.4561933534742959E-2</v>
      </c>
      <c r="N133" s="507" t="s">
        <v>252</v>
      </c>
      <c r="O133" s="502">
        <v>17.690000000000001</v>
      </c>
      <c r="P133" s="506">
        <f t="shared" si="10"/>
        <v>1.1318619128466434E-3</v>
      </c>
      <c r="R133" s="503">
        <v>44857</v>
      </c>
      <c r="S133" s="502">
        <v>14</v>
      </c>
      <c r="T133" s="506">
        <f t="shared" si="11"/>
        <v>2.1152443471918136E-2</v>
      </c>
      <c r="V133" s="507" t="s">
        <v>252</v>
      </c>
      <c r="W133" s="502">
        <v>7.76</v>
      </c>
      <c r="X133" s="506">
        <f t="shared" si="12"/>
        <v>8.3798882681564102E-2</v>
      </c>
      <c r="Z133" s="507" t="s">
        <v>252</v>
      </c>
      <c r="AA133" s="522">
        <v>3901.06</v>
      </c>
      <c r="AB133" s="524">
        <f t="shared" si="13"/>
        <v>3.9520351742055704E-2</v>
      </c>
    </row>
    <row r="134" spans="2:28" x14ac:dyDescent="0.25">
      <c r="B134" s="507" t="s">
        <v>253</v>
      </c>
      <c r="C134" s="502">
        <v>32.58</v>
      </c>
      <c r="D134" s="506">
        <f t="shared" si="7"/>
        <v>4.8262548262548277E-2</v>
      </c>
      <c r="F134" s="507" t="s">
        <v>253</v>
      </c>
      <c r="G134" s="521">
        <v>40.44</v>
      </c>
      <c r="H134" s="506">
        <f t="shared" si="8"/>
        <v>0.14011840992387925</v>
      </c>
      <c r="J134" s="507" t="s">
        <v>253</v>
      </c>
      <c r="K134" s="502">
        <v>33.1</v>
      </c>
      <c r="L134" s="506">
        <f t="shared" si="9"/>
        <v>1.0378510378510564E-2</v>
      </c>
      <c r="N134" s="507" t="s">
        <v>253</v>
      </c>
      <c r="O134" s="502">
        <v>17.670000000000002</v>
      </c>
      <c r="P134" s="506">
        <f t="shared" si="10"/>
        <v>-7.3033707865167719E-3</v>
      </c>
      <c r="R134" s="503">
        <v>44850</v>
      </c>
      <c r="S134" s="502">
        <v>13.71</v>
      </c>
      <c r="T134" s="506">
        <f t="shared" si="11"/>
        <v>4.5766590389016093E-2</v>
      </c>
      <c r="V134" s="507" t="s">
        <v>253</v>
      </c>
      <c r="W134" s="502">
        <v>7.16</v>
      </c>
      <c r="X134" s="506">
        <f t="shared" si="12"/>
        <v>7.346326836581718E-2</v>
      </c>
      <c r="Z134" s="507" t="s">
        <v>253</v>
      </c>
      <c r="AA134" s="522">
        <v>3752.75</v>
      </c>
      <c r="AB134" s="524">
        <f t="shared" si="13"/>
        <v>4.7356038257695188E-2</v>
      </c>
    </row>
    <row r="135" spans="2:28" x14ac:dyDescent="0.25">
      <c r="B135" s="503">
        <v>44814</v>
      </c>
      <c r="C135" s="502">
        <v>31.08</v>
      </c>
      <c r="D135" s="506">
        <f t="shared" si="7"/>
        <v>5.7502551888397369E-2</v>
      </c>
      <c r="F135" s="503">
        <v>44814</v>
      </c>
      <c r="G135" s="521">
        <v>35.47</v>
      </c>
      <c r="H135" s="506">
        <f t="shared" si="8"/>
        <v>4.754873006497351E-2</v>
      </c>
      <c r="J135" s="503">
        <v>44814</v>
      </c>
      <c r="K135" s="502">
        <v>32.76</v>
      </c>
      <c r="L135" s="506">
        <f t="shared" si="9"/>
        <v>2.7925949168496889E-2</v>
      </c>
      <c r="N135" s="503">
        <v>44814</v>
      </c>
      <c r="O135" s="502">
        <v>17.8</v>
      </c>
      <c r="P135" s="506">
        <f t="shared" si="10"/>
        <v>2.8901734104046284E-2</v>
      </c>
      <c r="R135" s="503">
        <v>44843</v>
      </c>
      <c r="S135" s="502">
        <v>13.11</v>
      </c>
      <c r="T135" s="506">
        <f t="shared" si="11"/>
        <v>7.6354679802955738E-2</v>
      </c>
      <c r="V135" s="503">
        <v>44814</v>
      </c>
      <c r="W135" s="502">
        <v>6.67</v>
      </c>
      <c r="X135" s="506">
        <f t="shared" si="12"/>
        <v>9.0771558245081874E-3</v>
      </c>
      <c r="Z135" s="503">
        <v>44814</v>
      </c>
      <c r="AA135" s="522">
        <v>3583.07</v>
      </c>
      <c r="AB135" s="524">
        <f t="shared" si="13"/>
        <v>-1.554815559695133E-2</v>
      </c>
    </row>
    <row r="136" spans="2:28" x14ac:dyDescent="0.25">
      <c r="B136" s="503">
        <v>44602</v>
      </c>
      <c r="C136" s="502">
        <v>29.39</v>
      </c>
      <c r="D136" s="506">
        <f t="shared" si="7"/>
        <v>4.7398431931575224E-2</v>
      </c>
      <c r="F136" s="503">
        <v>44602</v>
      </c>
      <c r="G136" s="521">
        <v>33.86</v>
      </c>
      <c r="H136" s="506">
        <f t="shared" si="8"/>
        <v>4.0885336612357825E-2</v>
      </c>
      <c r="J136" s="503">
        <v>44602</v>
      </c>
      <c r="K136" s="502">
        <v>31.87</v>
      </c>
      <c r="L136" s="506">
        <f t="shared" si="9"/>
        <v>3.3398184176394397E-2</v>
      </c>
      <c r="N136" s="503">
        <v>44602</v>
      </c>
      <c r="O136" s="502">
        <v>17.3</v>
      </c>
      <c r="P136" s="506">
        <f t="shared" si="10"/>
        <v>6.3960639606396086E-2</v>
      </c>
      <c r="R136" s="503">
        <v>44836</v>
      </c>
      <c r="S136" s="502">
        <v>12.18</v>
      </c>
      <c r="T136" s="506">
        <f t="shared" si="11"/>
        <v>1.1627906976744207E-2</v>
      </c>
      <c r="V136" s="503">
        <v>44602</v>
      </c>
      <c r="W136" s="502">
        <v>6.61</v>
      </c>
      <c r="X136" s="506">
        <f t="shared" si="12"/>
        <v>-3.0165912518853588E-3</v>
      </c>
      <c r="Z136" s="503">
        <v>44602</v>
      </c>
      <c r="AA136" s="522">
        <v>3639.66</v>
      </c>
      <c r="AB136" s="524">
        <f t="shared" si="13"/>
        <v>1.5071312632124911E-2</v>
      </c>
    </row>
    <row r="137" spans="2:28" x14ac:dyDescent="0.25">
      <c r="B137" s="507" t="s">
        <v>254</v>
      </c>
      <c r="C137" s="502">
        <v>28.06</v>
      </c>
      <c r="D137" s="506">
        <f t="shared" si="7"/>
        <v>-3.308063404548589E-2</v>
      </c>
      <c r="F137" s="507" t="s">
        <v>254</v>
      </c>
      <c r="G137" s="521">
        <v>32.53</v>
      </c>
      <c r="H137" s="506">
        <f t="shared" si="8"/>
        <v>-1.6328999092833363E-2</v>
      </c>
      <c r="J137" s="507" t="s">
        <v>254</v>
      </c>
      <c r="K137" s="502">
        <v>30.84</v>
      </c>
      <c r="L137" s="506">
        <f t="shared" si="9"/>
        <v>-3.7753510140405511E-2</v>
      </c>
      <c r="N137" s="507" t="s">
        <v>254</v>
      </c>
      <c r="O137" s="502">
        <v>16.260000000000002</v>
      </c>
      <c r="P137" s="506">
        <f t="shared" si="10"/>
        <v>-1.5142337976983611E-2</v>
      </c>
      <c r="R137" s="503">
        <v>44829</v>
      </c>
      <c r="S137" s="502">
        <v>12.04</v>
      </c>
      <c r="T137" s="506">
        <f t="shared" si="11"/>
        <v>-1.3923013923014094E-2</v>
      </c>
      <c r="V137" s="507" t="s">
        <v>254</v>
      </c>
      <c r="W137" s="502">
        <v>6.63</v>
      </c>
      <c r="X137" s="506">
        <f t="shared" si="12"/>
        <v>-4.0520984081041989E-2</v>
      </c>
      <c r="Z137" s="507" t="s">
        <v>254</v>
      </c>
      <c r="AA137" s="522">
        <v>3585.62</v>
      </c>
      <c r="AB137" s="524">
        <f t="shared" si="13"/>
        <v>-2.9137096796029494E-2</v>
      </c>
    </row>
    <row r="138" spans="2:28" x14ac:dyDescent="0.25">
      <c r="B138" s="507" t="s">
        <v>255</v>
      </c>
      <c r="C138" s="502">
        <v>29.02</v>
      </c>
      <c r="D138" s="506">
        <f t="shared" si="7"/>
        <v>-9.6231703519152889E-2</v>
      </c>
      <c r="F138" s="507" t="s">
        <v>255</v>
      </c>
      <c r="G138" s="521">
        <v>33.07</v>
      </c>
      <c r="H138" s="506">
        <f t="shared" si="8"/>
        <v>-0.11766275346851651</v>
      </c>
      <c r="J138" s="507" t="s">
        <v>255</v>
      </c>
      <c r="K138" s="502">
        <v>32.049999999999997</v>
      </c>
      <c r="L138" s="506">
        <f t="shared" si="9"/>
        <v>-7.7166714655917068E-2</v>
      </c>
      <c r="N138" s="507" t="s">
        <v>255</v>
      </c>
      <c r="O138" s="502">
        <v>16.510000000000002</v>
      </c>
      <c r="P138" s="506">
        <f t="shared" si="10"/>
        <v>-7.2471910112359539E-2</v>
      </c>
      <c r="R138" s="503">
        <v>44822</v>
      </c>
      <c r="S138" s="502">
        <v>12.21</v>
      </c>
      <c r="T138" s="506">
        <f t="shared" si="11"/>
        <v>-0.11199999999999999</v>
      </c>
      <c r="V138" s="507" t="s">
        <v>255</v>
      </c>
      <c r="W138" s="502">
        <v>6.91</v>
      </c>
      <c r="X138" s="506">
        <f t="shared" si="12"/>
        <v>-0.12752525252525249</v>
      </c>
      <c r="Z138" s="507" t="s">
        <v>255</v>
      </c>
      <c r="AA138" s="522">
        <v>3693.23</v>
      </c>
      <c r="AB138" s="524">
        <f t="shared" si="13"/>
        <v>-4.6497458259430524E-2</v>
      </c>
    </row>
    <row r="139" spans="2:28" x14ac:dyDescent="0.25">
      <c r="B139" s="503">
        <v>44874</v>
      </c>
      <c r="C139" s="502">
        <v>32.11</v>
      </c>
      <c r="D139" s="506">
        <f t="shared" si="7"/>
        <v>-1.6840171463563869E-2</v>
      </c>
      <c r="F139" s="503">
        <v>44874</v>
      </c>
      <c r="G139" s="521">
        <v>37.479999999999997</v>
      </c>
      <c r="H139" s="506">
        <f t="shared" si="8"/>
        <v>-4.5338767193071838E-2</v>
      </c>
      <c r="J139" s="503">
        <v>44874</v>
      </c>
      <c r="K139" s="502">
        <v>34.729999999999997</v>
      </c>
      <c r="L139" s="506">
        <f t="shared" si="9"/>
        <v>-9.486578055772743E-2</v>
      </c>
      <c r="N139" s="503">
        <v>44874</v>
      </c>
      <c r="O139" s="502">
        <v>17.8</v>
      </c>
      <c r="P139" s="506">
        <f t="shared" si="10"/>
        <v>-0.11662531017369715</v>
      </c>
      <c r="R139" s="503">
        <v>44815</v>
      </c>
      <c r="S139" s="502">
        <v>13.75</v>
      </c>
      <c r="T139" s="506">
        <f t="shared" si="11"/>
        <v>-3.100775193798444E-2</v>
      </c>
      <c r="V139" s="503">
        <v>44874</v>
      </c>
      <c r="W139" s="502">
        <v>7.92</v>
      </c>
      <c r="X139" s="506">
        <f t="shared" si="12"/>
        <v>-4.2321644498186206E-2</v>
      </c>
      <c r="Z139" s="503">
        <v>44874</v>
      </c>
      <c r="AA139" s="522">
        <v>3873.33</v>
      </c>
      <c r="AB139" s="524">
        <f t="shared" si="13"/>
        <v>-4.7704161913378784E-2</v>
      </c>
    </row>
    <row r="140" spans="2:28" x14ac:dyDescent="0.25">
      <c r="B140" s="503">
        <v>44660</v>
      </c>
      <c r="C140" s="502">
        <v>32.659999999999997</v>
      </c>
      <c r="D140" s="506">
        <f t="shared" si="7"/>
        <v>5.5591467356173041E-2</v>
      </c>
      <c r="F140" s="503">
        <v>44660</v>
      </c>
      <c r="G140" s="521">
        <v>39.26</v>
      </c>
      <c r="H140" s="506">
        <f t="shared" si="8"/>
        <v>0.11186632681959763</v>
      </c>
      <c r="J140" s="503">
        <v>44660</v>
      </c>
      <c r="K140" s="502">
        <v>38.369999999999997</v>
      </c>
      <c r="L140" s="506">
        <f t="shared" si="9"/>
        <v>4.4365813826891642E-2</v>
      </c>
      <c r="N140" s="503">
        <v>44660</v>
      </c>
      <c r="O140" s="502">
        <v>20.149999999999999</v>
      </c>
      <c r="P140" s="506">
        <f t="shared" si="10"/>
        <v>-3.2645223235717724E-2</v>
      </c>
      <c r="R140" s="503">
        <v>44808</v>
      </c>
      <c r="S140" s="502">
        <v>14.19</v>
      </c>
      <c r="T140" s="506">
        <f t="shared" si="11"/>
        <v>9.2378752886836057E-2</v>
      </c>
      <c r="V140" s="503">
        <v>44660</v>
      </c>
      <c r="W140" s="502">
        <v>8.27</v>
      </c>
      <c r="X140" s="506">
        <f t="shared" si="12"/>
        <v>8.3879423328964586E-2</v>
      </c>
      <c r="Z140" s="503">
        <v>44660</v>
      </c>
      <c r="AA140" s="522">
        <v>4067.36</v>
      </c>
      <c r="AB140" s="524">
        <f t="shared" si="13"/>
        <v>3.646547374536846E-2</v>
      </c>
    </row>
    <row r="141" spans="2:28" x14ac:dyDescent="0.25">
      <c r="B141" s="507" t="s">
        <v>256</v>
      </c>
      <c r="C141" s="502">
        <v>30.94</v>
      </c>
      <c r="D141" s="506">
        <f t="shared" si="7"/>
        <v>-5.3243574051407561E-2</v>
      </c>
      <c r="F141" s="507" t="s">
        <v>256</v>
      </c>
      <c r="G141" s="521">
        <v>35.31</v>
      </c>
      <c r="H141" s="506">
        <f t="shared" si="8"/>
        <v>-3.445447087776865E-2</v>
      </c>
      <c r="J141" s="507" t="s">
        <v>256</v>
      </c>
      <c r="K141" s="502">
        <v>36.74</v>
      </c>
      <c r="L141" s="506">
        <f t="shared" si="9"/>
        <v>-2.1049826805222493E-2</v>
      </c>
      <c r="N141" s="507" t="s">
        <v>256</v>
      </c>
      <c r="O141" s="502">
        <v>20.83</v>
      </c>
      <c r="P141" s="506">
        <f t="shared" si="10"/>
        <v>-4.4056906837999121E-2</v>
      </c>
      <c r="R141" s="503">
        <v>44801</v>
      </c>
      <c r="S141" s="502">
        <v>12.99</v>
      </c>
      <c r="T141" s="506">
        <f t="shared" si="11"/>
        <v>-5.4585152838427908E-2</v>
      </c>
      <c r="V141" s="507" t="s">
        <v>256</v>
      </c>
      <c r="W141" s="502">
        <v>7.63</v>
      </c>
      <c r="X141" s="506">
        <f t="shared" si="12"/>
        <v>-4.9813200498131982E-2</v>
      </c>
      <c r="Z141" s="507" t="s">
        <v>256</v>
      </c>
      <c r="AA141" s="522">
        <v>3924.26</v>
      </c>
      <c r="AB141" s="524">
        <f t="shared" si="13"/>
        <v>-3.2876091146128439E-2</v>
      </c>
    </row>
    <row r="142" spans="2:28" x14ac:dyDescent="0.25">
      <c r="B142" s="507" t="s">
        <v>257</v>
      </c>
      <c r="C142" s="502">
        <v>32.68</v>
      </c>
      <c r="D142" s="506">
        <f t="shared" ref="D142:D205" si="14">C142/C143-1</f>
        <v>-1.7142857142857126E-2</v>
      </c>
      <c r="F142" s="507" t="s">
        <v>257</v>
      </c>
      <c r="G142" s="521">
        <v>36.57</v>
      </c>
      <c r="H142" s="506">
        <f t="shared" ref="H142:H205" si="15">G142/G143-1</f>
        <v>-2.4800000000000044E-2</v>
      </c>
      <c r="J142" s="507" t="s">
        <v>257</v>
      </c>
      <c r="K142" s="502">
        <v>37.53</v>
      </c>
      <c r="L142" s="506">
        <f t="shared" ref="L142:L205" si="16">K142/K143-1</f>
        <v>-9.2397043294615289E-3</v>
      </c>
      <c r="N142" s="507" t="s">
        <v>257</v>
      </c>
      <c r="O142" s="502">
        <v>21.79</v>
      </c>
      <c r="P142" s="506">
        <f t="shared" ref="P142:P205" si="17">O142/O143-1</f>
        <v>-1.7583408476104623E-2</v>
      </c>
      <c r="R142" s="503">
        <v>44794</v>
      </c>
      <c r="S142" s="502">
        <v>13.74</v>
      </c>
      <c r="T142" s="506">
        <f t="shared" ref="T142:T205" si="18">S142/S143-1</f>
        <v>-3.0345800988002769E-2</v>
      </c>
      <c r="V142" s="507" t="s">
        <v>257</v>
      </c>
      <c r="W142" s="502">
        <v>8.0299999999999994</v>
      </c>
      <c r="X142" s="506">
        <f t="shared" ref="X142:X205" si="19">W142/W143-1</f>
        <v>-4.1766109785203009E-2</v>
      </c>
      <c r="Z142" s="507" t="s">
        <v>257</v>
      </c>
      <c r="AA142" s="522">
        <v>4057.66</v>
      </c>
      <c r="AB142" s="524">
        <f t="shared" ref="AB142:AB205" si="20">AA142/AA143-1</f>
        <v>-4.0397495080974677E-2</v>
      </c>
    </row>
    <row r="143" spans="2:28" x14ac:dyDescent="0.25">
      <c r="B143" s="507" t="s">
        <v>258</v>
      </c>
      <c r="C143" s="502">
        <v>33.25</v>
      </c>
      <c r="D143" s="506">
        <f t="shared" si="14"/>
        <v>-3.6231884057971064E-2</v>
      </c>
      <c r="F143" s="507" t="s">
        <v>258</v>
      </c>
      <c r="G143" s="521">
        <v>37.5</v>
      </c>
      <c r="H143" s="506">
        <f t="shared" si="15"/>
        <v>-4.6771733604473953E-2</v>
      </c>
      <c r="J143" s="507" t="s">
        <v>258</v>
      </c>
      <c r="K143" s="502">
        <v>37.880000000000003</v>
      </c>
      <c r="L143" s="506">
        <f t="shared" si="16"/>
        <v>-4.0040547389761705E-2</v>
      </c>
      <c r="N143" s="507" t="s">
        <v>258</v>
      </c>
      <c r="O143" s="502">
        <v>22.18</v>
      </c>
      <c r="P143" s="506">
        <f t="shared" si="17"/>
        <v>-8.0049771878888398E-2</v>
      </c>
      <c r="R143" s="503">
        <v>44787</v>
      </c>
      <c r="S143" s="502">
        <v>14.17</v>
      </c>
      <c r="T143" s="506">
        <f t="shared" si="18"/>
        <v>-7.0819672131147593E-2</v>
      </c>
      <c r="V143" s="507" t="s">
        <v>258</v>
      </c>
      <c r="W143" s="502">
        <v>8.3800000000000008</v>
      </c>
      <c r="X143" s="506">
        <f t="shared" si="19"/>
        <v>-8.3150984682713314E-2</v>
      </c>
      <c r="Z143" s="507" t="s">
        <v>258</v>
      </c>
      <c r="AA143" s="522">
        <v>4228.4799999999996</v>
      </c>
      <c r="AB143" s="524">
        <f t="shared" si="20"/>
        <v>-1.2072006822190784E-2</v>
      </c>
    </row>
    <row r="144" spans="2:28" x14ac:dyDescent="0.25">
      <c r="B144" s="503">
        <v>44750</v>
      </c>
      <c r="C144" s="502">
        <v>34.5</v>
      </c>
      <c r="D144" s="506">
        <f t="shared" si="14"/>
        <v>4.7358834244080272E-2</v>
      </c>
      <c r="F144" s="503">
        <v>44750</v>
      </c>
      <c r="G144" s="521">
        <v>39.340000000000003</v>
      </c>
      <c r="H144" s="506">
        <f t="shared" si="15"/>
        <v>4.0190375462718197E-2</v>
      </c>
      <c r="J144" s="503">
        <v>44750</v>
      </c>
      <c r="K144" s="502">
        <v>39.46</v>
      </c>
      <c r="L144" s="506">
        <f t="shared" si="16"/>
        <v>1.6748260757536659E-2</v>
      </c>
      <c r="N144" s="503">
        <v>44750</v>
      </c>
      <c r="O144" s="502">
        <v>24.11</v>
      </c>
      <c r="P144" s="506">
        <f t="shared" si="17"/>
        <v>-1.1480114801148078E-2</v>
      </c>
      <c r="R144" s="503">
        <v>44780</v>
      </c>
      <c r="S144" s="502">
        <v>15.25</v>
      </c>
      <c r="T144" s="506">
        <f t="shared" si="18"/>
        <v>3.4599728629579385E-2</v>
      </c>
      <c r="V144" s="503">
        <v>44750</v>
      </c>
      <c r="W144" s="502">
        <v>9.14</v>
      </c>
      <c r="X144" s="506">
        <f t="shared" si="19"/>
        <v>5.2995391705069173E-2</v>
      </c>
      <c r="Z144" s="503">
        <v>44750</v>
      </c>
      <c r="AA144" s="522">
        <v>4280.1499999999996</v>
      </c>
      <c r="AB144" s="524">
        <f t="shared" si="20"/>
        <v>3.2558218079267842E-2</v>
      </c>
    </row>
    <row r="145" spans="2:28" x14ac:dyDescent="0.25">
      <c r="B145" s="507" t="s">
        <v>259</v>
      </c>
      <c r="C145" s="502">
        <v>32.94</v>
      </c>
      <c r="D145" s="506">
        <f t="shared" si="14"/>
        <v>3.5849056603773466E-2</v>
      </c>
      <c r="F145" s="507" t="s">
        <v>259</v>
      </c>
      <c r="G145" s="521">
        <v>37.82</v>
      </c>
      <c r="H145" s="506">
        <f t="shared" si="15"/>
        <v>2.911564625850338E-2</v>
      </c>
      <c r="J145" s="507" t="s">
        <v>259</v>
      </c>
      <c r="K145" s="502">
        <v>38.81</v>
      </c>
      <c r="L145" s="506">
        <f t="shared" si="16"/>
        <v>1.8100734522560558E-2</v>
      </c>
      <c r="N145" s="507" t="s">
        <v>259</v>
      </c>
      <c r="O145" s="502">
        <v>24.39</v>
      </c>
      <c r="P145" s="506">
        <f t="shared" si="17"/>
        <v>9.9378881987577383E-3</v>
      </c>
      <c r="R145" s="503">
        <v>44773</v>
      </c>
      <c r="S145" s="502">
        <v>14.74</v>
      </c>
      <c r="T145" s="506">
        <f t="shared" si="18"/>
        <v>7.512764405543404E-2</v>
      </c>
      <c r="V145" s="507" t="s">
        <v>259</v>
      </c>
      <c r="W145" s="502">
        <v>8.68</v>
      </c>
      <c r="X145" s="506">
        <f t="shared" si="19"/>
        <v>3.0878859857482066E-2</v>
      </c>
      <c r="Z145" s="507" t="s">
        <v>259</v>
      </c>
      <c r="AA145" s="522">
        <v>4145.1899999999996</v>
      </c>
      <c r="AB145" s="524">
        <f t="shared" si="20"/>
        <v>3.6074948732411904E-3</v>
      </c>
    </row>
    <row r="146" spans="2:28" x14ac:dyDescent="0.25">
      <c r="B146" s="507" t="s">
        <v>260</v>
      </c>
      <c r="C146" s="502">
        <v>31.8</v>
      </c>
      <c r="D146" s="506">
        <f t="shared" si="14"/>
        <v>1.4354066985645897E-2</v>
      </c>
      <c r="F146" s="507" t="s">
        <v>260</v>
      </c>
      <c r="G146" s="521">
        <v>36.75</v>
      </c>
      <c r="H146" s="506">
        <f t="shared" si="15"/>
        <v>1.1560693641618602E-2</v>
      </c>
      <c r="J146" s="507" t="s">
        <v>260</v>
      </c>
      <c r="K146" s="502">
        <v>38.119999999999997</v>
      </c>
      <c r="L146" s="506">
        <f t="shared" si="16"/>
        <v>-5.2683896620278392E-2</v>
      </c>
      <c r="N146" s="507" t="s">
        <v>260</v>
      </c>
      <c r="O146" s="502">
        <v>24.15</v>
      </c>
      <c r="P146" s="506">
        <f t="shared" si="17"/>
        <v>0.1196105702364394</v>
      </c>
      <c r="R146" s="503">
        <v>44766</v>
      </c>
      <c r="S146" s="502">
        <v>13.71</v>
      </c>
      <c r="T146" s="506">
        <f t="shared" si="18"/>
        <v>2.1929824561404132E-3</v>
      </c>
      <c r="V146" s="507" t="s">
        <v>260</v>
      </c>
      <c r="W146" s="502">
        <v>8.42</v>
      </c>
      <c r="X146" s="506">
        <f t="shared" si="19"/>
        <v>5.9737156511350253E-3</v>
      </c>
      <c r="Z146" s="507" t="s">
        <v>260</v>
      </c>
      <c r="AA146" s="522">
        <v>4130.29</v>
      </c>
      <c r="AB146" s="524">
        <f t="shared" si="20"/>
        <v>4.2573385197506974E-2</v>
      </c>
    </row>
    <row r="147" spans="2:28" x14ac:dyDescent="0.25">
      <c r="B147" s="507" t="s">
        <v>261</v>
      </c>
      <c r="C147" s="502">
        <v>31.35</v>
      </c>
      <c r="D147" s="506">
        <f t="shared" si="14"/>
        <v>4.1874376869391883E-2</v>
      </c>
      <c r="F147" s="507" t="s">
        <v>261</v>
      </c>
      <c r="G147" s="521">
        <v>36.33</v>
      </c>
      <c r="H147" s="506">
        <f t="shared" si="15"/>
        <v>-6.3176895306859326E-2</v>
      </c>
      <c r="J147" s="507" t="s">
        <v>261</v>
      </c>
      <c r="K147" s="502">
        <v>40.24</v>
      </c>
      <c r="L147" s="506">
        <f t="shared" si="16"/>
        <v>1.6675088428499407E-2</v>
      </c>
      <c r="N147" s="507" t="s">
        <v>261</v>
      </c>
      <c r="O147" s="502">
        <v>21.57</v>
      </c>
      <c r="P147" s="506">
        <f t="shared" si="17"/>
        <v>-4.1551246537395725E-3</v>
      </c>
      <c r="R147" s="503">
        <v>44759</v>
      </c>
      <c r="S147" s="502">
        <v>13.68</v>
      </c>
      <c r="T147" s="506">
        <f t="shared" si="18"/>
        <v>-5.4595715272978684E-2</v>
      </c>
      <c r="V147" s="507" t="s">
        <v>261</v>
      </c>
      <c r="W147" s="502">
        <v>8.3699999999999992</v>
      </c>
      <c r="X147" s="506">
        <f t="shared" si="19"/>
        <v>3.3333333333333215E-2</v>
      </c>
      <c r="Z147" s="507" t="s">
        <v>261</v>
      </c>
      <c r="AA147" s="522">
        <v>3961.63</v>
      </c>
      <c r="AB147" s="524">
        <f t="shared" si="20"/>
        <v>2.5489495646051408E-2</v>
      </c>
    </row>
    <row r="148" spans="2:28" x14ac:dyDescent="0.25">
      <c r="B148" s="503">
        <v>44841</v>
      </c>
      <c r="C148" s="502">
        <v>30.09</v>
      </c>
      <c r="D148" s="506">
        <f t="shared" si="14"/>
        <v>1.2449528936743004E-2</v>
      </c>
      <c r="F148" s="503">
        <v>44841</v>
      </c>
      <c r="G148" s="521">
        <v>38.78</v>
      </c>
      <c r="H148" s="506">
        <f t="shared" si="15"/>
        <v>6.3339731285988465E-2</v>
      </c>
      <c r="J148" s="503">
        <v>44841</v>
      </c>
      <c r="K148" s="502">
        <v>39.58</v>
      </c>
      <c r="L148" s="506">
        <f t="shared" si="16"/>
        <v>7.847411444141672E-2</v>
      </c>
      <c r="N148" s="503">
        <v>44841</v>
      </c>
      <c r="O148" s="502">
        <v>21.66</v>
      </c>
      <c r="P148" s="506">
        <f t="shared" si="17"/>
        <v>2.1698113207547109E-2</v>
      </c>
      <c r="R148" s="503">
        <v>44752</v>
      </c>
      <c r="S148" s="502">
        <v>14.47</v>
      </c>
      <c r="T148" s="506">
        <f t="shared" si="18"/>
        <v>3.5790980672870454E-2</v>
      </c>
      <c r="V148" s="503">
        <v>44841</v>
      </c>
      <c r="W148" s="502">
        <v>8.1</v>
      </c>
      <c r="X148" s="506">
        <f t="shared" si="19"/>
        <v>-1.3398294762484886E-2</v>
      </c>
      <c r="Z148" s="503">
        <v>44841</v>
      </c>
      <c r="AA148" s="522">
        <v>3863.16</v>
      </c>
      <c r="AB148" s="524">
        <f t="shared" si="20"/>
        <v>-9.2886561453360272E-3</v>
      </c>
    </row>
    <row r="149" spans="2:28" x14ac:dyDescent="0.25">
      <c r="B149" s="503">
        <v>44627</v>
      </c>
      <c r="C149" s="502">
        <v>29.72</v>
      </c>
      <c r="D149" s="506">
        <f t="shared" si="14"/>
        <v>6.7750677506774881E-3</v>
      </c>
      <c r="F149" s="503">
        <v>44627</v>
      </c>
      <c r="G149" s="521">
        <v>36.47</v>
      </c>
      <c r="H149" s="506">
        <f t="shared" si="15"/>
        <v>8.2327113062574675E-4</v>
      </c>
      <c r="J149" s="503">
        <v>44627</v>
      </c>
      <c r="K149" s="502">
        <v>36.700000000000003</v>
      </c>
      <c r="L149" s="506">
        <f t="shared" si="16"/>
        <v>-8.1677103185395783E-4</v>
      </c>
      <c r="N149" s="503">
        <v>44627</v>
      </c>
      <c r="O149" s="502">
        <v>21.2</v>
      </c>
      <c r="P149" s="506">
        <f t="shared" si="17"/>
        <v>-3.680145388459799E-2</v>
      </c>
      <c r="R149" s="503">
        <v>44745</v>
      </c>
      <c r="S149" s="502">
        <v>13.97</v>
      </c>
      <c r="T149" s="506">
        <f t="shared" si="18"/>
        <v>6.397562833206405E-2</v>
      </c>
      <c r="V149" s="503">
        <v>44627</v>
      </c>
      <c r="W149" s="502">
        <v>8.2100000000000009</v>
      </c>
      <c r="X149" s="506">
        <f t="shared" si="19"/>
        <v>-3.7514654161781791E-2</v>
      </c>
      <c r="Z149" s="503">
        <v>44627</v>
      </c>
      <c r="AA149" s="522">
        <v>3899.38</v>
      </c>
      <c r="AB149" s="524">
        <f t="shared" si="20"/>
        <v>1.9357807038869801E-2</v>
      </c>
    </row>
    <row r="150" spans="2:28" x14ac:dyDescent="0.25">
      <c r="B150" s="507" t="s">
        <v>262</v>
      </c>
      <c r="C150" s="502">
        <v>29.52</v>
      </c>
      <c r="D150" s="506">
        <f t="shared" si="14"/>
        <v>-5.3846153846153877E-2</v>
      </c>
      <c r="F150" s="507" t="s">
        <v>262</v>
      </c>
      <c r="G150" s="521">
        <v>36.44</v>
      </c>
      <c r="H150" s="506">
        <f t="shared" si="15"/>
        <v>-5.3752272137107204E-2</v>
      </c>
      <c r="J150" s="507" t="s">
        <v>262</v>
      </c>
      <c r="K150" s="502">
        <v>36.729999999999997</v>
      </c>
      <c r="L150" s="506">
        <f t="shared" si="16"/>
        <v>-2.6504108136761184E-2</v>
      </c>
      <c r="N150" s="507" t="s">
        <v>262</v>
      </c>
      <c r="O150" s="502">
        <v>22.01</v>
      </c>
      <c r="P150" s="506">
        <f t="shared" si="17"/>
        <v>-1.8287243532560171E-2</v>
      </c>
      <c r="R150" s="503">
        <v>44738</v>
      </c>
      <c r="S150" s="502">
        <v>13.13</v>
      </c>
      <c r="T150" s="506">
        <f t="shared" si="18"/>
        <v>-5.5395683453237421E-2</v>
      </c>
      <c r="V150" s="507" t="s">
        <v>262</v>
      </c>
      <c r="W150" s="502">
        <v>8.5299999999999994</v>
      </c>
      <c r="X150" s="506">
        <f t="shared" si="19"/>
        <v>-1.044083526682138E-2</v>
      </c>
      <c r="Z150" s="507" t="s">
        <v>262</v>
      </c>
      <c r="AA150" s="522">
        <v>3825.33</v>
      </c>
      <c r="AB150" s="524">
        <f t="shared" si="20"/>
        <v>-2.2089913951336193E-2</v>
      </c>
    </row>
    <row r="151" spans="2:28" x14ac:dyDescent="0.25">
      <c r="B151" s="507" t="s">
        <v>263</v>
      </c>
      <c r="C151" s="502">
        <v>31.2</v>
      </c>
      <c r="D151" s="506">
        <f t="shared" si="14"/>
        <v>3.1064111037673481E-2</v>
      </c>
      <c r="F151" s="507" t="s">
        <v>263</v>
      </c>
      <c r="G151" s="521">
        <v>38.51</v>
      </c>
      <c r="H151" s="506">
        <f t="shared" si="15"/>
        <v>6.146637265711119E-2</v>
      </c>
      <c r="J151" s="507" t="s">
        <v>263</v>
      </c>
      <c r="K151" s="502">
        <v>37.729999999999997</v>
      </c>
      <c r="L151" s="506">
        <f t="shared" si="16"/>
        <v>5.8939096267190516E-2</v>
      </c>
      <c r="N151" s="507" t="s">
        <v>263</v>
      </c>
      <c r="O151" s="502">
        <v>22.42</v>
      </c>
      <c r="P151" s="506">
        <f t="shared" si="17"/>
        <v>6.2559241706161117E-2</v>
      </c>
      <c r="R151" s="503">
        <v>44731</v>
      </c>
      <c r="S151" s="502">
        <v>13.9</v>
      </c>
      <c r="T151" s="506">
        <f t="shared" si="18"/>
        <v>7.4188562596599672E-2</v>
      </c>
      <c r="V151" s="507" t="s">
        <v>263</v>
      </c>
      <c r="W151" s="502">
        <v>8.6199999999999992</v>
      </c>
      <c r="X151" s="506">
        <f t="shared" si="19"/>
        <v>9.3676814988290502E-3</v>
      </c>
      <c r="Z151" s="507" t="s">
        <v>263</v>
      </c>
      <c r="AA151" s="522">
        <v>3911.74</v>
      </c>
      <c r="AB151" s="524">
        <f t="shared" si="20"/>
        <v>6.4465391690522456E-2</v>
      </c>
    </row>
    <row r="152" spans="2:28" x14ac:dyDescent="0.25">
      <c r="B152" s="503">
        <v>44901</v>
      </c>
      <c r="C152" s="502">
        <v>30.26</v>
      </c>
      <c r="D152" s="506">
        <f t="shared" si="14"/>
        <v>-0.13838268792710695</v>
      </c>
      <c r="F152" s="503">
        <v>44901</v>
      </c>
      <c r="G152" s="521">
        <v>36.28</v>
      </c>
      <c r="H152" s="506">
        <f t="shared" si="15"/>
        <v>-0.11856171039844499</v>
      </c>
      <c r="J152" s="503">
        <v>44901</v>
      </c>
      <c r="K152" s="502">
        <v>35.630000000000003</v>
      </c>
      <c r="L152" s="506">
        <f t="shared" si="16"/>
        <v>-0.11235675137020429</v>
      </c>
      <c r="N152" s="503">
        <v>44901</v>
      </c>
      <c r="O152" s="502">
        <v>21.1</v>
      </c>
      <c r="P152" s="506">
        <f t="shared" si="17"/>
        <v>-0.10403397027600847</v>
      </c>
      <c r="R152" s="503">
        <v>44724</v>
      </c>
      <c r="S152" s="502">
        <v>12.94</v>
      </c>
      <c r="T152" s="506">
        <f t="shared" si="18"/>
        <v>-0.12032630863358273</v>
      </c>
      <c r="V152" s="503">
        <v>44901</v>
      </c>
      <c r="W152" s="502">
        <v>8.5399999999999991</v>
      </c>
      <c r="X152" s="506">
        <f t="shared" si="19"/>
        <v>-0.10482180293501053</v>
      </c>
      <c r="Z152" s="503">
        <v>44901</v>
      </c>
      <c r="AA152" s="522">
        <v>3674.84</v>
      </c>
      <c r="AB152" s="524">
        <f t="shared" si="20"/>
        <v>-5.7941069405208045E-2</v>
      </c>
    </row>
    <row r="153" spans="2:28" x14ac:dyDescent="0.25">
      <c r="B153" s="503">
        <v>44687</v>
      </c>
      <c r="C153" s="502">
        <v>35.119999999999997</v>
      </c>
      <c r="D153" s="506">
        <f t="shared" si="14"/>
        <v>-8.873897249610796E-2</v>
      </c>
      <c r="F153" s="503">
        <v>44687</v>
      </c>
      <c r="G153" s="521">
        <v>41.16</v>
      </c>
      <c r="H153" s="506">
        <f t="shared" si="15"/>
        <v>-7.3598919648885985E-2</v>
      </c>
      <c r="J153" s="503">
        <v>44687</v>
      </c>
      <c r="K153" s="502">
        <v>40.14</v>
      </c>
      <c r="L153" s="506">
        <f t="shared" si="16"/>
        <v>-8.4397810218978186E-2</v>
      </c>
      <c r="N153" s="503">
        <v>44687</v>
      </c>
      <c r="O153" s="502">
        <v>23.55</v>
      </c>
      <c r="P153" s="506">
        <f t="shared" si="17"/>
        <v>-0.10693970420932875</v>
      </c>
      <c r="R153" s="503">
        <v>44717</v>
      </c>
      <c r="S153" s="502">
        <v>14.71</v>
      </c>
      <c r="T153" s="506">
        <f t="shared" si="18"/>
        <v>-9.3094944512946864E-2</v>
      </c>
      <c r="V153" s="503">
        <v>44687</v>
      </c>
      <c r="W153" s="502">
        <v>9.5399999999999991</v>
      </c>
      <c r="X153" s="506">
        <f t="shared" si="19"/>
        <v>-8.8825214899713623E-2</v>
      </c>
      <c r="Z153" s="503">
        <v>44687</v>
      </c>
      <c r="AA153" s="522">
        <v>3900.86</v>
      </c>
      <c r="AB153" s="524">
        <f t="shared" si="20"/>
        <v>-5.054836998057699E-2</v>
      </c>
    </row>
    <row r="154" spans="2:28" x14ac:dyDescent="0.25">
      <c r="B154" s="507" t="s">
        <v>264</v>
      </c>
      <c r="C154" s="502">
        <v>38.54</v>
      </c>
      <c r="D154" s="506">
        <f t="shared" si="14"/>
        <v>-8.737864077669899E-2</v>
      </c>
      <c r="F154" s="507" t="s">
        <v>264</v>
      </c>
      <c r="G154" s="521">
        <v>44.43</v>
      </c>
      <c r="H154" s="506">
        <f t="shared" si="15"/>
        <v>-8.2214418508572584E-2</v>
      </c>
      <c r="J154" s="507" t="s">
        <v>264</v>
      </c>
      <c r="K154" s="502">
        <v>43.84</v>
      </c>
      <c r="L154" s="506">
        <f t="shared" si="16"/>
        <v>-4.2794759825327322E-2</v>
      </c>
      <c r="N154" s="507" t="s">
        <v>264</v>
      </c>
      <c r="O154" s="502">
        <v>26.37</v>
      </c>
      <c r="P154" s="506">
        <f t="shared" si="17"/>
        <v>-6.7796610169491567E-3</v>
      </c>
      <c r="R154" s="503">
        <v>44710</v>
      </c>
      <c r="S154" s="502">
        <v>16.22</v>
      </c>
      <c r="T154" s="506">
        <f t="shared" si="18"/>
        <v>-0.10535024820739103</v>
      </c>
      <c r="V154" s="507" t="s">
        <v>264</v>
      </c>
      <c r="W154" s="502">
        <v>10.47</v>
      </c>
      <c r="X154" s="506">
        <f t="shared" si="19"/>
        <v>-3.413284132841321E-2</v>
      </c>
      <c r="Z154" s="507" t="s">
        <v>264</v>
      </c>
      <c r="AA154" s="522">
        <v>4108.54</v>
      </c>
      <c r="AB154" s="524">
        <f t="shared" si="20"/>
        <v>-1.1952172072799971E-2</v>
      </c>
    </row>
    <row r="155" spans="2:28" x14ac:dyDescent="0.25">
      <c r="B155" s="507" t="s">
        <v>265</v>
      </c>
      <c r="C155" s="502">
        <v>42.23</v>
      </c>
      <c r="D155" s="506">
        <f t="shared" si="14"/>
        <v>9.2908902691511308E-2</v>
      </c>
      <c r="F155" s="507" t="s">
        <v>265</v>
      </c>
      <c r="G155" s="521">
        <v>48.41</v>
      </c>
      <c r="H155" s="506">
        <f t="shared" si="15"/>
        <v>0.11159586681974742</v>
      </c>
      <c r="J155" s="507" t="s">
        <v>265</v>
      </c>
      <c r="K155" s="502">
        <v>45.8</v>
      </c>
      <c r="L155" s="506">
        <f t="shared" si="16"/>
        <v>7.3856975381008105E-2</v>
      </c>
      <c r="N155" s="507" t="s">
        <v>265</v>
      </c>
      <c r="O155" s="502">
        <v>26.55</v>
      </c>
      <c r="P155" s="506">
        <f t="shared" si="17"/>
        <v>6.030351437699677E-2</v>
      </c>
      <c r="R155" s="503">
        <v>44703</v>
      </c>
      <c r="S155" s="502">
        <v>18.13</v>
      </c>
      <c r="T155" s="506">
        <f t="shared" si="18"/>
        <v>0.1150061500615005</v>
      </c>
      <c r="V155" s="507" t="s">
        <v>265</v>
      </c>
      <c r="W155" s="502">
        <v>10.84</v>
      </c>
      <c r="X155" s="506">
        <f t="shared" si="19"/>
        <v>6.3788027477919673E-2</v>
      </c>
      <c r="Z155" s="507" t="s">
        <v>265</v>
      </c>
      <c r="AA155" s="522">
        <v>4158.24</v>
      </c>
      <c r="AB155" s="524">
        <f t="shared" si="20"/>
        <v>6.5843705784649265E-2</v>
      </c>
    </row>
    <row r="156" spans="2:28" x14ac:dyDescent="0.25">
      <c r="B156" s="507" t="s">
        <v>266</v>
      </c>
      <c r="C156" s="502">
        <v>38.64</v>
      </c>
      <c r="D156" s="506">
        <f t="shared" si="14"/>
        <v>8.0876597965040542E-3</v>
      </c>
      <c r="F156" s="507" t="s">
        <v>266</v>
      </c>
      <c r="G156" s="521">
        <v>43.55</v>
      </c>
      <c r="H156" s="506">
        <f t="shared" si="15"/>
        <v>6.4709960711808456E-3</v>
      </c>
      <c r="J156" s="507" t="s">
        <v>266</v>
      </c>
      <c r="K156" s="502">
        <v>42.65</v>
      </c>
      <c r="L156" s="506">
        <f t="shared" si="16"/>
        <v>-7.9088160037218413E-3</v>
      </c>
      <c r="N156" s="507" t="s">
        <v>266</v>
      </c>
      <c r="O156" s="502">
        <v>25.04</v>
      </c>
      <c r="P156" s="506">
        <f t="shared" si="17"/>
        <v>-4.57317073170731E-2</v>
      </c>
      <c r="R156" s="503">
        <v>44696</v>
      </c>
      <c r="S156" s="502">
        <v>16.260000000000002</v>
      </c>
      <c r="T156" s="506">
        <f t="shared" si="18"/>
        <v>-1.9300361881785078E-2</v>
      </c>
      <c r="V156" s="507" t="s">
        <v>266</v>
      </c>
      <c r="W156" s="502">
        <v>10.19</v>
      </c>
      <c r="X156" s="506">
        <f t="shared" si="19"/>
        <v>1.2922465208747402E-2</v>
      </c>
      <c r="Z156" s="507" t="s">
        <v>266</v>
      </c>
      <c r="AA156" s="522">
        <v>3901.36</v>
      </c>
      <c r="AB156" s="524">
        <f t="shared" si="20"/>
        <v>-3.0450633590878406E-2</v>
      </c>
    </row>
    <row r="157" spans="2:28" x14ac:dyDescent="0.25">
      <c r="B157" s="503">
        <v>44778</v>
      </c>
      <c r="C157" s="502">
        <v>38.33</v>
      </c>
      <c r="D157" s="506">
        <f t="shared" si="14"/>
        <v>-6.5121951219512253E-2</v>
      </c>
      <c r="F157" s="503">
        <v>44778</v>
      </c>
      <c r="G157" s="521">
        <v>43.27</v>
      </c>
      <c r="H157" s="506">
        <f t="shared" si="15"/>
        <v>-8.9436026936026924E-2</v>
      </c>
      <c r="J157" s="503">
        <v>44778</v>
      </c>
      <c r="K157" s="502">
        <v>42.99</v>
      </c>
      <c r="L157" s="506">
        <f t="shared" si="16"/>
        <v>-6.7866435385949608E-2</v>
      </c>
      <c r="N157" s="503">
        <v>44778</v>
      </c>
      <c r="O157" s="502">
        <v>26.24</v>
      </c>
      <c r="P157" s="506">
        <f t="shared" si="17"/>
        <v>-2.5260029717682153E-2</v>
      </c>
      <c r="R157" s="503">
        <v>44689</v>
      </c>
      <c r="S157" s="502">
        <v>16.579999999999998</v>
      </c>
      <c r="T157" s="506">
        <f t="shared" si="18"/>
        <v>-7.0627802690582997E-2</v>
      </c>
      <c r="V157" s="503">
        <v>44778</v>
      </c>
      <c r="W157" s="502">
        <v>10.06</v>
      </c>
      <c r="X157" s="506">
        <f t="shared" si="19"/>
        <v>-5.2730696798493293E-2</v>
      </c>
      <c r="Z157" s="503">
        <v>44778</v>
      </c>
      <c r="AA157" s="522">
        <v>4023.89</v>
      </c>
      <c r="AB157" s="524">
        <f t="shared" si="20"/>
        <v>-2.4118796897660721E-2</v>
      </c>
    </row>
    <row r="158" spans="2:28" x14ac:dyDescent="0.25">
      <c r="B158" s="503">
        <v>44566</v>
      </c>
      <c r="C158" s="502">
        <v>41</v>
      </c>
      <c r="D158" s="506">
        <f t="shared" si="14"/>
        <v>-4.7176388566116723E-2</v>
      </c>
      <c r="F158" s="503">
        <v>44566</v>
      </c>
      <c r="G158" s="521">
        <v>47.52</v>
      </c>
      <c r="H158" s="506">
        <f t="shared" si="15"/>
        <v>-5.9009900990098951E-2</v>
      </c>
      <c r="J158" s="503">
        <v>44566</v>
      </c>
      <c r="K158" s="502">
        <v>46.12</v>
      </c>
      <c r="L158" s="506">
        <f t="shared" si="16"/>
        <v>-1.2842465753424737E-2</v>
      </c>
      <c r="N158" s="503">
        <v>44566</v>
      </c>
      <c r="O158" s="502">
        <v>26.92</v>
      </c>
      <c r="P158" s="506">
        <f t="shared" si="17"/>
        <v>-7.6500857632933017E-2</v>
      </c>
      <c r="R158" s="503">
        <v>44682</v>
      </c>
      <c r="S158" s="502">
        <v>17.84</v>
      </c>
      <c r="T158" s="506">
        <f t="shared" si="18"/>
        <v>-4.9547149706979154E-2</v>
      </c>
      <c r="V158" s="503">
        <v>44566</v>
      </c>
      <c r="W158" s="502">
        <v>10.62</v>
      </c>
      <c r="X158" s="506">
        <f t="shared" si="19"/>
        <v>-3.542234332425076E-2</v>
      </c>
      <c r="Z158" s="503">
        <v>44566</v>
      </c>
      <c r="AA158" s="522">
        <v>4123.34</v>
      </c>
      <c r="AB158" s="524">
        <f t="shared" si="20"/>
        <v>-2.0789316372736844E-3</v>
      </c>
    </row>
    <row r="159" spans="2:28" x14ac:dyDescent="0.25">
      <c r="B159" s="507" t="s">
        <v>267</v>
      </c>
      <c r="C159" s="502">
        <v>43.03</v>
      </c>
      <c r="D159" s="506">
        <f t="shared" si="14"/>
        <v>-1.5106431677729404E-2</v>
      </c>
      <c r="F159" s="507" t="s">
        <v>267</v>
      </c>
      <c r="G159" s="521">
        <v>50.5</v>
      </c>
      <c r="H159" s="506">
        <f t="shared" si="15"/>
        <v>-1.8655266226195066E-2</v>
      </c>
      <c r="J159" s="507" t="s">
        <v>267</v>
      </c>
      <c r="K159" s="502">
        <v>46.72</v>
      </c>
      <c r="L159" s="506">
        <f t="shared" si="16"/>
        <v>-2.7748132337247489E-3</v>
      </c>
      <c r="N159" s="507" t="s">
        <v>267</v>
      </c>
      <c r="O159" s="502">
        <v>29.15</v>
      </c>
      <c r="P159" s="506">
        <f t="shared" si="17"/>
        <v>-6.4505776636713752E-2</v>
      </c>
      <c r="R159" s="503">
        <v>44675</v>
      </c>
      <c r="S159" s="502">
        <v>18.77</v>
      </c>
      <c r="T159" s="506">
        <f t="shared" si="18"/>
        <v>-6.9871159563924645E-2</v>
      </c>
      <c r="V159" s="507" t="s">
        <v>267</v>
      </c>
      <c r="W159" s="502">
        <v>11.01</v>
      </c>
      <c r="X159" s="506">
        <f t="shared" si="19"/>
        <v>-0.14452214452214451</v>
      </c>
      <c r="Z159" s="507" t="s">
        <v>267</v>
      </c>
      <c r="AA159" s="522">
        <v>4131.93</v>
      </c>
      <c r="AB159" s="524">
        <f t="shared" si="20"/>
        <v>-3.2738109172288699E-2</v>
      </c>
    </row>
    <row r="160" spans="2:28" x14ac:dyDescent="0.25">
      <c r="B160" s="507" t="s">
        <v>268</v>
      </c>
      <c r="C160" s="502">
        <v>43.69</v>
      </c>
      <c r="D160" s="506">
        <f t="shared" si="14"/>
        <v>3.139754485363544E-2</v>
      </c>
      <c r="F160" s="507" t="s">
        <v>268</v>
      </c>
      <c r="G160" s="521">
        <v>51.46</v>
      </c>
      <c r="H160" s="506">
        <f t="shared" si="15"/>
        <v>0.14026146687347651</v>
      </c>
      <c r="J160" s="507" t="s">
        <v>268</v>
      </c>
      <c r="K160" s="502">
        <v>46.85</v>
      </c>
      <c r="L160" s="506">
        <f t="shared" si="16"/>
        <v>1.9247219846023622E-3</v>
      </c>
      <c r="N160" s="507" t="s">
        <v>268</v>
      </c>
      <c r="O160" s="502">
        <v>31.16</v>
      </c>
      <c r="P160" s="506">
        <f t="shared" si="17"/>
        <v>5.591324974584877E-2</v>
      </c>
      <c r="R160" s="503">
        <v>44668</v>
      </c>
      <c r="S160" s="502">
        <v>20.18</v>
      </c>
      <c r="T160" s="506">
        <f t="shared" si="18"/>
        <v>6.2105263157894663E-2</v>
      </c>
      <c r="V160" s="507" t="s">
        <v>268</v>
      </c>
      <c r="W160" s="502">
        <v>12.87</v>
      </c>
      <c r="X160" s="506">
        <f t="shared" si="19"/>
        <v>7.0422535211267512E-3</v>
      </c>
      <c r="Z160" s="507" t="s">
        <v>268</v>
      </c>
      <c r="AA160" s="522">
        <v>4271.78</v>
      </c>
      <c r="AB160" s="524">
        <f t="shared" si="20"/>
        <v>-2.7503135963065195E-2</v>
      </c>
    </row>
    <row r="161" spans="2:28" x14ac:dyDescent="0.25">
      <c r="B161" s="503">
        <v>44838</v>
      </c>
      <c r="C161" s="502">
        <v>42.36</v>
      </c>
      <c r="D161" s="506">
        <f t="shared" si="14"/>
        <v>0.15296679368535648</v>
      </c>
      <c r="F161" s="503">
        <v>44838</v>
      </c>
      <c r="G161" s="521">
        <v>45.13</v>
      </c>
      <c r="H161" s="506">
        <f t="shared" si="15"/>
        <v>7.5548141086749343E-2</v>
      </c>
      <c r="J161" s="503">
        <v>44838</v>
      </c>
      <c r="K161" s="502">
        <v>46.76</v>
      </c>
      <c r="L161" s="506">
        <f t="shared" si="16"/>
        <v>0.13385063045586798</v>
      </c>
      <c r="N161" s="503">
        <v>44838</v>
      </c>
      <c r="O161" s="502">
        <v>29.51</v>
      </c>
      <c r="P161" s="506">
        <f t="shared" si="17"/>
        <v>6.4574314574314728E-2</v>
      </c>
      <c r="R161" s="503">
        <v>44661</v>
      </c>
      <c r="S161" s="502">
        <v>19</v>
      </c>
      <c r="T161" s="506">
        <f t="shared" si="18"/>
        <v>0.14526823387582888</v>
      </c>
      <c r="V161" s="503">
        <v>44838</v>
      </c>
      <c r="W161" s="502">
        <v>12.78</v>
      </c>
      <c r="X161" s="506">
        <f t="shared" si="19"/>
        <v>7.3949579831932732E-2</v>
      </c>
      <c r="Z161" s="503">
        <v>44838</v>
      </c>
      <c r="AA161" s="522">
        <v>4392.59</v>
      </c>
      <c r="AB161" s="524">
        <f t="shared" si="20"/>
        <v>-2.1319971124796E-2</v>
      </c>
    </row>
    <row r="162" spans="2:28" x14ac:dyDescent="0.25">
      <c r="B162" s="503">
        <v>44624</v>
      </c>
      <c r="C162" s="502">
        <v>36.74</v>
      </c>
      <c r="D162" s="506">
        <f t="shared" si="14"/>
        <v>-6.5377766471635734E-2</v>
      </c>
      <c r="F162" s="503">
        <v>44624</v>
      </c>
      <c r="G162" s="521">
        <v>41.96</v>
      </c>
      <c r="H162" s="506">
        <f t="shared" si="15"/>
        <v>-8.3442551332459591E-2</v>
      </c>
      <c r="J162" s="503">
        <v>44624</v>
      </c>
      <c r="K162" s="502">
        <v>41.24</v>
      </c>
      <c r="L162" s="506">
        <f t="shared" si="16"/>
        <v>-0.10172075800479186</v>
      </c>
      <c r="N162" s="503">
        <v>44624</v>
      </c>
      <c r="O162" s="502">
        <v>27.72</v>
      </c>
      <c r="P162" s="506">
        <f t="shared" si="17"/>
        <v>-4.7749914118859538E-2</v>
      </c>
      <c r="R162" s="503">
        <v>44654</v>
      </c>
      <c r="S162" s="502">
        <v>16.59</v>
      </c>
      <c r="T162" s="506">
        <f t="shared" si="18"/>
        <v>-9.046052631578938E-2</v>
      </c>
      <c r="V162" s="503">
        <v>44624</v>
      </c>
      <c r="W162" s="502">
        <v>11.9</v>
      </c>
      <c r="X162" s="506">
        <f t="shared" si="19"/>
        <v>-0.19594594594594594</v>
      </c>
      <c r="Z162" s="503">
        <v>44624</v>
      </c>
      <c r="AA162" s="522">
        <v>4488.28</v>
      </c>
      <c r="AB162" s="524">
        <f t="shared" si="20"/>
        <v>-1.266647015086253E-2</v>
      </c>
    </row>
    <row r="163" spans="2:28" x14ac:dyDescent="0.25">
      <c r="B163" s="507" t="s">
        <v>269</v>
      </c>
      <c r="C163" s="502">
        <v>39.31</v>
      </c>
      <c r="D163" s="506">
        <f t="shared" si="14"/>
        <v>3.6929570034291981E-2</v>
      </c>
      <c r="F163" s="507" t="s">
        <v>269</v>
      </c>
      <c r="G163" s="521">
        <v>45.78</v>
      </c>
      <c r="H163" s="506">
        <f t="shared" si="15"/>
        <v>6.0213061602593765E-2</v>
      </c>
      <c r="J163" s="507" t="s">
        <v>269</v>
      </c>
      <c r="K163" s="502">
        <v>45.91</v>
      </c>
      <c r="L163" s="506">
        <f t="shared" si="16"/>
        <v>3.4474988733663725E-2</v>
      </c>
      <c r="N163" s="507" t="s">
        <v>269</v>
      </c>
      <c r="O163" s="502">
        <v>29.11</v>
      </c>
      <c r="P163" s="506">
        <f t="shared" si="17"/>
        <v>3.3002129169623862E-2</v>
      </c>
      <c r="R163" s="503">
        <v>44647</v>
      </c>
      <c r="S163" s="502">
        <v>18.239999999999998</v>
      </c>
      <c r="T163" s="506">
        <f t="shared" si="18"/>
        <v>7.2310405643738696E-2</v>
      </c>
      <c r="V163" s="507" t="s">
        <v>269</v>
      </c>
      <c r="W163" s="502">
        <v>14.8</v>
      </c>
      <c r="X163" s="506">
        <f t="shared" si="19"/>
        <v>1.6483516483516425E-2</v>
      </c>
      <c r="Z163" s="507" t="s">
        <v>269</v>
      </c>
      <c r="AA163" s="522">
        <v>4545.8599999999997</v>
      </c>
      <c r="AB163" s="524">
        <f t="shared" si="20"/>
        <v>6.1632467984118477E-4</v>
      </c>
    </row>
    <row r="164" spans="2:28" x14ac:dyDescent="0.25">
      <c r="B164" s="507" t="s">
        <v>270</v>
      </c>
      <c r="C164" s="502">
        <v>37.909999999999997</v>
      </c>
      <c r="D164" s="506">
        <f t="shared" si="14"/>
        <v>6.1040339702760349E-3</v>
      </c>
      <c r="F164" s="507" t="s">
        <v>270</v>
      </c>
      <c r="G164" s="521">
        <v>43.18</v>
      </c>
      <c r="H164" s="506">
        <f t="shared" si="15"/>
        <v>1.9598583234946787E-2</v>
      </c>
      <c r="J164" s="507" t="s">
        <v>270</v>
      </c>
      <c r="K164" s="502">
        <v>44.38</v>
      </c>
      <c r="L164" s="506">
        <f t="shared" si="16"/>
        <v>2.6364477335800274E-2</v>
      </c>
      <c r="N164" s="507" t="s">
        <v>270</v>
      </c>
      <c r="O164" s="502">
        <v>28.18</v>
      </c>
      <c r="P164" s="506">
        <f t="shared" si="17"/>
        <v>3.918774492340571E-3</v>
      </c>
      <c r="R164" s="503">
        <v>44640</v>
      </c>
      <c r="S164" s="502">
        <v>17.010000000000002</v>
      </c>
      <c r="T164" s="506">
        <f t="shared" si="18"/>
        <v>1.552238805970152E-2</v>
      </c>
      <c r="V164" s="507" t="s">
        <v>270</v>
      </c>
      <c r="W164" s="502">
        <v>14.56</v>
      </c>
      <c r="X164" s="506">
        <f t="shared" si="19"/>
        <v>-2.0562028786840214E-3</v>
      </c>
      <c r="Z164" s="507" t="s">
        <v>270</v>
      </c>
      <c r="AA164" s="522">
        <v>4543.0600000000004</v>
      </c>
      <c r="AB164" s="524">
        <f t="shared" si="20"/>
        <v>1.7911236982200984E-2</v>
      </c>
    </row>
    <row r="165" spans="2:28" x14ac:dyDescent="0.25">
      <c r="B165" s="507" t="s">
        <v>271</v>
      </c>
      <c r="C165" s="502">
        <v>37.68</v>
      </c>
      <c r="D165" s="506">
        <f t="shared" si="14"/>
        <v>0.1749298409728719</v>
      </c>
      <c r="F165" s="507" t="s">
        <v>271</v>
      </c>
      <c r="G165" s="521">
        <v>42.35</v>
      </c>
      <c r="H165" s="506">
        <f t="shared" si="15"/>
        <v>0.21451104100946394</v>
      </c>
      <c r="J165" s="507" t="s">
        <v>271</v>
      </c>
      <c r="K165" s="502">
        <v>43.24</v>
      </c>
      <c r="L165" s="506">
        <f t="shared" si="16"/>
        <v>7.4552683896620175E-2</v>
      </c>
      <c r="N165" s="507" t="s">
        <v>271</v>
      </c>
      <c r="O165" s="502">
        <v>28.07</v>
      </c>
      <c r="P165" s="506">
        <f t="shared" si="17"/>
        <v>0.10817212791156749</v>
      </c>
      <c r="R165" s="503">
        <v>44633</v>
      </c>
      <c r="S165" s="502">
        <v>16.75</v>
      </c>
      <c r="T165" s="506">
        <f t="shared" si="18"/>
        <v>0.19472182596291021</v>
      </c>
      <c r="V165" s="507" t="s">
        <v>271</v>
      </c>
      <c r="W165" s="502">
        <v>14.59</v>
      </c>
      <c r="X165" s="506">
        <f t="shared" si="19"/>
        <v>0.15885623510722802</v>
      </c>
      <c r="Z165" s="507" t="s">
        <v>271</v>
      </c>
      <c r="AA165" s="522">
        <v>4463.12</v>
      </c>
      <c r="AB165" s="524">
        <f t="shared" si="20"/>
        <v>6.1558258073262762E-2</v>
      </c>
    </row>
    <row r="166" spans="2:28" x14ac:dyDescent="0.25">
      <c r="B166" s="503">
        <v>44715</v>
      </c>
      <c r="C166" s="502">
        <v>32.07</v>
      </c>
      <c r="D166" s="506">
        <f t="shared" si="14"/>
        <v>-7.0973348783314072E-2</v>
      </c>
      <c r="F166" s="503">
        <v>44715</v>
      </c>
      <c r="G166" s="521">
        <v>34.869999999999997</v>
      </c>
      <c r="H166" s="506">
        <f t="shared" si="15"/>
        <v>-5.0122582402615135E-2</v>
      </c>
      <c r="J166" s="503">
        <v>44715</v>
      </c>
      <c r="K166" s="502">
        <v>40.24</v>
      </c>
      <c r="L166" s="506">
        <f t="shared" si="16"/>
        <v>-1.0816125860373615E-2</v>
      </c>
      <c r="N166" s="503">
        <v>44715</v>
      </c>
      <c r="O166" s="502">
        <v>25.33</v>
      </c>
      <c r="P166" s="506">
        <f t="shared" si="17"/>
        <v>-8.6105675146771476E-3</v>
      </c>
      <c r="R166" s="503">
        <v>44626</v>
      </c>
      <c r="S166" s="502">
        <v>14.02</v>
      </c>
      <c r="T166" s="506">
        <f t="shared" si="18"/>
        <v>-3.9067854694996629E-2</v>
      </c>
      <c r="V166" s="503">
        <v>44715</v>
      </c>
      <c r="W166" s="502">
        <v>12.59</v>
      </c>
      <c r="X166" s="506">
        <f t="shared" si="19"/>
        <v>-4.693414080242253E-2</v>
      </c>
      <c r="Z166" s="503">
        <v>44715</v>
      </c>
      <c r="AA166" s="522">
        <v>4204.3100000000004</v>
      </c>
      <c r="AB166" s="524">
        <f t="shared" si="20"/>
        <v>-2.8774252865066297E-2</v>
      </c>
    </row>
    <row r="167" spans="2:28" x14ac:dyDescent="0.25">
      <c r="B167" s="507" t="s">
        <v>272</v>
      </c>
      <c r="C167" s="502">
        <v>34.520000000000003</v>
      </c>
      <c r="D167" s="506">
        <f t="shared" si="14"/>
        <v>-0.16899374097255648</v>
      </c>
      <c r="F167" s="507" t="s">
        <v>272</v>
      </c>
      <c r="G167" s="521">
        <v>36.71</v>
      </c>
      <c r="H167" s="506">
        <f t="shared" si="15"/>
        <v>-0.19934569247546352</v>
      </c>
      <c r="J167" s="507" t="s">
        <v>272</v>
      </c>
      <c r="K167" s="502">
        <v>40.68</v>
      </c>
      <c r="L167" s="506">
        <f t="shared" si="16"/>
        <v>-9.880372175454144E-2</v>
      </c>
      <c r="N167" s="507" t="s">
        <v>272</v>
      </c>
      <c r="O167" s="502">
        <v>25.55</v>
      </c>
      <c r="P167" s="506">
        <f t="shared" si="17"/>
        <v>-0.11866160745084509</v>
      </c>
      <c r="R167" s="503">
        <v>44619</v>
      </c>
      <c r="S167" s="502">
        <v>14.59</v>
      </c>
      <c r="T167" s="506">
        <f t="shared" si="18"/>
        <v>-0.16437571592210776</v>
      </c>
      <c r="V167" s="507" t="s">
        <v>272</v>
      </c>
      <c r="W167" s="502">
        <v>13.21</v>
      </c>
      <c r="X167" s="506">
        <f t="shared" si="19"/>
        <v>-0.14884020618556693</v>
      </c>
      <c r="Z167" s="507" t="s">
        <v>272</v>
      </c>
      <c r="AA167" s="522">
        <v>4328.87</v>
      </c>
      <c r="AB167" s="524">
        <f t="shared" si="20"/>
        <v>-1.2721653951854761E-2</v>
      </c>
    </row>
    <row r="168" spans="2:28" x14ac:dyDescent="0.25">
      <c r="B168" s="507" t="s">
        <v>273</v>
      </c>
      <c r="C168" s="502">
        <v>41.54</v>
      </c>
      <c r="D168" s="506">
        <f t="shared" si="14"/>
        <v>-3.0345471521942224E-2</v>
      </c>
      <c r="F168" s="507" t="s">
        <v>273</v>
      </c>
      <c r="G168" s="521">
        <v>45.85</v>
      </c>
      <c r="H168" s="506">
        <f t="shared" si="15"/>
        <v>-3.3312249631035185E-2</v>
      </c>
      <c r="J168" s="507" t="s">
        <v>273</v>
      </c>
      <c r="K168" s="502">
        <v>45.14</v>
      </c>
      <c r="L168" s="506">
        <f t="shared" si="16"/>
        <v>-1.8268812527185707E-2</v>
      </c>
      <c r="N168" s="507" t="s">
        <v>273</v>
      </c>
      <c r="O168" s="502">
        <v>28.99</v>
      </c>
      <c r="P168" s="506">
        <f t="shared" si="17"/>
        <v>-3.5274542429284628E-2</v>
      </c>
      <c r="R168" s="503">
        <v>44612</v>
      </c>
      <c r="S168" s="502">
        <v>17.46</v>
      </c>
      <c r="T168" s="506">
        <f t="shared" si="18"/>
        <v>-2.2943480693900398E-2</v>
      </c>
      <c r="V168" s="507" t="s">
        <v>273</v>
      </c>
      <c r="W168" s="502">
        <v>15.52</v>
      </c>
      <c r="X168" s="506">
        <f t="shared" si="19"/>
        <v>1.290322580645098E-3</v>
      </c>
      <c r="Z168" s="507" t="s">
        <v>273</v>
      </c>
      <c r="AA168" s="522">
        <v>4384.6499999999996</v>
      </c>
      <c r="AB168" s="524">
        <f t="shared" si="20"/>
        <v>8.2274245953546377E-3</v>
      </c>
    </row>
    <row r="169" spans="2:28" x14ac:dyDescent="0.25">
      <c r="B169" s="507" t="s">
        <v>274</v>
      </c>
      <c r="C169" s="502">
        <v>42.84</v>
      </c>
      <c r="D169" s="506">
        <f t="shared" si="14"/>
        <v>1.2048192771084487E-2</v>
      </c>
      <c r="F169" s="507" t="s">
        <v>274</v>
      </c>
      <c r="G169" s="521">
        <v>47.43</v>
      </c>
      <c r="H169" s="506">
        <f t="shared" si="15"/>
        <v>9.7934852033212394E-3</v>
      </c>
      <c r="J169" s="507" t="s">
        <v>274</v>
      </c>
      <c r="K169" s="502">
        <v>45.98</v>
      </c>
      <c r="L169" s="506">
        <f t="shared" si="16"/>
        <v>9.8835932352294709E-3</v>
      </c>
      <c r="N169" s="507" t="s">
        <v>274</v>
      </c>
      <c r="O169" s="502">
        <v>30.05</v>
      </c>
      <c r="P169" s="506">
        <f t="shared" si="17"/>
        <v>-6.1230865354576669E-2</v>
      </c>
      <c r="R169" s="503">
        <v>44605</v>
      </c>
      <c r="S169" s="502">
        <v>17.87</v>
      </c>
      <c r="T169" s="506">
        <f t="shared" si="18"/>
        <v>1.4764338444065883E-2</v>
      </c>
      <c r="V169" s="507" t="s">
        <v>274</v>
      </c>
      <c r="W169" s="502">
        <v>15.5</v>
      </c>
      <c r="X169" s="506">
        <f t="shared" si="19"/>
        <v>2.1080368906455815E-2</v>
      </c>
      <c r="Z169" s="507" t="s">
        <v>274</v>
      </c>
      <c r="AA169" s="522">
        <v>4348.87</v>
      </c>
      <c r="AB169" s="524">
        <f t="shared" si="20"/>
        <v>-1.5789926312168578E-2</v>
      </c>
    </row>
    <row r="170" spans="2:28" x14ac:dyDescent="0.25">
      <c r="B170" s="503">
        <v>44714</v>
      </c>
      <c r="C170" s="502">
        <v>42.33</v>
      </c>
      <c r="D170" s="506">
        <f t="shared" si="14"/>
        <v>6.2233375156838022E-2</v>
      </c>
      <c r="F170" s="503">
        <v>44714</v>
      </c>
      <c r="G170" s="521">
        <v>46.97</v>
      </c>
      <c r="H170" s="506">
        <f t="shared" si="15"/>
        <v>9.6917328351237675E-2</v>
      </c>
      <c r="J170" s="503">
        <v>44714</v>
      </c>
      <c r="K170" s="502">
        <v>45.53</v>
      </c>
      <c r="L170" s="506">
        <f t="shared" si="16"/>
        <v>4.2830966559780137E-2</v>
      </c>
      <c r="N170" s="503">
        <v>44714</v>
      </c>
      <c r="O170" s="502">
        <v>32.01</v>
      </c>
      <c r="P170" s="506">
        <f t="shared" si="17"/>
        <v>8.6189345096708392E-2</v>
      </c>
      <c r="R170" s="503">
        <v>44598</v>
      </c>
      <c r="S170" s="502">
        <v>17.61</v>
      </c>
      <c r="T170" s="506">
        <f t="shared" si="18"/>
        <v>7.0516717325227907E-2</v>
      </c>
      <c r="V170" s="503">
        <v>44714</v>
      </c>
      <c r="W170" s="502">
        <v>15.18</v>
      </c>
      <c r="X170" s="506">
        <f t="shared" si="19"/>
        <v>4.8342541436463993E-2</v>
      </c>
      <c r="Z170" s="503">
        <v>44714</v>
      </c>
      <c r="AA170" s="522">
        <v>4418.6400000000003</v>
      </c>
      <c r="AB170" s="524">
        <f t="shared" si="20"/>
        <v>-1.8195634736353106E-2</v>
      </c>
    </row>
    <row r="171" spans="2:28" x14ac:dyDescent="0.25">
      <c r="B171" s="507" t="s">
        <v>275</v>
      </c>
      <c r="C171" s="502">
        <v>39.85</v>
      </c>
      <c r="D171" s="506">
        <f t="shared" si="14"/>
        <v>4.1013584117032487E-2</v>
      </c>
      <c r="F171" s="507" t="s">
        <v>275</v>
      </c>
      <c r="G171" s="521">
        <v>42.82</v>
      </c>
      <c r="H171" s="506">
        <f t="shared" si="15"/>
        <v>4.6687851381080447E-2</v>
      </c>
      <c r="J171" s="507" t="s">
        <v>275</v>
      </c>
      <c r="K171" s="502">
        <v>43.66</v>
      </c>
      <c r="L171" s="506">
        <f t="shared" si="16"/>
        <v>1.7004425809457269E-2</v>
      </c>
      <c r="N171" s="507" t="s">
        <v>275</v>
      </c>
      <c r="O171" s="502">
        <v>29.47</v>
      </c>
      <c r="P171" s="506">
        <f t="shared" si="17"/>
        <v>-0.20480302212628176</v>
      </c>
      <c r="R171" s="503">
        <v>44591</v>
      </c>
      <c r="S171" s="502">
        <v>16.45</v>
      </c>
      <c r="T171" s="506">
        <f t="shared" si="18"/>
        <v>5.1790281329923138E-2</v>
      </c>
      <c r="V171" s="507" t="s">
        <v>275</v>
      </c>
      <c r="W171" s="502">
        <v>14.48</v>
      </c>
      <c r="X171" s="506">
        <f t="shared" si="19"/>
        <v>4.1726618705036023E-2</v>
      </c>
      <c r="Z171" s="507" t="s">
        <v>275</v>
      </c>
      <c r="AA171" s="522">
        <v>4500.53</v>
      </c>
      <c r="AB171" s="524">
        <f t="shared" si="20"/>
        <v>1.5496914381127436E-2</v>
      </c>
    </row>
    <row r="172" spans="2:28" x14ac:dyDescent="0.25">
      <c r="B172" s="507" t="s">
        <v>276</v>
      </c>
      <c r="C172" s="502">
        <v>38.28</v>
      </c>
      <c r="D172" s="506">
        <f t="shared" si="14"/>
        <v>1.109350237717921E-2</v>
      </c>
      <c r="F172" s="507" t="s">
        <v>276</v>
      </c>
      <c r="G172" s="521">
        <v>40.909999999999997</v>
      </c>
      <c r="H172" s="506">
        <f t="shared" si="15"/>
        <v>-1.776710684273719E-2</v>
      </c>
      <c r="J172" s="507" t="s">
        <v>276</v>
      </c>
      <c r="K172" s="502">
        <v>42.93</v>
      </c>
      <c r="L172" s="506">
        <f t="shared" si="16"/>
        <v>-1.0145261701636987E-2</v>
      </c>
      <c r="N172" s="507" t="s">
        <v>276</v>
      </c>
      <c r="O172" s="502">
        <v>37.06</v>
      </c>
      <c r="P172" s="506">
        <f t="shared" si="17"/>
        <v>-2.9334730225248795E-2</v>
      </c>
      <c r="R172" s="503">
        <v>44584</v>
      </c>
      <c r="S172" s="502">
        <v>15.64</v>
      </c>
      <c r="T172" s="506">
        <f t="shared" si="18"/>
        <v>-4.0490797546012258E-2</v>
      </c>
      <c r="V172" s="507" t="s">
        <v>276</v>
      </c>
      <c r="W172" s="502">
        <v>13.9</v>
      </c>
      <c r="X172" s="506">
        <f t="shared" si="19"/>
        <v>9.4408133623820056E-3</v>
      </c>
      <c r="Z172" s="507" t="s">
        <v>276</v>
      </c>
      <c r="AA172" s="522">
        <v>4431.8500000000004</v>
      </c>
      <c r="AB172" s="524">
        <f t="shared" si="20"/>
        <v>7.7104280640483136E-3</v>
      </c>
    </row>
    <row r="173" spans="2:28" x14ac:dyDescent="0.25">
      <c r="B173" s="507" t="s">
        <v>277</v>
      </c>
      <c r="C173" s="502">
        <v>37.86</v>
      </c>
      <c r="D173" s="506">
        <f t="shared" si="14"/>
        <v>-6.0778963036467459E-2</v>
      </c>
      <c r="F173" s="507" t="s">
        <v>277</v>
      </c>
      <c r="G173" s="521">
        <v>41.65</v>
      </c>
      <c r="H173" s="506">
        <f t="shared" si="15"/>
        <v>-0.10890029952931113</v>
      </c>
      <c r="J173" s="507" t="s">
        <v>277</v>
      </c>
      <c r="K173" s="502">
        <v>43.37</v>
      </c>
      <c r="L173" s="506">
        <f t="shared" si="16"/>
        <v>-5.3470100392841613E-2</v>
      </c>
      <c r="N173" s="507" t="s">
        <v>277</v>
      </c>
      <c r="O173" s="502">
        <v>38.18</v>
      </c>
      <c r="P173" s="506">
        <f t="shared" si="17"/>
        <v>-8.2872928176795591E-2</v>
      </c>
      <c r="R173" s="503">
        <v>44577</v>
      </c>
      <c r="S173" s="502">
        <v>16.3</v>
      </c>
      <c r="T173" s="506">
        <f t="shared" si="18"/>
        <v>-0.11844240129799877</v>
      </c>
      <c r="V173" s="507" t="s">
        <v>277</v>
      </c>
      <c r="W173" s="502">
        <v>13.77</v>
      </c>
      <c r="X173" s="506">
        <f t="shared" si="19"/>
        <v>-7.2727272727272751E-2</v>
      </c>
      <c r="Z173" s="507" t="s">
        <v>277</v>
      </c>
      <c r="AA173" s="522">
        <v>4397.9399999999996</v>
      </c>
      <c r="AB173" s="524">
        <f t="shared" si="20"/>
        <v>-5.6812893402104048E-2</v>
      </c>
    </row>
    <row r="174" spans="2:28" x14ac:dyDescent="0.25">
      <c r="B174" s="503">
        <v>44805</v>
      </c>
      <c r="C174" s="502">
        <v>40.31</v>
      </c>
      <c r="D174" s="506">
        <f t="shared" si="14"/>
        <v>-2.8908696699590397E-2</v>
      </c>
      <c r="F174" s="503">
        <v>44805</v>
      </c>
      <c r="G174" s="521">
        <v>46.74</v>
      </c>
      <c r="H174" s="506">
        <f t="shared" si="15"/>
        <v>-1.2048192771084376E-2</v>
      </c>
      <c r="J174" s="503">
        <v>44805</v>
      </c>
      <c r="K174" s="502">
        <v>45.82</v>
      </c>
      <c r="L174" s="506">
        <f t="shared" si="16"/>
        <v>1.036383682469677E-2</v>
      </c>
      <c r="N174" s="503">
        <v>44805</v>
      </c>
      <c r="O174" s="502">
        <v>41.63</v>
      </c>
      <c r="P174" s="506">
        <f t="shared" si="17"/>
        <v>9.7016735386854513E-3</v>
      </c>
      <c r="R174" s="503">
        <v>44570</v>
      </c>
      <c r="S174" s="502">
        <v>18.489999999999998</v>
      </c>
      <c r="T174" s="506">
        <f t="shared" si="18"/>
        <v>-4.0975103734440022E-2</v>
      </c>
      <c r="V174" s="503">
        <v>44805</v>
      </c>
      <c r="W174" s="502">
        <v>14.85</v>
      </c>
      <c r="X174" s="506">
        <f t="shared" si="19"/>
        <v>-1.7207147584381244E-2</v>
      </c>
      <c r="Z174" s="503">
        <v>44805</v>
      </c>
      <c r="AA174" s="522">
        <v>4662.8500000000004</v>
      </c>
      <c r="AB174" s="524">
        <f t="shared" si="20"/>
        <v>-3.0318385813217219E-3</v>
      </c>
    </row>
    <row r="175" spans="2:28" x14ac:dyDescent="0.25">
      <c r="B175" s="503">
        <v>44593</v>
      </c>
      <c r="C175" s="502">
        <v>41.51</v>
      </c>
      <c r="D175" s="506">
        <f t="shared" si="14"/>
        <v>6.2180143295803569E-2</v>
      </c>
      <c r="F175" s="503">
        <v>44593</v>
      </c>
      <c r="G175" s="521">
        <v>47.31</v>
      </c>
      <c r="H175" s="506">
        <f t="shared" si="15"/>
        <v>8.063042485153038E-2</v>
      </c>
      <c r="J175" s="503">
        <v>44593</v>
      </c>
      <c r="K175" s="502">
        <v>45.35</v>
      </c>
      <c r="L175" s="506">
        <f t="shared" si="16"/>
        <v>5.859010270774978E-2</v>
      </c>
      <c r="N175" s="503">
        <v>44593</v>
      </c>
      <c r="O175" s="502">
        <v>41.23</v>
      </c>
      <c r="P175" s="506">
        <f t="shared" si="17"/>
        <v>4.9109414758269798E-2</v>
      </c>
      <c r="R175" s="503">
        <v>44563</v>
      </c>
      <c r="S175" s="502">
        <v>19.28</v>
      </c>
      <c r="T175" s="506">
        <f t="shared" si="18"/>
        <v>7.3496659242761719E-2</v>
      </c>
      <c r="V175" s="503">
        <v>44593</v>
      </c>
      <c r="W175" s="502">
        <v>15.11</v>
      </c>
      <c r="X175" s="506">
        <f t="shared" si="19"/>
        <v>6.1095505617977386E-2</v>
      </c>
      <c r="Z175" s="503">
        <v>44593</v>
      </c>
      <c r="AA175" s="522">
        <v>4677.03</v>
      </c>
      <c r="AB175" s="524">
        <f t="shared" si="20"/>
        <v>-1.8704706914132618E-2</v>
      </c>
    </row>
    <row r="176" spans="2:28" x14ac:dyDescent="0.25">
      <c r="B176" s="507" t="s">
        <v>278</v>
      </c>
      <c r="C176" s="502">
        <v>39.08</v>
      </c>
      <c r="D176" s="506">
        <f t="shared" si="14"/>
        <v>-5.5979643765903253E-3</v>
      </c>
      <c r="F176" s="507" t="s">
        <v>278</v>
      </c>
      <c r="G176" s="521">
        <v>43.78</v>
      </c>
      <c r="H176" s="506">
        <f t="shared" si="15"/>
        <v>-2.4292400267439174E-2</v>
      </c>
      <c r="J176" s="507" t="s">
        <v>278</v>
      </c>
      <c r="K176" s="502">
        <v>42.84</v>
      </c>
      <c r="L176" s="506">
        <f t="shared" si="16"/>
        <v>2.3166945306902553E-2</v>
      </c>
      <c r="N176" s="507" t="s">
        <v>278</v>
      </c>
      <c r="O176" s="502">
        <v>39.299999999999997</v>
      </c>
      <c r="P176" s="506">
        <f t="shared" si="17"/>
        <v>-4.7272727272727355E-2</v>
      </c>
      <c r="R176" s="503">
        <v>44556</v>
      </c>
      <c r="S176" s="502">
        <v>17.96</v>
      </c>
      <c r="T176" s="506">
        <f t="shared" si="18"/>
        <v>-1.6429353778751432E-2</v>
      </c>
      <c r="V176" s="507" t="s">
        <v>278</v>
      </c>
      <c r="W176" s="502">
        <v>14.24</v>
      </c>
      <c r="X176" s="506">
        <f t="shared" si="19"/>
        <v>-2.9311520109066125E-2</v>
      </c>
      <c r="Z176" s="507" t="s">
        <v>278</v>
      </c>
      <c r="AA176" s="522">
        <v>4766.18</v>
      </c>
      <c r="AB176" s="524">
        <f t="shared" si="20"/>
        <v>8.5467191728791914E-3</v>
      </c>
    </row>
    <row r="177" spans="2:28" x14ac:dyDescent="0.25">
      <c r="B177" s="507" t="s">
        <v>279</v>
      </c>
      <c r="C177" s="502">
        <v>39.299999999999997</v>
      </c>
      <c r="D177" s="506">
        <f t="shared" si="14"/>
        <v>7.4945295404813761E-2</v>
      </c>
      <c r="F177" s="507" t="s">
        <v>279</v>
      </c>
      <c r="G177" s="521">
        <v>44.87</v>
      </c>
      <c r="H177" s="506">
        <f t="shared" si="15"/>
        <v>0.10029426189308466</v>
      </c>
      <c r="J177" s="507" t="s">
        <v>279</v>
      </c>
      <c r="K177" s="502">
        <v>41.87</v>
      </c>
      <c r="L177" s="506">
        <f t="shared" si="16"/>
        <v>5.5723651033787291E-2</v>
      </c>
      <c r="N177" s="507" t="s">
        <v>279</v>
      </c>
      <c r="O177" s="502">
        <v>41.25</v>
      </c>
      <c r="P177" s="506">
        <f t="shared" si="17"/>
        <v>8.296140719348899E-2</v>
      </c>
      <c r="R177" s="503">
        <v>44549</v>
      </c>
      <c r="S177" s="502">
        <v>18.260000000000002</v>
      </c>
      <c r="T177" s="506">
        <f t="shared" si="18"/>
        <v>7.7286135693215519E-2</v>
      </c>
      <c r="V177" s="507" t="s">
        <v>279</v>
      </c>
      <c r="W177" s="502">
        <v>14.67</v>
      </c>
      <c r="X177" s="506">
        <f t="shared" si="19"/>
        <v>5.4636951833213487E-2</v>
      </c>
      <c r="Z177" s="507" t="s">
        <v>279</v>
      </c>
      <c r="AA177" s="522">
        <v>4725.79</v>
      </c>
      <c r="AB177" s="524">
        <f t="shared" si="20"/>
        <v>2.2756587831988639E-2</v>
      </c>
    </row>
    <row r="178" spans="2:28" x14ac:dyDescent="0.25">
      <c r="B178" s="503">
        <v>44542</v>
      </c>
      <c r="C178" s="502">
        <v>36.56</v>
      </c>
      <c r="D178" s="506">
        <f t="shared" si="14"/>
        <v>-4.2430591932949069E-2</v>
      </c>
      <c r="F178" s="503">
        <v>44542</v>
      </c>
      <c r="G178" s="521">
        <v>40.78</v>
      </c>
      <c r="H178" s="506">
        <f t="shared" si="15"/>
        <v>-7.4233825198637859E-2</v>
      </c>
      <c r="J178" s="503">
        <v>44542</v>
      </c>
      <c r="K178" s="502">
        <v>39.659999999999997</v>
      </c>
      <c r="L178" s="506">
        <f t="shared" si="16"/>
        <v>-5.5039313795568368E-2</v>
      </c>
      <c r="N178" s="503">
        <v>44542</v>
      </c>
      <c r="O178" s="502">
        <v>38.090000000000003</v>
      </c>
      <c r="P178" s="506">
        <f t="shared" si="17"/>
        <v>-6.8476400097823409E-2</v>
      </c>
      <c r="R178" s="503">
        <v>44542</v>
      </c>
      <c r="S178" s="502">
        <v>16.95</v>
      </c>
      <c r="T178" s="506">
        <f t="shared" si="18"/>
        <v>-5.8856191004997394E-2</v>
      </c>
      <c r="V178" s="503">
        <v>44542</v>
      </c>
      <c r="W178" s="502">
        <v>13.91</v>
      </c>
      <c r="X178" s="506">
        <f t="shared" si="19"/>
        <v>-3.0662020905923293E-2</v>
      </c>
      <c r="Z178" s="503">
        <v>44542</v>
      </c>
      <c r="AA178" s="522">
        <v>4620.6400000000003</v>
      </c>
      <c r="AB178" s="524">
        <f t="shared" si="20"/>
        <v>-1.9392956736176914E-2</v>
      </c>
    </row>
    <row r="179" spans="2:28" x14ac:dyDescent="0.25">
      <c r="B179" s="503">
        <v>44328</v>
      </c>
      <c r="C179" s="502">
        <v>38.18</v>
      </c>
      <c r="D179" s="506">
        <f t="shared" si="14"/>
        <v>6.1145080600333523E-2</v>
      </c>
      <c r="F179" s="503">
        <v>44328</v>
      </c>
      <c r="G179" s="521">
        <v>44.05</v>
      </c>
      <c r="H179" s="506">
        <f t="shared" si="15"/>
        <v>8.4708199950751073E-2</v>
      </c>
      <c r="J179" s="503">
        <v>44328</v>
      </c>
      <c r="K179" s="502">
        <v>41.97</v>
      </c>
      <c r="L179" s="506">
        <f t="shared" si="16"/>
        <v>-5.2168021680216836E-2</v>
      </c>
      <c r="N179" s="503">
        <v>44328</v>
      </c>
      <c r="O179" s="502">
        <v>40.89</v>
      </c>
      <c r="P179" s="506">
        <f t="shared" si="17"/>
        <v>5.2238805970149294E-2</v>
      </c>
      <c r="R179" s="503">
        <v>44535</v>
      </c>
      <c r="S179" s="502">
        <v>18.010000000000002</v>
      </c>
      <c r="T179" s="506">
        <f t="shared" si="18"/>
        <v>8.3634175691937429E-2</v>
      </c>
      <c r="V179" s="503">
        <v>44328</v>
      </c>
      <c r="W179" s="502">
        <v>14.35</v>
      </c>
      <c r="X179" s="506">
        <f t="shared" si="19"/>
        <v>5.5147058823529438E-2</v>
      </c>
      <c r="Z179" s="503">
        <v>44328</v>
      </c>
      <c r="AA179" s="522">
        <v>4712.0200000000004</v>
      </c>
      <c r="AB179" s="524">
        <f t="shared" si="20"/>
        <v>3.8248909865305825E-2</v>
      </c>
    </row>
    <row r="180" spans="2:28" x14ac:dyDescent="0.25">
      <c r="B180" s="507" t="s">
        <v>280</v>
      </c>
      <c r="C180" s="502">
        <v>35.979999999999997</v>
      </c>
      <c r="D180" s="506">
        <f t="shared" si="14"/>
        <v>-1.0995052226498214E-2</v>
      </c>
      <c r="F180" s="507" t="s">
        <v>280</v>
      </c>
      <c r="G180" s="521">
        <v>40.61</v>
      </c>
      <c r="H180" s="506">
        <f t="shared" si="15"/>
        <v>-3.9044013251301468E-2</v>
      </c>
      <c r="J180" s="507" t="s">
        <v>280</v>
      </c>
      <c r="K180" s="502">
        <v>44.28</v>
      </c>
      <c r="L180" s="506">
        <f t="shared" si="16"/>
        <v>-1.5124555160142328E-2</v>
      </c>
      <c r="N180" s="507" t="s">
        <v>280</v>
      </c>
      <c r="O180" s="502">
        <v>38.86</v>
      </c>
      <c r="P180" s="506">
        <f t="shared" si="17"/>
        <v>-5.3580126643935744E-2</v>
      </c>
      <c r="R180" s="503">
        <v>44528</v>
      </c>
      <c r="S180" s="502">
        <v>16.62</v>
      </c>
      <c r="T180" s="506">
        <f t="shared" si="18"/>
        <v>-6.3661971830985875E-2</v>
      </c>
      <c r="V180" s="507" t="s">
        <v>280</v>
      </c>
      <c r="W180" s="502">
        <v>13.6</v>
      </c>
      <c r="X180" s="506">
        <f t="shared" si="19"/>
        <v>-1.468428781204123E-3</v>
      </c>
      <c r="Z180" s="507" t="s">
        <v>280</v>
      </c>
      <c r="AA180" s="522">
        <v>4538.43</v>
      </c>
      <c r="AB180" s="524">
        <f t="shared" si="20"/>
        <v>-1.2229520613238898E-2</v>
      </c>
    </row>
    <row r="181" spans="2:28" x14ac:dyDescent="0.25">
      <c r="B181" s="507" t="s">
        <v>281</v>
      </c>
      <c r="C181" s="502">
        <v>36.380000000000003</v>
      </c>
      <c r="D181" s="506">
        <f t="shared" si="14"/>
        <v>-8.3396321491559511E-2</v>
      </c>
      <c r="F181" s="507" t="s">
        <v>281</v>
      </c>
      <c r="G181" s="521">
        <v>42.26</v>
      </c>
      <c r="H181" s="506">
        <f t="shared" si="15"/>
        <v>-8.3495987855129017E-2</v>
      </c>
      <c r="J181" s="507" t="s">
        <v>281</v>
      </c>
      <c r="K181" s="502">
        <v>44.96</v>
      </c>
      <c r="L181" s="506">
        <f t="shared" si="16"/>
        <v>-3.99316677343583E-2</v>
      </c>
      <c r="N181" s="507" t="s">
        <v>281</v>
      </c>
      <c r="O181" s="502">
        <v>41.06</v>
      </c>
      <c r="P181" s="506">
        <f t="shared" si="17"/>
        <v>-5.9335624284077793E-2</v>
      </c>
      <c r="R181" s="503">
        <v>44521</v>
      </c>
      <c r="S181" s="502">
        <v>17.75</v>
      </c>
      <c r="T181" s="506">
        <f t="shared" si="18"/>
        <v>-7.9356846473029097E-2</v>
      </c>
      <c r="V181" s="507" t="s">
        <v>281</v>
      </c>
      <c r="W181" s="502">
        <v>13.62</v>
      </c>
      <c r="X181" s="506">
        <f t="shared" si="19"/>
        <v>-5.4166666666666696E-2</v>
      </c>
      <c r="Z181" s="507" t="s">
        <v>281</v>
      </c>
      <c r="AA181" s="522">
        <v>4594.62</v>
      </c>
      <c r="AB181" s="524">
        <f t="shared" si="20"/>
        <v>-2.1996781581792968E-2</v>
      </c>
    </row>
    <row r="182" spans="2:28" x14ac:dyDescent="0.25">
      <c r="B182" s="507" t="s">
        <v>282</v>
      </c>
      <c r="C182" s="502">
        <v>39.69</v>
      </c>
      <c r="D182" s="506">
        <f t="shared" si="14"/>
        <v>-5.992420653718622E-2</v>
      </c>
      <c r="F182" s="507" t="s">
        <v>282</v>
      </c>
      <c r="G182" s="521">
        <v>46.11</v>
      </c>
      <c r="H182" s="506">
        <f t="shared" si="15"/>
        <v>-7.4653822998193786E-2</v>
      </c>
      <c r="J182" s="507" t="s">
        <v>282</v>
      </c>
      <c r="K182" s="502">
        <v>46.83</v>
      </c>
      <c r="L182" s="506">
        <f t="shared" si="16"/>
        <v>-3.2837670384138873E-2</v>
      </c>
      <c r="N182" s="507" t="s">
        <v>282</v>
      </c>
      <c r="O182" s="502">
        <v>43.65</v>
      </c>
      <c r="P182" s="506">
        <f t="shared" si="17"/>
        <v>-8.8536228857799215E-2</v>
      </c>
      <c r="R182" s="503">
        <v>44514</v>
      </c>
      <c r="S182" s="502">
        <v>19.28</v>
      </c>
      <c r="T182" s="506">
        <f t="shared" si="18"/>
        <v>-4.9778215869886511E-2</v>
      </c>
      <c r="V182" s="507" t="s">
        <v>282</v>
      </c>
      <c r="W182" s="502">
        <v>14.4</v>
      </c>
      <c r="X182" s="506">
        <f t="shared" si="19"/>
        <v>-5.0131926121372072E-2</v>
      </c>
      <c r="Z182" s="507" t="s">
        <v>282</v>
      </c>
      <c r="AA182" s="522">
        <v>4697.96</v>
      </c>
      <c r="AB182" s="524">
        <f t="shared" si="20"/>
        <v>3.2266675208472151E-3</v>
      </c>
    </row>
    <row r="183" spans="2:28" x14ac:dyDescent="0.25">
      <c r="B183" s="503">
        <v>44388</v>
      </c>
      <c r="C183" s="502">
        <v>42.22</v>
      </c>
      <c r="D183" s="506">
        <f t="shared" si="14"/>
        <v>-4.6737412508466969E-2</v>
      </c>
      <c r="F183" s="503">
        <v>44388</v>
      </c>
      <c r="G183" s="521">
        <v>49.83</v>
      </c>
      <c r="H183" s="506">
        <f t="shared" si="15"/>
        <v>-5.4638588503130414E-2</v>
      </c>
      <c r="J183" s="503">
        <v>44388</v>
      </c>
      <c r="K183" s="502">
        <v>48.42</v>
      </c>
      <c r="L183" s="506">
        <f t="shared" si="16"/>
        <v>-7.294658242389418E-2</v>
      </c>
      <c r="N183" s="503">
        <v>44388</v>
      </c>
      <c r="O183" s="502">
        <v>47.89</v>
      </c>
      <c r="P183" s="506">
        <f t="shared" si="17"/>
        <v>-2.9584599797365718E-2</v>
      </c>
      <c r="R183" s="503">
        <v>44507</v>
      </c>
      <c r="S183" s="502">
        <v>20.29</v>
      </c>
      <c r="T183" s="506">
        <f t="shared" si="18"/>
        <v>-7.0119156736938693E-2</v>
      </c>
      <c r="V183" s="503">
        <v>44388</v>
      </c>
      <c r="W183" s="502">
        <v>15.16</v>
      </c>
      <c r="X183" s="506">
        <f t="shared" si="19"/>
        <v>-5.9553349875930528E-2</v>
      </c>
      <c r="Z183" s="503">
        <v>44388</v>
      </c>
      <c r="AA183" s="522">
        <v>4682.8500000000004</v>
      </c>
      <c r="AB183" s="524">
        <f t="shared" si="20"/>
        <v>-3.1250465670255023E-3</v>
      </c>
    </row>
    <row r="184" spans="2:28" x14ac:dyDescent="0.25">
      <c r="B184" s="507" t="s">
        <v>283</v>
      </c>
      <c r="C184" s="502">
        <v>44.29</v>
      </c>
      <c r="D184" s="506">
        <f t="shared" si="14"/>
        <v>0.13186813186813184</v>
      </c>
      <c r="F184" s="507" t="s">
        <v>283</v>
      </c>
      <c r="G184" s="521">
        <v>52.71</v>
      </c>
      <c r="H184" s="506">
        <f t="shared" si="15"/>
        <v>0.14239271781534457</v>
      </c>
      <c r="J184" s="507" t="s">
        <v>283</v>
      </c>
      <c r="K184" s="502">
        <v>52.23</v>
      </c>
      <c r="L184" s="506">
        <f t="shared" si="16"/>
        <v>0.10469543147208116</v>
      </c>
      <c r="N184" s="507" t="s">
        <v>283</v>
      </c>
      <c r="O184" s="502">
        <v>49.35</v>
      </c>
      <c r="P184" s="506">
        <f t="shared" si="17"/>
        <v>0.14687427376249129</v>
      </c>
      <c r="R184" s="503">
        <v>44500</v>
      </c>
      <c r="S184" s="502">
        <v>21.82</v>
      </c>
      <c r="T184" s="506">
        <f t="shared" si="18"/>
        <v>0.13645833333333335</v>
      </c>
      <c r="V184" s="507" t="s">
        <v>283</v>
      </c>
      <c r="W184" s="502">
        <v>16.12</v>
      </c>
      <c r="X184" s="506">
        <f t="shared" si="19"/>
        <v>0.14896650035637937</v>
      </c>
      <c r="Z184" s="507" t="s">
        <v>283</v>
      </c>
      <c r="AA184" s="522">
        <v>4697.53</v>
      </c>
      <c r="AB184" s="524">
        <f t="shared" si="20"/>
        <v>2.0009206623557541E-2</v>
      </c>
    </row>
    <row r="185" spans="2:28" x14ac:dyDescent="0.25">
      <c r="B185" s="507" t="s">
        <v>284</v>
      </c>
      <c r="C185" s="502">
        <v>39.130000000000003</v>
      </c>
      <c r="D185" s="506">
        <f t="shared" si="14"/>
        <v>-1.5349773527931543E-2</v>
      </c>
      <c r="F185" s="507" t="s">
        <v>284</v>
      </c>
      <c r="G185" s="521">
        <v>46.14</v>
      </c>
      <c r="H185" s="506">
        <f t="shared" si="15"/>
        <v>-1.2625722234110737E-2</v>
      </c>
      <c r="J185" s="507" t="s">
        <v>284</v>
      </c>
      <c r="K185" s="502">
        <v>47.28</v>
      </c>
      <c r="L185" s="506">
        <f t="shared" si="16"/>
        <v>-7.3483098887255904E-3</v>
      </c>
      <c r="N185" s="507" t="s">
        <v>284</v>
      </c>
      <c r="O185" s="502">
        <v>43.03</v>
      </c>
      <c r="P185" s="506">
        <f t="shared" si="17"/>
        <v>-7.7401372212692943E-2</v>
      </c>
      <c r="R185" s="503">
        <v>44493</v>
      </c>
      <c r="S185" s="502">
        <v>19.2</v>
      </c>
      <c r="T185" s="506">
        <f t="shared" si="18"/>
        <v>2.6109660574413773E-3</v>
      </c>
      <c r="V185" s="507" t="s">
        <v>284</v>
      </c>
      <c r="W185" s="502">
        <v>14.03</v>
      </c>
      <c r="X185" s="506">
        <f t="shared" si="19"/>
        <v>-4.1666666666666741E-2</v>
      </c>
      <c r="Z185" s="507" t="s">
        <v>284</v>
      </c>
      <c r="AA185" s="522">
        <v>4605.38</v>
      </c>
      <c r="AB185" s="524">
        <f t="shared" si="20"/>
        <v>1.3307223481264785E-2</v>
      </c>
    </row>
    <row r="186" spans="2:28" x14ac:dyDescent="0.25">
      <c r="B186" s="507" t="s">
        <v>285</v>
      </c>
      <c r="C186" s="502">
        <v>39.74</v>
      </c>
      <c r="D186" s="506">
        <f t="shared" si="14"/>
        <v>-3.0495242742132223E-2</v>
      </c>
      <c r="F186" s="507" t="s">
        <v>285</v>
      </c>
      <c r="G186" s="521">
        <v>46.73</v>
      </c>
      <c r="H186" s="506">
        <f t="shared" si="15"/>
        <v>-2.6458333333333361E-2</v>
      </c>
      <c r="J186" s="507" t="s">
        <v>285</v>
      </c>
      <c r="K186" s="502">
        <v>47.63</v>
      </c>
      <c r="L186" s="506">
        <f t="shared" si="16"/>
        <v>-5.4209690230341501E-2</v>
      </c>
      <c r="N186" s="507" t="s">
        <v>285</v>
      </c>
      <c r="O186" s="502">
        <v>46.64</v>
      </c>
      <c r="P186" s="506">
        <f t="shared" si="17"/>
        <v>-5.6252529340348079E-2</v>
      </c>
      <c r="R186" s="503">
        <v>44486</v>
      </c>
      <c r="S186" s="502">
        <v>19.149999999999999</v>
      </c>
      <c r="T186" s="506">
        <f t="shared" si="18"/>
        <v>-4.154154154154166E-2</v>
      </c>
      <c r="V186" s="507" t="s">
        <v>285</v>
      </c>
      <c r="W186" s="502">
        <v>14.64</v>
      </c>
      <c r="X186" s="506">
        <f t="shared" si="19"/>
        <v>-4.1884816753926635E-2</v>
      </c>
      <c r="Z186" s="507" t="s">
        <v>285</v>
      </c>
      <c r="AA186" s="522">
        <v>4544.8999999999996</v>
      </c>
      <c r="AB186" s="524">
        <f t="shared" si="20"/>
        <v>1.6444624354504223E-2</v>
      </c>
    </row>
    <row r="187" spans="2:28" x14ac:dyDescent="0.25">
      <c r="B187" s="503">
        <v>44479</v>
      </c>
      <c r="C187" s="502">
        <v>40.99</v>
      </c>
      <c r="D187" s="506">
        <f t="shared" si="14"/>
        <v>-5.5094513600737693E-2</v>
      </c>
      <c r="F187" s="503">
        <v>44479</v>
      </c>
      <c r="G187" s="521">
        <v>48</v>
      </c>
      <c r="H187" s="506">
        <f t="shared" si="15"/>
        <v>-2.3596419853539441E-2</v>
      </c>
      <c r="J187" s="503">
        <v>44479</v>
      </c>
      <c r="K187" s="502">
        <v>50.36</v>
      </c>
      <c r="L187" s="506">
        <f t="shared" si="16"/>
        <v>-6.6023738872403648E-2</v>
      </c>
      <c r="N187" s="503">
        <v>44479</v>
      </c>
      <c r="O187" s="502">
        <v>49.42</v>
      </c>
      <c r="P187" s="506">
        <f t="shared" si="17"/>
        <v>-3.9455782312925236E-2</v>
      </c>
      <c r="R187" s="503">
        <v>44479</v>
      </c>
      <c r="S187" s="502">
        <v>19.98</v>
      </c>
      <c r="T187" s="506">
        <f t="shared" si="18"/>
        <v>-4.484304932735439E-3</v>
      </c>
      <c r="V187" s="503">
        <v>44479</v>
      </c>
      <c r="W187" s="502">
        <v>15.28</v>
      </c>
      <c r="X187" s="506">
        <f t="shared" si="19"/>
        <v>-1.6731016731016735E-2</v>
      </c>
      <c r="Z187" s="503">
        <v>44479</v>
      </c>
      <c r="AA187" s="522">
        <v>4471.37</v>
      </c>
      <c r="AB187" s="524">
        <f t="shared" si="20"/>
        <v>1.8224505504014665E-2</v>
      </c>
    </row>
    <row r="188" spans="2:28" x14ac:dyDescent="0.25">
      <c r="B188" s="503">
        <v>44265</v>
      </c>
      <c r="C188" s="502">
        <v>43.38</v>
      </c>
      <c r="D188" s="506">
        <f t="shared" si="14"/>
        <v>-4.4072278536800402E-2</v>
      </c>
      <c r="F188" s="503">
        <v>44265</v>
      </c>
      <c r="G188" s="521">
        <v>49.16</v>
      </c>
      <c r="H188" s="506">
        <f t="shared" si="15"/>
        <v>-4.2462017919750794E-2</v>
      </c>
      <c r="J188" s="503">
        <v>44265</v>
      </c>
      <c r="K188" s="502">
        <v>53.92</v>
      </c>
      <c r="L188" s="506">
        <f t="shared" si="16"/>
        <v>-7.9116835326586976E-3</v>
      </c>
      <c r="N188" s="503">
        <v>44265</v>
      </c>
      <c r="O188" s="502">
        <v>51.45</v>
      </c>
      <c r="P188" s="506">
        <f t="shared" si="17"/>
        <v>-1.0196229318968686E-2</v>
      </c>
      <c r="R188" s="503">
        <v>44472</v>
      </c>
      <c r="S188" s="502">
        <v>20.07</v>
      </c>
      <c r="T188" s="506">
        <f t="shared" si="18"/>
        <v>-7.2979214780600432E-2</v>
      </c>
      <c r="V188" s="503">
        <v>44265</v>
      </c>
      <c r="W188" s="502">
        <v>15.54</v>
      </c>
      <c r="X188" s="506">
        <f t="shared" si="19"/>
        <v>-4.7210300429184504E-2</v>
      </c>
      <c r="Z188" s="503">
        <v>44265</v>
      </c>
      <c r="AA188" s="522">
        <v>4391.34</v>
      </c>
      <c r="AB188" s="524">
        <f t="shared" si="20"/>
        <v>7.8723169858436748E-3</v>
      </c>
    </row>
    <row r="189" spans="2:28" x14ac:dyDescent="0.25">
      <c r="B189" s="507" t="s">
        <v>286</v>
      </c>
      <c r="C189" s="502">
        <v>45.38</v>
      </c>
      <c r="D189" s="506">
        <f t="shared" si="14"/>
        <v>4.2499425683436787E-2</v>
      </c>
      <c r="F189" s="507" t="s">
        <v>286</v>
      </c>
      <c r="G189" s="521">
        <v>51.34</v>
      </c>
      <c r="H189" s="506">
        <f t="shared" si="15"/>
        <v>5.2264808362369353E-2</v>
      </c>
      <c r="J189" s="507" t="s">
        <v>286</v>
      </c>
      <c r="K189" s="502">
        <v>54.35</v>
      </c>
      <c r="L189" s="506">
        <f t="shared" si="16"/>
        <v>2.838221381267747E-2</v>
      </c>
      <c r="N189" s="507" t="s">
        <v>286</v>
      </c>
      <c r="O189" s="502">
        <v>51.98</v>
      </c>
      <c r="P189" s="506">
        <f t="shared" si="17"/>
        <v>3.8146594767325626E-2</v>
      </c>
      <c r="R189" s="503">
        <v>44465</v>
      </c>
      <c r="S189" s="502">
        <v>21.65</v>
      </c>
      <c r="T189" s="506">
        <f t="shared" si="18"/>
        <v>1.215521271622233E-2</v>
      </c>
      <c r="V189" s="507" t="s">
        <v>286</v>
      </c>
      <c r="W189" s="502">
        <v>16.309999999999999</v>
      </c>
      <c r="X189" s="506">
        <f t="shared" si="19"/>
        <v>1.6199376947040323E-2</v>
      </c>
      <c r="Z189" s="507" t="s">
        <v>286</v>
      </c>
      <c r="AA189" s="522">
        <v>4357.04</v>
      </c>
      <c r="AB189" s="524">
        <f t="shared" si="20"/>
        <v>-2.2094140249759753E-2</v>
      </c>
    </row>
    <row r="190" spans="2:28" x14ac:dyDescent="0.25">
      <c r="B190" s="507" t="s">
        <v>287</v>
      </c>
      <c r="C190" s="502">
        <v>43.53</v>
      </c>
      <c r="D190" s="506">
        <f t="shared" si="14"/>
        <v>8.5265519820493685E-2</v>
      </c>
      <c r="F190" s="507" t="s">
        <v>287</v>
      </c>
      <c r="G190" s="521">
        <v>48.79</v>
      </c>
      <c r="H190" s="506">
        <f t="shared" si="15"/>
        <v>9.5419847328244378E-2</v>
      </c>
      <c r="J190" s="507" t="s">
        <v>287</v>
      </c>
      <c r="K190" s="502">
        <v>52.85</v>
      </c>
      <c r="L190" s="506">
        <f t="shared" si="16"/>
        <v>7.6813365933170452E-2</v>
      </c>
      <c r="N190" s="507" t="s">
        <v>287</v>
      </c>
      <c r="O190" s="502">
        <v>50.07</v>
      </c>
      <c r="P190" s="506">
        <f t="shared" si="17"/>
        <v>7.3081868838405617E-2</v>
      </c>
      <c r="R190" s="503">
        <v>44458</v>
      </c>
      <c r="S190" s="502">
        <v>21.39</v>
      </c>
      <c r="T190" s="506">
        <f t="shared" si="18"/>
        <v>8.4135833755701883E-2</v>
      </c>
      <c r="V190" s="507" t="s">
        <v>287</v>
      </c>
      <c r="W190" s="502">
        <v>16.05</v>
      </c>
      <c r="X190" s="506">
        <f t="shared" si="19"/>
        <v>5.4533508541392939E-2</v>
      </c>
      <c r="Z190" s="507" t="s">
        <v>287</v>
      </c>
      <c r="AA190" s="522">
        <v>4455.4799999999996</v>
      </c>
      <c r="AB190" s="524">
        <f t="shared" si="20"/>
        <v>5.0733252274424157E-3</v>
      </c>
    </row>
    <row r="191" spans="2:28" x14ac:dyDescent="0.25">
      <c r="B191" s="503">
        <v>44539</v>
      </c>
      <c r="C191" s="502">
        <v>40.11</v>
      </c>
      <c r="D191" s="506">
        <f t="shared" si="14"/>
        <v>1.9054878048780477E-2</v>
      </c>
      <c r="F191" s="503">
        <v>44539</v>
      </c>
      <c r="G191" s="521">
        <v>44.54</v>
      </c>
      <c r="H191" s="506">
        <f t="shared" si="15"/>
        <v>4.5105999097878602E-3</v>
      </c>
      <c r="J191" s="503">
        <v>44539</v>
      </c>
      <c r="K191" s="502">
        <v>49.08</v>
      </c>
      <c r="L191" s="506">
        <f t="shared" si="16"/>
        <v>2.4634655532359107E-2</v>
      </c>
      <c r="N191" s="503">
        <v>44539</v>
      </c>
      <c r="O191" s="502">
        <v>46.66</v>
      </c>
      <c r="P191" s="506">
        <f t="shared" si="17"/>
        <v>7.7598152424942279E-2</v>
      </c>
      <c r="R191" s="503">
        <v>44451</v>
      </c>
      <c r="S191" s="502">
        <v>19.73</v>
      </c>
      <c r="T191" s="506">
        <f t="shared" si="18"/>
        <v>4.1160949868073837E-2</v>
      </c>
      <c r="V191" s="503">
        <v>44539</v>
      </c>
      <c r="W191" s="502">
        <v>15.22</v>
      </c>
      <c r="X191" s="506">
        <f t="shared" si="19"/>
        <v>3.6784741144414212E-2</v>
      </c>
      <c r="Z191" s="503">
        <v>44539</v>
      </c>
      <c r="AA191" s="522">
        <v>4432.99</v>
      </c>
      <c r="AB191" s="524">
        <f t="shared" si="20"/>
        <v>-5.7394955344527432E-3</v>
      </c>
    </row>
    <row r="192" spans="2:28" x14ac:dyDescent="0.25">
      <c r="B192" s="503">
        <v>44325</v>
      </c>
      <c r="C192" s="502">
        <v>39.36</v>
      </c>
      <c r="D192" s="506">
        <f t="shared" si="14"/>
        <v>-2.2111801242235996E-2</v>
      </c>
      <c r="F192" s="503">
        <v>44325</v>
      </c>
      <c r="G192" s="521">
        <v>44.34</v>
      </c>
      <c r="H192" s="506">
        <f t="shared" si="15"/>
        <v>-4.0675032453483251E-2</v>
      </c>
      <c r="J192" s="503">
        <v>44325</v>
      </c>
      <c r="K192" s="502">
        <v>47.9</v>
      </c>
      <c r="L192" s="506">
        <f t="shared" si="16"/>
        <v>-1.9647973802701668E-2</v>
      </c>
      <c r="N192" s="503">
        <v>44325</v>
      </c>
      <c r="O192" s="502">
        <v>43.3</v>
      </c>
      <c r="P192" s="506">
        <f t="shared" si="17"/>
        <v>-5.0854888206926741E-2</v>
      </c>
      <c r="R192" s="503">
        <v>44444</v>
      </c>
      <c r="S192" s="502">
        <v>18.95</v>
      </c>
      <c r="T192" s="506">
        <f t="shared" si="18"/>
        <v>-2.168301497160563E-2</v>
      </c>
      <c r="V192" s="503">
        <v>44325</v>
      </c>
      <c r="W192" s="502">
        <v>14.68</v>
      </c>
      <c r="X192" s="506">
        <f t="shared" si="19"/>
        <v>-1.7402945113788482E-2</v>
      </c>
      <c r="Z192" s="503">
        <v>44325</v>
      </c>
      <c r="AA192" s="522">
        <v>4458.58</v>
      </c>
      <c r="AB192" s="524">
        <f t="shared" si="20"/>
        <v>-1.6944369111638879E-2</v>
      </c>
    </row>
    <row r="193" spans="2:28" x14ac:dyDescent="0.25">
      <c r="B193" s="507" t="s">
        <v>288</v>
      </c>
      <c r="C193" s="502">
        <v>40.25</v>
      </c>
      <c r="D193" s="506">
        <f t="shared" si="14"/>
        <v>-3.0587668593448969E-2</v>
      </c>
      <c r="F193" s="507" t="s">
        <v>288</v>
      </c>
      <c r="G193" s="521">
        <v>46.22</v>
      </c>
      <c r="H193" s="506">
        <f t="shared" si="15"/>
        <v>-3.1230350031440035E-2</v>
      </c>
      <c r="J193" s="507" t="s">
        <v>288</v>
      </c>
      <c r="K193" s="502">
        <v>48.86</v>
      </c>
      <c r="L193" s="506">
        <f t="shared" si="16"/>
        <v>-3.9701257861635253E-2</v>
      </c>
      <c r="N193" s="507" t="s">
        <v>288</v>
      </c>
      <c r="O193" s="502">
        <v>45.62</v>
      </c>
      <c r="P193" s="506">
        <f t="shared" si="17"/>
        <v>-5.8799257272539762E-2</v>
      </c>
      <c r="R193" s="503">
        <v>44437</v>
      </c>
      <c r="S193" s="502">
        <v>19.37</v>
      </c>
      <c r="T193" s="506">
        <f t="shared" si="18"/>
        <v>-4.2037586547972183E-2</v>
      </c>
      <c r="V193" s="507" t="s">
        <v>288</v>
      </c>
      <c r="W193" s="502">
        <v>14.94</v>
      </c>
      <c r="X193" s="506">
        <f t="shared" si="19"/>
        <v>-3.1128404669260701E-2</v>
      </c>
      <c r="Z193" s="507" t="s">
        <v>288</v>
      </c>
      <c r="AA193" s="522">
        <v>4535.43</v>
      </c>
      <c r="AB193" s="524">
        <f t="shared" si="20"/>
        <v>5.7790777869193288E-3</v>
      </c>
    </row>
    <row r="194" spans="2:28" x14ac:dyDescent="0.25">
      <c r="B194" s="507" t="s">
        <v>289</v>
      </c>
      <c r="C194" s="502">
        <v>41.52</v>
      </c>
      <c r="D194" s="506">
        <f t="shared" si="14"/>
        <v>8.9192025183630896E-2</v>
      </c>
      <c r="F194" s="507" t="s">
        <v>289</v>
      </c>
      <c r="G194" s="521">
        <v>47.71</v>
      </c>
      <c r="H194" s="506">
        <f t="shared" si="15"/>
        <v>8.3579377697024837E-2</v>
      </c>
      <c r="J194" s="507" t="s">
        <v>289</v>
      </c>
      <c r="K194" s="502">
        <v>50.88</v>
      </c>
      <c r="L194" s="506">
        <f t="shared" si="16"/>
        <v>7.4324324324324342E-2</v>
      </c>
      <c r="N194" s="507" t="s">
        <v>289</v>
      </c>
      <c r="O194" s="502">
        <v>48.47</v>
      </c>
      <c r="P194" s="506">
        <f t="shared" si="17"/>
        <v>0.20842682622787323</v>
      </c>
      <c r="R194" s="503">
        <v>44430</v>
      </c>
      <c r="S194" s="502">
        <v>20.22</v>
      </c>
      <c r="T194" s="506">
        <f t="shared" si="18"/>
        <v>9.2972972972972912E-2</v>
      </c>
      <c r="V194" s="507" t="s">
        <v>289</v>
      </c>
      <c r="W194" s="502">
        <v>15.42</v>
      </c>
      <c r="X194" s="506">
        <f t="shared" si="19"/>
        <v>8.8983050847457612E-2</v>
      </c>
      <c r="Z194" s="507" t="s">
        <v>289</v>
      </c>
      <c r="AA194" s="522">
        <v>4509.37</v>
      </c>
      <c r="AB194" s="524">
        <f t="shared" si="20"/>
        <v>1.5242014827756112E-2</v>
      </c>
    </row>
    <row r="195" spans="2:28" x14ac:dyDescent="0.25">
      <c r="B195" s="507" t="s">
        <v>290</v>
      </c>
      <c r="C195" s="502">
        <v>38.119999999999997</v>
      </c>
      <c r="D195" s="506">
        <f t="shared" si="14"/>
        <v>-4.4611528822055213E-2</v>
      </c>
      <c r="F195" s="507" t="s">
        <v>290</v>
      </c>
      <c r="G195" s="521">
        <v>44.03</v>
      </c>
      <c r="H195" s="506">
        <f t="shared" si="15"/>
        <v>-5.2914605291460526E-2</v>
      </c>
      <c r="J195" s="507" t="s">
        <v>290</v>
      </c>
      <c r="K195" s="502">
        <v>47.36</v>
      </c>
      <c r="L195" s="506">
        <f t="shared" si="16"/>
        <v>-6.0503868280103124E-2</v>
      </c>
      <c r="N195" s="507" t="s">
        <v>290</v>
      </c>
      <c r="O195" s="502">
        <v>40.11</v>
      </c>
      <c r="P195" s="506">
        <f t="shared" si="17"/>
        <v>-4.2034869835204214E-2</v>
      </c>
      <c r="R195" s="503">
        <v>44423</v>
      </c>
      <c r="S195" s="502">
        <v>18.5</v>
      </c>
      <c r="T195" s="506">
        <f t="shared" si="18"/>
        <v>-6.7540322580645129E-2</v>
      </c>
      <c r="V195" s="507" t="s">
        <v>290</v>
      </c>
      <c r="W195" s="502">
        <v>14.16</v>
      </c>
      <c r="X195" s="506">
        <f t="shared" si="19"/>
        <v>-7.75244299674267E-2</v>
      </c>
      <c r="Z195" s="507" t="s">
        <v>290</v>
      </c>
      <c r="AA195" s="522">
        <v>4441.67</v>
      </c>
      <c r="AB195" s="524">
        <f t="shared" si="20"/>
        <v>-5.8930170098477896E-3</v>
      </c>
    </row>
    <row r="196" spans="2:28" x14ac:dyDescent="0.25">
      <c r="B196" s="503">
        <v>44416</v>
      </c>
      <c r="C196" s="502">
        <v>39.9</v>
      </c>
      <c r="D196" s="506">
        <f t="shared" si="14"/>
        <v>-1.0416666666666741E-2</v>
      </c>
      <c r="F196" s="503">
        <v>44416</v>
      </c>
      <c r="G196" s="521">
        <v>46.49</v>
      </c>
      <c r="H196" s="506">
        <f t="shared" si="15"/>
        <v>-2.3729525409491692E-2</v>
      </c>
      <c r="J196" s="503">
        <v>44416</v>
      </c>
      <c r="K196" s="502">
        <v>50.41</v>
      </c>
      <c r="L196" s="506">
        <f t="shared" si="16"/>
        <v>-6.1119873817034875E-3</v>
      </c>
      <c r="N196" s="503">
        <v>44416</v>
      </c>
      <c r="O196" s="502">
        <v>41.87</v>
      </c>
      <c r="P196" s="506">
        <f t="shared" si="17"/>
        <v>1.7991733527838338E-2</v>
      </c>
      <c r="R196" s="503">
        <v>44416</v>
      </c>
      <c r="S196" s="502">
        <v>19.84</v>
      </c>
      <c r="T196" s="506">
        <f t="shared" si="18"/>
        <v>-5.6137012369172234E-2</v>
      </c>
      <c r="V196" s="503">
        <v>44416</v>
      </c>
      <c r="W196" s="502">
        <v>15.35</v>
      </c>
      <c r="X196" s="506">
        <f t="shared" si="19"/>
        <v>6.5573770491802463E-3</v>
      </c>
      <c r="Z196" s="503">
        <v>44416</v>
      </c>
      <c r="AA196" s="522">
        <v>4468</v>
      </c>
      <c r="AB196" s="524">
        <f t="shared" si="20"/>
        <v>7.0956515467077708E-3</v>
      </c>
    </row>
    <row r="197" spans="2:28" x14ac:dyDescent="0.25">
      <c r="B197" s="503">
        <v>44204</v>
      </c>
      <c r="C197" s="502">
        <v>40.32</v>
      </c>
      <c r="D197" s="506">
        <f t="shared" si="14"/>
        <v>1.0526315789473717E-2</v>
      </c>
      <c r="F197" s="503">
        <v>44204</v>
      </c>
      <c r="G197" s="521">
        <v>47.62</v>
      </c>
      <c r="H197" s="506">
        <f t="shared" si="15"/>
        <v>1.9263698630136883E-2</v>
      </c>
      <c r="J197" s="503">
        <v>44204</v>
      </c>
      <c r="K197" s="502">
        <v>50.72</v>
      </c>
      <c r="L197" s="506">
        <f t="shared" si="16"/>
        <v>3.9588281868565556E-3</v>
      </c>
      <c r="N197" s="503">
        <v>44204</v>
      </c>
      <c r="O197" s="502">
        <v>41.13</v>
      </c>
      <c r="P197" s="506">
        <f t="shared" si="17"/>
        <v>1.5806371943689834E-2</v>
      </c>
      <c r="R197" s="503">
        <v>44409</v>
      </c>
      <c r="S197" s="502">
        <v>21.02</v>
      </c>
      <c r="T197" s="506">
        <f t="shared" si="18"/>
        <v>3.1403336604514331E-2</v>
      </c>
      <c r="V197" s="503">
        <v>44204</v>
      </c>
      <c r="W197" s="502">
        <v>15.25</v>
      </c>
      <c r="X197" s="506">
        <f t="shared" si="19"/>
        <v>3.1102096010818148E-2</v>
      </c>
      <c r="Z197" s="503">
        <v>44204</v>
      </c>
      <c r="AA197" s="522">
        <v>4436.5200000000004</v>
      </c>
      <c r="AB197" s="524">
        <f t="shared" si="20"/>
        <v>9.3873855016541885E-3</v>
      </c>
    </row>
    <row r="198" spans="2:28" x14ac:dyDescent="0.25">
      <c r="B198" s="507" t="s">
        <v>291</v>
      </c>
      <c r="C198" s="502">
        <v>39.9</v>
      </c>
      <c r="D198" s="506">
        <f t="shared" si="14"/>
        <v>-1.2620638455827726E-2</v>
      </c>
      <c r="F198" s="507" t="s">
        <v>291</v>
      </c>
      <c r="G198" s="521">
        <v>46.72</v>
      </c>
      <c r="H198" s="506">
        <f t="shared" si="15"/>
        <v>-1.7041868293709239E-2</v>
      </c>
      <c r="J198" s="507" t="s">
        <v>291</v>
      </c>
      <c r="K198" s="502">
        <v>50.52</v>
      </c>
      <c r="L198" s="506">
        <f t="shared" si="16"/>
        <v>-3.5502958579881616E-3</v>
      </c>
      <c r="N198" s="507" t="s">
        <v>291</v>
      </c>
      <c r="O198" s="502">
        <v>40.49</v>
      </c>
      <c r="P198" s="506">
        <f t="shared" si="17"/>
        <v>2.7925869510027956E-2</v>
      </c>
      <c r="R198" s="503">
        <v>44402</v>
      </c>
      <c r="S198" s="502">
        <v>20.38</v>
      </c>
      <c r="T198" s="506">
        <f t="shared" si="18"/>
        <v>-3.8679245283018915E-2</v>
      </c>
      <c r="V198" s="507" t="s">
        <v>291</v>
      </c>
      <c r="W198" s="502">
        <v>14.79</v>
      </c>
      <c r="X198" s="506">
        <f t="shared" si="19"/>
        <v>-4.7649710238248599E-2</v>
      </c>
      <c r="Z198" s="507" t="s">
        <v>291</v>
      </c>
      <c r="AA198" s="522">
        <v>4395.26</v>
      </c>
      <c r="AB198" s="524">
        <f t="shared" si="20"/>
        <v>-3.7467785184697178E-3</v>
      </c>
    </row>
    <row r="199" spans="2:28" x14ac:dyDescent="0.25">
      <c r="B199" s="507" t="s">
        <v>292</v>
      </c>
      <c r="C199" s="502">
        <v>40.409999999999997</v>
      </c>
      <c r="D199" s="506">
        <f t="shared" si="14"/>
        <v>8.7368946580128615E-3</v>
      </c>
      <c r="F199" s="507" t="s">
        <v>292</v>
      </c>
      <c r="G199" s="521">
        <v>47.53</v>
      </c>
      <c r="H199" s="506">
        <f t="shared" si="15"/>
        <v>3.3036296457291892E-2</v>
      </c>
      <c r="J199" s="507" t="s">
        <v>292</v>
      </c>
      <c r="K199" s="502">
        <v>50.7</v>
      </c>
      <c r="L199" s="506">
        <f t="shared" si="16"/>
        <v>1.5828491284311852E-2</v>
      </c>
      <c r="N199" s="507" t="s">
        <v>292</v>
      </c>
      <c r="O199" s="502">
        <v>39.39</v>
      </c>
      <c r="P199" s="506">
        <f t="shared" si="17"/>
        <v>-2.5380710659894667E-4</v>
      </c>
      <c r="R199" s="503">
        <v>44395</v>
      </c>
      <c r="S199" s="502">
        <v>21.2</v>
      </c>
      <c r="T199" s="506">
        <f t="shared" si="18"/>
        <v>7.1248105103587589E-2</v>
      </c>
      <c r="V199" s="507" t="s">
        <v>292</v>
      </c>
      <c r="W199" s="502">
        <v>15.53</v>
      </c>
      <c r="X199" s="506">
        <f t="shared" si="19"/>
        <v>4.6495956873315425E-2</v>
      </c>
      <c r="Z199" s="507" t="s">
        <v>292</v>
      </c>
      <c r="AA199" s="522">
        <v>4411.79</v>
      </c>
      <c r="AB199" s="524">
        <f t="shared" si="20"/>
        <v>1.9557862431710538E-2</v>
      </c>
    </row>
    <row r="200" spans="2:28" x14ac:dyDescent="0.25">
      <c r="B200" s="503">
        <v>44507</v>
      </c>
      <c r="C200" s="502">
        <v>40.06</v>
      </c>
      <c r="D200" s="506">
        <f t="shared" si="14"/>
        <v>-6.6635601118359755E-2</v>
      </c>
      <c r="F200" s="503">
        <v>44507</v>
      </c>
      <c r="G200" s="521">
        <v>46.01</v>
      </c>
      <c r="H200" s="506">
        <f t="shared" si="15"/>
        <v>-9.9608610567514688E-2</v>
      </c>
      <c r="J200" s="503">
        <v>44507</v>
      </c>
      <c r="K200" s="502">
        <v>49.91</v>
      </c>
      <c r="L200" s="506">
        <f t="shared" si="16"/>
        <v>-5.5450416351249143E-2</v>
      </c>
      <c r="N200" s="503">
        <v>44507</v>
      </c>
      <c r="O200" s="502">
        <v>39.4</v>
      </c>
      <c r="P200" s="506">
        <f t="shared" si="17"/>
        <v>-7.8578110383536015E-2</v>
      </c>
      <c r="R200" s="503">
        <v>44388</v>
      </c>
      <c r="S200" s="502">
        <v>19.79</v>
      </c>
      <c r="T200" s="506">
        <f t="shared" si="18"/>
        <v>-5.2656773575873728E-2</v>
      </c>
      <c r="V200" s="503">
        <v>44507</v>
      </c>
      <c r="W200" s="502">
        <v>14.84</v>
      </c>
      <c r="X200" s="506">
        <f t="shared" si="19"/>
        <v>-9.8967820279295626E-2</v>
      </c>
      <c r="Z200" s="503">
        <v>44507</v>
      </c>
      <c r="AA200" s="522">
        <v>4327.16</v>
      </c>
      <c r="AB200" s="524">
        <f t="shared" si="20"/>
        <v>-9.7012278152213138E-3</v>
      </c>
    </row>
    <row r="201" spans="2:28" x14ac:dyDescent="0.25">
      <c r="B201" s="503">
        <v>44293</v>
      </c>
      <c r="C201" s="502">
        <v>42.92</v>
      </c>
      <c r="D201" s="506">
        <f t="shared" si="14"/>
        <v>-2.7859569648923999E-2</v>
      </c>
      <c r="F201" s="503">
        <v>44293</v>
      </c>
      <c r="G201" s="521">
        <v>51.1</v>
      </c>
      <c r="H201" s="506">
        <f t="shared" si="15"/>
        <v>-3.164676899753649E-2</v>
      </c>
      <c r="J201" s="503">
        <v>44293</v>
      </c>
      <c r="K201" s="502">
        <v>52.84</v>
      </c>
      <c r="L201" s="506">
        <f t="shared" si="16"/>
        <v>-1.5281401416324836E-2</v>
      </c>
      <c r="N201" s="503">
        <v>44293</v>
      </c>
      <c r="O201" s="502">
        <v>42.76</v>
      </c>
      <c r="P201" s="506">
        <f t="shared" si="17"/>
        <v>-1.7463235294117752E-2</v>
      </c>
      <c r="R201" s="503">
        <v>44381</v>
      </c>
      <c r="S201" s="502">
        <v>20.89</v>
      </c>
      <c r="T201" s="506">
        <f t="shared" si="18"/>
        <v>-2.7467411545623821E-2</v>
      </c>
      <c r="V201" s="503">
        <v>44293</v>
      </c>
      <c r="W201" s="502">
        <v>16.47</v>
      </c>
      <c r="X201" s="506">
        <f t="shared" si="19"/>
        <v>-3.6842105263158009E-2</v>
      </c>
      <c r="Z201" s="503">
        <v>44293</v>
      </c>
      <c r="AA201" s="522">
        <v>4369.55</v>
      </c>
      <c r="AB201" s="524">
        <f t="shared" si="20"/>
        <v>3.954194755005469E-3</v>
      </c>
    </row>
    <row r="202" spans="2:28" x14ac:dyDescent="0.25">
      <c r="B202" s="507" t="s">
        <v>293</v>
      </c>
      <c r="C202" s="502">
        <v>44.15</v>
      </c>
      <c r="D202" s="506">
        <f t="shared" si="14"/>
        <v>-6.3020481656538285E-3</v>
      </c>
      <c r="F202" s="507" t="s">
        <v>293</v>
      </c>
      <c r="G202" s="521">
        <v>52.77</v>
      </c>
      <c r="H202" s="506">
        <f t="shared" si="15"/>
        <v>-2.060133630289529E-2</v>
      </c>
      <c r="J202" s="507" t="s">
        <v>293</v>
      </c>
      <c r="K202" s="502">
        <v>53.66</v>
      </c>
      <c r="L202" s="506">
        <f t="shared" si="16"/>
        <v>-1.6315307057745199E-2</v>
      </c>
      <c r="N202" s="507" t="s">
        <v>293</v>
      </c>
      <c r="O202" s="502">
        <v>43.52</v>
      </c>
      <c r="P202" s="506">
        <f t="shared" si="17"/>
        <v>-3.1813125695216882E-2</v>
      </c>
      <c r="R202" s="503">
        <v>44374</v>
      </c>
      <c r="S202" s="502">
        <v>21.48</v>
      </c>
      <c r="T202" s="506">
        <f t="shared" si="18"/>
        <v>-3.3303330333033232E-2</v>
      </c>
      <c r="V202" s="507" t="s">
        <v>293</v>
      </c>
      <c r="W202" s="502">
        <v>17.100000000000001</v>
      </c>
      <c r="X202" s="506">
        <f t="shared" si="19"/>
        <v>-4.6565774155994388E-3</v>
      </c>
      <c r="Z202" s="507" t="s">
        <v>293</v>
      </c>
      <c r="AA202" s="522">
        <v>4352.34</v>
      </c>
      <c r="AB202" s="524">
        <f t="shared" si="20"/>
        <v>1.6735580629336333E-2</v>
      </c>
    </row>
    <row r="203" spans="2:28" x14ac:dyDescent="0.25">
      <c r="B203" s="507" t="s">
        <v>294</v>
      </c>
      <c r="C203" s="502">
        <v>44.43</v>
      </c>
      <c r="D203" s="506">
        <f t="shared" si="14"/>
        <v>-1.1788256227758032E-2</v>
      </c>
      <c r="F203" s="507" t="s">
        <v>294</v>
      </c>
      <c r="G203" s="521">
        <v>53.88</v>
      </c>
      <c r="H203" s="506">
        <f t="shared" si="15"/>
        <v>-1.8936635105608168E-2</v>
      </c>
      <c r="J203" s="507" t="s">
        <v>294</v>
      </c>
      <c r="K203" s="502">
        <v>54.55</v>
      </c>
      <c r="L203" s="506">
        <f t="shared" si="16"/>
        <v>-1.1596303678202635E-2</v>
      </c>
      <c r="N203" s="507" t="s">
        <v>294</v>
      </c>
      <c r="O203" s="502">
        <v>44.95</v>
      </c>
      <c r="P203" s="506">
        <f t="shared" si="17"/>
        <v>-1.3388937664618128E-2</v>
      </c>
      <c r="R203" s="503">
        <v>44367</v>
      </c>
      <c r="S203" s="502">
        <v>22.22</v>
      </c>
      <c r="T203" s="506">
        <f t="shared" si="18"/>
        <v>-3.140421713773045E-3</v>
      </c>
      <c r="V203" s="507" t="s">
        <v>294</v>
      </c>
      <c r="W203" s="502">
        <v>17.18</v>
      </c>
      <c r="X203" s="506">
        <f t="shared" si="19"/>
        <v>-7.5101097631425917E-3</v>
      </c>
      <c r="Z203" s="507" t="s">
        <v>294</v>
      </c>
      <c r="AA203" s="522">
        <v>4280.7</v>
      </c>
      <c r="AB203" s="524">
        <f t="shared" si="20"/>
        <v>2.7421425914147646E-2</v>
      </c>
    </row>
    <row r="204" spans="2:28" x14ac:dyDescent="0.25">
      <c r="B204" s="507" t="s">
        <v>295</v>
      </c>
      <c r="C204" s="502">
        <v>44.96</v>
      </c>
      <c r="D204" s="506">
        <f t="shared" si="14"/>
        <v>-3.3118279569892439E-2</v>
      </c>
      <c r="F204" s="507" t="s">
        <v>295</v>
      </c>
      <c r="G204" s="521">
        <v>54.92</v>
      </c>
      <c r="H204" s="506">
        <f t="shared" si="15"/>
        <v>-2.8308563340410542E-2</v>
      </c>
      <c r="J204" s="507" t="s">
        <v>295</v>
      </c>
      <c r="K204" s="502">
        <v>55.19</v>
      </c>
      <c r="L204" s="506">
        <f t="shared" si="16"/>
        <v>-4.1340976202883462E-2</v>
      </c>
      <c r="N204" s="507" t="s">
        <v>295</v>
      </c>
      <c r="O204" s="502">
        <v>45.56</v>
      </c>
      <c r="P204" s="506">
        <f t="shared" si="17"/>
        <v>-6.1392665842603944E-2</v>
      </c>
      <c r="R204" s="503">
        <v>44360</v>
      </c>
      <c r="S204" s="502">
        <v>22.29</v>
      </c>
      <c r="T204" s="506">
        <f t="shared" si="18"/>
        <v>-5.2698682532936747E-2</v>
      </c>
      <c r="V204" s="507" t="s">
        <v>295</v>
      </c>
      <c r="W204" s="502">
        <v>17.309999999999999</v>
      </c>
      <c r="X204" s="506">
        <f t="shared" si="19"/>
        <v>-7.1849865951742586E-2</v>
      </c>
      <c r="Z204" s="507" t="s">
        <v>295</v>
      </c>
      <c r="AA204" s="522">
        <v>4166.45</v>
      </c>
      <c r="AB204" s="524">
        <f t="shared" si="20"/>
        <v>-1.9067956227751259E-2</v>
      </c>
    </row>
    <row r="205" spans="2:28" x14ac:dyDescent="0.25">
      <c r="B205" s="503">
        <v>44353</v>
      </c>
      <c r="C205" s="502">
        <v>46.5</v>
      </c>
      <c r="D205" s="506">
        <f t="shared" si="14"/>
        <v>1.1309264897781723E-2</v>
      </c>
      <c r="F205" s="503">
        <v>44353</v>
      </c>
      <c r="G205" s="521">
        <v>56.52</v>
      </c>
      <c r="H205" s="506">
        <f t="shared" si="15"/>
        <v>-7.2018268048480438E-3</v>
      </c>
      <c r="J205" s="503">
        <v>44353</v>
      </c>
      <c r="K205" s="502">
        <v>57.57</v>
      </c>
      <c r="L205" s="506">
        <f t="shared" si="16"/>
        <v>-1.6737830913748919E-2</v>
      </c>
      <c r="N205" s="503">
        <v>44353</v>
      </c>
      <c r="O205" s="502">
        <v>48.54</v>
      </c>
      <c r="P205" s="506">
        <f t="shared" si="17"/>
        <v>1.0828821324448068E-2</v>
      </c>
      <c r="R205" s="503">
        <v>44353</v>
      </c>
      <c r="S205" s="502">
        <v>23.53</v>
      </c>
      <c r="T205" s="506">
        <f t="shared" si="18"/>
        <v>-3.1687242798353887E-2</v>
      </c>
      <c r="V205" s="503">
        <v>44353</v>
      </c>
      <c r="W205" s="502">
        <v>18.649999999999999</v>
      </c>
      <c r="X205" s="506">
        <f t="shared" si="19"/>
        <v>-2.1511017838405033E-2</v>
      </c>
      <c r="Z205" s="503">
        <v>44353</v>
      </c>
      <c r="AA205" s="522">
        <v>4247.4399999999996</v>
      </c>
      <c r="AB205" s="524">
        <f t="shared" si="20"/>
        <v>4.1490440649754046E-3</v>
      </c>
    </row>
    <row r="206" spans="2:28" x14ac:dyDescent="0.25">
      <c r="B206" s="507" t="s">
        <v>296</v>
      </c>
      <c r="C206" s="502">
        <v>45.98</v>
      </c>
      <c r="D206" s="506">
        <f t="shared" ref="D206:D220" si="21">C206/C207-1</f>
        <v>-3.5654362416107421E-2</v>
      </c>
      <c r="F206" s="507" t="s">
        <v>296</v>
      </c>
      <c r="G206" s="521">
        <v>56.93</v>
      </c>
      <c r="H206" s="506">
        <f t="shared" ref="H206:H220" si="22">G206/G207-1</f>
        <v>-2.4335904027420807E-2</v>
      </c>
      <c r="J206" s="507" t="s">
        <v>296</v>
      </c>
      <c r="K206" s="502">
        <v>58.55</v>
      </c>
      <c r="L206" s="506">
        <f t="shared" ref="L206:L220" si="23">K206/K207-1</f>
        <v>-4.7347868532378823E-2</v>
      </c>
      <c r="N206" s="507" t="s">
        <v>296</v>
      </c>
      <c r="O206" s="502">
        <v>48.02</v>
      </c>
      <c r="P206" s="506">
        <f t="shared" ref="P206:P220" si="24">O206/O207-1</f>
        <v>-2.0599632877829843E-2</v>
      </c>
      <c r="R206" s="503">
        <v>44346</v>
      </c>
      <c r="S206" s="502">
        <v>24.3</v>
      </c>
      <c r="T206" s="506">
        <f t="shared" ref="T206:T220" si="25">S206/S207-1</f>
        <v>2.4752475247524774E-3</v>
      </c>
      <c r="V206" s="507" t="s">
        <v>296</v>
      </c>
      <c r="W206" s="502">
        <v>19.059999999999999</v>
      </c>
      <c r="X206" s="506">
        <f t="shared" ref="X206:X220" si="26">W206/W207-1</f>
        <v>-5.1741293532338473E-2</v>
      </c>
      <c r="Z206" s="507" t="s">
        <v>296</v>
      </c>
      <c r="AA206" s="522">
        <v>4229.8900000000003</v>
      </c>
      <c r="AB206" s="524">
        <f t="shared" ref="AB206:AB220" si="27">AA206/AA207-1</f>
        <v>6.1320945455758391E-3</v>
      </c>
    </row>
    <row r="207" spans="2:28" x14ac:dyDescent="0.25">
      <c r="B207" s="507" t="s">
        <v>297</v>
      </c>
      <c r="C207" s="502">
        <v>47.68</v>
      </c>
      <c r="D207" s="506">
        <f t="shared" si="21"/>
        <v>5.4633930546339249E-2</v>
      </c>
      <c r="F207" s="507" t="s">
        <v>297</v>
      </c>
      <c r="G207" s="521">
        <v>58.35</v>
      </c>
      <c r="H207" s="506">
        <f t="shared" si="22"/>
        <v>5.515370705244127E-2</v>
      </c>
      <c r="J207" s="507" t="s">
        <v>297</v>
      </c>
      <c r="K207" s="502">
        <v>61.46</v>
      </c>
      <c r="L207" s="506">
        <f t="shared" si="23"/>
        <v>2.2799134631386275E-2</v>
      </c>
      <c r="N207" s="507" t="s">
        <v>297</v>
      </c>
      <c r="O207" s="502">
        <v>49.03</v>
      </c>
      <c r="P207" s="506">
        <f t="shared" si="24"/>
        <v>7.1898110106820567E-3</v>
      </c>
      <c r="R207" s="503">
        <v>44339</v>
      </c>
      <c r="S207" s="502">
        <v>24.24</v>
      </c>
      <c r="T207" s="506">
        <f t="shared" si="25"/>
        <v>7.3992024811696755E-2</v>
      </c>
      <c r="V207" s="507" t="s">
        <v>297</v>
      </c>
      <c r="W207" s="502">
        <v>20.100000000000001</v>
      </c>
      <c r="X207" s="506">
        <f t="shared" si="26"/>
        <v>3.6082474226804218E-2</v>
      </c>
      <c r="Z207" s="507" t="s">
        <v>297</v>
      </c>
      <c r="AA207" s="522">
        <v>4204.1099999999997</v>
      </c>
      <c r="AB207" s="524">
        <f t="shared" si="27"/>
        <v>1.1610111986448013E-2</v>
      </c>
    </row>
    <row r="208" spans="2:28" x14ac:dyDescent="0.25">
      <c r="B208" s="507" t="s">
        <v>298</v>
      </c>
      <c r="C208" s="502">
        <v>45.21</v>
      </c>
      <c r="D208" s="506">
        <f t="shared" si="21"/>
        <v>-2.3752969121140222E-2</v>
      </c>
      <c r="F208" s="507" t="s">
        <v>298</v>
      </c>
      <c r="G208" s="521">
        <v>55.3</v>
      </c>
      <c r="H208" s="506">
        <f t="shared" si="22"/>
        <v>3.6179450072348907E-4</v>
      </c>
      <c r="J208" s="507" t="s">
        <v>298</v>
      </c>
      <c r="K208" s="502">
        <v>60.09</v>
      </c>
      <c r="L208" s="506">
        <f t="shared" si="23"/>
        <v>-3.547351524879605E-2</v>
      </c>
      <c r="N208" s="507" t="s">
        <v>298</v>
      </c>
      <c r="O208" s="502">
        <v>48.68</v>
      </c>
      <c r="P208" s="506">
        <f t="shared" si="24"/>
        <v>-1.8548387096774199E-2</v>
      </c>
      <c r="R208" s="503">
        <v>44332</v>
      </c>
      <c r="S208" s="502">
        <v>22.57</v>
      </c>
      <c r="T208" s="506">
        <f t="shared" si="25"/>
        <v>7.5892857142858539E-3</v>
      </c>
      <c r="V208" s="507" t="s">
        <v>298</v>
      </c>
      <c r="W208" s="502">
        <v>19.399999999999999</v>
      </c>
      <c r="X208" s="506">
        <f t="shared" si="26"/>
        <v>-1.4227642276422814E-2</v>
      </c>
      <c r="Z208" s="507" t="s">
        <v>298</v>
      </c>
      <c r="AA208" s="522">
        <v>4155.8599999999997</v>
      </c>
      <c r="AB208" s="524">
        <f t="shared" si="27"/>
        <v>-4.3101692681818404E-3</v>
      </c>
    </row>
    <row r="209" spans="2:28" x14ac:dyDescent="0.25">
      <c r="B209" s="503">
        <v>44444</v>
      </c>
      <c r="C209" s="502">
        <v>46.31</v>
      </c>
      <c r="D209" s="506">
        <f t="shared" si="21"/>
        <v>4.3374539145522029E-3</v>
      </c>
      <c r="F209" s="503">
        <v>44444</v>
      </c>
      <c r="G209" s="521">
        <v>55.28</v>
      </c>
      <c r="H209" s="506">
        <f t="shared" si="22"/>
        <v>1.0049333089713119E-2</v>
      </c>
      <c r="J209" s="503">
        <v>44444</v>
      </c>
      <c r="K209" s="502">
        <v>62.3</v>
      </c>
      <c r="L209" s="506">
        <f t="shared" si="23"/>
        <v>1.0379500486539017E-2</v>
      </c>
      <c r="N209" s="503">
        <v>44444</v>
      </c>
      <c r="O209" s="502">
        <v>49.6</v>
      </c>
      <c r="P209" s="506">
        <f t="shared" si="24"/>
        <v>1.0090817356207538E-3</v>
      </c>
      <c r="R209" s="503">
        <v>44325</v>
      </c>
      <c r="S209" s="502">
        <v>22.4</v>
      </c>
      <c r="T209" s="506">
        <f t="shared" si="25"/>
        <v>1.8181818181818077E-2</v>
      </c>
      <c r="V209" s="503">
        <v>44444</v>
      </c>
      <c r="W209" s="502">
        <v>19.68</v>
      </c>
      <c r="X209" s="506">
        <f t="shared" si="26"/>
        <v>6.1349693251533388E-3</v>
      </c>
      <c r="Z209" s="503">
        <v>44444</v>
      </c>
      <c r="AA209" s="522">
        <v>4173.8500000000004</v>
      </c>
      <c r="AB209" s="524">
        <f t="shared" si="27"/>
        <v>-1.388035722723624E-2</v>
      </c>
    </row>
    <row r="210" spans="2:28" x14ac:dyDescent="0.25">
      <c r="B210" s="503">
        <v>44232</v>
      </c>
      <c r="C210" s="502">
        <v>46.11</v>
      </c>
      <c r="D210" s="506">
        <f t="shared" si="21"/>
        <v>-1.7263427109974527E-2</v>
      </c>
      <c r="F210" s="503">
        <v>44232</v>
      </c>
      <c r="G210" s="521">
        <v>54.73</v>
      </c>
      <c r="H210" s="506">
        <f t="shared" si="22"/>
        <v>6.0661764705882693E-3</v>
      </c>
      <c r="J210" s="503">
        <v>44232</v>
      </c>
      <c r="K210" s="502">
        <v>61.66</v>
      </c>
      <c r="L210" s="506">
        <f t="shared" si="23"/>
        <v>-1.7840076457470655E-2</v>
      </c>
      <c r="N210" s="503">
        <v>44232</v>
      </c>
      <c r="O210" s="502">
        <v>49.55</v>
      </c>
      <c r="P210" s="506">
        <f t="shared" si="24"/>
        <v>-2.2150624244865469E-3</v>
      </c>
      <c r="R210" s="503">
        <v>44318</v>
      </c>
      <c r="S210" s="502">
        <v>22</v>
      </c>
      <c r="T210" s="506">
        <f t="shared" si="25"/>
        <v>1.2891344383057168E-2</v>
      </c>
      <c r="V210" s="503">
        <v>44232</v>
      </c>
      <c r="W210" s="502">
        <v>19.559999999999999</v>
      </c>
      <c r="X210" s="506">
        <f t="shared" si="26"/>
        <v>-3.9292730844793788E-2</v>
      </c>
      <c r="Z210" s="503">
        <v>44232</v>
      </c>
      <c r="AA210" s="522">
        <v>4232.6000000000004</v>
      </c>
      <c r="AB210" s="524">
        <f t="shared" si="27"/>
        <v>1.2300384820516763E-2</v>
      </c>
    </row>
    <row r="211" spans="2:28" x14ac:dyDescent="0.25">
      <c r="B211" s="507" t="s">
        <v>299</v>
      </c>
      <c r="C211" s="502">
        <v>46.92</v>
      </c>
      <c r="D211" s="506">
        <f t="shared" si="21"/>
        <v>2.4454148471615866E-2</v>
      </c>
      <c r="F211" s="507" t="s">
        <v>299</v>
      </c>
      <c r="G211" s="521">
        <v>54.4</v>
      </c>
      <c r="H211" s="506">
        <f t="shared" si="22"/>
        <v>2.4289211071361283E-2</v>
      </c>
      <c r="J211" s="507" t="s">
        <v>299</v>
      </c>
      <c r="K211" s="502">
        <v>62.78</v>
      </c>
      <c r="L211" s="506">
        <f t="shared" si="23"/>
        <v>2.0315293352836106E-2</v>
      </c>
      <c r="N211" s="507" t="s">
        <v>299</v>
      </c>
      <c r="O211" s="502">
        <v>49.66</v>
      </c>
      <c r="P211" s="506">
        <f t="shared" si="24"/>
        <v>-3.81561107883015E-2</v>
      </c>
      <c r="R211" s="503">
        <v>44311</v>
      </c>
      <c r="S211" s="502">
        <v>21.72</v>
      </c>
      <c r="T211" s="506">
        <f t="shared" si="25"/>
        <v>2.8896257697773597E-2</v>
      </c>
      <c r="V211" s="507" t="s">
        <v>299</v>
      </c>
      <c r="W211" s="502">
        <v>20.36</v>
      </c>
      <c r="X211" s="506">
        <f t="shared" si="26"/>
        <v>3.9447731755424265E-3</v>
      </c>
      <c r="Z211" s="507" t="s">
        <v>299</v>
      </c>
      <c r="AA211" s="522">
        <v>4181.17</v>
      </c>
      <c r="AB211" s="524">
        <f t="shared" si="27"/>
        <v>2.3922472052562149E-4</v>
      </c>
    </row>
    <row r="212" spans="2:28" x14ac:dyDescent="0.25">
      <c r="B212" s="507" t="s">
        <v>300</v>
      </c>
      <c r="C212" s="502">
        <v>45.8</v>
      </c>
      <c r="D212" s="506">
        <f t="shared" si="21"/>
        <v>-1.8010291595197292E-2</v>
      </c>
      <c r="F212" s="507" t="s">
        <v>300</v>
      </c>
      <c r="G212" s="521">
        <v>53.11</v>
      </c>
      <c r="H212" s="506">
        <f t="shared" si="22"/>
        <v>-4.9400393771254714E-2</v>
      </c>
      <c r="J212" s="507" t="s">
        <v>300</v>
      </c>
      <c r="K212" s="502">
        <v>61.53</v>
      </c>
      <c r="L212" s="506">
        <f t="shared" si="23"/>
        <v>-1.378426029812474E-2</v>
      </c>
      <c r="N212" s="507" t="s">
        <v>300</v>
      </c>
      <c r="O212" s="502">
        <v>51.63</v>
      </c>
      <c r="P212" s="506">
        <f t="shared" si="24"/>
        <v>-7.6878723813184058E-3</v>
      </c>
      <c r="R212" s="503">
        <v>44304</v>
      </c>
      <c r="S212" s="502">
        <v>21.11</v>
      </c>
      <c r="T212" s="506">
        <f t="shared" si="25"/>
        <v>-4.176123467998194E-2</v>
      </c>
      <c r="V212" s="507" t="s">
        <v>300</v>
      </c>
      <c r="W212" s="502">
        <v>20.28</v>
      </c>
      <c r="X212" s="506">
        <f t="shared" si="26"/>
        <v>-9.8522167487680168E-4</v>
      </c>
      <c r="Z212" s="507" t="s">
        <v>300</v>
      </c>
      <c r="AA212" s="522">
        <v>4180.17</v>
      </c>
      <c r="AB212" s="524">
        <f t="shared" si="27"/>
        <v>-1.266285506765108E-3</v>
      </c>
    </row>
    <row r="213" spans="2:28" x14ac:dyDescent="0.25">
      <c r="B213" s="503">
        <v>44504</v>
      </c>
      <c r="C213" s="502">
        <v>46.64</v>
      </c>
      <c r="D213" s="506">
        <f t="shared" si="21"/>
        <v>-5.3379338339760607E-2</v>
      </c>
      <c r="F213" s="503">
        <v>44504</v>
      </c>
      <c r="G213" s="521">
        <v>55.87</v>
      </c>
      <c r="H213" s="506">
        <f t="shared" si="22"/>
        <v>-4.3813109703919273E-2</v>
      </c>
      <c r="J213" s="503">
        <v>44504</v>
      </c>
      <c r="K213" s="502">
        <v>62.39</v>
      </c>
      <c r="L213" s="506">
        <f t="shared" si="23"/>
        <v>-1.6240933459476525E-2</v>
      </c>
      <c r="N213" s="503">
        <v>44504</v>
      </c>
      <c r="O213" s="502">
        <v>52.03</v>
      </c>
      <c r="P213" s="506">
        <f t="shared" si="24"/>
        <v>-3.6481481481481448E-2</v>
      </c>
      <c r="R213" s="503">
        <v>44297</v>
      </c>
      <c r="S213" s="502">
        <v>22.03</v>
      </c>
      <c r="T213" s="506">
        <f t="shared" si="25"/>
        <v>-6.4146134239592145E-2</v>
      </c>
      <c r="V213" s="503">
        <v>44504</v>
      </c>
      <c r="W213" s="502">
        <v>20.3</v>
      </c>
      <c r="X213" s="506">
        <f t="shared" si="26"/>
        <v>-3.6087369420702675E-2</v>
      </c>
      <c r="Z213" s="503">
        <v>44504</v>
      </c>
      <c r="AA213" s="522">
        <v>4185.47</v>
      </c>
      <c r="AB213" s="524">
        <f t="shared" si="27"/>
        <v>1.3725537686494871E-2</v>
      </c>
    </row>
    <row r="214" spans="2:28" x14ac:dyDescent="0.25">
      <c r="B214" s="503">
        <v>44290</v>
      </c>
      <c r="C214" s="502">
        <v>49.27</v>
      </c>
      <c r="D214" s="506">
        <f t="shared" si="21"/>
        <v>9.0108539832072232E-3</v>
      </c>
      <c r="F214" s="503">
        <v>44290</v>
      </c>
      <c r="G214" s="521">
        <v>58.43</v>
      </c>
      <c r="H214" s="506">
        <f t="shared" si="22"/>
        <v>1.0549982704946448E-2</v>
      </c>
      <c r="J214" s="503">
        <v>44290</v>
      </c>
      <c r="K214" s="502">
        <v>63.42</v>
      </c>
      <c r="L214" s="506">
        <f t="shared" si="23"/>
        <v>3.4584013050571016E-2</v>
      </c>
      <c r="N214" s="503">
        <v>44290</v>
      </c>
      <c r="O214" s="502">
        <v>54</v>
      </c>
      <c r="P214" s="506">
        <f t="shared" si="24"/>
        <v>-1.9429816597058336E-2</v>
      </c>
      <c r="R214" s="503">
        <v>44290</v>
      </c>
      <c r="S214" s="502">
        <v>23.54</v>
      </c>
      <c r="T214" s="506">
        <f t="shared" si="25"/>
        <v>-1.3411567476948827E-2</v>
      </c>
      <c r="V214" s="503">
        <v>44290</v>
      </c>
      <c r="W214" s="502">
        <v>21.06</v>
      </c>
      <c r="X214" s="506">
        <f t="shared" si="26"/>
        <v>3.3873343151693547E-2</v>
      </c>
      <c r="Z214" s="503">
        <v>44290</v>
      </c>
      <c r="AA214" s="522">
        <v>4128.8</v>
      </c>
      <c r="AB214" s="524">
        <f t="shared" si="27"/>
        <v>2.7097891225338122E-2</v>
      </c>
    </row>
    <row r="215" spans="2:28" x14ac:dyDescent="0.25">
      <c r="B215" s="507" t="s">
        <v>301</v>
      </c>
      <c r="C215" s="502">
        <v>48.83</v>
      </c>
      <c r="D215" s="506">
        <f t="shared" si="21"/>
        <v>2.4548887956357568E-2</v>
      </c>
      <c r="F215" s="507" t="s">
        <v>301</v>
      </c>
      <c r="G215" s="521">
        <v>57.82</v>
      </c>
      <c r="H215" s="506">
        <f t="shared" si="22"/>
        <v>1.7420376561675166E-2</v>
      </c>
      <c r="J215" s="507" t="s">
        <v>301</v>
      </c>
      <c r="K215" s="502">
        <v>61.3</v>
      </c>
      <c r="L215" s="506">
        <f t="shared" si="23"/>
        <v>1.6315875346717412E-4</v>
      </c>
      <c r="N215" s="507" t="s">
        <v>301</v>
      </c>
      <c r="O215" s="502">
        <v>55.07</v>
      </c>
      <c r="P215" s="506">
        <f t="shared" si="24"/>
        <v>-2.8969762810066024E-3</v>
      </c>
      <c r="R215" s="503">
        <v>44283</v>
      </c>
      <c r="S215" s="502">
        <v>23.86</v>
      </c>
      <c r="T215" s="506">
        <f t="shared" si="25"/>
        <v>4.0558220671609302E-2</v>
      </c>
      <c r="V215" s="507" t="s">
        <v>301</v>
      </c>
      <c r="W215" s="502">
        <v>20.37</v>
      </c>
      <c r="X215" s="506">
        <f t="shared" si="26"/>
        <v>3.4535297105129592E-2</v>
      </c>
      <c r="Z215" s="507" t="s">
        <v>301</v>
      </c>
      <c r="AA215" s="522">
        <v>4019.87</v>
      </c>
      <c r="AB215" s="524">
        <f t="shared" si="27"/>
        <v>1.140509341961593E-2</v>
      </c>
    </row>
    <row r="216" spans="2:28" x14ac:dyDescent="0.25">
      <c r="B216" s="507" t="s">
        <v>302</v>
      </c>
      <c r="C216" s="502">
        <v>47.66</v>
      </c>
      <c r="D216" s="506">
        <f t="shared" si="21"/>
        <v>-2.734693877551031E-2</v>
      </c>
      <c r="F216" s="507" t="s">
        <v>302</v>
      </c>
      <c r="G216" s="521">
        <v>56.83</v>
      </c>
      <c r="H216" s="506">
        <f t="shared" si="22"/>
        <v>-6.4834622346552684E-2</v>
      </c>
      <c r="J216" s="507" t="s">
        <v>302</v>
      </c>
      <c r="K216" s="502">
        <v>61.29</v>
      </c>
      <c r="L216" s="506">
        <f t="shared" si="23"/>
        <v>3.9312039312040525E-3</v>
      </c>
      <c r="N216" s="507" t="s">
        <v>302</v>
      </c>
      <c r="O216" s="502">
        <v>55.23</v>
      </c>
      <c r="P216" s="506">
        <f t="shared" si="24"/>
        <v>-4.7265827151975248E-2</v>
      </c>
      <c r="R216" s="503">
        <v>44276</v>
      </c>
      <c r="S216" s="502">
        <v>22.93</v>
      </c>
      <c r="T216" s="506">
        <f t="shared" si="25"/>
        <v>-8.1698037645174137E-2</v>
      </c>
      <c r="V216" s="507" t="s">
        <v>302</v>
      </c>
      <c r="W216" s="502">
        <v>19.690000000000001</v>
      </c>
      <c r="X216" s="506">
        <f t="shared" si="26"/>
        <v>-6.2380952380952315E-2</v>
      </c>
      <c r="Z216" s="507" t="s">
        <v>302</v>
      </c>
      <c r="AA216" s="522">
        <v>3974.54</v>
      </c>
      <c r="AB216" s="524">
        <f t="shared" si="27"/>
        <v>1.570110653957224E-2</v>
      </c>
    </row>
    <row r="217" spans="2:28" x14ac:dyDescent="0.25">
      <c r="B217" s="507" t="s">
        <v>303</v>
      </c>
      <c r="C217" s="502">
        <v>49</v>
      </c>
      <c r="D217" s="506">
        <f t="shared" si="21"/>
        <v>-1.665663255067229E-2</v>
      </c>
      <c r="F217" s="507" t="s">
        <v>303</v>
      </c>
      <c r="G217" s="521">
        <v>60.77</v>
      </c>
      <c r="H217" s="506">
        <f t="shared" si="22"/>
        <v>7.9587848640966463E-2</v>
      </c>
      <c r="J217" s="507" t="s">
        <v>303</v>
      </c>
      <c r="K217" s="502">
        <v>61.05</v>
      </c>
      <c r="L217" s="506">
        <f t="shared" si="23"/>
        <v>3.2770768474521539E-4</v>
      </c>
      <c r="N217" s="507" t="s">
        <v>303</v>
      </c>
      <c r="O217" s="502">
        <v>57.97</v>
      </c>
      <c r="P217" s="506">
        <f t="shared" si="24"/>
        <v>-3.3833333333333382E-2</v>
      </c>
      <c r="R217" s="503">
        <v>44269</v>
      </c>
      <c r="S217" s="502">
        <v>24.97</v>
      </c>
      <c r="T217" s="506">
        <f t="shared" si="25"/>
        <v>6.8463842533162067E-2</v>
      </c>
      <c r="V217" s="507" t="s">
        <v>303</v>
      </c>
      <c r="W217" s="502">
        <v>21</v>
      </c>
      <c r="X217" s="506">
        <f t="shared" si="26"/>
        <v>2.7900146842878115E-2</v>
      </c>
      <c r="Z217" s="507" t="s">
        <v>303</v>
      </c>
      <c r="AA217" s="522">
        <v>3913.1</v>
      </c>
      <c r="AB217" s="524">
        <f t="shared" si="27"/>
        <v>-7.6686260885442392E-3</v>
      </c>
    </row>
    <row r="218" spans="2:28" x14ac:dyDescent="0.25">
      <c r="B218" s="503">
        <v>44380</v>
      </c>
      <c r="C218" s="502">
        <v>49.83</v>
      </c>
      <c r="D218" s="506">
        <f t="shared" si="21"/>
        <v>7.833802207314422E-2</v>
      </c>
      <c r="F218" s="503">
        <v>44380</v>
      </c>
      <c r="G218" s="521">
        <v>56.29</v>
      </c>
      <c r="H218" s="506">
        <f t="shared" si="22"/>
        <v>0.11421219319081533</v>
      </c>
      <c r="J218" s="503">
        <v>44380</v>
      </c>
      <c r="K218" s="502">
        <v>61.03</v>
      </c>
      <c r="L218" s="506">
        <f t="shared" si="23"/>
        <v>7.220660576247373E-2</v>
      </c>
      <c r="N218" s="503">
        <v>44380</v>
      </c>
      <c r="O218" s="502">
        <v>60</v>
      </c>
      <c r="P218" s="506">
        <f t="shared" si="24"/>
        <v>8.4402674859931359E-2</v>
      </c>
      <c r="R218" s="503">
        <v>44262</v>
      </c>
      <c r="S218" s="502">
        <v>23.37</v>
      </c>
      <c r="T218" s="506">
        <f t="shared" si="25"/>
        <v>0.14278728606356972</v>
      </c>
      <c r="V218" s="503">
        <v>44380</v>
      </c>
      <c r="W218" s="502">
        <v>20.43</v>
      </c>
      <c r="X218" s="506">
        <f t="shared" si="26"/>
        <v>9.661835748792269E-2</v>
      </c>
      <c r="Z218" s="503">
        <v>44380</v>
      </c>
      <c r="AA218" s="522">
        <v>3943.34</v>
      </c>
      <c r="AB218" s="524">
        <f t="shared" si="27"/>
        <v>2.6392916078856077E-2</v>
      </c>
    </row>
    <row r="219" spans="2:28" x14ac:dyDescent="0.25">
      <c r="B219" s="507" t="s">
        <v>304</v>
      </c>
      <c r="C219" s="502">
        <v>46.21</v>
      </c>
      <c r="D219" s="506">
        <f t="shared" si="21"/>
        <v>-3.6086775135586113E-2</v>
      </c>
      <c r="F219" s="507" t="s">
        <v>304</v>
      </c>
      <c r="G219" s="521">
        <v>50.52</v>
      </c>
      <c r="H219" s="506">
        <f t="shared" si="22"/>
        <v>-4.1002277904327977E-2</v>
      </c>
      <c r="J219" s="507" t="s">
        <v>304</v>
      </c>
      <c r="K219" s="502">
        <v>56.92</v>
      </c>
      <c r="L219" s="506">
        <f t="shared" si="23"/>
        <v>-2.081541372785134E-2</v>
      </c>
      <c r="N219" s="507" t="s">
        <v>304</v>
      </c>
      <c r="O219" s="502">
        <v>55.33</v>
      </c>
      <c r="P219" s="506">
        <f t="shared" si="24"/>
        <v>-1.8449529891786387E-2</v>
      </c>
      <c r="R219" s="503">
        <v>44255</v>
      </c>
      <c r="S219" s="502">
        <v>20.45</v>
      </c>
      <c r="T219" s="506">
        <f t="shared" si="25"/>
        <v>-2.3400191021967665E-2</v>
      </c>
      <c r="V219" s="507" t="s">
        <v>304</v>
      </c>
      <c r="W219" s="502">
        <v>18.63</v>
      </c>
      <c r="X219" s="506">
        <f t="shared" si="26"/>
        <v>1.0851871947910929E-2</v>
      </c>
      <c r="Z219" s="507" t="s">
        <v>304</v>
      </c>
      <c r="AA219" s="522">
        <v>3841.94</v>
      </c>
      <c r="AB219" s="524">
        <f t="shared" si="27"/>
        <v>8.0789263083320684E-3</v>
      </c>
    </row>
    <row r="220" spans="2:28" x14ac:dyDescent="0.25">
      <c r="B220" s="507" t="s">
        <v>305</v>
      </c>
      <c r="C220" s="502">
        <v>47.94</v>
      </c>
      <c r="D220" s="506">
        <f t="shared" si="21"/>
        <v>4.9704401138602972E-2</v>
      </c>
      <c r="F220" s="507" t="s">
        <v>305</v>
      </c>
      <c r="G220" s="521">
        <v>52.68</v>
      </c>
      <c r="H220" s="506">
        <f t="shared" si="22"/>
        <v>9.6814490943160525E-2</v>
      </c>
      <c r="J220" s="507" t="s">
        <v>305</v>
      </c>
      <c r="K220" s="502">
        <v>58.13</v>
      </c>
      <c r="L220" s="506">
        <f t="shared" si="23"/>
        <v>0.10073849649687561</v>
      </c>
      <c r="N220" s="507" t="s">
        <v>305</v>
      </c>
      <c r="O220" s="502">
        <v>56.37</v>
      </c>
      <c r="P220" s="506">
        <f t="shared" si="24"/>
        <v>4.9134561697375734E-2</v>
      </c>
      <c r="R220" s="503">
        <v>44248</v>
      </c>
      <c r="S220" s="502">
        <v>20.94</v>
      </c>
      <c r="T220" s="506">
        <f t="shared" si="25"/>
        <v>0.12098501070663814</v>
      </c>
      <c r="V220" s="507" t="s">
        <v>305</v>
      </c>
      <c r="W220" s="502">
        <v>18.43</v>
      </c>
      <c r="X220" s="506">
        <f t="shared" si="26"/>
        <v>5.9804485336400148E-2</v>
      </c>
      <c r="Z220" s="507" t="s">
        <v>305</v>
      </c>
      <c r="AA220" s="522">
        <v>3811.15</v>
      </c>
      <c r="AB220" s="524">
        <f t="shared" si="27"/>
        <v>-2.4460479533930046E-2</v>
      </c>
    </row>
    <row r="221" spans="2:28" x14ac:dyDescent="0.25">
      <c r="B221" s="508" t="s">
        <v>306</v>
      </c>
      <c r="C221" s="509">
        <v>45.67</v>
      </c>
      <c r="D221" s="510"/>
      <c r="F221" s="508" t="s">
        <v>306</v>
      </c>
      <c r="G221" s="525">
        <v>48.03</v>
      </c>
      <c r="H221" s="510"/>
      <c r="J221" s="508" t="s">
        <v>306</v>
      </c>
      <c r="K221" s="509">
        <v>52.81</v>
      </c>
      <c r="L221" s="510"/>
      <c r="N221" s="508" t="s">
        <v>306</v>
      </c>
      <c r="O221" s="509">
        <v>53.73</v>
      </c>
      <c r="P221" s="510"/>
      <c r="R221" s="526">
        <v>44241</v>
      </c>
      <c r="S221" s="509">
        <v>18.68</v>
      </c>
      <c r="T221" s="510"/>
      <c r="V221" s="508" t="s">
        <v>306</v>
      </c>
      <c r="W221" s="509">
        <v>17.39</v>
      </c>
      <c r="X221" s="510"/>
      <c r="Y221" s="435"/>
      <c r="Z221" s="508" t="s">
        <v>306</v>
      </c>
      <c r="AA221" s="527">
        <v>3906.71</v>
      </c>
      <c r="AB221" s="510"/>
    </row>
  </sheetData>
  <mergeCells count="2">
    <mergeCell ref="G2:G3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5A78-DF81-4C7B-861C-451E381B3944}">
  <dimension ref="A1:I15"/>
  <sheetViews>
    <sheetView showGridLines="0" workbookViewId="0">
      <selection activeCell="E17" sqref="E17"/>
    </sheetView>
  </sheetViews>
  <sheetFormatPr defaultRowHeight="15" x14ac:dyDescent="0.25"/>
  <cols>
    <col min="1" max="1" width="25.42578125" customWidth="1"/>
    <col min="2" max="2" width="15.28515625" bestFit="1" customWidth="1"/>
    <col min="5" max="5" width="26.42578125" bestFit="1" customWidth="1"/>
    <col min="6" max="6" width="29.42578125" bestFit="1" customWidth="1"/>
  </cols>
  <sheetData>
    <row r="1" spans="1:9" x14ac:dyDescent="0.25">
      <c r="B1" t="s">
        <v>327</v>
      </c>
      <c r="E1" t="s">
        <v>328</v>
      </c>
    </row>
    <row r="2" spans="1:9" x14ac:dyDescent="0.25">
      <c r="A2" s="162" t="s">
        <v>314</v>
      </c>
      <c r="B2" s="163" t="s">
        <v>176</v>
      </c>
      <c r="C2" s="162" t="s">
        <v>325</v>
      </c>
      <c r="D2" s="162" t="s">
        <v>326</v>
      </c>
      <c r="E2" s="162" t="s">
        <v>329</v>
      </c>
      <c r="F2" s="162" t="s">
        <v>330</v>
      </c>
    </row>
    <row r="3" spans="1:9" x14ac:dyDescent="0.25">
      <c r="A3" s="268" t="s">
        <v>166</v>
      </c>
      <c r="B3" s="256">
        <v>1.199095192110146</v>
      </c>
      <c r="C3" s="270">
        <v>0.64379370082083109</v>
      </c>
      <c r="D3" s="270">
        <v>0.35620629917916891</v>
      </c>
      <c r="E3" s="271">
        <f>1+(1-$B$11)*WACC!B2/WACC!C2</f>
        <v>2.4278159168449642</v>
      </c>
      <c r="F3" s="272">
        <f>B3/E3</f>
        <v>0.49389872757256414</v>
      </c>
    </row>
    <row r="4" spans="1:9" x14ac:dyDescent="0.25">
      <c r="A4" s="282" t="s">
        <v>167</v>
      </c>
      <c r="B4" s="256">
        <v>0.78311385605360484</v>
      </c>
      <c r="C4" s="270">
        <v>0.57011043989404808</v>
      </c>
      <c r="D4" s="270">
        <v>0.42988956010595192</v>
      </c>
      <c r="E4" s="271">
        <f>1+(1-$B$11)*WACC!B3/WACC!C3</f>
        <v>2.0476812868060676</v>
      </c>
      <c r="F4" s="272">
        <f>B4/E4</f>
        <v>0.38243932837570155</v>
      </c>
    </row>
    <row r="5" spans="1:9" x14ac:dyDescent="0.25">
      <c r="A5" s="282" t="s">
        <v>168</v>
      </c>
      <c r="B5" s="256">
        <v>1.0908195367518903</v>
      </c>
      <c r="C5" s="270">
        <v>0.51571518099263713</v>
      </c>
      <c r="D5" s="270">
        <v>0.48428481900736287</v>
      </c>
      <c r="E5" s="271">
        <f>1+(1-$B$11)*WACC!B4/WACC!C4</f>
        <v>1.8412714522401519</v>
      </c>
      <c r="F5" s="272">
        <f>B5/E5</f>
        <v>0.59242733352801569</v>
      </c>
    </row>
    <row r="6" spans="1:9" x14ac:dyDescent="0.25">
      <c r="A6" s="269" t="s">
        <v>415</v>
      </c>
      <c r="B6" s="256">
        <v>0.94154931321370339</v>
      </c>
      <c r="C6" s="270">
        <v>0.85903272914698048</v>
      </c>
      <c r="D6" s="270">
        <v>0.14096727085301952</v>
      </c>
      <c r="E6" s="271">
        <f>1+(1-$B$11)*WACC!B5/WACC!C5</f>
        <v>5.814137720901889</v>
      </c>
      <c r="F6" s="272">
        <f>B6/E6</f>
        <v>0.16194135027603893</v>
      </c>
      <c r="G6" t="s">
        <v>333</v>
      </c>
      <c r="H6" t="s">
        <v>334</v>
      </c>
    </row>
    <row r="7" spans="1:9" ht="15.75" thickBot="1" x14ac:dyDescent="0.3">
      <c r="A7" s="283" t="s">
        <v>169</v>
      </c>
      <c r="B7" s="260">
        <v>1.1462076338997593</v>
      </c>
      <c r="C7" s="275">
        <v>0.8242962010730901</v>
      </c>
      <c r="D7" s="275">
        <v>0.1757037989269099</v>
      </c>
      <c r="E7" s="276">
        <f>1+(1-$B$11)*WACC!B6/WACC!C6</f>
        <v>4.7062032968258585</v>
      </c>
      <c r="F7" s="277">
        <f>B7/E7</f>
        <v>0.24355251178223208</v>
      </c>
      <c r="G7" s="273">
        <f>MEDIAN(F3:F7)</f>
        <v>0.38243932837570155</v>
      </c>
      <c r="H7" s="274">
        <f>G7*E9</f>
        <v>0.87776524965390201</v>
      </c>
      <c r="I7" t="s">
        <v>335</v>
      </c>
    </row>
    <row r="9" spans="1:9" x14ac:dyDescent="0.25">
      <c r="A9" s="278" t="s">
        <v>180</v>
      </c>
      <c r="B9" s="258">
        <v>1.143372093792927</v>
      </c>
      <c r="C9" s="279">
        <v>0.60085931750359811</v>
      </c>
      <c r="D9" s="279">
        <v>0.39914068249640189</v>
      </c>
      <c r="E9" s="280">
        <f>1+(1-$B$11)*WACC!B9/WACC!C9</f>
        <v>2.2951751677369363</v>
      </c>
      <c r="F9" s="224"/>
    </row>
    <row r="11" spans="1:9" x14ac:dyDescent="0.25">
      <c r="A11" s="281" t="s">
        <v>332</v>
      </c>
      <c r="B11" s="373">
        <v>0.21</v>
      </c>
    </row>
    <row r="12" spans="1:9" x14ac:dyDescent="0.25">
      <c r="A12" s="282" t="s">
        <v>318</v>
      </c>
      <c r="B12" s="374">
        <f>WACC!B19</f>
        <v>4.3299999999999998E-2</v>
      </c>
    </row>
    <row r="13" spans="1:9" x14ac:dyDescent="0.25">
      <c r="A13" s="283" t="s">
        <v>317</v>
      </c>
      <c r="B13" s="284">
        <v>4.5400000000000003E-2</v>
      </c>
    </row>
    <row r="14" spans="1:9" x14ac:dyDescent="0.25">
      <c r="A14" s="253"/>
      <c r="B14" s="253"/>
    </row>
    <row r="15" spans="1:9" x14ac:dyDescent="0.25">
      <c r="A15" s="285" t="s">
        <v>337</v>
      </c>
      <c r="B15" s="481">
        <f>H7</f>
        <v>0.87776524965390201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8C9-7DD1-4494-8F9F-A84FF8731583}">
  <dimension ref="A1:V105"/>
  <sheetViews>
    <sheetView showGridLines="0" topLeftCell="A26" zoomScale="86" zoomScaleNormal="80" workbookViewId="0">
      <selection activeCell="A12" sqref="A12"/>
    </sheetView>
  </sheetViews>
  <sheetFormatPr defaultRowHeight="15" x14ac:dyDescent="0.25"/>
  <cols>
    <col min="1" max="1" width="25.28515625" customWidth="1"/>
    <col min="2" max="2" width="15" bestFit="1" customWidth="1"/>
    <col min="3" max="3" width="10.85546875" customWidth="1"/>
    <col min="4" max="4" width="16.42578125" customWidth="1"/>
    <col min="5" max="5" width="17.7109375" customWidth="1"/>
    <col min="6" max="6" width="10.28515625" bestFit="1" customWidth="1"/>
    <col min="11" max="11" width="11.28515625" customWidth="1"/>
  </cols>
  <sheetData>
    <row r="1" spans="1:22" ht="15.75" thickBot="1" x14ac:dyDescent="0.3">
      <c r="A1" s="212" t="s">
        <v>51</v>
      </c>
      <c r="B1" s="213">
        <f>DATE(2025,2,11)</f>
        <v>45699</v>
      </c>
    </row>
    <row r="2" spans="1:22" ht="15.75" thickBot="1" x14ac:dyDescent="0.3">
      <c r="A2" s="212" t="s">
        <v>418</v>
      </c>
      <c r="B2" s="213">
        <f>DATE(2025,12,31)</f>
        <v>46022</v>
      </c>
    </row>
    <row r="3" spans="1:22" ht="15.75" thickBot="1" x14ac:dyDescent="0.3">
      <c r="A3" s="212" t="s">
        <v>419</v>
      </c>
      <c r="B3" s="213">
        <f>DATE(2025,6,30)</f>
        <v>45838</v>
      </c>
    </row>
    <row r="5" spans="1:22" x14ac:dyDescent="0.25">
      <c r="A5" s="293" t="s">
        <v>336</v>
      </c>
      <c r="E5" s="330" t="s">
        <v>338</v>
      </c>
    </row>
    <row r="6" spans="1:22" x14ac:dyDescent="0.25">
      <c r="A6" s="291" t="s">
        <v>338</v>
      </c>
      <c r="B6" s="287" cm="1">
        <f t="array" ref="B6">_xlfn.IFS(A5=D6,E6,A5=D7,E7)</f>
        <v>9.4868011661233737E-2</v>
      </c>
      <c r="D6" s="327" t="s">
        <v>336</v>
      </c>
      <c r="E6" s="329">
        <f>WACC!B13+ WACC!B20*WACC!B19</f>
        <v>9.4868011661233737E-2</v>
      </c>
    </row>
    <row r="7" spans="1:22" x14ac:dyDescent="0.25">
      <c r="A7" s="292" t="s">
        <v>339</v>
      </c>
      <c r="B7" s="288">
        <f>WACC!E7</f>
        <v>0.31741034961448267</v>
      </c>
      <c r="D7" s="328" t="s">
        <v>337</v>
      </c>
      <c r="E7" s="286">
        <f>'BOTTOM UP BETA'!B13+'BOTTOM UP BETA'!B15*'BOTTOM UP BETA'!B12</f>
        <v>8.3407235310013955E-2</v>
      </c>
      <c r="K7" s="368" t="s">
        <v>416</v>
      </c>
    </row>
    <row r="8" spans="1:22" x14ac:dyDescent="0.25">
      <c r="A8" s="292" t="s">
        <v>340</v>
      </c>
      <c r="B8" s="289">
        <f>WACC!B16</f>
        <v>5.7359999999999994E-2</v>
      </c>
      <c r="K8" s="369" t="s">
        <v>417</v>
      </c>
    </row>
    <row r="9" spans="1:22" x14ac:dyDescent="0.25">
      <c r="A9" s="292" t="s">
        <v>341</v>
      </c>
      <c r="B9" s="288">
        <f>WACC!D7</f>
        <v>0.68258965038551733</v>
      </c>
    </row>
    <row r="10" spans="1:22" x14ac:dyDescent="0.25">
      <c r="A10" s="293" t="s">
        <v>342</v>
      </c>
      <c r="B10" s="290">
        <f>B8*B9*(1-'BOTTOM UP BETA'!B11)+'DCF VALUATION'!B7*'DCF VALUATION'!B6</f>
        <v>6.1043229202052504E-2</v>
      </c>
      <c r="E10" s="293" t="s">
        <v>417</v>
      </c>
      <c r="K10" s="331" t="s">
        <v>368</v>
      </c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3"/>
    </row>
    <row r="11" spans="1:22" x14ac:dyDescent="0.25">
      <c r="K11" s="334" t="s">
        <v>349</v>
      </c>
      <c r="L11" s="335"/>
      <c r="M11" s="335"/>
      <c r="N11" s="335"/>
      <c r="O11" s="335"/>
      <c r="P11" s="335"/>
      <c r="Q11" s="335"/>
      <c r="R11" s="335"/>
      <c r="S11" s="335"/>
      <c r="T11" s="335"/>
      <c r="U11" s="335"/>
      <c r="V11" s="336"/>
    </row>
    <row r="12" spans="1:22" x14ac:dyDescent="0.25">
      <c r="K12" s="334"/>
      <c r="L12" s="335"/>
      <c r="M12" s="335"/>
      <c r="N12" s="335"/>
      <c r="O12" s="335"/>
      <c r="P12" s="335"/>
      <c r="Q12" s="335"/>
      <c r="R12" s="335"/>
      <c r="S12" s="335"/>
      <c r="T12" s="335"/>
      <c r="U12" s="335"/>
      <c r="V12" s="336"/>
    </row>
    <row r="13" spans="1:22" x14ac:dyDescent="0.25">
      <c r="K13" s="334" t="s">
        <v>369</v>
      </c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6"/>
    </row>
    <row r="14" spans="1:22" x14ac:dyDescent="0.25">
      <c r="B14" s="294">
        <f>IF( E10=K8,(B2-B1)/365,(B3-B1)/365)</f>
        <v>0.8849315068493151</v>
      </c>
      <c r="C14" s="295">
        <f>B14+1</f>
        <v>1.8849315068493151</v>
      </c>
      <c r="D14" s="295">
        <f>C14+1</f>
        <v>2.8849315068493153</v>
      </c>
      <c r="E14" s="295">
        <f>D14+1</f>
        <v>3.8849315068493153</v>
      </c>
      <c r="F14" s="296">
        <f>E14+1</f>
        <v>4.8849315068493153</v>
      </c>
      <c r="K14" s="334" t="s">
        <v>358</v>
      </c>
      <c r="L14" s="335"/>
      <c r="M14" s="335"/>
      <c r="N14" s="335"/>
      <c r="O14" s="335"/>
      <c r="P14" s="335"/>
      <c r="Q14" s="335"/>
      <c r="R14" s="335"/>
      <c r="S14" s="335"/>
      <c r="T14" s="335"/>
      <c r="U14" s="335"/>
      <c r="V14" s="336"/>
    </row>
    <row r="15" spans="1:22" x14ac:dyDescent="0.25">
      <c r="A15" s="172" t="s">
        <v>360</v>
      </c>
      <c r="B15" s="530" t="s">
        <v>350</v>
      </c>
      <c r="C15" s="531" t="s">
        <v>351</v>
      </c>
      <c r="D15" s="531" t="s">
        <v>352</v>
      </c>
      <c r="E15" s="531" t="s">
        <v>353</v>
      </c>
      <c r="F15" s="532" t="s">
        <v>354</v>
      </c>
      <c r="K15" s="334" t="s">
        <v>359</v>
      </c>
      <c r="L15" s="335"/>
      <c r="M15" s="335"/>
      <c r="N15" s="335"/>
      <c r="O15" s="335"/>
      <c r="P15" s="335"/>
      <c r="Q15" s="335"/>
      <c r="R15" s="335"/>
      <c r="S15" s="335"/>
      <c r="T15" s="335"/>
      <c r="U15" s="335"/>
      <c r="V15" s="336"/>
    </row>
    <row r="16" spans="1:22" x14ac:dyDescent="0.25">
      <c r="A16" s="528" t="s">
        <v>343</v>
      </c>
      <c r="B16" s="297">
        <f>'DELTA AIR LINES-IS'!H41</f>
        <v>4356.5170866652488</v>
      </c>
      <c r="C16" s="248">
        <f>'DELTA AIR LINES-IS'!I41</f>
        <v>5788.2549282794571</v>
      </c>
      <c r="D16" s="248">
        <f>'DELTA AIR LINES-IS'!J41</f>
        <v>7426.0542911652901</v>
      </c>
      <c r="E16" s="248">
        <f>'DELTA AIR LINES-IS'!K41</f>
        <v>9306.7367001271869</v>
      </c>
      <c r="F16" s="298">
        <f>'DELTA AIR LINES-IS'!L41</f>
        <v>11381.026587147797</v>
      </c>
      <c r="G16" t="s">
        <v>355</v>
      </c>
      <c r="I16" t="s">
        <v>52</v>
      </c>
      <c r="K16" s="334"/>
      <c r="L16" s="335"/>
      <c r="M16" s="335"/>
      <c r="N16" s="335"/>
      <c r="O16" s="335"/>
      <c r="P16" s="335"/>
      <c r="Q16" s="335"/>
      <c r="R16" s="335"/>
      <c r="S16" s="335"/>
      <c r="T16" s="335"/>
      <c r="U16" s="335"/>
      <c r="V16" s="336"/>
    </row>
    <row r="17" spans="1:22" x14ac:dyDescent="0.25">
      <c r="A17" s="529" t="s">
        <v>344</v>
      </c>
      <c r="B17" s="299">
        <v>0.21</v>
      </c>
      <c r="C17" s="300">
        <v>0.21</v>
      </c>
      <c r="D17" s="300">
        <v>0.21</v>
      </c>
      <c r="E17" s="300">
        <v>0.21</v>
      </c>
      <c r="F17" s="301">
        <v>0.21</v>
      </c>
      <c r="K17" s="334" t="s">
        <v>367</v>
      </c>
      <c r="L17" s="335"/>
      <c r="M17" s="335"/>
      <c r="N17" s="335"/>
      <c r="O17" s="335"/>
      <c r="P17" s="335"/>
      <c r="Q17" s="335"/>
      <c r="R17" s="335"/>
      <c r="S17" s="335"/>
      <c r="T17" s="335"/>
      <c r="U17" s="335"/>
      <c r="V17" s="336"/>
    </row>
    <row r="18" spans="1:22" x14ac:dyDescent="0.25">
      <c r="A18" s="529" t="s">
        <v>345</v>
      </c>
      <c r="B18" s="297">
        <f>B16*(1-B17)</f>
        <v>3441.6484984655467</v>
      </c>
      <c r="C18" s="248">
        <f t="shared" ref="C18:F18" si="0">C16*(1-C17)</f>
        <v>4572.7213933407711</v>
      </c>
      <c r="D18" s="248">
        <f t="shared" si="0"/>
        <v>5866.5828900205797</v>
      </c>
      <c r="E18" s="248">
        <f t="shared" si="0"/>
        <v>7352.3219931004778</v>
      </c>
      <c r="F18" s="298">
        <f t="shared" si="0"/>
        <v>8991.0110038467592</v>
      </c>
      <c r="G18" t="s">
        <v>400</v>
      </c>
      <c r="K18" s="334" t="s">
        <v>363</v>
      </c>
      <c r="L18" s="335"/>
      <c r="M18" s="335"/>
      <c r="N18" s="335"/>
      <c r="O18" s="335"/>
      <c r="P18" s="335"/>
      <c r="Q18" s="335"/>
      <c r="R18" s="335"/>
      <c r="S18" s="335"/>
      <c r="T18" s="335"/>
      <c r="U18" s="335"/>
      <c r="V18" s="336"/>
    </row>
    <row r="19" spans="1:22" x14ac:dyDescent="0.25">
      <c r="A19" s="529" t="s">
        <v>346</v>
      </c>
      <c r="B19" s="297">
        <f>'DELTA AIR LINES-IS'!H39</f>
        <v>2861.7062895763929</v>
      </c>
      <c r="C19" s="248">
        <f>'DELTA AIR LINES-IS'!I39</f>
        <v>3225.0350470931335</v>
      </c>
      <c r="D19" s="248">
        <f>'DELTA AIR LINES-IS'!J39</f>
        <v>3664.7486600296525</v>
      </c>
      <c r="E19" s="248">
        <f>'DELTA AIR LINES-IS'!K39</f>
        <v>4195.1173742281935</v>
      </c>
      <c r="F19" s="298">
        <f>'DELTA AIR LINES-IS'!L39</f>
        <v>4833.1957399096909</v>
      </c>
      <c r="G19" t="s">
        <v>355</v>
      </c>
      <c r="K19" s="334"/>
      <c r="L19" s="335"/>
      <c r="M19" s="335"/>
      <c r="N19" s="335"/>
      <c r="O19" s="335"/>
      <c r="P19" s="335"/>
      <c r="Q19" s="335"/>
      <c r="R19" s="335"/>
      <c r="S19" s="335"/>
      <c r="T19" s="335"/>
      <c r="U19" s="335"/>
      <c r="V19" s="336"/>
    </row>
    <row r="20" spans="1:22" x14ac:dyDescent="0.25">
      <c r="A20" s="529" t="s">
        <v>401</v>
      </c>
      <c r="B20" s="297">
        <f>'DELTA AIRLINES-CFS'!B10+'DELTA AIRLINES-CFS'!B11+'DELTA AIRLINES-CFS'!B13+'DELTA AIRLINES-CFS'!B14</f>
        <v>892.78062880083849</v>
      </c>
      <c r="C20" s="248">
        <f>'DELTA AIRLINES-CFS'!C10+'DELTA AIRLINES-CFS'!C11+'DELTA AIRLINES-CFS'!C13+'DELTA AIRLINES-CFS'!C14</f>
        <v>1020.9990612410104</v>
      </c>
      <c r="D20" s="248">
        <f>'DELTA AIRLINES-CFS'!D10+'DELTA AIRLINES-CFS'!D11+'DELTA AIRLINES-CFS'!D13+'DELTA AIRLINES-CFS'!D14</f>
        <v>1217.1635455864689</v>
      </c>
      <c r="E20" s="248">
        <f>'DELTA AIRLINES-CFS'!E10+'DELTA AIRLINES-CFS'!E11+'DELTA AIRLINES-CFS'!E13+'DELTA AIRLINES-CFS'!E14</f>
        <v>1451.1914447298273</v>
      </c>
      <c r="F20" s="298">
        <f>'DELTA AIRLINES-CFS'!F10+'DELTA AIRLINES-CFS'!F11+'DELTA AIRLINES-CFS'!F13+'DELTA AIRLINES-CFS'!F14</f>
        <v>1730.3870024781791</v>
      </c>
      <c r="G20" t="s">
        <v>356</v>
      </c>
      <c r="K20" s="334" t="s">
        <v>365</v>
      </c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6"/>
    </row>
    <row r="21" spans="1:22" x14ac:dyDescent="0.25">
      <c r="A21" s="529" t="s">
        <v>347</v>
      </c>
      <c r="B21" s="297">
        <f>'DELTA AIRLINES-CFS'!B18</f>
        <v>-7246.0544007635899</v>
      </c>
      <c r="C21" s="248">
        <f>'DELTA AIRLINES-CFS'!C18</f>
        <v>-8554.8288299687702</v>
      </c>
      <c r="D21" s="248">
        <f>'DELTA AIRLINES-CFS'!D18</f>
        <v>-10115.058006563728</v>
      </c>
      <c r="E21" s="248">
        <f>'DELTA AIRLINES-CFS'!E18</f>
        <v>-11975.27740033591</v>
      </c>
      <c r="F21" s="298">
        <f>'DELTA AIRLINES-CFS'!F18</f>
        <v>-14193.385474519391</v>
      </c>
      <c r="G21" t="s">
        <v>357</v>
      </c>
      <c r="K21" s="334"/>
      <c r="L21" s="335"/>
      <c r="M21" s="335"/>
      <c r="N21" s="335"/>
      <c r="O21" s="335"/>
      <c r="P21" s="335"/>
      <c r="Q21" s="335"/>
      <c r="R21" s="335"/>
      <c r="S21" s="335"/>
      <c r="T21" s="335"/>
      <c r="U21" s="335"/>
      <c r="V21" s="336"/>
    </row>
    <row r="22" spans="1:22" x14ac:dyDescent="0.25">
      <c r="A22" s="372" t="s">
        <v>348</v>
      </c>
      <c r="B22" s="302">
        <f>B18+B19+B20+B21</f>
        <v>-49.918983920812025</v>
      </c>
      <c r="C22" s="303">
        <f t="shared" ref="C22:F22" si="1">C18+C19+C20+C21</f>
        <v>263.9266717061455</v>
      </c>
      <c r="D22" s="303">
        <f t="shared" si="1"/>
        <v>633.43708907297332</v>
      </c>
      <c r="E22" s="303">
        <f t="shared" si="1"/>
        <v>1023.35341172259</v>
      </c>
      <c r="F22" s="304">
        <f t="shared" si="1"/>
        <v>1361.2082717152389</v>
      </c>
      <c r="K22" s="334" t="s">
        <v>423</v>
      </c>
      <c r="L22" s="335"/>
      <c r="M22" s="335"/>
      <c r="N22" s="335"/>
      <c r="O22" s="335"/>
      <c r="P22" s="335"/>
      <c r="Q22" s="335"/>
      <c r="R22" s="335"/>
      <c r="S22" s="335"/>
      <c r="T22" s="335"/>
      <c r="U22" s="335"/>
      <c r="V22" s="336"/>
    </row>
    <row r="23" spans="1:22" x14ac:dyDescent="0.25">
      <c r="K23" s="334" t="s">
        <v>431</v>
      </c>
      <c r="L23" s="335"/>
      <c r="M23" s="335"/>
      <c r="N23" s="335"/>
      <c r="O23" s="335"/>
      <c r="P23" s="335"/>
      <c r="Q23" s="335"/>
      <c r="R23" s="335"/>
      <c r="S23" s="335"/>
      <c r="T23" s="335"/>
      <c r="U23" s="335"/>
      <c r="V23" s="336"/>
    </row>
    <row r="24" spans="1:22" x14ac:dyDescent="0.25">
      <c r="K24" s="334"/>
      <c r="L24" s="335" t="s">
        <v>422</v>
      </c>
      <c r="M24" s="335"/>
      <c r="N24" s="335"/>
      <c r="O24" s="335"/>
      <c r="P24" s="335"/>
      <c r="Q24" s="335"/>
      <c r="R24" s="335"/>
      <c r="S24" s="335"/>
      <c r="T24" s="335"/>
      <c r="U24" s="335"/>
      <c r="V24" s="336"/>
    </row>
    <row r="25" spans="1:22" x14ac:dyDescent="0.25">
      <c r="A25" s="172" t="s">
        <v>361</v>
      </c>
      <c r="B25" s="551" t="s">
        <v>362</v>
      </c>
      <c r="C25" s="552"/>
      <c r="D25" s="552"/>
      <c r="E25" s="552"/>
      <c r="F25" s="553"/>
      <c r="K25" s="334"/>
      <c r="L25" s="335" t="s">
        <v>421</v>
      </c>
      <c r="M25" s="335"/>
      <c r="N25" s="335"/>
      <c r="O25" s="335"/>
      <c r="P25" s="335"/>
      <c r="Q25" s="335"/>
      <c r="R25" s="335"/>
      <c r="S25" s="335"/>
      <c r="T25" s="335"/>
      <c r="U25" s="335"/>
      <c r="V25" s="336"/>
    </row>
    <row r="26" spans="1:22" x14ac:dyDescent="0.25">
      <c r="B26" s="305">
        <f>1/(1+$B$10)^B14</f>
        <v>0.94891647785989308</v>
      </c>
      <c r="C26" s="306">
        <f>1/(1+$B$10)^C14</f>
        <v>0.89432404990088543</v>
      </c>
      <c r="D26" s="306">
        <f>1/(1+$B$10)^D14</f>
        <v>0.84287239698372463</v>
      </c>
      <c r="E26" s="306">
        <f>1/(1+$B$10)^E14</f>
        <v>0.79438082613994809</v>
      </c>
      <c r="F26" s="307">
        <f>1/(1+$B$10)^F14</f>
        <v>0.74867903990806739</v>
      </c>
      <c r="K26" s="334"/>
      <c r="L26" s="335"/>
      <c r="M26" s="335"/>
      <c r="N26" s="335"/>
      <c r="O26" s="335"/>
      <c r="P26" s="335"/>
      <c r="Q26" s="335"/>
      <c r="R26" s="335"/>
      <c r="S26" s="335"/>
      <c r="T26" s="335"/>
      <c r="U26" s="335"/>
      <c r="V26" s="336"/>
    </row>
    <row r="27" spans="1:22" x14ac:dyDescent="0.25">
      <c r="K27" s="334" t="s">
        <v>374</v>
      </c>
      <c r="L27" s="335"/>
      <c r="M27" s="335"/>
      <c r="N27" s="335"/>
      <c r="O27" s="335"/>
      <c r="P27" s="335"/>
      <c r="Q27" s="335"/>
      <c r="R27" s="335"/>
      <c r="S27" s="335"/>
      <c r="T27" s="335"/>
      <c r="U27" s="335"/>
      <c r="V27" s="336"/>
    </row>
    <row r="28" spans="1:22" x14ac:dyDescent="0.25">
      <c r="A28" s="370" t="s">
        <v>364</v>
      </c>
      <c r="B28" s="551" t="s">
        <v>432</v>
      </c>
      <c r="C28" s="552"/>
      <c r="D28" s="552"/>
      <c r="E28" s="552"/>
      <c r="F28" s="553"/>
      <c r="K28" s="334" t="s">
        <v>375</v>
      </c>
      <c r="L28" s="335"/>
      <c r="M28" s="335"/>
      <c r="N28" s="335"/>
      <c r="O28" s="335"/>
      <c r="P28" s="335"/>
      <c r="Q28" s="335"/>
      <c r="R28" s="335"/>
      <c r="S28" s="335"/>
      <c r="T28" s="335"/>
      <c r="U28" s="335"/>
      <c r="V28" s="336"/>
    </row>
    <row r="29" spans="1:22" x14ac:dyDescent="0.25">
      <c r="A29" s="371">
        <f>SUM(B29:F29)</f>
        <v>2554.6140917419602</v>
      </c>
      <c r="B29" s="308">
        <f>B22*B26</f>
        <v>-47.368946400481583</v>
      </c>
      <c r="C29" s="308">
        <f>C22*C26</f>
        <v>236.03596991710148</v>
      </c>
      <c r="D29" s="308">
        <f>D22*D26</f>
        <v>533.90663760533016</v>
      </c>
      <c r="E29" s="308">
        <f>E22*E26</f>
        <v>812.93232863732544</v>
      </c>
      <c r="F29" s="309">
        <f>F22*F26</f>
        <v>1019.1081019826847</v>
      </c>
      <c r="K29" s="334"/>
      <c r="L29" s="335"/>
      <c r="M29" s="335"/>
      <c r="N29" s="335"/>
      <c r="O29" s="335"/>
      <c r="P29" s="335"/>
      <c r="Q29" s="335"/>
      <c r="R29" s="335"/>
      <c r="S29" s="335"/>
      <c r="T29" s="335"/>
      <c r="U29" s="335"/>
      <c r="V29" s="336"/>
    </row>
    <row r="30" spans="1:22" x14ac:dyDescent="0.25">
      <c r="K30" s="334" t="s">
        <v>379</v>
      </c>
      <c r="L30" s="335"/>
      <c r="M30" s="335"/>
      <c r="N30" s="335"/>
      <c r="O30" s="335"/>
      <c r="P30" s="335"/>
      <c r="Q30" s="335"/>
      <c r="R30" s="335"/>
      <c r="S30" s="335"/>
      <c r="T30" s="335"/>
      <c r="U30" s="335"/>
      <c r="V30" s="336"/>
    </row>
    <row r="31" spans="1:22" x14ac:dyDescent="0.25">
      <c r="K31" s="337" t="s">
        <v>425</v>
      </c>
      <c r="L31" s="338"/>
      <c r="M31" s="338"/>
      <c r="N31" s="338"/>
      <c r="O31" s="338"/>
      <c r="P31" s="338"/>
      <c r="Q31" s="338"/>
      <c r="R31" s="335"/>
      <c r="S31" s="335"/>
      <c r="T31" s="335"/>
      <c r="U31" s="335"/>
      <c r="V31" s="336"/>
    </row>
    <row r="32" spans="1:22" x14ac:dyDescent="0.25">
      <c r="A32" s="172" t="s">
        <v>366</v>
      </c>
      <c r="B32" s="318" t="s">
        <v>370</v>
      </c>
      <c r="D32" s="318" t="s">
        <v>373</v>
      </c>
      <c r="K32" s="339"/>
      <c r="L32" s="338"/>
      <c r="M32" s="340" t="s">
        <v>430</v>
      </c>
      <c r="N32" s="338"/>
      <c r="O32" s="338"/>
      <c r="P32" s="338"/>
      <c r="Q32" s="338"/>
      <c r="R32" s="335"/>
      <c r="S32" s="335"/>
      <c r="T32" s="335"/>
      <c r="U32" s="335"/>
      <c r="V32" s="336"/>
    </row>
    <row r="33" spans="1:22" x14ac:dyDescent="0.25">
      <c r="D33" s="312" t="s">
        <v>343</v>
      </c>
      <c r="E33" s="316">
        <f>'DELTA AIR LINES-IS'!L41</f>
        <v>11381.026587147797</v>
      </c>
      <c r="I33" s="161"/>
      <c r="K33" s="334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6"/>
    </row>
    <row r="34" spans="1:22" x14ac:dyDescent="0.25">
      <c r="A34" s="312" t="s">
        <v>371</v>
      </c>
      <c r="B34" s="310">
        <v>2.3E-2</v>
      </c>
      <c r="D34" s="313" t="s">
        <v>377</v>
      </c>
      <c r="E34" s="317">
        <v>5.98</v>
      </c>
      <c r="H34" s="160"/>
      <c r="K34" s="337" t="s">
        <v>382</v>
      </c>
      <c r="L34" s="338"/>
      <c r="M34" s="338"/>
      <c r="N34" s="338"/>
      <c r="O34" s="338"/>
      <c r="P34" s="338"/>
      <c r="Q34" s="338"/>
      <c r="R34" s="335"/>
      <c r="S34" s="335"/>
      <c r="T34" s="335"/>
      <c r="U34" s="335"/>
      <c r="V34" s="336"/>
    </row>
    <row r="35" spans="1:22" x14ac:dyDescent="0.25">
      <c r="A35" s="313" t="s">
        <v>424</v>
      </c>
      <c r="B35" s="311">
        <f xml:space="preserve"> (F22*(1+B34))/(B10-B34)</f>
        <v>36603.518974923412</v>
      </c>
      <c r="D35" s="313" t="s">
        <v>424</v>
      </c>
      <c r="E35" s="298">
        <f>E33*E34</f>
        <v>68058.538991143825</v>
      </c>
      <c r="K35" s="341"/>
      <c r="L35" s="338"/>
      <c r="M35" s="338"/>
      <c r="N35" s="338"/>
      <c r="O35" s="338"/>
      <c r="P35" s="338"/>
      <c r="Q35" s="338"/>
      <c r="R35" s="335"/>
      <c r="S35" s="335"/>
      <c r="T35" s="335"/>
      <c r="U35" s="335"/>
      <c r="V35" s="336"/>
    </row>
    <row r="36" spans="1:22" x14ac:dyDescent="0.25">
      <c r="A36" s="314" t="s">
        <v>372</v>
      </c>
      <c r="B36" s="309">
        <f>B35*F26</f>
        <v>27404.287443402387</v>
      </c>
      <c r="D36" s="314" t="s">
        <v>378</v>
      </c>
      <c r="E36" s="309">
        <f>E35*F26</f>
        <v>50954.001629435326</v>
      </c>
      <c r="K36" s="334" t="s">
        <v>389</v>
      </c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6"/>
    </row>
    <row r="37" spans="1:22" x14ac:dyDescent="0.25">
      <c r="K37" s="334" t="s">
        <v>390</v>
      </c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6"/>
    </row>
    <row r="38" spans="1:22" x14ac:dyDescent="0.25">
      <c r="K38" s="334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6"/>
    </row>
    <row r="39" spans="1:22" x14ac:dyDescent="0.25">
      <c r="A39" s="172" t="s">
        <v>376</v>
      </c>
      <c r="B39" s="551" t="s">
        <v>426</v>
      </c>
      <c r="C39" s="552"/>
      <c r="D39" s="552"/>
      <c r="E39" s="553"/>
      <c r="K39" s="334" t="s">
        <v>391</v>
      </c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6"/>
    </row>
    <row r="40" spans="1:22" x14ac:dyDescent="0.25">
      <c r="B40" s="319">
        <f>B36+A29</f>
        <v>29958.901535144349</v>
      </c>
      <c r="C40" s="128"/>
      <c r="E40" s="319">
        <f>E36+A29</f>
        <v>53508.615721177288</v>
      </c>
      <c r="K40" s="334" t="s">
        <v>392</v>
      </c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6"/>
    </row>
    <row r="41" spans="1:22" x14ac:dyDescent="0.25">
      <c r="K41" s="334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6"/>
    </row>
    <row r="42" spans="1:22" x14ac:dyDescent="0.25">
      <c r="K42" s="334" t="s">
        <v>393</v>
      </c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6"/>
    </row>
    <row r="43" spans="1:22" x14ac:dyDescent="0.25">
      <c r="A43" s="172" t="s">
        <v>380</v>
      </c>
      <c r="B43" s="551" t="s">
        <v>381</v>
      </c>
      <c r="C43" s="552"/>
      <c r="D43" s="552"/>
      <c r="E43" s="553"/>
      <c r="K43" s="342" t="s">
        <v>394</v>
      </c>
      <c r="L43" s="343"/>
      <c r="M43" s="343"/>
      <c r="N43" s="343"/>
      <c r="O43" s="343"/>
      <c r="P43" s="343"/>
      <c r="Q43" s="343"/>
      <c r="R43" s="343"/>
      <c r="S43" s="343"/>
      <c r="T43" s="343"/>
      <c r="U43" s="343"/>
      <c r="V43" s="344"/>
    </row>
    <row r="44" spans="1:22" x14ac:dyDescent="0.25">
      <c r="B44" s="320">
        <f>'DELTA AIRLINES-BS'!G19+'DELTA AIRLINES-BS'!G21</f>
        <v>5561</v>
      </c>
      <c r="E44" s="321">
        <f>B44</f>
        <v>5561</v>
      </c>
    </row>
    <row r="46" spans="1:22" x14ac:dyDescent="0.25">
      <c r="A46" s="172" t="s">
        <v>383</v>
      </c>
      <c r="B46" s="551" t="s">
        <v>427</v>
      </c>
      <c r="C46" s="552"/>
      <c r="D46" s="552"/>
      <c r="E46" s="553"/>
    </row>
    <row r="47" spans="1:22" x14ac:dyDescent="0.25">
      <c r="B47" s="323">
        <f>B40+B44</f>
        <v>35519.901535144352</v>
      </c>
      <c r="C47" s="128"/>
      <c r="E47" s="323">
        <f>E40+E44</f>
        <v>59069.615721177288</v>
      </c>
    </row>
    <row r="49" spans="1:14" x14ac:dyDescent="0.25">
      <c r="A49" s="172" t="s">
        <v>384</v>
      </c>
      <c r="B49" s="551" t="s">
        <v>428</v>
      </c>
      <c r="C49" s="552"/>
      <c r="D49" s="552"/>
      <c r="E49" s="553"/>
    </row>
    <row r="50" spans="1:14" x14ac:dyDescent="0.25">
      <c r="A50" s="312" t="s">
        <v>385</v>
      </c>
      <c r="B50" s="322">
        <f>B47</f>
        <v>35519.901535144352</v>
      </c>
      <c r="C50" s="128"/>
      <c r="E50" s="322">
        <f>E47</f>
        <v>59069.615721177288</v>
      </c>
    </row>
    <row r="51" spans="1:14" x14ac:dyDescent="0.25">
      <c r="A51" s="313" t="s">
        <v>386</v>
      </c>
      <c r="B51" s="324">
        <f>'DELTA AIRLINES-BS'!G38+'DELTA AIRLINES-BS'!G27</f>
        <v>16194</v>
      </c>
      <c r="C51" s="128"/>
      <c r="E51" s="324">
        <f>B51</f>
        <v>16194</v>
      </c>
    </row>
    <row r="52" spans="1:14" x14ac:dyDescent="0.25">
      <c r="A52" s="313" t="s">
        <v>387</v>
      </c>
      <c r="B52" s="324">
        <v>0</v>
      </c>
      <c r="C52" s="128"/>
      <c r="E52" s="324">
        <f>B52</f>
        <v>0</v>
      </c>
    </row>
    <row r="53" spans="1:14" x14ac:dyDescent="0.25">
      <c r="A53" s="313" t="s">
        <v>388</v>
      </c>
      <c r="B53" s="324">
        <f>'DELTA AIRLINES-BS'!G6</f>
        <v>3069</v>
      </c>
      <c r="C53" s="128"/>
      <c r="E53" s="324">
        <f>B53</f>
        <v>3069</v>
      </c>
    </row>
    <row r="54" spans="1:14" x14ac:dyDescent="0.25">
      <c r="A54" s="314" t="s">
        <v>429</v>
      </c>
      <c r="B54" s="323">
        <f>B50-B51-B52+B53</f>
        <v>22394.901535144352</v>
      </c>
      <c r="C54" s="128"/>
      <c r="E54" s="323">
        <f>E50-E51-E52+E53</f>
        <v>45944.615721177288</v>
      </c>
    </row>
    <row r="56" spans="1:14" x14ac:dyDescent="0.25">
      <c r="A56" s="172" t="s">
        <v>395</v>
      </c>
      <c r="B56" s="551" t="s">
        <v>396</v>
      </c>
      <c r="C56" s="552"/>
      <c r="D56" s="552"/>
      <c r="E56" s="553"/>
    </row>
    <row r="57" spans="1:14" x14ac:dyDescent="0.25">
      <c r="A57" s="312" t="s">
        <v>397</v>
      </c>
      <c r="B57" s="325">
        <v>648</v>
      </c>
      <c r="E57" s="325">
        <v>648</v>
      </c>
    </row>
    <row r="58" spans="1:14" x14ac:dyDescent="0.25">
      <c r="A58" s="314" t="s">
        <v>398</v>
      </c>
      <c r="B58" s="326">
        <f>B54/B57</f>
        <v>34.560033233247459</v>
      </c>
      <c r="C58" s="103"/>
      <c r="E58" s="326">
        <f>E54/E57</f>
        <v>70.902184754903217</v>
      </c>
    </row>
    <row r="62" spans="1:14" x14ac:dyDescent="0.25">
      <c r="A62" s="345" t="s">
        <v>402</v>
      </c>
    </row>
    <row r="63" spans="1:14" x14ac:dyDescent="0.25">
      <c r="A63" s="346" t="s">
        <v>403</v>
      </c>
      <c r="B63" s="347"/>
      <c r="C63" s="347"/>
      <c r="D63" s="347"/>
      <c r="E63" s="348"/>
      <c r="G63" s="556" t="s">
        <v>407</v>
      </c>
      <c r="H63" s="557"/>
      <c r="I63" s="557"/>
      <c r="J63" s="557"/>
      <c r="K63" s="557"/>
      <c r="L63" s="557"/>
      <c r="M63" s="557"/>
      <c r="N63" s="558"/>
    </row>
    <row r="64" spans="1:14" x14ac:dyDescent="0.25">
      <c r="A64" s="349" t="s">
        <v>404</v>
      </c>
      <c r="B64" s="350"/>
      <c r="C64" s="350"/>
      <c r="D64" s="350"/>
      <c r="E64" s="351"/>
      <c r="G64" s="346"/>
      <c r="H64" s="347"/>
      <c r="I64" s="347"/>
      <c r="J64" s="347"/>
      <c r="K64" s="347"/>
      <c r="L64" s="347"/>
      <c r="M64" s="347"/>
      <c r="N64" s="348"/>
    </row>
    <row r="65" spans="1:17" x14ac:dyDescent="0.25">
      <c r="A65" s="349" t="s">
        <v>405</v>
      </c>
      <c r="B65" s="350"/>
      <c r="C65" s="350"/>
      <c r="D65" s="350"/>
      <c r="E65" s="351"/>
      <c r="G65" s="349"/>
      <c r="H65" s="554" t="s">
        <v>408</v>
      </c>
      <c r="I65" s="554"/>
      <c r="J65" s="554"/>
      <c r="K65" s="554"/>
      <c r="L65" s="554"/>
      <c r="M65" s="554"/>
      <c r="N65" s="555"/>
    </row>
    <row r="66" spans="1:17" x14ac:dyDescent="0.25">
      <c r="A66" s="352" t="s">
        <v>406</v>
      </c>
      <c r="B66" s="353"/>
      <c r="C66" s="353"/>
      <c r="D66" s="353"/>
      <c r="E66" s="354"/>
      <c r="G66" s="349"/>
      <c r="H66" s="355">
        <f>B58</f>
        <v>34.560033233247459</v>
      </c>
      <c r="I66" s="356">
        <v>1.7000000000000001E-2</v>
      </c>
      <c r="J66" s="357">
        <f>I66+0.2%</f>
        <v>1.9000000000000003E-2</v>
      </c>
      <c r="K66" s="357">
        <f>J66+0.2%</f>
        <v>2.1000000000000005E-2</v>
      </c>
      <c r="L66" s="357">
        <f>K66+0.2%</f>
        <v>2.3000000000000007E-2</v>
      </c>
      <c r="M66" s="358">
        <f>L66+0.2%</f>
        <v>2.5000000000000008E-2</v>
      </c>
      <c r="N66" s="359">
        <f>M66+0.2%</f>
        <v>2.700000000000001E-2</v>
      </c>
    </row>
    <row r="67" spans="1:17" x14ac:dyDescent="0.25">
      <c r="G67" s="349"/>
      <c r="H67" s="356">
        <v>5.2999999999999999E-2</v>
      </c>
      <c r="I67" s="360">
        <f t="dataTable" ref="I67:N75" dt2D="1" dtr="1" r1="B34" r2="B10"/>
        <v>38.500978540548068</v>
      </c>
      <c r="J67" s="360">
        <v>41.309420581935079</v>
      </c>
      <c r="K67" s="360">
        <v>44.468917878495496</v>
      </c>
      <c r="L67" s="360">
        <v>48.049681481263939</v>
      </c>
      <c r="M67" s="360">
        <v>52.141982741570743</v>
      </c>
      <c r="N67" s="361">
        <v>56.863868811155541</v>
      </c>
    </row>
    <row r="68" spans="1:17" x14ac:dyDescent="0.25">
      <c r="G68" s="349"/>
      <c r="H68" s="356">
        <f>H67+0.2%</f>
        <v>5.5E-2</v>
      </c>
      <c r="I68" s="360">
        <v>35.640672526912759</v>
      </c>
      <c r="J68" s="360">
        <v>38.135033247247556</v>
      </c>
      <c r="K68" s="360">
        <v>40.922848169974678</v>
      </c>
      <c r="L68" s="360">
        <v>44.059139958042692</v>
      </c>
      <c r="M68" s="360">
        <v>47.61360398451977</v>
      </c>
      <c r="N68" s="361">
        <v>51.675848586207877</v>
      </c>
    </row>
    <row r="69" spans="1:17" x14ac:dyDescent="0.25">
      <c r="G69" s="349"/>
      <c r="H69" s="356">
        <f t="shared" ref="H69:H75" si="2">H68+0.2%</f>
        <v>5.7000000000000002E-2</v>
      </c>
      <c r="I69" s="360">
        <v>33.067905755261499</v>
      </c>
      <c r="J69" s="360">
        <v>35.296373254993107</v>
      </c>
      <c r="K69" s="360">
        <v>37.772448254694893</v>
      </c>
      <c r="L69" s="360">
        <v>40.539826195538055</v>
      </c>
      <c r="M69" s="360">
        <v>43.65312637898662</v>
      </c>
      <c r="N69" s="361">
        <v>47.181533253561675</v>
      </c>
    </row>
    <row r="70" spans="1:17" x14ac:dyDescent="0.25">
      <c r="G70" s="349"/>
      <c r="H70" s="357">
        <f t="shared" si="2"/>
        <v>5.9000000000000004E-2</v>
      </c>
      <c r="I70" s="360">
        <v>30.741587433983774</v>
      </c>
      <c r="J70" s="240">
        <v>32.743067125447865</v>
      </c>
      <c r="K70" s="241">
        <v>34.955228889697636</v>
      </c>
      <c r="L70" s="242">
        <v>37.413186405530723</v>
      </c>
      <c r="M70" s="360">
        <v>40.160315393814734</v>
      </c>
      <c r="N70" s="361">
        <v>43.250835505634292</v>
      </c>
    </row>
    <row r="71" spans="1:17" x14ac:dyDescent="0.25">
      <c r="G71" s="362" t="s">
        <v>342</v>
      </c>
      <c r="H71" s="357">
        <f t="shared" si="2"/>
        <v>6.1000000000000006E-2</v>
      </c>
      <c r="I71" s="360">
        <v>28.628097978395893</v>
      </c>
      <c r="J71" s="243">
        <v>30.434336487858651</v>
      </c>
      <c r="K71" s="363">
        <v>32.421198848267679</v>
      </c>
      <c r="L71" s="244">
        <v>34.617204615035568</v>
      </c>
      <c r="M71" s="360">
        <v>37.057211022555421</v>
      </c>
      <c r="N71" s="361">
        <v>39.784277007430568</v>
      </c>
    </row>
    <row r="72" spans="1:17" x14ac:dyDescent="0.25">
      <c r="G72" s="349"/>
      <c r="H72" s="357">
        <f t="shared" si="2"/>
        <v>6.3E-2</v>
      </c>
      <c r="I72" s="360">
        <v>26.699664833295472</v>
      </c>
      <c r="J72" s="245">
        <v>28.336817371750751</v>
      </c>
      <c r="K72" s="246">
        <v>30.129889199582724</v>
      </c>
      <c r="L72" s="247">
        <v>32.102268210197892</v>
      </c>
      <c r="M72" s="360">
        <v>34.282266064035696</v>
      </c>
      <c r="N72" s="361">
        <v>36.704485901633277</v>
      </c>
    </row>
    <row r="73" spans="1:17" x14ac:dyDescent="0.25">
      <c r="G73" s="349"/>
      <c r="H73" s="356">
        <f t="shared" si="2"/>
        <v>6.5000000000000002E-2</v>
      </c>
      <c r="I73" s="360">
        <v>24.933144339908015</v>
      </c>
      <c r="J73" s="360">
        <v>26.422948378795819</v>
      </c>
      <c r="K73" s="360">
        <v>28.048189148491598</v>
      </c>
      <c r="L73" s="360">
        <v>29.828214753396512</v>
      </c>
      <c r="M73" s="360">
        <v>31.78624291879191</v>
      </c>
      <c r="N73" s="361">
        <v>33.95037931212368</v>
      </c>
      <c r="O73" s="7"/>
    </row>
    <row r="74" spans="1:17" x14ac:dyDescent="0.25">
      <c r="G74" s="349"/>
      <c r="H74" s="356">
        <f t="shared" si="2"/>
        <v>6.7000000000000004E-2</v>
      </c>
      <c r="I74" s="360">
        <v>23.309095954795147</v>
      </c>
      <c r="J74" s="360">
        <v>24.66976181174282</v>
      </c>
      <c r="K74" s="360">
        <v>26.148746438859853</v>
      </c>
      <c r="L74" s="360">
        <v>27.762184213896607</v>
      </c>
      <c r="M74" s="360">
        <v>29.529282729413062</v>
      </c>
      <c r="N74" s="361">
        <v>31.473091096481159</v>
      </c>
      <c r="O74" s="135"/>
      <c r="P74" s="135"/>
      <c r="Q74" s="135"/>
    </row>
    <row r="75" spans="1:17" x14ac:dyDescent="0.25">
      <c r="G75" s="352"/>
      <c r="H75" s="364">
        <f t="shared" si="2"/>
        <v>6.9000000000000006E-2</v>
      </c>
      <c r="I75" s="365">
        <v>21.811070110580491</v>
      </c>
      <c r="J75" s="365">
        <v>23.057964932433624</v>
      </c>
      <c r="K75" s="365">
        <v>24.408767656107845</v>
      </c>
      <c r="L75" s="365">
        <v>25.877031486188521</v>
      </c>
      <c r="M75" s="365">
        <v>27.478773846276532</v>
      </c>
      <c r="N75" s="366">
        <v>29.233063097801502</v>
      </c>
      <c r="O75" s="135"/>
      <c r="P75" s="135"/>
      <c r="Q75" s="135"/>
    </row>
    <row r="76" spans="1:17" x14ac:dyDescent="0.25">
      <c r="K76" s="166"/>
      <c r="L76" s="135"/>
      <c r="M76" s="135"/>
      <c r="N76" s="135"/>
      <c r="O76" s="135"/>
      <c r="P76" s="135"/>
      <c r="Q76" s="135"/>
    </row>
    <row r="77" spans="1:17" x14ac:dyDescent="0.25">
      <c r="K77" s="171"/>
      <c r="L77" s="135"/>
      <c r="M77" s="239"/>
      <c r="N77" s="239"/>
      <c r="O77" s="239"/>
      <c r="P77" s="135"/>
      <c r="Q77" s="135"/>
    </row>
    <row r="78" spans="1:17" x14ac:dyDescent="0.25">
      <c r="G78" s="556" t="s">
        <v>409</v>
      </c>
      <c r="H78" s="557"/>
      <c r="I78" s="557"/>
      <c r="J78" s="557"/>
      <c r="K78" s="557"/>
      <c r="L78" s="557"/>
      <c r="M78" s="557"/>
      <c r="N78" s="558"/>
      <c r="O78" s="239"/>
      <c r="P78" s="135"/>
      <c r="Q78" s="135"/>
    </row>
    <row r="79" spans="1:17" x14ac:dyDescent="0.25">
      <c r="G79" s="346"/>
      <c r="H79" s="347"/>
      <c r="I79" s="347"/>
      <c r="J79" s="347"/>
      <c r="K79" s="347"/>
      <c r="L79" s="347"/>
      <c r="M79" s="347"/>
      <c r="N79" s="348"/>
      <c r="O79" s="239"/>
      <c r="P79" s="135"/>
      <c r="Q79" s="135"/>
    </row>
    <row r="80" spans="1:17" x14ac:dyDescent="0.25">
      <c r="G80" s="349"/>
      <c r="H80" s="554" t="s">
        <v>410</v>
      </c>
      <c r="I80" s="554"/>
      <c r="J80" s="554"/>
      <c r="K80" s="554"/>
      <c r="L80" s="554"/>
      <c r="M80" s="554"/>
      <c r="N80" s="555"/>
      <c r="O80" s="135"/>
      <c r="P80" s="135"/>
      <c r="Q80" s="135"/>
    </row>
    <row r="81" spans="7:17" x14ac:dyDescent="0.25">
      <c r="G81" s="349"/>
      <c r="H81" s="355">
        <f>E58</f>
        <v>70.902184754903217</v>
      </c>
      <c r="I81" s="350">
        <v>5.5</v>
      </c>
      <c r="J81" s="367">
        <f>I81+0.2</f>
        <v>5.7</v>
      </c>
      <c r="K81" s="367">
        <f>J81+0.2</f>
        <v>5.9</v>
      </c>
      <c r="L81" s="367">
        <f>K81+0.2</f>
        <v>6.1000000000000005</v>
      </c>
      <c r="M81" s="350">
        <f>L81+0.2</f>
        <v>6.3000000000000007</v>
      </c>
      <c r="N81" s="351">
        <f>M81+0.2</f>
        <v>6.5000000000000009</v>
      </c>
      <c r="O81" s="135"/>
      <c r="P81" s="135"/>
      <c r="Q81" s="135"/>
    </row>
    <row r="82" spans="7:17" x14ac:dyDescent="0.25">
      <c r="G82" s="349"/>
      <c r="H82" s="356">
        <v>5.2999999999999999E-2</v>
      </c>
      <c r="I82" s="360">
        <v>66.776394831301104</v>
      </c>
      <c r="J82" s="360">
        <v>69.505846261955497</v>
      </c>
      <c r="K82" s="360">
        <v>72.23529769260989</v>
      </c>
      <c r="L82" s="360">
        <v>74.964749123264269</v>
      </c>
      <c r="M82" s="360">
        <v>77.694200553918677</v>
      </c>
      <c r="N82" s="361">
        <v>80.423651984573056</v>
      </c>
      <c r="O82" s="135"/>
      <c r="P82" s="135"/>
      <c r="Q82" s="135"/>
    </row>
    <row r="83" spans="7:17" x14ac:dyDescent="0.25">
      <c r="G83" s="349"/>
      <c r="H83" s="356">
        <f>H82+0.2%</f>
        <v>5.5E-2</v>
      </c>
      <c r="I83" s="360">
        <v>66.056175773527443</v>
      </c>
      <c r="J83" s="360">
        <v>68.760443934780739</v>
      </c>
      <c r="K83" s="360">
        <v>71.464712096034035</v>
      </c>
      <c r="L83" s="360">
        <v>74.16898025728733</v>
      </c>
      <c r="M83" s="360">
        <v>76.873248418540641</v>
      </c>
      <c r="N83" s="361">
        <v>79.577516579793937</v>
      </c>
    </row>
    <row r="84" spans="7:17" x14ac:dyDescent="0.25">
      <c r="G84" s="349"/>
      <c r="H84" s="356">
        <f t="shared" ref="H84:H90" si="3">H83+0.2%</f>
        <v>5.7000000000000002E-2</v>
      </c>
      <c r="I84" s="360">
        <v>65.343913920647026</v>
      </c>
      <c r="J84" s="360">
        <v>68.023278203092076</v>
      </c>
      <c r="K84" s="360">
        <v>70.702642485537112</v>
      </c>
      <c r="L84" s="360">
        <v>73.382006767982148</v>
      </c>
      <c r="M84" s="360">
        <v>76.061371050427226</v>
      </c>
      <c r="N84" s="361">
        <v>78.740735332872248</v>
      </c>
    </row>
    <row r="85" spans="7:17" x14ac:dyDescent="0.25">
      <c r="G85" s="349"/>
      <c r="H85" s="357">
        <f t="shared" si="3"/>
        <v>5.9000000000000004E-2</v>
      </c>
      <c r="I85" s="360">
        <v>64.639506469542141</v>
      </c>
      <c r="J85" s="240">
        <v>67.294242644249962</v>
      </c>
      <c r="K85" s="241">
        <v>69.948978818957769</v>
      </c>
      <c r="L85" s="242">
        <v>72.603714993665591</v>
      </c>
      <c r="M85" s="360">
        <v>75.258451168373441</v>
      </c>
      <c r="N85" s="361">
        <v>77.913187343081248</v>
      </c>
    </row>
    <row r="86" spans="7:17" x14ac:dyDescent="0.25">
      <c r="G86" s="362" t="s">
        <v>342</v>
      </c>
      <c r="H86" s="357">
        <f t="shared" si="3"/>
        <v>6.1000000000000006E-2</v>
      </c>
      <c r="I86" s="360">
        <v>63.942852136592592</v>
      </c>
      <c r="J86" s="243">
        <v>66.573232408713309</v>
      </c>
      <c r="K86" s="363">
        <v>69.203612680833999</v>
      </c>
      <c r="L86" s="244">
        <v>71.833992952954716</v>
      </c>
      <c r="M86" s="360">
        <v>74.464373225075434</v>
      </c>
      <c r="N86" s="361">
        <v>77.094753497196152</v>
      </c>
    </row>
    <row r="87" spans="7:17" x14ac:dyDescent="0.25">
      <c r="G87" s="349"/>
      <c r="H87" s="357">
        <f t="shared" si="3"/>
        <v>6.3E-2</v>
      </c>
      <c r="I87" s="360">
        <v>63.253851132402581</v>
      </c>
      <c r="J87" s="245">
        <v>65.860144193873481</v>
      </c>
      <c r="K87" s="246">
        <v>68.466437255344403</v>
      </c>
      <c r="L87" s="247">
        <v>71.07273031681531</v>
      </c>
      <c r="M87" s="360">
        <v>73.679023378286246</v>
      </c>
      <c r="N87" s="361">
        <v>76.285316439757153</v>
      </c>
    </row>
    <row r="88" spans="7:17" x14ac:dyDescent="0.25">
      <c r="G88" s="349"/>
      <c r="H88" s="356">
        <f t="shared" si="3"/>
        <v>6.5000000000000002E-2</v>
      </c>
      <c r="I88" s="360">
        <v>62.572405136994426</v>
      </c>
      <c r="J88" s="360">
        <v>65.154876218371967</v>
      </c>
      <c r="K88" s="360">
        <v>67.737347299749501</v>
      </c>
      <c r="L88" s="360">
        <v>70.319818381127035</v>
      </c>
      <c r="M88" s="360">
        <v>72.902289462504598</v>
      </c>
      <c r="N88" s="361">
        <v>75.484760543882118</v>
      </c>
    </row>
    <row r="89" spans="7:17" x14ac:dyDescent="0.25">
      <c r="G89" s="349"/>
      <c r="H89" s="356">
        <f t="shared" si="3"/>
        <v>6.7000000000000004E-2</v>
      </c>
      <c r="I89" s="360">
        <v>61.898417275459998</v>
      </c>
      <c r="J89" s="360">
        <v>64.457328196891481</v>
      </c>
      <c r="K89" s="360">
        <v>67.016239118322972</v>
      </c>
      <c r="L89" s="360">
        <v>69.575150039754462</v>
      </c>
      <c r="M89" s="360">
        <v>72.134060961185966</v>
      </c>
      <c r="N89" s="361">
        <v>74.692971882617456</v>
      </c>
    </row>
    <row r="90" spans="7:17" x14ac:dyDescent="0.25">
      <c r="G90" s="352"/>
      <c r="H90" s="364">
        <f t="shared" si="3"/>
        <v>6.9000000000000006E-2</v>
      </c>
      <c r="I90" s="365">
        <v>61.231792094060054</v>
      </c>
      <c r="J90" s="365">
        <v>63.767401315411334</v>
      </c>
      <c r="K90" s="365">
        <v>66.303010536762613</v>
      </c>
      <c r="L90" s="365">
        <v>68.838619758113893</v>
      </c>
      <c r="M90" s="365">
        <v>71.374228979465201</v>
      </c>
      <c r="N90" s="366">
        <v>73.909838200816466</v>
      </c>
    </row>
    <row r="100" spans="1:8" x14ac:dyDescent="0.25">
      <c r="B100" s="171"/>
      <c r="C100" s="135"/>
      <c r="D100" s="239"/>
      <c r="E100" s="239"/>
      <c r="F100" s="239"/>
      <c r="G100" s="135"/>
      <c r="H100" s="135"/>
    </row>
    <row r="101" spans="1:8" x14ac:dyDescent="0.25">
      <c r="A101" s="109"/>
      <c r="B101" s="171"/>
      <c r="C101" s="135"/>
      <c r="D101" s="239"/>
      <c r="E101" s="239"/>
      <c r="F101" s="239"/>
      <c r="G101" s="135"/>
      <c r="H101" s="135"/>
    </row>
    <row r="102" spans="1:8" x14ac:dyDescent="0.25">
      <c r="B102" s="171"/>
      <c r="C102" s="135"/>
      <c r="D102" s="239"/>
      <c r="E102" s="239"/>
      <c r="F102" s="239"/>
      <c r="G102" s="135"/>
      <c r="H102" s="135"/>
    </row>
    <row r="103" spans="1:8" x14ac:dyDescent="0.25">
      <c r="B103" s="166"/>
      <c r="C103" s="135"/>
      <c r="D103" s="135"/>
      <c r="E103" s="135"/>
      <c r="F103" s="135"/>
      <c r="G103" s="135"/>
      <c r="H103" s="135"/>
    </row>
    <row r="104" spans="1:8" x14ac:dyDescent="0.25">
      <c r="B104" s="166"/>
      <c r="C104" s="135"/>
      <c r="D104" s="135"/>
      <c r="E104" s="135"/>
      <c r="F104" s="135"/>
      <c r="G104" s="135"/>
      <c r="H104" s="135"/>
    </row>
    <row r="105" spans="1:8" x14ac:dyDescent="0.25">
      <c r="B105" s="166"/>
      <c r="C105" s="135"/>
      <c r="D105" s="135"/>
      <c r="E105" s="135"/>
      <c r="F105" s="135"/>
      <c r="G105" s="135"/>
      <c r="H105" s="135"/>
    </row>
  </sheetData>
  <mergeCells count="11">
    <mergeCell ref="H80:N80"/>
    <mergeCell ref="G63:N63"/>
    <mergeCell ref="G78:N78"/>
    <mergeCell ref="B49:E49"/>
    <mergeCell ref="B56:E56"/>
    <mergeCell ref="H65:N65"/>
    <mergeCell ref="B25:F25"/>
    <mergeCell ref="B28:F28"/>
    <mergeCell ref="B39:E39"/>
    <mergeCell ref="B43:E43"/>
    <mergeCell ref="B46:E46"/>
  </mergeCells>
  <phoneticPr fontId="43" type="noConversion"/>
  <dataValidations count="2">
    <dataValidation type="list" allowBlank="1" showInputMessage="1" showErrorMessage="1" sqref="E10" xr:uid="{C468246F-1D32-4761-B0F3-0BD2DFEE0674}">
      <formula1>$K$7:$K$8</formula1>
    </dataValidation>
    <dataValidation type="list" allowBlank="1" showInputMessage="1" showErrorMessage="1" sqref="A5" xr:uid="{44116C8B-FDBE-4D02-BCC1-D8A074FAD6F5}">
      <formula1>$D$6:$D$7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Revenue Segments</vt:lpstr>
      <vt:lpstr>Debt Schedule</vt:lpstr>
      <vt:lpstr>Fixed Assets Schedule</vt:lpstr>
      <vt:lpstr>DELTA AIR LINES-IS</vt:lpstr>
      <vt:lpstr>DELTA AIRLINES-BS</vt:lpstr>
      <vt:lpstr>DELTA AIRLINES-CFS</vt:lpstr>
      <vt:lpstr>WACC</vt:lpstr>
      <vt:lpstr>REGRESSION BETA</vt:lpstr>
      <vt:lpstr>BOTTOM UP BETA</vt:lpstr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Rajat Kumar Mishra</cp:lastModifiedBy>
  <dcterms:created xsi:type="dcterms:W3CDTF">2023-08-10T06:50:49Z</dcterms:created>
  <dcterms:modified xsi:type="dcterms:W3CDTF">2025-03-26T22:34:23Z</dcterms:modified>
</cp:coreProperties>
</file>