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ISHRA\OneDrive\Desktop\IMARTICUS\"/>
    </mc:Choice>
  </mc:AlternateContent>
  <xr:revisionPtr revIDLastSave="0" documentId="13_ncr:1_{19DD6DB4-8758-40F7-AEAC-CE950BB22957}" xr6:coauthVersionLast="47" xr6:coauthVersionMax="47" xr10:uidLastSave="{00000000-0000-0000-0000-000000000000}"/>
  <bookViews>
    <workbookView xWindow="-120" yWindow="-120" windowWidth="20730" windowHeight="11040" tabRatio="766" xr2:uid="{00000000-000D-0000-FFFF-FFFF00000000}"/>
  </bookViews>
  <sheets>
    <sheet name="Valuation " sheetId="1" r:id="rId1"/>
    <sheet name="Output" sheetId="2" r:id="rId2"/>
    <sheet name="AmericanAirlinesGroup" sheetId="4" r:id="rId3"/>
    <sheet name="JetBlueAirlines" sheetId="5" r:id="rId4"/>
    <sheet name="Skywest" sheetId="6" r:id="rId5"/>
    <sheet name="SouthwestAirlines" sheetId="7" r:id="rId6"/>
    <sheet name="UnitedAirlinesHolding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4" l="1"/>
  <c r="F27" i="7"/>
  <c r="I27" i="1"/>
  <c r="H27" i="1"/>
  <c r="I26" i="1"/>
  <c r="H26" i="1"/>
  <c r="I25" i="1"/>
  <c r="H25" i="1"/>
  <c r="I18" i="1"/>
  <c r="H18" i="1"/>
  <c r="I17" i="1"/>
  <c r="H17" i="1"/>
  <c r="I16" i="1"/>
  <c r="H16" i="1"/>
  <c r="I9" i="1"/>
  <c r="H9" i="1"/>
  <c r="I8" i="1"/>
  <c r="H8" i="1"/>
  <c r="I7" i="1"/>
  <c r="H7" i="1"/>
  <c r="B27" i="1"/>
  <c r="B26" i="1"/>
  <c r="B25" i="1"/>
  <c r="B18" i="1"/>
  <c r="B17" i="1"/>
  <c r="B16" i="1"/>
  <c r="B9" i="1"/>
  <c r="B8" i="1"/>
  <c r="B7" i="1"/>
  <c r="N77" i="8"/>
  <c r="M77" i="8"/>
  <c r="L77" i="8"/>
  <c r="N77" i="7"/>
  <c r="M77" i="7"/>
  <c r="L77" i="7"/>
  <c r="N77" i="6"/>
  <c r="M77" i="6"/>
  <c r="L77" i="6"/>
  <c r="N77" i="5"/>
  <c r="M77" i="5"/>
  <c r="L77" i="5"/>
  <c r="P65" i="5"/>
  <c r="P63" i="5"/>
  <c r="M77" i="4"/>
  <c r="N77" i="4"/>
  <c r="L77" i="4"/>
  <c r="P77" i="8"/>
  <c r="P74" i="8"/>
  <c r="P65" i="8"/>
  <c r="P63" i="8"/>
  <c r="P77" i="7"/>
  <c r="P74" i="7"/>
  <c r="P65" i="7"/>
  <c r="P63" i="7"/>
  <c r="P77" i="6"/>
  <c r="P74" i="6"/>
  <c r="P65" i="6"/>
  <c r="P63" i="6"/>
  <c r="P77" i="4"/>
  <c r="P74" i="4"/>
  <c r="P77" i="5"/>
  <c r="P74" i="5"/>
  <c r="P65" i="4"/>
  <c r="P63" i="4"/>
  <c r="P59" i="8"/>
  <c r="P59" i="7"/>
  <c r="P59" i="6"/>
  <c r="P59" i="5"/>
  <c r="P59" i="4"/>
  <c r="H77" i="8"/>
  <c r="K77" i="8" s="1"/>
  <c r="K74" i="8"/>
  <c r="K67" i="8"/>
  <c r="H67" i="8"/>
  <c r="H62" i="8"/>
  <c r="H63" i="8" s="1"/>
  <c r="K61" i="8"/>
  <c r="K59" i="8"/>
  <c r="M58" i="8"/>
  <c r="N58" i="8" s="1"/>
  <c r="F40" i="8"/>
  <c r="G40" i="8" s="1"/>
  <c r="D40" i="8"/>
  <c r="E40" i="8" s="1"/>
  <c r="F31" i="8"/>
  <c r="F27" i="8"/>
  <c r="E24" i="8"/>
  <c r="F23" i="8" s="1"/>
  <c r="F20" i="8"/>
  <c r="E18" i="8"/>
  <c r="D18" i="8"/>
  <c r="F9" i="8"/>
  <c r="F6" i="8"/>
  <c r="A2" i="8"/>
  <c r="K77" i="7"/>
  <c r="H76" i="7"/>
  <c r="K74" i="7"/>
  <c r="K67" i="7"/>
  <c r="H67" i="7"/>
  <c r="H62" i="7"/>
  <c r="H63" i="7" s="1"/>
  <c r="K61" i="7"/>
  <c r="K59" i="7"/>
  <c r="M58" i="7"/>
  <c r="N58" i="7" s="1"/>
  <c r="H41" i="7"/>
  <c r="B41" i="7"/>
  <c r="G40" i="7"/>
  <c r="F40" i="7"/>
  <c r="D40" i="7"/>
  <c r="E40" i="7" s="1"/>
  <c r="H40" i="7" s="1"/>
  <c r="H45" i="7" s="1"/>
  <c r="F31" i="7"/>
  <c r="F29" i="7"/>
  <c r="E24" i="7"/>
  <c r="F23" i="7"/>
  <c r="F20" i="7"/>
  <c r="E18" i="7"/>
  <c r="D18" i="7"/>
  <c r="C16" i="7"/>
  <c r="D41" i="7" s="1"/>
  <c r="F9" i="7"/>
  <c r="F6" i="7"/>
  <c r="A2" i="7"/>
  <c r="H76" i="6"/>
  <c r="K74" i="6"/>
  <c r="H74" i="6"/>
  <c r="H77" i="6" s="1"/>
  <c r="K77" i="6" s="1"/>
  <c r="K67" i="6"/>
  <c r="H62" i="6"/>
  <c r="H68" i="6" s="1"/>
  <c r="K61" i="6"/>
  <c r="H59" i="6"/>
  <c r="K59" i="6" s="1"/>
  <c r="N58" i="6"/>
  <c r="M58" i="6"/>
  <c r="B41" i="6"/>
  <c r="H41" i="6" s="1"/>
  <c r="F40" i="6"/>
  <c r="G40" i="6" s="1"/>
  <c r="E40" i="6"/>
  <c r="H40" i="6" s="1"/>
  <c r="H45" i="6" s="1"/>
  <c r="C17" i="6" s="1"/>
  <c r="D40" i="6"/>
  <c r="F31" i="6"/>
  <c r="F29" i="6"/>
  <c r="F28" i="6"/>
  <c r="E24" i="6"/>
  <c r="F23" i="6" s="1"/>
  <c r="F20" i="6"/>
  <c r="E18" i="6"/>
  <c r="D18" i="6"/>
  <c r="C16" i="6"/>
  <c r="F9" i="6"/>
  <c r="F6" i="6"/>
  <c r="A2" i="6"/>
  <c r="H74" i="5"/>
  <c r="H77" i="5" s="1"/>
  <c r="K77" i="5" s="1"/>
  <c r="K67" i="5"/>
  <c r="H65" i="5"/>
  <c r="K65" i="5" s="1"/>
  <c r="K63" i="5"/>
  <c r="H63" i="5"/>
  <c r="K61" i="5"/>
  <c r="K59" i="5"/>
  <c r="N58" i="5"/>
  <c r="M58" i="5"/>
  <c r="G40" i="5"/>
  <c r="F40" i="5"/>
  <c r="D40" i="5"/>
  <c r="E40" i="5" s="1"/>
  <c r="H40" i="5" s="1"/>
  <c r="H45" i="5" s="1"/>
  <c r="C17" i="5" s="1"/>
  <c r="F31" i="5"/>
  <c r="E25" i="5"/>
  <c r="E24" i="5"/>
  <c r="F23" i="5" s="1"/>
  <c r="F20" i="5"/>
  <c r="E18" i="5"/>
  <c r="D18" i="5"/>
  <c r="C16" i="5"/>
  <c r="F9" i="5"/>
  <c r="F6" i="5"/>
  <c r="A2" i="5"/>
  <c r="H76" i="4"/>
  <c r="H77" i="4" s="1"/>
  <c r="K77" i="4" s="1"/>
  <c r="K74" i="4"/>
  <c r="K67" i="4"/>
  <c r="H63" i="4"/>
  <c r="H65" i="4" s="1"/>
  <c r="K65" i="4" s="1"/>
  <c r="K61" i="4"/>
  <c r="K59" i="4"/>
  <c r="M58" i="4"/>
  <c r="N58" i="4" s="1"/>
  <c r="F40" i="4"/>
  <c r="G40" i="4" s="1"/>
  <c r="D40" i="4"/>
  <c r="E40" i="4" s="1"/>
  <c r="H40" i="4" s="1"/>
  <c r="H45" i="4" s="1"/>
  <c r="B40" i="4"/>
  <c r="F31" i="4"/>
  <c r="F27" i="4"/>
  <c r="E24" i="4"/>
  <c r="F23" i="4"/>
  <c r="F20" i="4"/>
  <c r="E18" i="4"/>
  <c r="D18" i="4"/>
  <c r="C16" i="4"/>
  <c r="F9" i="4"/>
  <c r="F6" i="4"/>
  <c r="A2" i="4"/>
  <c r="H65" i="8" l="1"/>
  <c r="K65" i="8" s="1"/>
  <c r="K63" i="8"/>
  <c r="H40" i="8"/>
  <c r="H45" i="8" s="1"/>
  <c r="C17" i="8" s="1"/>
  <c r="H65" i="7"/>
  <c r="K65" i="7" s="1"/>
  <c r="K63" i="7"/>
  <c r="C17" i="7"/>
  <c r="C18" i="6"/>
  <c r="F18" i="6" s="1"/>
  <c r="F17" i="6"/>
  <c r="H63" i="6"/>
  <c r="C18" i="5"/>
  <c r="F18" i="5" s="1"/>
  <c r="F17" i="5"/>
  <c r="K74" i="5"/>
  <c r="C17" i="4"/>
  <c r="K63" i="4"/>
  <c r="F17" i="8" l="1"/>
  <c r="C18" i="8"/>
  <c r="F18" i="8" s="1"/>
  <c r="C18" i="7"/>
  <c r="F18" i="7" s="1"/>
  <c r="F17" i="7"/>
  <c r="H65" i="6"/>
  <c r="K65" i="6" s="1"/>
  <c r="K63" i="6"/>
  <c r="F30" i="6"/>
  <c r="F32" i="6" s="1"/>
  <c r="F33" i="6"/>
  <c r="F33" i="5"/>
  <c r="F30" i="5"/>
  <c r="F32" i="5" s="1"/>
  <c r="C18" i="4"/>
  <c r="F18" i="4" s="1"/>
  <c r="F17" i="4"/>
  <c r="F33" i="8" l="1"/>
  <c r="F30" i="8"/>
  <c r="F32" i="8" s="1"/>
  <c r="F33" i="7"/>
  <c r="F30" i="7"/>
  <c r="F32" i="7" s="1"/>
  <c r="F30" i="4"/>
  <c r="F32" i="4" s="1"/>
  <c r="F33" i="4"/>
  <c r="I52" i="1" l="1"/>
  <c r="H2" i="1" l="1" a="1"/>
  <c r="H2" i="1" s="1"/>
  <c r="D53" i="1" l="1"/>
  <c r="E53" i="1" s="1"/>
  <c r="F53" i="1" s="1"/>
  <c r="G53" i="1" s="1"/>
  <c r="D52" i="1"/>
  <c r="E52" i="1" s="1"/>
  <c r="F52" i="1" s="1"/>
  <c r="G52" i="1" s="1"/>
  <c r="E17" i="2" a="1"/>
  <c r="B16" i="2" a="1"/>
  <c r="E18" i="2" a="1"/>
  <c r="F16" i="2" a="1"/>
  <c r="D17" i="2" a="1"/>
  <c r="B18" i="2" a="1"/>
  <c r="U16" i="2" a="1"/>
  <c r="B14" i="2" a="1"/>
  <c r="U18" i="2" a="1"/>
  <c r="U14" i="2" a="1"/>
  <c r="F17" i="2" a="1"/>
  <c r="D16" i="2" a="1"/>
  <c r="U17" i="2" a="1"/>
  <c r="E14" i="2" a="1"/>
  <c r="F14" i="2" a="1"/>
  <c r="D18" i="2" a="1"/>
  <c r="U15" i="2" a="1"/>
  <c r="B17" i="2" a="1"/>
  <c r="B15" i="2" a="1"/>
  <c r="D14" i="2" a="1"/>
  <c r="D15" i="2" a="1"/>
  <c r="E16" i="2" a="1"/>
  <c r="E15" i="2" a="1"/>
  <c r="U18" i="2" l="1"/>
  <c r="U17" i="2"/>
  <c r="U16" i="2"/>
  <c r="U15" i="2"/>
  <c r="U14" i="2"/>
  <c r="F16" i="2"/>
  <c r="E18" i="2"/>
  <c r="E16" i="2"/>
  <c r="F17" i="2"/>
  <c r="E17" i="2"/>
  <c r="E15" i="2"/>
  <c r="F14" i="2"/>
  <c r="E14" i="2"/>
  <c r="D15" i="2"/>
  <c r="D16" i="2"/>
  <c r="D17" i="2"/>
  <c r="D18" i="2"/>
  <c r="D14" i="2"/>
  <c r="B18" i="2"/>
  <c r="B17" i="2"/>
  <c r="B15" i="2"/>
  <c r="B16" i="2"/>
  <c r="B14" i="2"/>
  <c r="H53" i="1"/>
  <c r="H52" i="1"/>
  <c r="O18" i="2" a="1"/>
  <c r="O14" i="2" a="1"/>
  <c r="O17" i="2" a="1"/>
  <c r="J14" i="2" a="1"/>
  <c r="J15" i="2" a="1"/>
  <c r="T16" i="2" a="1"/>
  <c r="O15" i="2" a="1"/>
  <c r="L14" i="2" a="1"/>
  <c r="H54" i="1" l="1"/>
  <c r="J52" i="1"/>
  <c r="N26" i="1"/>
  <c r="N27" i="1"/>
  <c r="N8" i="1"/>
  <c r="N9" i="1"/>
  <c r="N7" i="1"/>
  <c r="N25" i="1"/>
  <c r="N16" i="1"/>
  <c r="N17" i="1" s="1"/>
  <c r="N18" i="1" s="1"/>
  <c r="T16" i="2"/>
  <c r="O17" i="2"/>
  <c r="O18" i="2"/>
  <c r="O15" i="2"/>
  <c r="O14" i="2"/>
  <c r="L14" i="2"/>
  <c r="J15" i="2"/>
  <c r="J14" i="2"/>
  <c r="O16" i="2" a="1"/>
  <c r="M14" i="2" a="1"/>
  <c r="N16" i="2" a="1"/>
  <c r="I17" i="2" a="1"/>
  <c r="T15" i="2" a="1"/>
  <c r="H14" i="2" a="1"/>
  <c r="L17" i="2" a="1"/>
  <c r="F18" i="2" a="1"/>
  <c r="L16" i="2" a="1"/>
  <c r="M16" i="2" a="1"/>
  <c r="J18" i="2" a="1"/>
  <c r="G17" i="2" a="1"/>
  <c r="I16" i="2" a="1"/>
  <c r="M17" i="2" a="1"/>
  <c r="H16" i="2" a="1"/>
  <c r="J17" i="2" a="1"/>
  <c r="T14" i="2" a="1"/>
  <c r="S17" i="2" a="1"/>
  <c r="Q16" i="2" a="1"/>
  <c r="T17" i="2" a="1"/>
  <c r="R17" i="2" a="1"/>
  <c r="G14" i="2" a="1"/>
  <c r="I14" i="2" a="1"/>
  <c r="Q14" i="2" a="1"/>
  <c r="Q17" i="2" a="1"/>
  <c r="G16" i="2" a="1"/>
  <c r="T18" i="2" a="1"/>
  <c r="S16" i="2" a="1"/>
  <c r="R14" i="2" a="1"/>
  <c r="S14" i="2" a="1"/>
  <c r="H17" i="2" a="1"/>
  <c r="J16" i="2" a="1"/>
  <c r="N17" i="2" a="1"/>
  <c r="F15" i="2" a="1"/>
  <c r="R16" i="2" a="1"/>
  <c r="N14" i="2" a="1"/>
  <c r="O16" i="2" l="1"/>
  <c r="Q14" i="2"/>
  <c r="G14" i="2"/>
  <c r="T15" i="2"/>
  <c r="J16" i="2"/>
  <c r="T17" i="2"/>
  <c r="J17" i="2"/>
  <c r="F15" i="2"/>
  <c r="F18" i="2"/>
  <c r="J18" i="2"/>
  <c r="T14" i="2"/>
  <c r="T18" i="2"/>
  <c r="S16" i="2"/>
  <c r="R17" i="2"/>
  <c r="S17" i="2"/>
  <c r="Q17" i="2"/>
  <c r="R16" i="2"/>
  <c r="Q16" i="2"/>
  <c r="S14" i="2"/>
  <c r="R14" i="2"/>
  <c r="L16" i="2"/>
  <c r="M16" i="2"/>
  <c r="N16" i="2"/>
  <c r="L17" i="2"/>
  <c r="M17" i="2"/>
  <c r="N17" i="2"/>
  <c r="N14" i="2"/>
  <c r="M14" i="2"/>
  <c r="H16" i="2"/>
  <c r="G16" i="2"/>
  <c r="I16" i="2"/>
  <c r="G17" i="2"/>
  <c r="H17" i="2"/>
  <c r="I17" i="2"/>
  <c r="I14" i="2"/>
  <c r="H14" i="2"/>
  <c r="S18" i="2" a="1"/>
  <c r="N18" i="2" a="1"/>
  <c r="S15" i="2" a="1"/>
  <c r="O20" i="2" l="1"/>
  <c r="D34" i="1" s="1"/>
  <c r="P34" i="1" s="1"/>
  <c r="O21" i="2"/>
  <c r="S15" i="2"/>
  <c r="J21" i="2"/>
  <c r="N18" i="2"/>
  <c r="S18" i="2"/>
  <c r="J22" i="2"/>
  <c r="O19" i="2"/>
  <c r="O22" i="2"/>
  <c r="T20" i="2"/>
  <c r="J19" i="2"/>
  <c r="J20" i="2"/>
  <c r="T19" i="2"/>
  <c r="T22" i="2"/>
  <c r="T21" i="2"/>
  <c r="Q15" i="2" a="1"/>
  <c r="I18" i="2" a="1"/>
  <c r="L18" i="2" a="1"/>
  <c r="Q18" i="2" a="1"/>
  <c r="L15" i="2" a="1"/>
  <c r="G15" i="2" a="1"/>
  <c r="N15" i="2" a="1"/>
  <c r="I15" i="2" a="1"/>
  <c r="R15" i="2" a="1"/>
  <c r="M18" i="2" a="1"/>
  <c r="M15" i="2" a="1"/>
  <c r="R18" i="2" a="1"/>
  <c r="H18" i="2" a="1"/>
  <c r="G18" i="2" a="1"/>
  <c r="H15" i="2" a="1"/>
  <c r="D35" i="1" l="1"/>
  <c r="P35" i="1" s="1"/>
  <c r="P37" i="1" s="1"/>
  <c r="R18" i="2"/>
  <c r="C35" i="1"/>
  <c r="O35" i="1" s="1"/>
  <c r="C34" i="1"/>
  <c r="O34" i="1" s="1"/>
  <c r="M15" i="2"/>
  <c r="G15" i="2"/>
  <c r="H15" i="2"/>
  <c r="I15" i="2"/>
  <c r="M18" i="2"/>
  <c r="L18" i="2"/>
  <c r="Q18" i="2"/>
  <c r="H18" i="2"/>
  <c r="G18" i="2"/>
  <c r="R15" i="2"/>
  <c r="Q15" i="2"/>
  <c r="N15" i="2"/>
  <c r="I18" i="2"/>
  <c r="L15" i="2"/>
  <c r="S21" i="2"/>
  <c r="O37" i="1" l="1"/>
  <c r="L19" i="2"/>
  <c r="I20" i="2"/>
  <c r="M21" i="2"/>
  <c r="N20" i="2"/>
  <c r="H20" i="2"/>
  <c r="R19" i="2"/>
  <c r="Q22" i="2"/>
  <c r="G22" i="2"/>
  <c r="N22" i="2"/>
  <c r="S19" i="2"/>
  <c r="N19" i="2"/>
  <c r="N21" i="2"/>
  <c r="H21" i="2"/>
  <c r="S22" i="2"/>
  <c r="M19" i="2"/>
  <c r="M20" i="2"/>
  <c r="M22" i="2"/>
  <c r="S20" i="2"/>
  <c r="Q19" i="2" l="1"/>
  <c r="Q21" i="2"/>
  <c r="L22" i="2"/>
  <c r="I22" i="2"/>
  <c r="D16" i="1" s="1"/>
  <c r="F16" i="1" s="1"/>
  <c r="M16" i="1" s="1"/>
  <c r="P16" i="1" s="1"/>
  <c r="Q20" i="2"/>
  <c r="D27" i="1" s="1"/>
  <c r="F27" i="1" s="1"/>
  <c r="M27" i="1" s="1"/>
  <c r="P27" i="1" s="1"/>
  <c r="L21" i="2"/>
  <c r="I21" i="2"/>
  <c r="L20" i="2"/>
  <c r="D26" i="1" s="1"/>
  <c r="F26" i="1" s="1"/>
  <c r="M26" i="1" s="1"/>
  <c r="P26" i="1" s="1"/>
  <c r="D17" i="1"/>
  <c r="F17" i="1" s="1"/>
  <c r="M17" i="1" s="1"/>
  <c r="P17" i="1" s="1"/>
  <c r="H19" i="2"/>
  <c r="G19" i="2"/>
  <c r="G20" i="2"/>
  <c r="G21" i="2"/>
  <c r="R22" i="2"/>
  <c r="R20" i="2"/>
  <c r="H22" i="2"/>
  <c r="D7" i="1" s="1"/>
  <c r="F7" i="1" s="1"/>
  <c r="M7" i="1" s="1"/>
  <c r="P7" i="1" s="1"/>
  <c r="I19" i="2"/>
  <c r="R21" i="2"/>
  <c r="C17" i="1"/>
  <c r="E17" i="1" s="1"/>
  <c r="L17" i="1" s="1"/>
  <c r="O17" i="1" s="1"/>
  <c r="D8" i="1"/>
  <c r="F8" i="1" s="1"/>
  <c r="M8" i="1" s="1"/>
  <c r="P8" i="1" s="1"/>
  <c r="C8" i="1"/>
  <c r="E8" i="1" s="1"/>
  <c r="L8" i="1" s="1"/>
  <c r="O8" i="1" s="1"/>
  <c r="D18" i="1"/>
  <c r="F18" i="1" s="1"/>
  <c r="M18" i="1" s="1"/>
  <c r="P18" i="1" s="1"/>
  <c r="C18" i="1"/>
  <c r="E18" i="1" s="1"/>
  <c r="L18" i="1" s="1"/>
  <c r="O18" i="1" s="1"/>
  <c r="C27" i="1" l="1"/>
  <c r="E27" i="1" s="1"/>
  <c r="L27" i="1" s="1"/>
  <c r="O27" i="1" s="1"/>
  <c r="C26" i="1"/>
  <c r="E26" i="1" s="1"/>
  <c r="L26" i="1" s="1"/>
  <c r="O26" i="1" s="1"/>
  <c r="P20" i="1"/>
  <c r="C16" i="1"/>
  <c r="E16" i="1" s="1"/>
  <c r="L16" i="1" s="1"/>
  <c r="O16" i="1" s="1"/>
  <c r="O20" i="1" s="1"/>
  <c r="D9" i="1"/>
  <c r="F9" i="1" s="1"/>
  <c r="M9" i="1" s="1"/>
  <c r="P9" i="1" s="1"/>
  <c r="P11" i="1" s="1"/>
  <c r="C7" i="1"/>
  <c r="E7" i="1" s="1"/>
  <c r="L7" i="1" s="1"/>
  <c r="O7" i="1" s="1"/>
  <c r="D25" i="1"/>
  <c r="F25" i="1" s="1"/>
  <c r="M25" i="1" s="1"/>
  <c r="P25" i="1" s="1"/>
  <c r="P29" i="1" s="1"/>
  <c r="C25" i="1"/>
  <c r="E25" i="1" s="1"/>
  <c r="L25" i="1" s="1"/>
  <c r="O25" i="1" s="1"/>
  <c r="C9" i="1"/>
  <c r="E9" i="1" s="1"/>
  <c r="L9" i="1" s="1"/>
  <c r="O9" i="1" s="1"/>
  <c r="O29" i="1" l="1"/>
  <c r="O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Admin</author>
  </authors>
  <commentList>
    <comment ref="C48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Closing price of 28/07/23 as per investing.com</t>
        </r>
      </text>
    </comment>
    <comment ref="B52" authorId="1" shapeId="0" xr:uid="{F079B51F-407A-4FD3-8CBC-B2EE30EB8978}">
      <text>
        <r>
          <rPr>
            <b/>
            <sz val="9"/>
            <color indexed="81"/>
            <rFont val="Tahoma"/>
            <family val="2"/>
          </rPr>
          <t>10K 
Pg 91</t>
        </r>
      </text>
    </comment>
    <comment ref="B53" authorId="1" shapeId="0" xr:uid="{77E10F7C-6F81-44EC-AC50-A9FC900A444E}">
      <text>
        <r>
          <rPr>
            <b/>
            <sz val="9"/>
            <color indexed="81"/>
            <rFont val="Tahoma"/>
            <family val="2"/>
          </rPr>
          <t>10K 
Pg 90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MISHRA</author>
  </authors>
  <commentList>
    <comment ref="C15" authorId="0" shapeId="0" xr:uid="{E952C90C-D7C9-4165-BD82-F786351EAD4E}">
      <text>
        <r>
          <rPr>
            <b/>
            <sz val="9"/>
            <color indexed="81"/>
            <rFont val="Tahoma"/>
            <family val="2"/>
          </rPr>
          <t xml:space="preserve">INVESTING.COM
</t>
        </r>
      </text>
    </comment>
    <comment ref="C16" authorId="0" shapeId="0" xr:uid="{699305D8-5A8B-444E-9B0E-23459FE27CE9}">
      <text>
        <r>
          <rPr>
            <b/>
            <sz val="9"/>
            <color indexed="81"/>
            <rFont val="Tahoma"/>
            <family val="2"/>
          </rPr>
          <t>1OK first page</t>
        </r>
      </text>
    </comment>
    <comment ref="E24" authorId="0" shapeId="0" xr:uid="{782CE68D-3216-4A92-BC75-4018DDCF5070}">
      <text>
        <r>
          <rPr>
            <b/>
            <sz val="9"/>
            <color indexed="81"/>
            <rFont val="Tahoma"/>
            <family val="2"/>
          </rPr>
          <t>Balance sheet: short term loan + long term loan</t>
        </r>
      </text>
    </comment>
    <comment ref="E25" authorId="0" shapeId="0" xr:uid="{A1A0F054-F670-43F6-99E1-9A8D626C8684}">
      <text>
        <r>
          <rPr>
            <b/>
            <sz val="9"/>
            <color indexed="81"/>
            <rFont val="Tahoma"/>
            <family val="2"/>
          </rPr>
          <t xml:space="preserve">pg 102, 6.50% Convertible Senior Notes
</t>
        </r>
      </text>
    </comment>
    <comment ref="F27" authorId="0" shapeId="0" xr:uid="{6C2CC2CE-48D4-47BE-AED9-52333134B045}">
      <text>
        <r>
          <rPr>
            <b/>
            <sz val="9"/>
            <color indexed="81"/>
            <rFont val="Tahoma"/>
            <family val="2"/>
          </rPr>
          <t xml:space="preserve">pg 111, note 9. Employee Benefit Plans
</t>
        </r>
      </text>
    </comment>
    <comment ref="F28" authorId="0" shapeId="0" xr:uid="{5C303F7C-EB2D-47E2-B53E-855DBC61469B}">
      <text>
        <r>
          <rPr>
            <b/>
            <sz val="9"/>
            <color indexed="81"/>
            <rFont val="Tahoma"/>
            <family val="2"/>
          </rPr>
          <t>pg 84, balance sheet</t>
        </r>
      </text>
    </comment>
    <comment ref="F29" authorId="0" shapeId="0" xr:uid="{1E95D258-82F8-4390-B167-2A99DC5B9AB3}">
      <text>
        <r>
          <rPr>
            <b/>
            <sz val="9"/>
            <color indexed="81"/>
            <rFont val="Tahoma"/>
            <family val="2"/>
          </rPr>
          <t xml:space="preserve">Balance sheet
</t>
        </r>
      </text>
    </comment>
    <comment ref="F31" authorId="0" shapeId="0" xr:uid="{914F2088-6483-422E-8797-C744BA3C075E}">
      <text>
        <r>
          <rPr>
            <b/>
            <sz val="9"/>
            <color indexed="81"/>
            <rFont val="Tahoma"/>
            <family val="2"/>
          </rPr>
          <t>Balance sheet: investments + other assets</t>
        </r>
      </text>
    </comment>
    <comment ref="I40" authorId="0" shapeId="0" xr:uid="{C7C0C0DE-F81A-49B9-B993-8B1504299003}">
      <text>
        <r>
          <rPr>
            <b/>
            <sz val="9"/>
            <color indexed="81"/>
            <rFont val="Tahoma"/>
            <family val="2"/>
          </rPr>
          <t xml:space="preserve">PG 123
</t>
        </r>
      </text>
    </comment>
    <comment ref="H59" authorId="0" shapeId="0" xr:uid="{633B4EAD-7705-4196-8673-5B8660F779FD}">
      <text>
        <r>
          <rPr>
            <b/>
            <sz val="9"/>
            <color indexed="81"/>
            <rFont val="Tahoma"/>
            <family val="2"/>
          </rPr>
          <t xml:space="preserve">PG 82, TOTAL OPERATING REVENUES
</t>
        </r>
      </text>
    </comment>
    <comment ref="H61" authorId="0" shapeId="0" xr:uid="{87ED6A22-0FB1-4857-866F-E23F1071D1E8}">
      <text>
        <r>
          <rPr>
            <b/>
            <sz val="9"/>
            <color indexed="81"/>
            <rFont val="Tahoma"/>
            <family val="2"/>
          </rPr>
          <t>PG 82, OPERATING INCOME</t>
        </r>
      </text>
    </comment>
    <comment ref="H62" authorId="0" shapeId="0" xr:uid="{7035FCDC-00F0-490C-B3F0-B1F3CB9EB695}">
      <text>
        <r>
          <rPr>
            <b/>
            <sz val="9"/>
            <color indexed="81"/>
            <rFont val="Tahoma"/>
            <family val="2"/>
          </rPr>
          <t xml:space="preserve">PG 82, NET NON OPERATING EXPENSE
</t>
        </r>
      </text>
    </comment>
    <comment ref="H64" authorId="0" shapeId="0" xr:uid="{776B9CE8-8F8D-4C19-9B38-566E1892C79F}">
      <text>
        <r>
          <rPr>
            <b/>
            <sz val="9"/>
            <color indexed="81"/>
            <rFont val="Tahoma"/>
            <family val="2"/>
          </rPr>
          <t>PG 85, CASHFLOW STATEMENT</t>
        </r>
      </text>
    </comment>
    <comment ref="H67" authorId="0" shapeId="0" xr:uid="{967D6C7B-ED87-4AE0-A5F2-F3EEDA3C68C3}">
      <text>
        <r>
          <rPr>
            <b/>
            <sz val="9"/>
            <color indexed="81"/>
            <rFont val="Tahoma"/>
            <family val="2"/>
          </rPr>
          <t>PG 82, NET INCOME</t>
        </r>
      </text>
    </comment>
    <comment ref="H74" authorId="0" shapeId="0" xr:uid="{801A2304-70A7-4CF4-BD6E-27FB1012C913}">
      <text>
        <r>
          <rPr>
            <b/>
            <sz val="9"/>
            <color indexed="81"/>
            <rFont val="Tahoma"/>
            <family val="2"/>
          </rPr>
          <t>pg 58, Net income excluding net special items (Non-GAAP)</t>
        </r>
      </text>
    </comment>
    <comment ref="H76" authorId="0" shapeId="0" xr:uid="{C1CC9265-6252-466E-BF1B-F79674766610}">
      <text>
        <r>
          <rPr>
            <b/>
            <sz val="9"/>
            <color indexed="81"/>
            <rFont val="Tahoma"/>
            <family val="2"/>
          </rPr>
          <t>pg 82, STATEMENTS OF OPERATIONS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MISHRA</author>
  </authors>
  <commentList>
    <comment ref="C15" authorId="0" shapeId="0" xr:uid="{76768BD6-25C1-4740-A135-5F84D974FF75}">
      <text>
        <r>
          <rPr>
            <b/>
            <sz val="9"/>
            <color indexed="81"/>
            <rFont val="Tahoma"/>
            <family val="2"/>
          </rPr>
          <t>investing.com</t>
        </r>
      </text>
    </comment>
    <comment ref="C16" authorId="0" shapeId="0" xr:uid="{6102C697-3487-4769-8F97-D4D0E2394658}">
      <text>
        <r>
          <rPr>
            <b/>
            <sz val="9"/>
            <color indexed="81"/>
            <rFont val="Tahoma"/>
            <family val="2"/>
          </rPr>
          <t>10k first pg</t>
        </r>
      </text>
    </comment>
    <comment ref="E24" authorId="0" shapeId="0" xr:uid="{ECE1F69C-8FA0-4DC8-B371-5A9C29D89AC6}">
      <text>
        <r>
          <rPr>
            <b/>
            <sz val="9"/>
            <color indexed="81"/>
            <rFont val="Tahoma"/>
            <family val="2"/>
          </rPr>
          <t>balance sheet: short term + long term debt</t>
        </r>
      </text>
    </comment>
    <comment ref="E25" authorId="0" shapeId="0" xr:uid="{DDFCEC6B-0F92-441A-AA7D-BEF8E3F690CD}">
      <text>
        <r>
          <rPr>
            <b/>
            <sz val="9"/>
            <color indexed="81"/>
            <rFont val="Tahoma"/>
            <family val="2"/>
          </rPr>
          <t>debt note, pg 75</t>
        </r>
      </text>
    </comment>
    <comment ref="F28" authorId="0" shapeId="0" xr:uid="{AADB4730-135C-4C88-9EE7-4A1D84687E6D}">
      <text>
        <r>
          <rPr>
            <b/>
            <sz val="9"/>
            <color indexed="81"/>
            <rFont val="Tahoma"/>
            <family val="2"/>
          </rPr>
          <t>pg 62, balance sheet</t>
        </r>
      </text>
    </comment>
    <comment ref="F29" authorId="0" shapeId="0" xr:uid="{1A95541D-0C81-4B6C-A49C-5BE86D26F6F7}">
      <text>
        <r>
          <rPr>
            <b/>
            <sz val="9"/>
            <color indexed="81"/>
            <rFont val="Tahoma"/>
            <family val="2"/>
          </rPr>
          <t>pg 62, balance sheet</t>
        </r>
      </text>
    </comment>
    <comment ref="F31" authorId="0" shapeId="0" xr:uid="{982B930C-72C7-4378-AE1F-2756BD23E90D}">
      <text>
        <r>
          <rPr>
            <b/>
            <sz val="9"/>
            <color indexed="81"/>
            <rFont val="Tahoma"/>
            <family val="2"/>
          </rPr>
          <t>pg 62, balance sheet:
Investment securities + Investment securities + other assets</t>
        </r>
      </text>
    </comment>
    <comment ref="I40" authorId="0" shapeId="0" xr:uid="{6D5D900B-4736-4E70-BA75-6A2AB81BBD79}">
      <text>
        <r>
          <rPr>
            <b/>
            <sz val="9"/>
            <color indexed="81"/>
            <rFont val="Tahoma"/>
            <family val="2"/>
          </rPr>
          <t>PG 85, Note 7 - Share-Based Compensation</t>
        </r>
      </text>
    </comment>
    <comment ref="H59" authorId="0" shapeId="0" xr:uid="{05071106-8167-42B9-A324-46234B558610}">
      <text>
        <r>
          <rPr>
            <b/>
            <sz val="9"/>
            <color indexed="81"/>
            <rFont val="Tahoma"/>
            <family val="2"/>
          </rPr>
          <t>Pg 64, Total operating revenues</t>
        </r>
      </text>
    </comment>
    <comment ref="H61" authorId="0" shapeId="0" xr:uid="{5A26BCB3-B17C-4930-A6D7-6E4A0AF15D3A}">
      <text>
        <r>
          <rPr>
            <b/>
            <sz val="9"/>
            <color indexed="81"/>
            <rFont val="Tahoma"/>
            <family val="2"/>
          </rPr>
          <t xml:space="preserve">CONSOLIDATED STATEMENTS OF OPERATIONS
</t>
        </r>
      </text>
    </comment>
    <comment ref="H62" authorId="0" shapeId="0" xr:uid="{C8C728F2-D83A-45CB-A42C-74E8AAE31002}">
      <text>
        <r>
          <rPr>
            <b/>
            <sz val="9"/>
            <color indexed="81"/>
            <rFont val="Tahoma"/>
            <family val="2"/>
          </rPr>
          <t>CONSOLIDATED STATEMENTS OF OPERATIONS</t>
        </r>
      </text>
    </comment>
    <comment ref="H64" authorId="0" shapeId="0" xr:uid="{151436FF-4BF4-46DE-AA1B-7FDB3ABE5541}">
      <text>
        <r>
          <rPr>
            <b/>
            <sz val="9"/>
            <color indexed="81"/>
            <rFont val="Tahoma"/>
            <family val="2"/>
          </rPr>
          <t>cashflow</t>
        </r>
      </text>
    </comment>
    <comment ref="H74" authorId="0" shapeId="0" xr:uid="{D8C437F4-9551-45FF-9FD9-3AB99C8E5846}">
      <text>
        <r>
          <rPr>
            <b/>
            <sz val="9"/>
            <color indexed="81"/>
            <rFont val="Tahoma"/>
            <family val="2"/>
          </rPr>
          <t>Pg 55, NON-GAAP FINANCIAL MEASURE</t>
        </r>
      </text>
    </comment>
    <comment ref="H76" authorId="0" shapeId="0" xr:uid="{1CC3D0B2-4C60-4418-BD96-AED3321FAFC8}">
      <text>
        <r>
          <rPr>
            <b/>
            <sz val="9"/>
            <color indexed="81"/>
            <rFont val="Tahoma"/>
            <family val="2"/>
          </rPr>
          <t xml:space="preserve">pg 84, Note 6 - Loss Per Share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MISHRA</author>
  </authors>
  <commentList>
    <comment ref="C15" authorId="0" shapeId="0" xr:uid="{FB975638-F011-4C48-B798-F88F659601C3}">
      <text>
        <r>
          <rPr>
            <b/>
            <sz val="9"/>
            <color indexed="81"/>
            <rFont val="Tahoma"/>
            <family val="2"/>
          </rPr>
          <t xml:space="preserve">INVESTING.COM
</t>
        </r>
      </text>
    </comment>
    <comment ref="C16" authorId="0" shapeId="0" xr:uid="{1599F173-2D9C-4D8A-A84B-D0EE88C3B3EA}">
      <text>
        <r>
          <rPr>
            <b/>
            <sz val="9"/>
            <color indexed="81"/>
            <rFont val="Tahoma"/>
            <family val="2"/>
          </rPr>
          <t>10K FRONT PAGE</t>
        </r>
      </text>
    </comment>
    <comment ref="F28" authorId="0" shapeId="0" xr:uid="{99036044-D5AC-4BDE-A1E2-2CFEF3AE83E3}">
      <text>
        <r>
          <rPr>
            <b/>
            <sz val="9"/>
            <color indexed="81"/>
            <rFont val="Tahoma"/>
            <family val="2"/>
          </rPr>
          <t>pg 48, balance sheet</t>
        </r>
      </text>
    </comment>
    <comment ref="F29" authorId="0" shapeId="0" xr:uid="{55A83E76-0ECB-48B9-ADFF-F67489E951DB}">
      <text>
        <r>
          <rPr>
            <b/>
            <sz val="9"/>
            <color indexed="81"/>
            <rFont val="Tahoma"/>
            <family val="2"/>
          </rPr>
          <t>pg 48, balance sheet</t>
        </r>
      </text>
    </comment>
    <comment ref="F31" authorId="0" shapeId="0" xr:uid="{36AFEFE0-58A3-4375-887E-6E6021ACF8DA}">
      <text>
        <r>
          <rPr>
            <b/>
            <sz val="9"/>
            <color indexed="81"/>
            <rFont val="Tahoma"/>
            <family val="2"/>
          </rPr>
          <t xml:space="preserve">pg 48, Long-term receivables and other assets + Other current assets </t>
        </r>
      </text>
    </comment>
    <comment ref="H59" authorId="0" shapeId="0" xr:uid="{B1CF17F2-32BE-475E-8B53-4E6B7BC401BE}">
      <text>
        <r>
          <rPr>
            <b/>
            <sz val="9"/>
            <color indexed="81"/>
            <rFont val="Tahoma"/>
            <family val="2"/>
          </rPr>
          <t>pg 50, Total operating revenues</t>
        </r>
      </text>
    </comment>
    <comment ref="H61" authorId="0" shapeId="0" xr:uid="{79A09DA3-08E4-4022-9502-FB3A549FA460}">
      <text>
        <r>
          <rPr>
            <b/>
            <sz val="9"/>
            <color indexed="81"/>
            <rFont val="Tahoma"/>
            <family val="2"/>
          </rPr>
          <t>pg 50, total operating income</t>
        </r>
      </text>
    </comment>
    <comment ref="H62" authorId="0" shapeId="0" xr:uid="{B739F6B0-A314-4BD2-9F3D-74A8F277798E}">
      <text>
        <r>
          <rPr>
            <b/>
            <sz val="9"/>
            <color indexed="81"/>
            <rFont val="Tahoma"/>
            <family val="2"/>
          </rPr>
          <t>statement of operations</t>
        </r>
      </text>
    </comment>
    <comment ref="H64" authorId="0" shapeId="0" xr:uid="{EED627E4-D945-4DF1-B243-D710662C73D6}">
      <text>
        <r>
          <rPr>
            <b/>
            <sz val="9"/>
            <color indexed="81"/>
            <rFont val="Tahoma"/>
            <family val="2"/>
          </rPr>
          <t>cashflow</t>
        </r>
      </text>
    </comment>
    <comment ref="H67" authorId="0" shapeId="0" xr:uid="{9CA93617-0BF0-46D2-8A3E-A69212147551}">
      <text>
        <r>
          <rPr>
            <b/>
            <sz val="9"/>
            <color indexed="81"/>
            <rFont val="Tahoma"/>
            <family val="2"/>
          </rPr>
          <t>statement of operations</t>
        </r>
      </text>
    </comment>
    <comment ref="H74" authorId="0" shapeId="0" xr:uid="{4CC67181-7259-476E-81B3-39F46CD0B76F}">
      <text>
        <r>
          <rPr>
            <b/>
            <sz val="9"/>
            <color indexed="81"/>
            <rFont val="Tahoma"/>
            <family val="2"/>
          </rPr>
          <t xml:space="preserve">pg 50, CONSOLIDATED STATEMENTS OF COMPREHENSIVE INCOME
</t>
        </r>
      </text>
    </comment>
    <comment ref="H76" authorId="0" shapeId="0" xr:uid="{EB5D11C1-66D3-4C8A-B745-0EAA0CAE7622}">
      <text>
        <r>
          <rPr>
            <b/>
            <sz val="9"/>
            <color indexed="81"/>
            <rFont val="Tahoma"/>
            <family val="2"/>
          </rPr>
          <t>STATEMENT OF OPERATIONS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MISHRA</author>
  </authors>
  <commentList>
    <comment ref="F27" authorId="0" shapeId="0" xr:uid="{AED17AC8-37CC-48FB-BFED-1CAB51674A20}">
      <text>
        <r>
          <rPr>
            <b/>
            <sz val="9"/>
            <color indexed="81"/>
            <rFont val="Tahoma"/>
            <family val="2"/>
          </rPr>
          <t>pg 142, Postretirement Benefit Plans</t>
        </r>
      </text>
    </comment>
    <comment ref="F28" authorId="0" shapeId="0" xr:uid="{B0957105-4302-4AD8-A4DC-B63B52AC3A35}">
      <text>
        <r>
          <rPr>
            <b/>
            <sz val="9"/>
            <color indexed="81"/>
            <rFont val="Tahoma"/>
            <family val="2"/>
          </rPr>
          <t>pg 99, balance sheet</t>
        </r>
      </text>
    </comment>
    <comment ref="F29" authorId="0" shapeId="0" xr:uid="{F70D20D6-4A10-44F0-B939-7BA569BDA149}">
      <text>
        <r>
          <rPr>
            <b/>
            <sz val="9"/>
            <color indexed="81"/>
            <rFont val="Tahoma"/>
            <family val="2"/>
          </rPr>
          <t>pg 99, balance sheet</t>
        </r>
      </text>
    </comment>
    <comment ref="I40" authorId="0" shapeId="0" xr:uid="{34789A25-FDC4-4F5A-88A7-C9DBC84F4417}">
      <text>
        <r>
          <rPr>
            <b/>
            <sz val="9"/>
            <color indexed="81"/>
            <rFont val="Tahoma"/>
            <family val="2"/>
          </rPr>
          <t>MISHRA:</t>
        </r>
        <r>
          <rPr>
            <sz val="9"/>
            <color indexed="81"/>
            <rFont val="Tahoma"/>
            <family val="2"/>
          </rPr>
          <t xml:space="preserve">
pg 128</t>
        </r>
      </text>
    </comment>
    <comment ref="H59" authorId="0" shapeId="0" xr:uid="{6E5D89A0-4C2A-4FBE-A0F4-7A1CE6F90A21}">
      <text>
        <r>
          <rPr>
            <b/>
            <sz val="9"/>
            <color indexed="81"/>
            <rFont val="Tahoma"/>
            <family val="2"/>
          </rPr>
          <t>statement of income</t>
        </r>
      </text>
    </comment>
    <comment ref="H61" authorId="0" shapeId="0" xr:uid="{2BD8BAF8-5149-430F-A27E-173A959A60AD}">
      <text>
        <r>
          <rPr>
            <b/>
            <sz val="9"/>
            <color indexed="81"/>
            <rFont val="Tahoma"/>
            <family val="2"/>
          </rPr>
          <t>statement of income</t>
        </r>
      </text>
    </comment>
    <comment ref="H62" authorId="0" shapeId="0" xr:uid="{1CF31BF8-A0B1-43CC-BDBE-3512322C50A5}">
      <text>
        <r>
          <rPr>
            <b/>
            <sz val="9"/>
            <color indexed="81"/>
            <rFont val="Tahoma"/>
            <family val="2"/>
          </rPr>
          <t>statement of income</t>
        </r>
      </text>
    </comment>
    <comment ref="H64" authorId="0" shapeId="0" xr:uid="{008A8802-339E-460A-B83E-B559853564C5}">
      <text>
        <r>
          <rPr>
            <b/>
            <sz val="9"/>
            <color indexed="81"/>
            <rFont val="Tahoma"/>
            <family val="2"/>
          </rPr>
          <t xml:space="preserve">cashflow
</t>
        </r>
      </text>
    </comment>
    <comment ref="H67" authorId="0" shapeId="0" xr:uid="{0CF0ABDA-0F6B-43D2-AE24-1F0FACCC5A71}">
      <text>
        <r>
          <rPr>
            <b/>
            <sz val="9"/>
            <color indexed="81"/>
            <rFont val="Tahoma"/>
            <family val="2"/>
          </rPr>
          <t>statement of operations</t>
        </r>
      </text>
    </comment>
    <comment ref="H74" authorId="0" shapeId="0" xr:uid="{E2845849-97E9-4B77-818F-1033B73D2B65}">
      <text>
        <r>
          <rPr>
            <b/>
            <sz val="9"/>
            <color indexed="81"/>
            <rFont val="Tahoma"/>
            <family val="2"/>
          </rPr>
          <t>PG 81, Reconciliation of Reported Amounts to Non-GAAP Financial Measures</t>
        </r>
      </text>
    </comment>
    <comment ref="H77" authorId="0" shapeId="0" xr:uid="{7FFACC1E-9E4D-48CC-A6CA-C82D4A90F524}">
      <text>
        <r>
          <rPr>
            <b/>
            <sz val="9"/>
            <color indexed="81"/>
            <rFont val="Tahoma"/>
            <family val="2"/>
          </rPr>
          <t>PG 81, Reconciliation of Reported Amounts to Non-GAAP Financial Measures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MISHRA</author>
  </authors>
  <commentList>
    <comment ref="F27" authorId="0" shapeId="0" xr:uid="{52033C59-50C8-461A-9A79-597D24285D0F}">
      <text>
        <r>
          <rPr>
            <b/>
            <sz val="9"/>
            <color indexed="81"/>
            <rFont val="Tahoma"/>
            <family val="2"/>
          </rPr>
          <t>pg 76, Other Postretirement Plans</t>
        </r>
      </text>
    </comment>
    <comment ref="I40" authorId="0" shapeId="0" xr:uid="{EA0E8A0F-1AA2-4DA6-8E47-67D6031C9B2F}">
      <text>
        <r>
          <rPr>
            <b/>
            <sz val="9"/>
            <color indexed="81"/>
            <rFont val="Tahoma"/>
            <family val="2"/>
          </rPr>
          <t>pg 73, Restricted stock units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<sst xmlns="http://schemas.openxmlformats.org/spreadsheetml/2006/main" count="595" uniqueCount="183">
  <si>
    <t>Name of Target Company</t>
  </si>
  <si>
    <t>Median</t>
  </si>
  <si>
    <t>25th Percentile</t>
  </si>
  <si>
    <t>Industry Multiple Range</t>
  </si>
  <si>
    <t>Minority Interest</t>
  </si>
  <si>
    <t>Total Debt</t>
  </si>
  <si>
    <t>Debt Equivalent</t>
  </si>
  <si>
    <t>Cash &amp; Cash Eq</t>
  </si>
  <si>
    <t>Investments</t>
  </si>
  <si>
    <t>Diluted Shares O/S</t>
  </si>
  <si>
    <t>75th Percentile</t>
  </si>
  <si>
    <t>Metrics</t>
  </si>
  <si>
    <t>Lower</t>
  </si>
  <si>
    <t>Higher</t>
  </si>
  <si>
    <t>LTM EV/EBITDA</t>
  </si>
  <si>
    <t>FY1 EV/EBITDA</t>
  </si>
  <si>
    <t>FY2 EV/EBITDA</t>
  </si>
  <si>
    <t>LTM EV/EBIT</t>
  </si>
  <si>
    <t>FY1 EV/EBIT</t>
  </si>
  <si>
    <t>FY2 EV/EBIT</t>
  </si>
  <si>
    <t>LTM EV/Sales</t>
  </si>
  <si>
    <t>FY1 EV/Sales</t>
  </si>
  <si>
    <t>FY2 EV/Sales</t>
  </si>
  <si>
    <t>FY1 P/E</t>
  </si>
  <si>
    <t>FY2 P/E</t>
  </si>
  <si>
    <t>Basic Shares o/s</t>
  </si>
  <si>
    <t>Diluted Shares o/s</t>
  </si>
  <si>
    <t>ESoPS/Warrants etc. Treasury Stock Method</t>
  </si>
  <si>
    <t>Exercise</t>
  </si>
  <si>
    <t>Notional</t>
  </si>
  <si>
    <t>Net</t>
  </si>
  <si>
    <t>O/S</t>
  </si>
  <si>
    <t>Price</t>
  </si>
  <si>
    <t>ITM?</t>
  </si>
  <si>
    <t>Shares Issued</t>
  </si>
  <si>
    <t>Cash</t>
  </si>
  <si>
    <t>Buyback</t>
  </si>
  <si>
    <t>Dilution</t>
  </si>
  <si>
    <t>LTM</t>
  </si>
  <si>
    <t>Sales</t>
  </si>
  <si>
    <t>EBITDA</t>
  </si>
  <si>
    <t>EBIT</t>
  </si>
  <si>
    <t>Source- Marketscreener.com</t>
  </si>
  <si>
    <t>Comparable Company Analysis</t>
  </si>
  <si>
    <t>(All numbers are in millions except per share data)</t>
  </si>
  <si>
    <t>Industry</t>
  </si>
  <si>
    <t>Geography</t>
  </si>
  <si>
    <t>US</t>
  </si>
  <si>
    <t>Currency</t>
  </si>
  <si>
    <t>USD</t>
  </si>
  <si>
    <t>F10</t>
  </si>
  <si>
    <t>F33</t>
  </si>
  <si>
    <t>F18</t>
  </si>
  <si>
    <t>F32</t>
  </si>
  <si>
    <t>K59</t>
  </si>
  <si>
    <t>K65</t>
  </si>
  <si>
    <t>K63</t>
  </si>
  <si>
    <t>K74</t>
  </si>
  <si>
    <t>L59</t>
  </si>
  <si>
    <t>L65</t>
  </si>
  <si>
    <t>L63</t>
  </si>
  <si>
    <t>L74</t>
  </si>
  <si>
    <t>M59</t>
  </si>
  <si>
    <t>M65</t>
  </si>
  <si>
    <t>M63</t>
  </si>
  <si>
    <t>M74</t>
  </si>
  <si>
    <t>P65</t>
  </si>
  <si>
    <t>Reported Currency</t>
  </si>
  <si>
    <t>Exchange Rate</t>
  </si>
  <si>
    <t>LTM Multiples</t>
  </si>
  <si>
    <t>FY1 Multiple</t>
  </si>
  <si>
    <t>FY2 Multiple</t>
  </si>
  <si>
    <t>Peer Group Companies</t>
  </si>
  <si>
    <t>CMP</t>
  </si>
  <si>
    <t>Market Cap</t>
  </si>
  <si>
    <t>EV</t>
  </si>
  <si>
    <t>EV/Sales</t>
  </si>
  <si>
    <t>EV/EBITDA</t>
  </si>
  <si>
    <t>EV/EBIT</t>
  </si>
  <si>
    <t>P/E</t>
  </si>
  <si>
    <t>Growth</t>
  </si>
  <si>
    <t>Mean</t>
  </si>
  <si>
    <t>Basic Details</t>
  </si>
  <si>
    <t>Analyst Name</t>
  </si>
  <si>
    <t>Updation Date</t>
  </si>
  <si>
    <t>Ticker</t>
  </si>
  <si>
    <t>Latest Annual</t>
  </si>
  <si>
    <t>Latest Quarter</t>
  </si>
  <si>
    <t>Tax Rate</t>
  </si>
  <si>
    <t>Enterprise Value</t>
  </si>
  <si>
    <t>Class A</t>
  </si>
  <si>
    <t>Class B</t>
  </si>
  <si>
    <t>Class C</t>
  </si>
  <si>
    <t>Per Share Price</t>
  </si>
  <si>
    <t>Shares Outstanding Basic</t>
  </si>
  <si>
    <t>Shares Outstanding Diluted</t>
  </si>
  <si>
    <t>+ Pref. Share Capital</t>
  </si>
  <si>
    <t>Total Pref. Capital (Other Than Convertible) in Balance Sheet</t>
  </si>
  <si>
    <t>Add: Convertible Pref Not Converted to Common Equity</t>
  </si>
  <si>
    <t>+ Debt</t>
  </si>
  <si>
    <t>: Total Debt (Other Than Convertible) Reported in B/S</t>
  </si>
  <si>
    <t>Add: Convertible Debt not Converted to Common Equity</t>
  </si>
  <si>
    <t>+ Debt Equivalents</t>
  </si>
  <si>
    <t>Unfunded Pension Obligations</t>
  </si>
  <si>
    <t>Capitalised Value of Operating Lease</t>
  </si>
  <si>
    <t>- Cash &amp; Cash Equivalents</t>
  </si>
  <si>
    <t>Total Enterprise Value</t>
  </si>
  <si>
    <t>Non Operating Assets</t>
  </si>
  <si>
    <t>Operating EV</t>
  </si>
  <si>
    <t>Weighted Average Share Price of All Classes of Share</t>
  </si>
  <si>
    <t>Calculation of Dilution</t>
  </si>
  <si>
    <t xml:space="preserve">ESoPS/Warrants/RSUs/PSU </t>
  </si>
  <si>
    <t>Units Outstanding</t>
  </si>
  <si>
    <t>Convertible Debt / Pref shares</t>
  </si>
  <si>
    <t>Conversion Price</t>
  </si>
  <si>
    <t>Share Dilution</t>
  </si>
  <si>
    <t>Nature</t>
  </si>
  <si>
    <t>Face Value</t>
  </si>
  <si>
    <t>BV</t>
  </si>
  <si>
    <t>Debt/Pref</t>
  </si>
  <si>
    <t>Key Financials</t>
  </si>
  <si>
    <t>Annual</t>
  </si>
  <si>
    <t>Crt. YTD</t>
  </si>
  <si>
    <t>Pr. YTD</t>
  </si>
  <si>
    <t>FY1</t>
  </si>
  <si>
    <t>FY2</t>
  </si>
  <si>
    <t>FY3</t>
  </si>
  <si>
    <t>12M</t>
  </si>
  <si>
    <t>Reported Sales</t>
  </si>
  <si>
    <t>Reported EBIT/Operating Income</t>
  </si>
  <si>
    <t>Add/Less: Exceptional/No-Operating Items reported above EBIT</t>
  </si>
  <si>
    <t>Adjusted EBIT</t>
  </si>
  <si>
    <t>Add: D&amp;A</t>
  </si>
  <si>
    <t>Adjusted EBITDA</t>
  </si>
  <si>
    <t>Reported Net Income</t>
  </si>
  <si>
    <t>Add/Less: Exceptional Items reported above EBIT</t>
  </si>
  <si>
    <t>Add/Less: Exceptional Items reported below EBIT</t>
  </si>
  <si>
    <t>Less: Tax on Adjustments</t>
  </si>
  <si>
    <t>Add/Less: Non Tax Deductable Adjustments</t>
  </si>
  <si>
    <t>Adjusted Net Income</t>
  </si>
  <si>
    <t>Less: Share of Minority Interest</t>
  </si>
  <si>
    <t>Adjusted Net Income to Common Shareholders of the Company</t>
  </si>
  <si>
    <t>Diluted Weighted Average No of Shares</t>
  </si>
  <si>
    <t>Diluted EPS</t>
  </si>
  <si>
    <t>Airlines</t>
  </si>
  <si>
    <t>American Airlines Group</t>
  </si>
  <si>
    <t>Rajat Kr.</t>
  </si>
  <si>
    <t>AAL</t>
  </si>
  <si>
    <t>(RSU)</t>
  </si>
  <si>
    <t>Estimates</t>
  </si>
  <si>
    <t>CAGR</t>
  </si>
  <si>
    <t>6M</t>
  </si>
  <si>
    <t>Source of Estimates: Consensus estimates from market screener as on 11 Feb 2025</t>
  </si>
  <si>
    <t>JetBlue Airlines</t>
  </si>
  <si>
    <t>JBLU</t>
  </si>
  <si>
    <t>(need to ask)</t>
  </si>
  <si>
    <t>Diluted EPS(LOSS)</t>
  </si>
  <si>
    <t>Skywest</t>
  </si>
  <si>
    <t>SKYW</t>
  </si>
  <si>
    <t>(esops)</t>
  </si>
  <si>
    <t>(RSUs)</t>
  </si>
  <si>
    <t>(no non-gaap figures availaible)</t>
  </si>
  <si>
    <t>Southwest Airlines</t>
  </si>
  <si>
    <t>LUV</t>
  </si>
  <si>
    <t>(ESOPs)</t>
  </si>
  <si>
    <t>United Airlines Holdings</t>
  </si>
  <si>
    <t>UAL</t>
  </si>
  <si>
    <t>AmericanAirlinesGroup</t>
  </si>
  <si>
    <t>JetBlueAirlines</t>
  </si>
  <si>
    <t>SouthwestAirlines</t>
  </si>
  <si>
    <t>UnitedAirlinesHoldings</t>
  </si>
  <si>
    <t>(Taken on 11 Feburary 2025)</t>
  </si>
  <si>
    <t>delta</t>
  </si>
  <si>
    <t>DeltaAirlines</t>
  </si>
  <si>
    <t>Calculation of Diluted Shares-DeltaAirlines</t>
  </si>
  <si>
    <t>Delta Airlines CMP (11 Feburary 2025)</t>
  </si>
  <si>
    <t xml:space="preserve">ESOPs </t>
  </si>
  <si>
    <t>RSUs</t>
  </si>
  <si>
    <t>Implied EV-Delta Airlines</t>
  </si>
  <si>
    <t>Implied Equity-Delta Airlines</t>
  </si>
  <si>
    <t>Implied Per Share Value-Delta Airlines</t>
  </si>
  <si>
    <t>Delta Airlines Valuation Range as per Trading Comps</t>
  </si>
  <si>
    <t xml:space="preserve">debt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</si>
</sst>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_(* #,##0_);_(* \(#,##0\);_(* &quot;-&quot;??_);_(@_)"/>
    <numFmt numFmtId="165" formatCode="0.0&quot;x&quot;"/>
    <numFmt numFmtId="166" formatCode="0.0"/>
    <numFmt numFmtId="167" formatCode="_ * #,##0.0_ ;_ * \-#,##0.0_ ;_ * &quot;-&quot;??_ ;_ @_ "/>
    <numFmt numFmtId="168" formatCode="_(* #,##0.0_);_(* \(#,##0.0\);_(* &quot;-&quot;??_);_(@_)"/>
    <numFmt numFmtId="169" formatCode="0.0%"/>
    <numFmt numFmtId="170" formatCode="0.000"/>
    <numFmt numFmtId="171" formatCode="_ * #,##0_ ;_ * \-#,##0_ ;_ * &quot;-&quot;??_ ;_ @_ "/>
    <numFmt numFmtId="172" formatCode="dd\ mmm\'yy"/>
    <numFmt numFmtId="173" formatCode="0.000&quot;x&quot;"/>
    <numFmt numFmtId="174" formatCode="_(* #,##0.00_);_(* \(#,##0.00\);_(* &quot;-&quot;??_);_(@_)"/>
  </numFmts>
  <fonts count="3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Gill Sans"/>
    </font>
    <font>
      <sz val="10"/>
      <color theme="0"/>
      <name val="Gill Sans"/>
    </font>
    <font>
      <i/>
      <sz val="10"/>
      <color theme="1"/>
      <name val="Calibri"/>
      <family val="2"/>
    </font>
    <font>
      <b/>
      <sz val="16"/>
      <color theme="1"/>
      <name val="Calibri"/>
      <family val="2"/>
    </font>
    <font>
      <i/>
      <sz val="11"/>
      <color theme="1"/>
      <name val="Calibri"/>
      <family val="2"/>
    </font>
    <font>
      <sz val="18"/>
      <color rgb="FFE7E6E6"/>
      <name val="Gill Sans"/>
    </font>
    <font>
      <sz val="10"/>
      <color rgb="FFE7E6E6"/>
      <name val="Gill Sans"/>
    </font>
    <font>
      <i/>
      <sz val="10"/>
      <color rgb="FF000000"/>
      <name val="Gill Sans"/>
    </font>
    <font>
      <b/>
      <sz val="10"/>
      <color rgb="FF000000"/>
      <name val="Gill Sans"/>
    </font>
    <font>
      <sz val="10"/>
      <color rgb="FF000000"/>
      <name val="Gill Sans"/>
    </font>
    <font>
      <sz val="10"/>
      <color rgb="FFD8D8D8"/>
      <name val="Gill Sans"/>
    </font>
    <font>
      <i/>
      <sz val="10"/>
      <color theme="1"/>
      <name val="Gill Sans"/>
    </font>
    <font>
      <b/>
      <sz val="10"/>
      <color theme="1"/>
      <name val="Gill Sans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Gill Sans MT"/>
      <family val="2"/>
    </font>
    <font>
      <sz val="10"/>
      <color theme="0"/>
      <name val="Gill Sans MT"/>
      <family val="2"/>
    </font>
    <font>
      <b/>
      <sz val="10"/>
      <color indexed="8"/>
      <name val="Gill Sans MT"/>
      <family val="2"/>
    </font>
    <font>
      <i/>
      <sz val="10"/>
      <color theme="1"/>
      <name val="Gill Sans MT"/>
      <family val="2"/>
    </font>
    <font>
      <sz val="9"/>
      <color indexed="81"/>
      <name val="Tahoma"/>
      <family val="2"/>
    </font>
    <font>
      <sz val="9"/>
      <color rgb="FF262626"/>
      <name val="Arial"/>
      <family val="2"/>
    </font>
    <font>
      <i/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F1FA"/>
        <bgColor indexed="64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44546A"/>
      </bottom>
      <diagonal/>
    </border>
    <border>
      <left/>
      <right/>
      <top style="medium">
        <color rgb="FF000000"/>
      </top>
      <bottom style="medium">
        <color rgb="FF44546A"/>
      </bottom>
      <diagonal/>
    </border>
    <border>
      <left style="medium">
        <color rgb="FF000000"/>
      </left>
      <right/>
      <top style="medium">
        <color rgb="FF44546A"/>
      </top>
      <bottom/>
      <diagonal/>
    </border>
    <border>
      <left/>
      <right/>
      <top style="medium">
        <color rgb="FF44546A"/>
      </top>
      <bottom/>
      <diagonal/>
    </border>
    <border>
      <left/>
      <right/>
      <top style="medium">
        <color rgb="FF44546A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20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2" borderId="1" xfId="0" applyFont="1" applyFill="1" applyBorder="1"/>
    <xf numFmtId="9" fontId="8" fillId="3" borderId="1" xfId="0" applyNumberFormat="1" applyFont="1" applyFill="1" applyBorder="1"/>
    <xf numFmtId="0" fontId="8" fillId="0" borderId="0" xfId="0" applyFont="1" applyAlignment="1">
      <alignment horizontal="center" wrapText="1"/>
    </xf>
    <xf numFmtId="164" fontId="9" fillId="4" borderId="1" xfId="0" applyNumberFormat="1" applyFont="1" applyFill="1" applyBorder="1"/>
    <xf numFmtId="165" fontId="9" fillId="4" borderId="1" xfId="0" applyNumberFormat="1" applyFont="1" applyFill="1" applyBorder="1" applyAlignment="1">
      <alignment horizontal="center" vertical="center"/>
    </xf>
    <xf numFmtId="164" fontId="8" fillId="5" borderId="1" xfId="0" applyNumberFormat="1" applyFont="1" applyFill="1" applyBorder="1"/>
    <xf numFmtId="0" fontId="9" fillId="4" borderId="1" xfId="0" applyFont="1" applyFill="1" applyBorder="1"/>
    <xf numFmtId="164" fontId="8" fillId="0" borderId="0" xfId="0" applyNumberFormat="1" applyFont="1"/>
    <xf numFmtId="166" fontId="8" fillId="5" borderId="1" xfId="0" applyNumberFormat="1" applyFont="1" applyFill="1" applyBorder="1"/>
    <xf numFmtId="167" fontId="8" fillId="0" borderId="0" xfId="0" applyNumberFormat="1" applyFont="1"/>
    <xf numFmtId="167" fontId="8" fillId="6" borderId="6" xfId="0" applyNumberFormat="1" applyFont="1" applyFill="1" applyBorder="1"/>
    <xf numFmtId="0" fontId="8" fillId="4" borderId="1" xfId="0" applyFont="1" applyFill="1" applyBorder="1"/>
    <xf numFmtId="9" fontId="8" fillId="4" borderId="1" xfId="0" applyNumberFormat="1" applyFont="1" applyFill="1" applyBorder="1"/>
    <xf numFmtId="0" fontId="8" fillId="0" borderId="0" xfId="0" applyFont="1" applyAlignment="1">
      <alignment horizontal="center"/>
    </xf>
    <xf numFmtId="43" fontId="9" fillId="4" borderId="1" xfId="0" applyNumberFormat="1" applyFont="1" applyFill="1" applyBorder="1"/>
    <xf numFmtId="0" fontId="9" fillId="0" borderId="0" xfId="0" applyFont="1"/>
    <xf numFmtId="166" fontId="8" fillId="0" borderId="0" xfId="0" applyNumberFormat="1" applyFont="1"/>
    <xf numFmtId="0" fontId="3" fillId="7" borderId="7" xfId="0" applyFont="1" applyFill="1" applyBorder="1"/>
    <xf numFmtId="168" fontId="9" fillId="4" borderId="1" xfId="0" applyNumberFormat="1" applyFont="1" applyFill="1" applyBorder="1"/>
    <xf numFmtId="168" fontId="10" fillId="5" borderId="1" xfId="0" applyNumberFormat="1" applyFont="1" applyFill="1" applyBorder="1"/>
    <xf numFmtId="0" fontId="8" fillId="0" borderId="11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12" xfId="0" applyFont="1" applyBorder="1" applyAlignment="1">
      <alignment horizontal="right"/>
    </xf>
    <xf numFmtId="0" fontId="8" fillId="0" borderId="13" xfId="0" applyFont="1" applyBorder="1"/>
    <xf numFmtId="0" fontId="10" fillId="0" borderId="14" xfId="0" applyFont="1" applyBorder="1" applyAlignment="1">
      <alignment horizontal="right"/>
    </xf>
    <xf numFmtId="0" fontId="10" fillId="0" borderId="14" xfId="0" applyFont="1" applyBorder="1"/>
    <xf numFmtId="0" fontId="10" fillId="0" borderId="15" xfId="0" applyFont="1" applyBorder="1" applyAlignment="1">
      <alignment horizontal="right"/>
    </xf>
    <xf numFmtId="0" fontId="8" fillId="0" borderId="16" xfId="0" applyFont="1" applyBorder="1"/>
    <xf numFmtId="168" fontId="10" fillId="8" borderId="17" xfId="0" applyNumberFormat="1" applyFont="1" applyFill="1" applyBorder="1"/>
    <xf numFmtId="168" fontId="10" fillId="8" borderId="1" xfId="0" applyNumberFormat="1" applyFont="1" applyFill="1" applyBorder="1"/>
    <xf numFmtId="168" fontId="10" fillId="9" borderId="1" xfId="0" applyNumberFormat="1" applyFont="1" applyFill="1" applyBorder="1" applyAlignment="1">
      <alignment horizontal="center"/>
    </xf>
    <xf numFmtId="168" fontId="10" fillId="9" borderId="1" xfId="0" applyNumberFormat="1" applyFont="1" applyFill="1" applyBorder="1"/>
    <xf numFmtId="164" fontId="10" fillId="9" borderId="1" xfId="0" applyNumberFormat="1" applyFont="1" applyFill="1" applyBorder="1"/>
    <xf numFmtId="168" fontId="10" fillId="9" borderId="18" xfId="0" applyNumberFormat="1" applyFont="1" applyFill="1" applyBorder="1"/>
    <xf numFmtId="168" fontId="10" fillId="5" borderId="19" xfId="0" applyNumberFormat="1" applyFont="1" applyFill="1" applyBorder="1"/>
    <xf numFmtId="0" fontId="4" fillId="2" borderId="20" xfId="0" applyFont="1" applyFill="1" applyBorder="1"/>
    <xf numFmtId="0" fontId="4" fillId="2" borderId="21" xfId="0" applyFont="1" applyFill="1" applyBorder="1"/>
    <xf numFmtId="0" fontId="8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169" fontId="8" fillId="0" borderId="25" xfId="0" applyNumberFormat="1" applyFont="1" applyBorder="1"/>
    <xf numFmtId="0" fontId="8" fillId="0" borderId="26" xfId="0" applyFont="1" applyBorder="1"/>
    <xf numFmtId="0" fontId="8" fillId="0" borderId="27" xfId="0" applyFont="1" applyBorder="1"/>
    <xf numFmtId="0" fontId="8" fillId="0" borderId="28" xfId="0" applyFont="1" applyBorder="1"/>
    <xf numFmtId="0" fontId="12" fillId="0" borderId="24" xfId="0" applyFont="1" applyBorder="1"/>
    <xf numFmtId="0" fontId="13" fillId="0" borderId="0" xfId="0" applyFont="1"/>
    <xf numFmtId="0" fontId="8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170" fontId="9" fillId="4" borderId="1" xfId="0" applyNumberFormat="1" applyFont="1" applyFill="1" applyBorder="1"/>
    <xf numFmtId="171" fontId="8" fillId="0" borderId="0" xfId="0" applyNumberFormat="1" applyFont="1"/>
    <xf numFmtId="2" fontId="8" fillId="0" borderId="0" xfId="0" applyNumberFormat="1" applyFont="1"/>
    <xf numFmtId="165" fontId="8" fillId="0" borderId="0" xfId="0" applyNumberFormat="1" applyFont="1"/>
    <xf numFmtId="165" fontId="8" fillId="0" borderId="0" xfId="0" applyNumberFormat="1" applyFont="1" applyAlignment="1">
      <alignment horizontal="center"/>
    </xf>
    <xf numFmtId="165" fontId="8" fillId="0" borderId="30" xfId="0" applyNumberFormat="1" applyFont="1" applyBorder="1" applyAlignment="1">
      <alignment horizontal="center"/>
    </xf>
    <xf numFmtId="165" fontId="8" fillId="4" borderId="31" xfId="0" applyNumberFormat="1" applyFont="1" applyFill="1" applyBorder="1" applyAlignment="1">
      <alignment horizontal="center"/>
    </xf>
    <xf numFmtId="165" fontId="8" fillId="10" borderId="1" xfId="0" applyNumberFormat="1" applyFont="1" applyFill="1" applyBorder="1" applyAlignment="1">
      <alignment horizontal="center"/>
    </xf>
    <xf numFmtId="165" fontId="8" fillId="0" borderId="32" xfId="0" applyNumberFormat="1" applyFont="1" applyBorder="1" applyAlignment="1">
      <alignment horizontal="center"/>
    </xf>
    <xf numFmtId="165" fontId="8" fillId="4" borderId="33" xfId="0" applyNumberFormat="1" applyFont="1" applyFill="1" applyBorder="1" applyAlignment="1">
      <alignment horizontal="center"/>
    </xf>
    <xf numFmtId="165" fontId="8" fillId="0" borderId="8" xfId="0" applyNumberFormat="1" applyFont="1" applyBorder="1" applyAlignment="1">
      <alignment horizontal="center"/>
    </xf>
    <xf numFmtId="165" fontId="8" fillId="0" borderId="13" xfId="0" applyNumberFormat="1" applyFont="1" applyBorder="1" applyAlignment="1">
      <alignment horizontal="center"/>
    </xf>
    <xf numFmtId="165" fontId="8" fillId="4" borderId="34" xfId="0" applyNumberFormat="1" applyFont="1" applyFill="1" applyBorder="1" applyAlignment="1">
      <alignment horizontal="center"/>
    </xf>
    <xf numFmtId="1" fontId="8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center"/>
    </xf>
    <xf numFmtId="165" fontId="8" fillId="0" borderId="0" xfId="0" applyNumberFormat="1" applyFont="1" applyAlignment="1">
      <alignment horizontal="center" vertical="center"/>
    </xf>
    <xf numFmtId="0" fontId="11" fillId="2" borderId="35" xfId="0" applyFont="1" applyFill="1" applyBorder="1"/>
    <xf numFmtId="0" fontId="10" fillId="11" borderId="18" xfId="0" applyFont="1" applyFill="1" applyBorder="1" applyAlignment="1">
      <alignment horizontal="right"/>
    </xf>
    <xf numFmtId="172" fontId="10" fillId="11" borderId="18" xfId="0" applyNumberFormat="1" applyFont="1" applyFill="1" applyBorder="1"/>
    <xf numFmtId="0" fontId="10" fillId="0" borderId="13" xfId="0" applyFont="1" applyBorder="1"/>
    <xf numFmtId="9" fontId="10" fillId="11" borderId="36" xfId="0" applyNumberFormat="1" applyFont="1" applyFill="1" applyBorder="1"/>
    <xf numFmtId="0" fontId="10" fillId="0" borderId="0" xfId="0" applyFont="1" applyAlignment="1">
      <alignment horizontal="center"/>
    </xf>
    <xf numFmtId="0" fontId="11" fillId="2" borderId="37" xfId="0" applyFont="1" applyFill="1" applyBorder="1"/>
    <xf numFmtId="0" fontId="11" fillId="2" borderId="37" xfId="0" applyFont="1" applyFill="1" applyBorder="1" applyAlignment="1">
      <alignment horizontal="right"/>
    </xf>
    <xf numFmtId="16" fontId="10" fillId="0" borderId="0" xfId="0" applyNumberFormat="1" applyFont="1"/>
    <xf numFmtId="164" fontId="10" fillId="0" borderId="0" xfId="0" applyNumberFormat="1" applyFont="1"/>
    <xf numFmtId="164" fontId="10" fillId="12" borderId="18" xfId="0" applyNumberFormat="1" applyFont="1" applyFill="1" applyBorder="1"/>
    <xf numFmtId="164" fontId="10" fillId="11" borderId="18" xfId="0" applyNumberFormat="1" applyFont="1" applyFill="1" applyBorder="1"/>
    <xf numFmtId="0" fontId="17" fillId="0" borderId="0" xfId="0" applyFont="1"/>
    <xf numFmtId="0" fontId="18" fillId="0" borderId="38" xfId="0" applyFont="1" applyBorder="1"/>
    <xf numFmtId="0" fontId="18" fillId="0" borderId="39" xfId="0" applyFont="1" applyBorder="1"/>
    <xf numFmtId="164" fontId="18" fillId="0" borderId="39" xfId="0" applyNumberFormat="1" applyFont="1" applyBorder="1"/>
    <xf numFmtId="164" fontId="18" fillId="12" borderId="19" xfId="0" applyNumberFormat="1" applyFont="1" applyFill="1" applyBorder="1"/>
    <xf numFmtId="0" fontId="18" fillId="0" borderId="0" xfId="0" applyFont="1"/>
    <xf numFmtId="164" fontId="18" fillId="0" borderId="0" xfId="0" applyNumberFormat="1" applyFont="1"/>
    <xf numFmtId="167" fontId="10" fillId="12" borderId="36" xfId="0" applyNumberFormat="1" applyFont="1" applyFill="1" applyBorder="1"/>
    <xf numFmtId="164" fontId="17" fillId="0" borderId="0" xfId="0" applyNumberFormat="1" applyFont="1"/>
    <xf numFmtId="17" fontId="10" fillId="0" borderId="0" xfId="0" applyNumberFormat="1" applyFont="1"/>
    <xf numFmtId="0" fontId="10" fillId="2" borderId="37" xfId="0" applyFont="1" applyFill="1" applyBorder="1"/>
    <xf numFmtId="0" fontId="20" fillId="0" borderId="0" xfId="0" applyFont="1"/>
    <xf numFmtId="0" fontId="10" fillId="0" borderId="13" xfId="0" applyFont="1" applyBorder="1" applyAlignment="1">
      <alignment horizontal="right"/>
    </xf>
    <xf numFmtId="0" fontId="10" fillId="0" borderId="0" xfId="0" applyFont="1" applyAlignment="1">
      <alignment horizontal="left"/>
    </xf>
    <xf numFmtId="168" fontId="10" fillId="11" borderId="17" xfId="0" applyNumberFormat="1" applyFont="1" applyFill="1" applyBorder="1"/>
    <xf numFmtId="168" fontId="10" fillId="12" borderId="18" xfId="0" applyNumberFormat="1" applyFont="1" applyFill="1" applyBorder="1"/>
    <xf numFmtId="168" fontId="10" fillId="0" borderId="0" xfId="0" applyNumberFormat="1" applyFont="1"/>
    <xf numFmtId="168" fontId="10" fillId="12" borderId="19" xfId="0" applyNumberFormat="1" applyFont="1" applyFill="1" applyBorder="1"/>
    <xf numFmtId="0" fontId="17" fillId="0" borderId="40" xfId="0" applyFont="1" applyBorder="1"/>
    <xf numFmtId="0" fontId="10" fillId="0" borderId="40" xfId="0" applyFont="1" applyBorder="1"/>
    <xf numFmtId="0" fontId="17" fillId="0" borderId="0" xfId="0" applyFont="1" applyAlignment="1">
      <alignment horizontal="right"/>
    </xf>
    <xf numFmtId="0" fontId="21" fillId="0" borderId="0" xfId="0" applyFont="1"/>
    <xf numFmtId="43" fontId="10" fillId="12" borderId="18" xfId="0" applyNumberFormat="1" applyFont="1" applyFill="1" applyBorder="1"/>
    <xf numFmtId="43" fontId="10" fillId="0" borderId="0" xfId="0" applyNumberFormat="1" applyFont="1"/>
    <xf numFmtId="43" fontId="10" fillId="12" borderId="42" xfId="0" applyNumberFormat="1" applyFont="1" applyFill="1" applyBorder="1"/>
    <xf numFmtId="43" fontId="10" fillId="12" borderId="19" xfId="0" applyNumberFormat="1" applyFont="1" applyFill="1" applyBorder="1"/>
    <xf numFmtId="0" fontId="22" fillId="0" borderId="0" xfId="0" applyFont="1"/>
    <xf numFmtId="10" fontId="8" fillId="0" borderId="0" xfId="1" applyNumberFormat="1" applyFont="1"/>
    <xf numFmtId="43" fontId="8" fillId="5" borderId="1" xfId="0" applyNumberFormat="1" applyFont="1" applyFill="1" applyBorder="1"/>
    <xf numFmtId="43" fontId="0" fillId="0" borderId="0" xfId="0" applyNumberFormat="1"/>
    <xf numFmtId="173" fontId="8" fillId="4" borderId="33" xfId="0" applyNumberFormat="1" applyFont="1" applyFill="1" applyBorder="1" applyAlignment="1">
      <alignment horizontal="center"/>
    </xf>
    <xf numFmtId="0" fontId="15" fillId="2" borderId="0" xfId="0" applyFont="1" applyFill="1"/>
    <xf numFmtId="0" fontId="10" fillId="2" borderId="0" xfId="0" applyFont="1" applyFill="1"/>
    <xf numFmtId="0" fontId="16" fillId="2" borderId="0" xfId="0" applyFont="1" applyFill="1"/>
    <xf numFmtId="0" fontId="16" fillId="2" borderId="40" xfId="0" applyFont="1" applyFill="1" applyBorder="1"/>
    <xf numFmtId="0" fontId="16" fillId="2" borderId="41" xfId="0" applyFont="1" applyFill="1" applyBorder="1"/>
    <xf numFmtId="0" fontId="10" fillId="0" borderId="17" xfId="0" applyFont="1" applyBorder="1"/>
    <xf numFmtId="15" fontId="10" fillId="11" borderId="18" xfId="0" applyNumberFormat="1" applyFont="1" applyFill="1" applyBorder="1" applyAlignment="1">
      <alignment horizontal="right"/>
    </xf>
    <xf numFmtId="0" fontId="10" fillId="0" borderId="42" xfId="0" applyFont="1" applyBorder="1"/>
    <xf numFmtId="0" fontId="11" fillId="2" borderId="8" xfId="0" applyFont="1" applyFill="1" applyBorder="1"/>
    <xf numFmtId="0" fontId="11" fillId="2" borderId="10" xfId="0" applyFont="1" applyFill="1" applyBorder="1"/>
    <xf numFmtId="174" fontId="10" fillId="11" borderId="0" xfId="0" applyNumberFormat="1" applyFont="1" applyFill="1"/>
    <xf numFmtId="164" fontId="10" fillId="11" borderId="0" xfId="0" applyNumberFormat="1" applyFont="1" applyFill="1"/>
    <xf numFmtId="0" fontId="10" fillId="0" borderId="18" xfId="0" applyFont="1" applyBorder="1"/>
    <xf numFmtId="164" fontId="10" fillId="0" borderId="18" xfId="0" applyNumberFormat="1" applyFont="1" applyBorder="1"/>
    <xf numFmtId="164" fontId="10" fillId="12" borderId="0" xfId="0" applyNumberFormat="1" applyFont="1" applyFill="1"/>
    <xf numFmtId="164" fontId="10" fillId="13" borderId="18" xfId="0" applyNumberFormat="1" applyFont="1" applyFill="1" applyBorder="1"/>
    <xf numFmtId="0" fontId="10" fillId="0" borderId="17" xfId="0" quotePrefix="1" applyFont="1" applyBorder="1"/>
    <xf numFmtId="164" fontId="17" fillId="11" borderId="0" xfId="0" applyNumberFormat="1" applyFont="1" applyFill="1"/>
    <xf numFmtId="164" fontId="17" fillId="12" borderId="0" xfId="0" applyNumberFormat="1" applyFont="1" applyFill="1"/>
    <xf numFmtId="0" fontId="19" fillId="0" borderId="17" xfId="0" applyFont="1" applyBorder="1"/>
    <xf numFmtId="0" fontId="10" fillId="2" borderId="10" xfId="0" applyFont="1" applyFill="1" applyBorder="1"/>
    <xf numFmtId="0" fontId="10" fillId="0" borderId="17" xfId="0" applyFont="1" applyBorder="1" applyAlignment="1">
      <alignment horizontal="right"/>
    </xf>
    <xf numFmtId="0" fontId="10" fillId="0" borderId="29" xfId="0" applyFont="1" applyBorder="1" applyAlignment="1">
      <alignment horizontal="center"/>
    </xf>
    <xf numFmtId="0" fontId="10" fillId="0" borderId="18" xfId="0" applyFont="1" applyBorder="1" applyAlignment="1">
      <alignment horizontal="right"/>
    </xf>
    <xf numFmtId="0" fontId="10" fillId="0" borderId="42" xfId="0" applyFont="1" applyBorder="1" applyAlignment="1">
      <alignment horizontal="right"/>
    </xf>
    <xf numFmtId="0" fontId="10" fillId="0" borderId="36" xfId="0" applyFont="1" applyBorder="1" applyAlignment="1">
      <alignment horizontal="right"/>
    </xf>
    <xf numFmtId="168" fontId="10" fillId="12" borderId="0" xfId="0" applyNumberFormat="1" applyFont="1" applyFill="1" applyAlignment="1">
      <alignment horizontal="center"/>
    </xf>
    <xf numFmtId="168" fontId="10" fillId="12" borderId="0" xfId="0" applyNumberFormat="1" applyFont="1" applyFill="1"/>
    <xf numFmtId="168" fontId="10" fillId="11" borderId="0" xfId="0" applyNumberFormat="1" applyFont="1" applyFill="1"/>
    <xf numFmtId="0" fontId="17" fillId="0" borderId="35" xfId="0" applyFont="1" applyBorder="1"/>
    <xf numFmtId="0" fontId="17" fillId="0" borderId="17" xfId="0" applyFont="1" applyBorder="1"/>
    <xf numFmtId="43" fontId="10" fillId="11" borderId="0" xfId="0" applyNumberFormat="1" applyFont="1" applyFill="1"/>
    <xf numFmtId="43" fontId="10" fillId="12" borderId="0" xfId="0" applyNumberFormat="1" applyFont="1" applyFill="1"/>
    <xf numFmtId="43" fontId="10" fillId="12" borderId="29" xfId="0" applyNumberFormat="1" applyFont="1" applyFill="1" applyBorder="1"/>
    <xf numFmtId="164" fontId="10" fillId="0" borderId="42" xfId="0" applyNumberFormat="1" applyFont="1" applyBorder="1"/>
    <xf numFmtId="0" fontId="26" fillId="0" borderId="0" xfId="0" applyFont="1"/>
    <xf numFmtId="0" fontId="11" fillId="2" borderId="0" xfId="0" applyFont="1" applyFill="1"/>
    <xf numFmtId="0" fontId="11" fillId="2" borderId="0" xfId="0" applyFont="1" applyFill="1" applyAlignment="1">
      <alignment horizontal="right"/>
    </xf>
    <xf numFmtId="0" fontId="27" fillId="15" borderId="0" xfId="0" applyFont="1" applyFill="1" applyAlignment="1">
      <alignment horizontal="right"/>
    </xf>
    <xf numFmtId="0" fontId="27" fillId="16" borderId="0" xfId="0" applyFont="1" applyFill="1" applyAlignment="1">
      <alignment horizontal="right"/>
    </xf>
    <xf numFmtId="14" fontId="26" fillId="0" borderId="43" xfId="0" applyNumberFormat="1" applyFont="1" applyBorder="1"/>
    <xf numFmtId="0" fontId="26" fillId="16" borderId="0" xfId="0" applyFont="1" applyFill="1"/>
    <xf numFmtId="164" fontId="10" fillId="11" borderId="0" xfId="0" applyNumberFormat="1" applyFont="1" applyFill="1" applyAlignment="1">
      <alignment wrapText="1"/>
    </xf>
    <xf numFmtId="164" fontId="18" fillId="12" borderId="0" xfId="0" applyNumberFormat="1" applyFont="1" applyFill="1"/>
    <xf numFmtId="164" fontId="26" fillId="16" borderId="0" xfId="2" applyNumberFormat="1" applyFont="1" applyFill="1"/>
    <xf numFmtId="10" fontId="26" fillId="14" borderId="0" xfId="1" applyNumberFormat="1" applyFont="1" applyFill="1"/>
    <xf numFmtId="0" fontId="28" fillId="0" borderId="0" xfId="0" applyFont="1"/>
    <xf numFmtId="164" fontId="22" fillId="12" borderId="0" xfId="0" applyNumberFormat="1" applyFont="1" applyFill="1"/>
    <xf numFmtId="164" fontId="26" fillId="0" borderId="0" xfId="2" applyNumberFormat="1" applyFont="1"/>
    <xf numFmtId="43" fontId="18" fillId="12" borderId="0" xfId="0" applyNumberFormat="1" applyFont="1" applyFill="1"/>
    <xf numFmtId="0" fontId="29" fillId="0" borderId="0" xfId="0" applyFont="1"/>
    <xf numFmtId="164" fontId="10" fillId="17" borderId="18" xfId="0" applyNumberFormat="1" applyFont="1" applyFill="1" applyBorder="1"/>
    <xf numFmtId="168" fontId="18" fillId="12" borderId="0" xfId="0" applyNumberFormat="1" applyFont="1" applyFill="1"/>
    <xf numFmtId="174" fontId="10" fillId="12" borderId="0" xfId="0" applyNumberFormat="1" applyFont="1" applyFill="1"/>
    <xf numFmtId="0" fontId="10" fillId="0" borderId="42" xfId="0" applyFont="1" applyBorder="1" applyAlignment="1">
      <alignment horizontal="left"/>
    </xf>
    <xf numFmtId="174" fontId="18" fillId="12" borderId="0" xfId="0" applyNumberFormat="1" applyFont="1" applyFill="1"/>
    <xf numFmtId="3" fontId="31" fillId="18" borderId="45" xfId="0" applyNumberFormat="1" applyFont="1" applyFill="1" applyBorder="1" applyAlignment="1">
      <alignment horizontal="right" vertical="center"/>
    </xf>
    <xf numFmtId="174" fontId="26" fillId="14" borderId="0" xfId="2" applyNumberFormat="1" applyFont="1" applyFill="1"/>
    <xf numFmtId="3" fontId="31" fillId="14" borderId="45" xfId="0" applyNumberFormat="1" applyFont="1" applyFill="1" applyBorder="1" applyAlignment="1">
      <alignment horizontal="right" vertical="center"/>
    </xf>
    <xf numFmtId="0" fontId="31" fillId="18" borderId="45" xfId="0" applyFont="1" applyFill="1" applyBorder="1" applyAlignment="1">
      <alignment horizontal="right" vertical="center"/>
    </xf>
    <xf numFmtId="0" fontId="2" fillId="0" borderId="0" xfId="0" applyFont="1"/>
    <xf numFmtId="0" fontId="0" fillId="0" borderId="5" xfId="0" applyBorder="1"/>
    <xf numFmtId="0" fontId="0" fillId="0" borderId="46" xfId="0" applyBorder="1"/>
    <xf numFmtId="174" fontId="9" fillId="4" borderId="1" xfId="0" applyNumberFormat="1" applyFont="1" applyFill="1" applyBorder="1"/>
    <xf numFmtId="0" fontId="1" fillId="0" borderId="0" xfId="0" applyFont="1"/>
    <xf numFmtId="0" fontId="10" fillId="0" borderId="14" xfId="0" applyFont="1" applyBorder="1" applyAlignment="1">
      <alignment horizontal="center"/>
    </xf>
    <xf numFmtId="0" fontId="32" fillId="0" borderId="0" xfId="0" applyFont="1"/>
    <xf numFmtId="9" fontId="8" fillId="4" borderId="31" xfId="1" applyFont="1" applyFill="1" applyBorder="1" applyAlignment="1">
      <alignment horizontal="center"/>
    </xf>
    <xf numFmtId="9" fontId="8" fillId="4" borderId="33" xfId="1" applyFont="1" applyFill="1" applyBorder="1" applyAlignment="1">
      <alignment horizontal="center"/>
    </xf>
    <xf numFmtId="9" fontId="8" fillId="4" borderId="34" xfId="1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8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7" fillId="0" borderId="3" xfId="0" applyFont="1" applyBorder="1"/>
    <xf numFmtId="0" fontId="6" fillId="2" borderId="4" xfId="0" applyFont="1" applyFill="1" applyBorder="1" applyAlignment="1">
      <alignment horizontal="center" wrapText="1"/>
    </xf>
    <xf numFmtId="0" fontId="7" fillId="0" borderId="5" xfId="0" applyFont="1" applyBorder="1"/>
    <xf numFmtId="0" fontId="10" fillId="0" borderId="44" xfId="0" applyFont="1" applyBorder="1" applyAlignment="1">
      <alignment horizontal="center"/>
    </xf>
    <xf numFmtId="0" fontId="8" fillId="4" borderId="4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center"/>
    </xf>
    <xf numFmtId="0" fontId="7" fillId="0" borderId="29" xfId="0" applyFont="1" applyBorder="1"/>
    <xf numFmtId="0" fontId="8" fillId="4" borderId="2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7" fillId="0" borderId="40" xfId="0" applyFont="1" applyBorder="1" applyAlignment="1">
      <alignment horizontal="center" wrapText="1"/>
    </xf>
    <xf numFmtId="0" fontId="17" fillId="0" borderId="41" xfId="0" applyFont="1" applyBorder="1" applyAlignment="1">
      <alignment horizontal="center" wrapText="1"/>
    </xf>
    <xf numFmtId="0" fontId="25" fillId="0" borderId="18" xfId="0" applyFont="1" applyBorder="1"/>
    <xf numFmtId="0" fontId="17" fillId="0" borderId="0" xfId="0" applyFont="1" applyAlignment="1">
      <alignment horizontal="center" wrapText="1"/>
    </xf>
    <xf numFmtId="164" fontId="26" fillId="14" borderId="0" xfId="2" applyNumberFormat="1" applyFont="1" applyFill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052FF18B-D8CE-4422-9961-76BDC24546D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96025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18B7894F-5470-4288-9EC0-BA90D74DEE6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3867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5532FE2D-2948-4B8D-A6E6-CB1F5CB96A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96025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7E91C7CE-BD2C-4821-B180-6B3593C37AC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38675" y="20478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97F229B9-1B67-4DC6-8272-2997D06635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579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F1E02E80-F4A2-472E-AFD9-5955ACF11DC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006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33D03C30-E1F3-4A54-8732-98ABA02D65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579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B07D9052-DE16-4709-8AB2-097ECD3461A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00600" y="20478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BC05B85D-E7AD-440F-BF16-228E25751C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96025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8036E133-D6DD-4933-BF6A-E0D87ABF935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38675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27C55FBF-93BA-4939-9AF8-060593FE2D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96025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EC7377F7-FFED-40F6-8217-F31011475FE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38675" y="20478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7996B621-A964-4D3D-ACE4-5BC5FC90A7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0080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548D3BFD-8F7D-4E4F-B5F3-0C4079CF21A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4345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7FEE5273-EC04-418A-9889-65DD839808D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0080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82FF6A78-9814-4271-ADF7-C718993423E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43450" y="20478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647700</xdr:colOff>
      <xdr:row>2</xdr:row>
      <xdr:rowOff>123825</xdr:rowOff>
    </xdr:from>
    <xdr:ext cx="152400" cy="0"/>
    <xdr:pic>
      <xdr:nvPicPr>
        <xdr:cNvPr id="2" name="image1.png">
          <a:extLst>
            <a:ext uri="{FF2B5EF4-FFF2-40B4-BE49-F238E27FC236}">
              <a16:creationId xmlns:a16="http://schemas.microsoft.com/office/drawing/2014/main" id="{BE57971F-E772-468C-B50A-A5CE5E1013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293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3" name="image2.png">
          <a:extLst>
            <a:ext uri="{FF2B5EF4-FFF2-40B4-BE49-F238E27FC236}">
              <a16:creationId xmlns:a16="http://schemas.microsoft.com/office/drawing/2014/main" id="{592D63C8-0329-4C8F-9A34-1C967A06384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72000" y="2047875"/>
          <a:ext cx="9525" cy="476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647700</xdr:colOff>
      <xdr:row>2</xdr:row>
      <xdr:rowOff>123825</xdr:rowOff>
    </xdr:from>
    <xdr:ext cx="152400" cy="0"/>
    <xdr:pic>
      <xdr:nvPicPr>
        <xdr:cNvPr id="4" name="image1.png">
          <a:extLst>
            <a:ext uri="{FF2B5EF4-FFF2-40B4-BE49-F238E27FC236}">
              <a16:creationId xmlns:a16="http://schemas.microsoft.com/office/drawing/2014/main" id="{D7FA06E7-F668-4702-9238-9EE821D4A9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29350" y="609600"/>
          <a:ext cx="152400" cy="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10</xdr:row>
      <xdr:rowOff>28575</xdr:rowOff>
    </xdr:from>
    <xdr:ext cx="9525" cy="47625"/>
    <xdr:pic>
      <xdr:nvPicPr>
        <xdr:cNvPr id="5" name="image2.png">
          <a:extLst>
            <a:ext uri="{FF2B5EF4-FFF2-40B4-BE49-F238E27FC236}">
              <a16:creationId xmlns:a16="http://schemas.microsoft.com/office/drawing/2014/main" id="{83CE7D61-4A5B-47F0-8BE1-30FBCE73414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72000" y="2047875"/>
          <a:ext cx="9525" cy="47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6"/>
  <sheetViews>
    <sheetView showGridLines="0" tabSelected="1" topLeftCell="A34" zoomScale="89" workbookViewId="0">
      <selection activeCell="B27" sqref="B27"/>
    </sheetView>
  </sheetViews>
  <sheetFormatPr defaultColWidth="14.42578125" defaultRowHeight="15" customHeight="1"/>
  <cols>
    <col min="1" max="1" width="14.5703125" customWidth="1"/>
    <col min="2" max="2" width="18" customWidth="1"/>
    <col min="3" max="4" width="12.5703125" customWidth="1"/>
    <col min="5" max="5" width="12.85546875" customWidth="1"/>
    <col min="6" max="12" width="12.5703125" customWidth="1"/>
    <col min="13" max="13" width="14.140625" customWidth="1"/>
    <col min="14" max="14" width="21.5703125" customWidth="1"/>
    <col min="15" max="15" width="17.5703125" customWidth="1"/>
    <col min="16" max="16" width="17" customWidth="1"/>
    <col min="17" max="22" width="8.7109375" customWidth="1"/>
    <col min="23" max="23" width="14.5703125" bestFit="1" customWidth="1"/>
    <col min="24" max="26" width="8.7109375" customWidth="1"/>
  </cols>
  <sheetData>
    <row r="1" spans="1:24" ht="14.25" customHeight="1"/>
    <row r="2" spans="1:24" ht="14.25" customHeight="1">
      <c r="A2" s="1" t="s">
        <v>0</v>
      </c>
      <c r="C2" s="2" t="s">
        <v>173</v>
      </c>
      <c r="G2" t="s">
        <v>1</v>
      </c>
      <c r="H2" cm="1">
        <f t="array" ref="H2">_xlfn.IFS($G$2=Output!$F$20,1,'Valuation '!$G$2=Output!$F$21,2,'Valuation '!$G$2=Output!$F$22,3)</f>
        <v>1</v>
      </c>
      <c r="W2" s="3" t="s">
        <v>1</v>
      </c>
      <c r="X2">
        <v>1</v>
      </c>
    </row>
    <row r="3" spans="1:24" ht="14.25" customHeight="1">
      <c r="W3" s="3" t="s">
        <v>2</v>
      </c>
      <c r="X3">
        <v>2</v>
      </c>
    </row>
    <row r="4" spans="1:24" ht="14.25" customHeight="1">
      <c r="B4" s="4"/>
      <c r="C4" s="191" t="s">
        <v>3</v>
      </c>
      <c r="D4" s="192"/>
      <c r="E4" s="191" t="s">
        <v>178</v>
      </c>
      <c r="F4" s="192"/>
      <c r="G4" s="193" t="s">
        <v>4</v>
      </c>
      <c r="H4" s="193" t="s">
        <v>5</v>
      </c>
      <c r="I4" s="193" t="s">
        <v>6</v>
      </c>
      <c r="J4" s="193" t="s">
        <v>7</v>
      </c>
      <c r="K4" s="193" t="s">
        <v>8</v>
      </c>
      <c r="L4" s="191" t="s">
        <v>179</v>
      </c>
      <c r="M4" s="192"/>
      <c r="N4" s="193" t="s">
        <v>9</v>
      </c>
      <c r="O4" s="191" t="s">
        <v>180</v>
      </c>
      <c r="P4" s="192"/>
      <c r="W4" s="3" t="s">
        <v>10</v>
      </c>
      <c r="X4">
        <v>3</v>
      </c>
    </row>
    <row r="5" spans="1:24" ht="14.25" customHeight="1">
      <c r="B5" s="4" t="s">
        <v>11</v>
      </c>
      <c r="C5" s="4" t="s">
        <v>12</v>
      </c>
      <c r="D5" s="4" t="s">
        <v>13</v>
      </c>
      <c r="E5" s="4" t="s">
        <v>12</v>
      </c>
      <c r="F5" s="4" t="s">
        <v>13</v>
      </c>
      <c r="G5" s="194"/>
      <c r="H5" s="194"/>
      <c r="I5" s="194"/>
      <c r="J5" s="194"/>
      <c r="K5" s="194"/>
      <c r="L5" s="4" t="s">
        <v>12</v>
      </c>
      <c r="M5" s="4" t="s">
        <v>13</v>
      </c>
      <c r="N5" s="194"/>
      <c r="O5" s="4" t="s">
        <v>12</v>
      </c>
      <c r="P5" s="4" t="s">
        <v>13</v>
      </c>
    </row>
    <row r="6" spans="1:24" ht="14.25" customHeight="1">
      <c r="C6" s="5">
        <v>0.1</v>
      </c>
      <c r="D6" s="5">
        <v>0.1</v>
      </c>
      <c r="G6" s="6"/>
      <c r="H6" s="6"/>
      <c r="I6" s="6"/>
      <c r="J6" s="6"/>
      <c r="K6" s="6"/>
      <c r="N6" s="6"/>
    </row>
    <row r="7" spans="1:24" ht="14.25" customHeight="1">
      <c r="A7" s="3" t="s">
        <v>14</v>
      </c>
      <c r="B7" s="7">
        <f>B62</f>
        <v>9077</v>
      </c>
      <c r="C7" s="8">
        <f ca="1">CHOOSE($H$2,Output!$H$20,Output!$H$21,Output!$H$22)*(1-'Valuation '!$C$6)</f>
        <v>6.2924738034199779</v>
      </c>
      <c r="D7" s="8">
        <f ca="1">CHOOSE($H$2,Output!$H$20,Output!$H$21,Output!$H$22)*(1+'Valuation '!$C$6)</f>
        <v>7.6908013152910844</v>
      </c>
      <c r="E7" s="9">
        <f ca="1">$B7*$C7</f>
        <v>57116.784713643137</v>
      </c>
      <c r="F7" s="9">
        <f ca="1">$B7*$D7</f>
        <v>69809.403538897168</v>
      </c>
      <c r="G7" s="10">
        <v>0</v>
      </c>
      <c r="H7" s="10">
        <f>2175+14019</f>
        <v>16194</v>
      </c>
      <c r="I7" s="10">
        <f>3238-938+6644</f>
        <v>8944</v>
      </c>
      <c r="J7" s="10">
        <v>3069</v>
      </c>
      <c r="K7" s="10">
        <v>0</v>
      </c>
      <c r="L7" s="11">
        <f ca="1">E7+J7+K7-H7-I7-G7</f>
        <v>35047.784713643137</v>
      </c>
      <c r="M7" s="11">
        <f ca="1">F7-H7-G7-I7+J7+K7</f>
        <v>47740.403538897168</v>
      </c>
      <c r="N7" s="12">
        <f>$C$45</f>
        <v>648</v>
      </c>
      <c r="O7" s="13">
        <f ca="1">L7/N7</f>
        <v>54.086087521054225</v>
      </c>
      <c r="P7" s="13">
        <f ca="1">M7/N7</f>
        <v>73.673462251384521</v>
      </c>
    </row>
    <row r="8" spans="1:24" ht="14.25" customHeight="1">
      <c r="A8" s="3" t="s">
        <v>15</v>
      </c>
      <c r="B8" s="7">
        <f>C62</f>
        <v>10233</v>
      </c>
      <c r="C8" s="8">
        <f ca="1">CHOOSE($H$2,Output!$M$20,Output!$M$21,Output!$M$22)*(1-'Valuation '!$C$6)</f>
        <v>6.1266399403723062</v>
      </c>
      <c r="D8" s="8">
        <f ca="1">CHOOSE($H$2,Output!$M$20,Output!$M$21,Output!$M$22)*(1+'Valuation '!$C$6)</f>
        <v>7.488115482677264</v>
      </c>
      <c r="E8" s="9">
        <f t="shared" ref="E8:E9" ca="1" si="0">$B8*$C8</f>
        <v>62693.906509829809</v>
      </c>
      <c r="F8" s="9">
        <f t="shared" ref="F8:F9" ca="1" si="1">$B8*$D8</f>
        <v>76625.885734236435</v>
      </c>
      <c r="G8" s="10">
        <v>0</v>
      </c>
      <c r="H8" s="10">
        <f>2175+14019</f>
        <v>16194</v>
      </c>
      <c r="I8" s="10">
        <f>3238-938+6644</f>
        <v>8944</v>
      </c>
      <c r="J8" s="10">
        <v>3069</v>
      </c>
      <c r="K8" s="10">
        <v>0</v>
      </c>
      <c r="L8" s="11">
        <f t="shared" ref="L8:L9" ca="1" si="2">E8+J8+K8-H8-I8-G8</f>
        <v>40624.906509829802</v>
      </c>
      <c r="M8" s="11">
        <f t="shared" ref="M8:M9" ca="1" si="3">F8-H8-G8-I8+J8+K8</f>
        <v>54556.885734236435</v>
      </c>
      <c r="N8" s="12">
        <f t="shared" ref="N8:N9" si="4">$C$45</f>
        <v>648</v>
      </c>
      <c r="O8" s="13">
        <f t="shared" ref="O8:O9" ca="1" si="5">L8/N8</f>
        <v>62.692756959613888</v>
      </c>
      <c r="P8" s="13">
        <f t="shared" ref="P8:P9" ca="1" si="6">M8/N8</f>
        <v>84.192724898513021</v>
      </c>
    </row>
    <row r="9" spans="1:24" ht="14.25" customHeight="1">
      <c r="A9" s="3" t="s">
        <v>16</v>
      </c>
      <c r="B9" s="7">
        <f>D62</f>
        <v>11123</v>
      </c>
      <c r="C9" s="8">
        <f ca="1">CHOOSE($H$2,Output!$R$20,Output!$R$21,Output!$R$22)*(1-'Valuation '!$C$6)</f>
        <v>5.7774093796686383</v>
      </c>
      <c r="D9" s="8">
        <f ca="1">CHOOSE($H$2,Output!$R$20,Output!$R$21,Output!$R$22)*(1+'Valuation '!$C$6)</f>
        <v>7.0612781307061141</v>
      </c>
      <c r="E9" s="9">
        <f t="shared" ca="1" si="0"/>
        <v>64262.124530054265</v>
      </c>
      <c r="F9" s="9">
        <f t="shared" ca="1" si="1"/>
        <v>78542.596647844111</v>
      </c>
      <c r="G9" s="10">
        <v>0</v>
      </c>
      <c r="H9" s="10">
        <f>2175+14019</f>
        <v>16194</v>
      </c>
      <c r="I9" s="10">
        <f>3238-938+6644</f>
        <v>8944</v>
      </c>
      <c r="J9" s="10">
        <v>3069</v>
      </c>
      <c r="K9" s="10">
        <v>0</v>
      </c>
      <c r="L9" s="11">
        <f t="shared" ca="1" si="2"/>
        <v>42193.124530054265</v>
      </c>
      <c r="M9" s="11">
        <f t="shared" ca="1" si="3"/>
        <v>56473.596647844111</v>
      </c>
      <c r="N9" s="12">
        <f t="shared" si="4"/>
        <v>648</v>
      </c>
      <c r="O9" s="13">
        <f t="shared" ca="1" si="5"/>
        <v>65.112846496997321</v>
      </c>
      <c r="P9" s="13">
        <f t="shared" ca="1" si="6"/>
        <v>87.15061211087054</v>
      </c>
    </row>
    <row r="10" spans="1:24" ht="14.25" customHeight="1"/>
    <row r="11" spans="1:24" ht="14.25" customHeight="1">
      <c r="L11" s="179" t="s">
        <v>181</v>
      </c>
      <c r="O11" s="14">
        <f ca="1">MEDIAN(O7:O9)</f>
        <v>62.692756959613888</v>
      </c>
      <c r="P11" s="14">
        <f ca="1">MEDIAN(P7:P9)</f>
        <v>84.192724898513021</v>
      </c>
    </row>
    <row r="12" spans="1:24" ht="14.25" customHeight="1"/>
    <row r="13" spans="1:24" ht="14.25" customHeight="1">
      <c r="B13" s="4"/>
      <c r="C13" s="191" t="s">
        <v>3</v>
      </c>
      <c r="D13" s="192"/>
      <c r="E13" s="191" t="s">
        <v>178</v>
      </c>
      <c r="F13" s="192"/>
      <c r="G13" s="193" t="s">
        <v>4</v>
      </c>
      <c r="H13" s="193" t="s">
        <v>5</v>
      </c>
      <c r="I13" s="193" t="s">
        <v>6</v>
      </c>
      <c r="J13" s="193" t="s">
        <v>7</v>
      </c>
      <c r="K13" s="193" t="s">
        <v>8</v>
      </c>
      <c r="L13" s="191" t="s">
        <v>179</v>
      </c>
      <c r="M13" s="192"/>
      <c r="N13" s="193" t="s">
        <v>9</v>
      </c>
      <c r="O13" s="191" t="s">
        <v>180</v>
      </c>
      <c r="P13" s="192"/>
    </row>
    <row r="14" spans="1:24" ht="14.25" customHeight="1">
      <c r="B14" s="4" t="s">
        <v>11</v>
      </c>
      <c r="C14" s="4" t="s">
        <v>12</v>
      </c>
      <c r="D14" s="4" t="s">
        <v>13</v>
      </c>
      <c r="E14" s="4" t="s">
        <v>12</v>
      </c>
      <c r="F14" s="4" t="s">
        <v>13</v>
      </c>
      <c r="G14" s="194"/>
      <c r="H14" s="194"/>
      <c r="I14" s="194"/>
      <c r="J14" s="194"/>
      <c r="K14" s="194"/>
      <c r="L14" s="4" t="s">
        <v>12</v>
      </c>
      <c r="M14" s="4" t="s">
        <v>13</v>
      </c>
      <c r="N14" s="194"/>
      <c r="O14" s="4" t="s">
        <v>12</v>
      </c>
      <c r="P14" s="4" t="s">
        <v>13</v>
      </c>
    </row>
    <row r="15" spans="1:24" ht="14.25" customHeight="1">
      <c r="C15" s="5">
        <v>0.1</v>
      </c>
      <c r="D15" s="5">
        <v>0.1</v>
      </c>
      <c r="G15" s="6"/>
      <c r="H15" s="6"/>
      <c r="I15" s="6"/>
      <c r="J15" s="6"/>
      <c r="K15" s="6"/>
      <c r="N15" s="6"/>
    </row>
    <row r="16" spans="1:24" ht="14.25" customHeight="1">
      <c r="A16" s="3" t="s">
        <v>17</v>
      </c>
      <c r="B16" s="7">
        <f>B63</f>
        <v>6016</v>
      </c>
      <c r="C16" s="8">
        <f ca="1">CHOOSE($H$2,Output!$I$20,Output!$I$21,Output!$I$22)*(1-'Valuation '!$C$15)</f>
        <v>10.709859435071298</v>
      </c>
      <c r="D16" s="8">
        <f ca="1">CHOOSE($H$2,Output!$I$20,Output!$I$21,Output!$I$22)*(1+'Valuation '!$C$15)</f>
        <v>13.089828198420475</v>
      </c>
      <c r="E16" s="9">
        <f ca="1">B16*C16</f>
        <v>64430.51436138893</v>
      </c>
      <c r="F16" s="9">
        <f ca="1">B16*D16</f>
        <v>78748.406441697574</v>
      </c>
      <c r="G16" s="10">
        <v>0</v>
      </c>
      <c r="H16" s="10">
        <f>2175+14019</f>
        <v>16194</v>
      </c>
      <c r="I16" s="10">
        <f>3238-938+6644</f>
        <v>8944</v>
      </c>
      <c r="J16" s="10">
        <v>3069</v>
      </c>
      <c r="K16" s="10">
        <v>0</v>
      </c>
      <c r="L16" s="11">
        <f ca="1">E16+J16+K16-H16-I16-G16</f>
        <v>42361.514361388923</v>
      </c>
      <c r="M16" s="11">
        <f ca="1">F16-H16-G16-I16+J16+K16</f>
        <v>56679.406441697574</v>
      </c>
      <c r="N16" s="12">
        <f>$C$45</f>
        <v>648</v>
      </c>
      <c r="O16" s="13">
        <f ca="1">L16/N16</f>
        <v>65.372707347822413</v>
      </c>
      <c r="P16" s="13">
        <f ca="1">M16/N16</f>
        <v>87.46821981743453</v>
      </c>
    </row>
    <row r="17" spans="1:16" ht="14.25" customHeight="1">
      <c r="A17" s="3" t="s">
        <v>18</v>
      </c>
      <c r="B17" s="7">
        <f>C63</f>
        <v>7317</v>
      </c>
      <c r="C17" s="8">
        <f ca="1">CHOOSE($H$2,Output!$N$20,Output!$N$21,Output!$N$22)*(1-'Valuation '!$C$15)</f>
        <v>13.078639625836891</v>
      </c>
      <c r="D17" s="8">
        <f ca="1">CHOOSE($H$2,Output!$N$20,Output!$N$21,Output!$N$22)*(1+'Valuation '!$C$15)</f>
        <v>15.985003987133979</v>
      </c>
      <c r="E17" s="9">
        <f t="shared" ref="E17:E18" ca="1" si="7">B17*C17</f>
        <v>95696.406142248525</v>
      </c>
      <c r="F17" s="9">
        <f t="shared" ref="F17:F18" ca="1" si="8">B17*D17</f>
        <v>116962.27417385932</v>
      </c>
      <c r="G17" s="10">
        <v>0</v>
      </c>
      <c r="H17" s="10">
        <f>2175+14019</f>
        <v>16194</v>
      </c>
      <c r="I17" s="10">
        <f>3238-938+6644</f>
        <v>8944</v>
      </c>
      <c r="J17" s="10">
        <v>3069</v>
      </c>
      <c r="K17" s="10">
        <v>0</v>
      </c>
      <c r="L17" s="11">
        <f t="shared" ref="L17:L18" ca="1" si="9">E17+J17+K17-H17-I17-G17</f>
        <v>73627.406142248525</v>
      </c>
      <c r="M17" s="11">
        <f t="shared" ref="M17:M18" ca="1" si="10">F17-H17-G17-I17+J17+K17</f>
        <v>94893.274173859318</v>
      </c>
      <c r="N17" s="12">
        <f>N16</f>
        <v>648</v>
      </c>
      <c r="O17" s="13">
        <f t="shared" ref="O17:O18" ca="1" si="11">L17/N17</f>
        <v>113.62254034297612</v>
      </c>
      <c r="P17" s="13">
        <f t="shared" ref="P17:P18" ca="1" si="12">M17/N17</f>
        <v>146.4402379226224</v>
      </c>
    </row>
    <row r="18" spans="1:16" ht="14.25" customHeight="1">
      <c r="A18" s="3" t="s">
        <v>19</v>
      </c>
      <c r="B18" s="7">
        <f>D63</f>
        <v>7965</v>
      </c>
      <c r="C18" s="8">
        <f ca="1">CHOOSE($H$2,Output!$S$20,Output!$S$21,Output!$S$22)*(1-'Valuation '!$C$15)</f>
        <v>9.6879330428046959</v>
      </c>
      <c r="D18" s="8">
        <f ca="1">CHOOSE($H$2,Output!$S$20,Output!$S$21,Output!$S$22)*(1+'Valuation '!$C$15)</f>
        <v>11.840807052316851</v>
      </c>
      <c r="E18" s="9">
        <f t="shared" ca="1" si="7"/>
        <v>77164.386685939404</v>
      </c>
      <c r="F18" s="9">
        <f t="shared" ca="1" si="8"/>
        <v>94312.028171703714</v>
      </c>
      <c r="G18" s="10">
        <v>0</v>
      </c>
      <c r="H18" s="10">
        <f>2175+14019</f>
        <v>16194</v>
      </c>
      <c r="I18" s="10">
        <f>3238-938+6644</f>
        <v>8944</v>
      </c>
      <c r="J18" s="10">
        <v>3069</v>
      </c>
      <c r="K18" s="10">
        <v>0</v>
      </c>
      <c r="L18" s="11">
        <f t="shared" ca="1" si="9"/>
        <v>55095.386685939404</v>
      </c>
      <c r="M18" s="11">
        <f t="shared" ca="1" si="10"/>
        <v>72243.028171703714</v>
      </c>
      <c r="N18" s="12">
        <f>N17</f>
        <v>648</v>
      </c>
      <c r="O18" s="13">
        <f t="shared" ca="1" si="11"/>
        <v>85.02374488570895</v>
      </c>
      <c r="P18" s="13">
        <f t="shared" ca="1" si="12"/>
        <v>111.48615458596252</v>
      </c>
    </row>
    <row r="19" spans="1:16" ht="14.25" customHeight="1"/>
    <row r="20" spans="1:16" ht="14.25" customHeight="1">
      <c r="L20" s="179" t="s">
        <v>181</v>
      </c>
      <c r="O20" s="14">
        <f ca="1">MEDIAN(O16:O18)</f>
        <v>85.02374488570895</v>
      </c>
      <c r="P20" s="14">
        <f ca="1">MEDIAN(P16:P18)</f>
        <v>111.48615458596252</v>
      </c>
    </row>
    <row r="21" spans="1:16" ht="14.25" customHeight="1"/>
    <row r="22" spans="1:16" ht="14.25" customHeight="1">
      <c r="B22" s="4"/>
      <c r="C22" s="191" t="s">
        <v>3</v>
      </c>
      <c r="D22" s="192"/>
      <c r="E22" s="191" t="s">
        <v>178</v>
      </c>
      <c r="F22" s="192"/>
      <c r="G22" s="193" t="s">
        <v>4</v>
      </c>
      <c r="H22" s="193" t="s">
        <v>5</v>
      </c>
      <c r="I22" s="193" t="s">
        <v>6</v>
      </c>
      <c r="J22" s="193" t="s">
        <v>7</v>
      </c>
      <c r="K22" s="193" t="s">
        <v>8</v>
      </c>
      <c r="L22" s="191" t="s">
        <v>179</v>
      </c>
      <c r="M22" s="192"/>
      <c r="N22" s="193" t="s">
        <v>9</v>
      </c>
      <c r="O22" s="191" t="s">
        <v>180</v>
      </c>
      <c r="P22" s="192"/>
    </row>
    <row r="23" spans="1:16" ht="14.25" customHeight="1">
      <c r="B23" s="4" t="s">
        <v>11</v>
      </c>
      <c r="C23" s="4" t="s">
        <v>12</v>
      </c>
      <c r="D23" s="4" t="s">
        <v>13</v>
      </c>
      <c r="E23" s="4" t="s">
        <v>12</v>
      </c>
      <c r="F23" s="4" t="s">
        <v>13</v>
      </c>
      <c r="G23" s="194"/>
      <c r="H23" s="194"/>
      <c r="I23" s="194"/>
      <c r="J23" s="194"/>
      <c r="K23" s="194"/>
      <c r="L23" s="4" t="s">
        <v>12</v>
      </c>
      <c r="M23" s="4" t="s">
        <v>13</v>
      </c>
      <c r="N23" s="194"/>
      <c r="O23" s="4" t="s">
        <v>12</v>
      </c>
      <c r="P23" s="4" t="s">
        <v>13</v>
      </c>
    </row>
    <row r="24" spans="1:16" ht="14.25" customHeight="1">
      <c r="C24" s="5">
        <v>0.1</v>
      </c>
      <c r="D24" s="5">
        <v>0.1</v>
      </c>
      <c r="G24" s="6"/>
      <c r="H24" s="6"/>
      <c r="I24" s="6"/>
      <c r="J24" s="6"/>
      <c r="K24" s="6"/>
      <c r="N24" s="6"/>
    </row>
    <row r="25" spans="1:16" ht="14.25" customHeight="1">
      <c r="A25" s="3" t="s">
        <v>20</v>
      </c>
      <c r="B25" s="7">
        <f>B61</f>
        <v>61643</v>
      </c>
      <c r="C25" s="8">
        <f ca="1">CHOOSE($H$2,Output!$G$20,Output!$G$21,Output!$G$22)*(1-'Valuation '!$C$24)</f>
        <v>0.75504301561432119</v>
      </c>
      <c r="D25" s="8">
        <f ca="1">CHOOSE($H$2,Output!$G$20,Output!$G$21,Output!$G$22)*(1+'Valuation '!$C$24)</f>
        <v>0.92283035241750366</v>
      </c>
      <c r="E25" s="112">
        <f ca="1">B25*C25</f>
        <v>46543.1166115136</v>
      </c>
      <c r="F25" s="112">
        <f ca="1">B25*D25</f>
        <v>56886.031414072175</v>
      </c>
      <c r="G25" s="10">
        <v>0</v>
      </c>
      <c r="H25" s="10">
        <f>2175+14019</f>
        <v>16194</v>
      </c>
      <c r="I25" s="10">
        <f>3238-938+6644</f>
        <v>8944</v>
      </c>
      <c r="J25" s="10">
        <v>3069</v>
      </c>
      <c r="K25" s="10">
        <v>0</v>
      </c>
      <c r="L25" s="11">
        <f ca="1">E25+J25+K25-H25-I25-G25</f>
        <v>24474.1166115136</v>
      </c>
      <c r="M25" s="11">
        <f ca="1">F25-H25-G25-I25+J25+K25</f>
        <v>34817.031414072175</v>
      </c>
      <c r="N25" s="12">
        <f>$C$45</f>
        <v>648</v>
      </c>
      <c r="O25" s="13">
        <f ca="1">L25/N25</f>
        <v>37.768698474558022</v>
      </c>
      <c r="P25" s="13">
        <f ca="1">M25/N25</f>
        <v>53.729986750111379</v>
      </c>
    </row>
    <row r="26" spans="1:16" ht="14.25" customHeight="1">
      <c r="A26" s="3" t="s">
        <v>21</v>
      </c>
      <c r="B26" s="7">
        <f>C61</f>
        <v>62897</v>
      </c>
      <c r="C26" s="8">
        <f ca="1">CHOOSE($H$2,Output!$L$20,Output!$L$21,Output!$L$22)*(1-'Valuation '!$C$24)</f>
        <v>0.70370462875249085</v>
      </c>
      <c r="D26" s="8">
        <f ca="1">CHOOSE($H$2,Output!$L$20,Output!$L$21,Output!$L$22)*(1+'Valuation '!$C$24)</f>
        <v>0.86008343514193331</v>
      </c>
      <c r="E26" s="112">
        <f t="shared" ref="E26:E27" ca="1" si="13">B26*C26</f>
        <v>44260.910034645414</v>
      </c>
      <c r="F26" s="112">
        <f t="shared" ref="F26:F27" ca="1" si="14">B26*D26</f>
        <v>54096.66782012218</v>
      </c>
      <c r="G26" s="10">
        <v>0</v>
      </c>
      <c r="H26" s="10">
        <f>2175+14019</f>
        <v>16194</v>
      </c>
      <c r="I26" s="10">
        <f>3238-938+6644</f>
        <v>8944</v>
      </c>
      <c r="J26" s="10">
        <v>3069</v>
      </c>
      <c r="K26" s="10">
        <v>0</v>
      </c>
      <c r="L26" s="11">
        <f t="shared" ref="L26:L27" ca="1" si="15">E26+J26+K26-H26-I26-G26</f>
        <v>22191.910034645414</v>
      </c>
      <c r="M26" s="11">
        <f t="shared" ref="M26:M27" ca="1" si="16">F26-H26-G26-I26+J26+K26</f>
        <v>32027.66782012218</v>
      </c>
      <c r="N26" s="12">
        <f t="shared" ref="N26:N27" si="17">$C$45</f>
        <v>648</v>
      </c>
      <c r="O26" s="13">
        <f t="shared" ref="O26:O27" ca="1" si="18">L26/N26</f>
        <v>34.246774744823171</v>
      </c>
      <c r="P26" s="13">
        <f t="shared" ref="P26:P27" ca="1" si="19">M26/N26</f>
        <v>49.425413302657688</v>
      </c>
    </row>
    <row r="27" spans="1:16" ht="14.25" customHeight="1">
      <c r="A27" s="3" t="s">
        <v>22</v>
      </c>
      <c r="B27" s="7">
        <f>D61</f>
        <v>65539</v>
      </c>
      <c r="C27" s="8">
        <f ca="1">CHOOSE($H$2,Output!$Q$20,Output!$Q$21,Output!$Q$22)*(1-'Valuation '!$C$24)</f>
        <v>0.6609753865979382</v>
      </c>
      <c r="D27" s="8">
        <f ca="1">CHOOSE($H$2,Output!$Q$20,Output!$Q$21,Output!$Q$22)*(1+'Valuation '!$C$24)</f>
        <v>0.80785880584192449</v>
      </c>
      <c r="E27" s="112">
        <f t="shared" ca="1" si="13"/>
        <v>43319.665862242269</v>
      </c>
      <c r="F27" s="112">
        <f t="shared" ca="1" si="14"/>
        <v>52946.258276073888</v>
      </c>
      <c r="G27" s="10">
        <v>0</v>
      </c>
      <c r="H27" s="10">
        <f>2175+14019</f>
        <v>16194</v>
      </c>
      <c r="I27" s="10">
        <f>3238-938+6644</f>
        <v>8944</v>
      </c>
      <c r="J27" s="10">
        <v>3069</v>
      </c>
      <c r="K27" s="10">
        <v>0</v>
      </c>
      <c r="L27" s="11">
        <f t="shared" ca="1" si="15"/>
        <v>21250.665862242269</v>
      </c>
      <c r="M27" s="11">
        <f t="shared" ca="1" si="16"/>
        <v>30877.258276073888</v>
      </c>
      <c r="N27" s="12">
        <f t="shared" si="17"/>
        <v>648</v>
      </c>
      <c r="O27" s="13">
        <f t="shared" ca="1" si="18"/>
        <v>32.794237441731894</v>
      </c>
      <c r="P27" s="13">
        <f t="shared" ca="1" si="19"/>
        <v>47.650089932212786</v>
      </c>
    </row>
    <row r="28" spans="1:16" ht="14.25" customHeight="1"/>
    <row r="29" spans="1:16" ht="14.25" customHeight="1">
      <c r="L29" s="179" t="s">
        <v>181</v>
      </c>
      <c r="O29" s="14">
        <f ca="1">MEDIAN(O25:O27)</f>
        <v>34.246774744823171</v>
      </c>
      <c r="P29" s="14">
        <f ca="1">MEDIAN(P25:P27)</f>
        <v>49.425413302657688</v>
      </c>
    </row>
    <row r="30" spans="1:16" ht="14.25" customHeight="1"/>
    <row r="31" spans="1:16" ht="14.25" customHeight="1">
      <c r="B31" s="4"/>
      <c r="C31" s="191" t="s">
        <v>3</v>
      </c>
      <c r="D31" s="192"/>
      <c r="E31" s="188"/>
      <c r="F31" s="189"/>
      <c r="G31" s="190"/>
      <c r="H31" s="190"/>
      <c r="I31" s="190"/>
      <c r="J31" s="190"/>
      <c r="K31" s="190"/>
      <c r="L31" s="188"/>
      <c r="M31" s="189"/>
      <c r="N31" s="190"/>
      <c r="O31" s="191" t="s">
        <v>180</v>
      </c>
      <c r="P31" s="192"/>
    </row>
    <row r="32" spans="1:16" ht="14.25" customHeight="1">
      <c r="B32" s="4" t="s">
        <v>11</v>
      </c>
      <c r="C32" s="4" t="s">
        <v>12</v>
      </c>
      <c r="D32" s="4" t="s">
        <v>13</v>
      </c>
      <c r="G32" s="189"/>
      <c r="H32" s="189"/>
      <c r="I32" s="189"/>
      <c r="J32" s="189"/>
      <c r="K32" s="189"/>
      <c r="N32" s="189"/>
      <c r="O32" s="4" t="s">
        <v>12</v>
      </c>
      <c r="P32" s="4" t="s">
        <v>13</v>
      </c>
    </row>
    <row r="33" spans="1:16" ht="14.25" customHeight="1">
      <c r="C33" s="5">
        <v>0.1</v>
      </c>
      <c r="D33" s="5">
        <v>0.1</v>
      </c>
      <c r="G33" s="6"/>
      <c r="H33" s="6"/>
      <c r="I33" s="6"/>
      <c r="J33" s="6"/>
      <c r="K33" s="6"/>
      <c r="N33" s="6"/>
    </row>
    <row r="34" spans="1:16" ht="14.25" customHeight="1">
      <c r="A34" s="3" t="s">
        <v>23</v>
      </c>
      <c r="B34" s="18"/>
      <c r="C34" s="8">
        <f ca="1">CHOOSE($H$2,Output!$O$20,Output!$O$21,Output!$O$22)*(1-'Valuation '!$C$33)</f>
        <v>10.808231812272115</v>
      </c>
      <c r="D34" s="8">
        <f ca="1">CHOOSE($H$2,Output!$O$20,Output!$O$21,Output!$O$22)*(1+'Valuation '!$C$33)</f>
        <v>13.210061103888142</v>
      </c>
      <c r="E34" s="11"/>
      <c r="F34" s="11"/>
      <c r="G34" s="19"/>
      <c r="H34" s="19"/>
      <c r="I34" s="19"/>
      <c r="J34" s="19"/>
      <c r="K34" s="19"/>
      <c r="L34" s="11"/>
      <c r="M34" s="11"/>
      <c r="N34" s="20"/>
      <c r="O34" s="13">
        <f ca="1">$B34*C34</f>
        <v>0</v>
      </c>
      <c r="P34" s="13">
        <f t="shared" ref="P34:P35" ca="1" si="20">$B34*D34</f>
        <v>0</v>
      </c>
    </row>
    <row r="35" spans="1:16" ht="14.25" customHeight="1">
      <c r="A35" s="3" t="s">
        <v>24</v>
      </c>
      <c r="B35" s="18"/>
      <c r="C35" s="8">
        <f ca="1">CHOOSE($H$2,Output!$T$20,Output!$T$21,Output!$T$22)*(1-'Valuation '!$C$33)</f>
        <v>10.322499771402157</v>
      </c>
      <c r="D35" s="8">
        <f ca="1">CHOOSE($H$2,Output!$T$20,Output!$T$21,Output!$T$22)*(1+'Valuation '!$C$33)</f>
        <v>12.616388609491525</v>
      </c>
      <c r="E35" s="11"/>
      <c r="F35" s="11"/>
      <c r="G35" s="19"/>
      <c r="H35" s="19"/>
      <c r="I35" s="19"/>
      <c r="J35" s="19"/>
      <c r="K35" s="19"/>
      <c r="L35" s="11"/>
      <c r="M35" s="11"/>
      <c r="N35" s="20"/>
      <c r="O35" s="13">
        <f t="shared" ref="O35" ca="1" si="21">$B35*C35</f>
        <v>0</v>
      </c>
      <c r="P35" s="13">
        <f t="shared" ca="1" si="20"/>
        <v>0</v>
      </c>
    </row>
    <row r="36" spans="1:16" ht="14.25" customHeight="1"/>
    <row r="37" spans="1:16" ht="14.25" customHeight="1">
      <c r="L37" s="179" t="s">
        <v>181</v>
      </c>
      <c r="O37" s="14">
        <f ca="1">MEDIAN(O34:O35)</f>
        <v>0</v>
      </c>
      <c r="P37" s="14">
        <f ca="1">MEDIAN(P34:P35)</f>
        <v>0</v>
      </c>
    </row>
    <row r="38" spans="1:16" ht="14.25" customHeight="1">
      <c r="O38" s="13"/>
      <c r="P38" s="13"/>
    </row>
    <row r="39" spans="1:16" ht="14.25" customHeight="1">
      <c r="O39" s="13"/>
      <c r="P39" s="13"/>
    </row>
    <row r="40" spans="1:16" ht="14.25" customHeight="1">
      <c r="N40" s="13"/>
      <c r="O40" s="13"/>
      <c r="P40" s="13"/>
    </row>
    <row r="41" spans="1:16" ht="14.25" customHeight="1"/>
    <row r="42" spans="1:16" ht="14.25" customHeight="1">
      <c r="A42" s="21" t="s">
        <v>174</v>
      </c>
      <c r="B42" s="21"/>
      <c r="C42" s="21"/>
    </row>
    <row r="43" spans="1:16" ht="14.25" customHeight="1"/>
    <row r="44" spans="1:16" ht="14.25" customHeight="1">
      <c r="A44" s="3" t="s">
        <v>25</v>
      </c>
      <c r="C44" s="22">
        <v>641</v>
      </c>
    </row>
    <row r="45" spans="1:16" ht="14.25" customHeight="1">
      <c r="A45" s="3" t="s">
        <v>26</v>
      </c>
      <c r="C45" s="23">
        <v>648</v>
      </c>
    </row>
    <row r="46" spans="1:16" ht="14.25" customHeight="1"/>
    <row r="47" spans="1:16" ht="14.25" customHeight="1"/>
    <row r="48" spans="1:16" ht="14.25" customHeight="1">
      <c r="A48" s="175" t="s">
        <v>175</v>
      </c>
      <c r="C48" s="178">
        <v>64.75</v>
      </c>
    </row>
    <row r="49" spans="1:10" ht="14.25" customHeight="1" thickBot="1">
      <c r="A49" s="185" t="s">
        <v>27</v>
      </c>
      <c r="B49" s="186"/>
      <c r="C49" s="186"/>
      <c r="D49" s="186"/>
      <c r="E49" s="186"/>
      <c r="F49" s="186"/>
      <c r="G49" s="186"/>
      <c r="H49" s="187"/>
    </row>
    <row r="50" spans="1:10" ht="14.25" customHeight="1">
      <c r="A50" s="24"/>
      <c r="B50" s="25"/>
      <c r="C50" s="25" t="s">
        <v>28</v>
      </c>
      <c r="D50" s="26"/>
      <c r="E50" s="195" t="s">
        <v>29</v>
      </c>
      <c r="F50" s="195"/>
      <c r="G50" s="195"/>
      <c r="H50" s="27" t="s">
        <v>30</v>
      </c>
    </row>
    <row r="51" spans="1:10" ht="14.25" customHeight="1" thickBot="1">
      <c r="A51" s="28"/>
      <c r="B51" s="29" t="s">
        <v>31</v>
      </c>
      <c r="C51" s="29" t="s">
        <v>32</v>
      </c>
      <c r="D51" s="180" t="s">
        <v>33</v>
      </c>
      <c r="E51" s="29" t="s">
        <v>34</v>
      </c>
      <c r="F51" s="29" t="s">
        <v>35</v>
      </c>
      <c r="G51" s="29" t="s">
        <v>36</v>
      </c>
      <c r="H51" s="31" t="s">
        <v>37</v>
      </c>
    </row>
    <row r="52" spans="1:10" ht="14.25" customHeight="1">
      <c r="A52" s="32" t="s">
        <v>176</v>
      </c>
      <c r="B52" s="33">
        <v>4.8</v>
      </c>
      <c r="C52" s="34">
        <v>50.41</v>
      </c>
      <c r="D52" s="35" t="str">
        <f t="shared" ref="D52:D53" si="22">IF(C52&lt;$C$48,"Yes","No")</f>
        <v>Yes</v>
      </c>
      <c r="E52" s="36">
        <f t="shared" ref="E52:E53" si="23">IF(D52="Yes",B52,0)</f>
        <v>4.8</v>
      </c>
      <c r="F52" s="37">
        <f t="shared" ref="F52:F53" si="24">E52*C52</f>
        <v>241.96799999999996</v>
      </c>
      <c r="G52" s="36">
        <f t="shared" ref="G52:G53" si="25">F52/$C$48</f>
        <v>3.7369575289575283</v>
      </c>
      <c r="H52" s="38">
        <f t="shared" ref="H52:H53" si="26">E52-G52</f>
        <v>1.0630424710424715</v>
      </c>
      <c r="I52" s="113">
        <f>B52*(1-C52/C48)</f>
        <v>1.0630424710424711</v>
      </c>
      <c r="J52" t="b">
        <f>H52=I52</f>
        <v>1</v>
      </c>
    </row>
    <row r="53" spans="1:10" ht="14.25" customHeight="1">
      <c r="A53" s="32" t="s">
        <v>177</v>
      </c>
      <c r="B53" s="33">
        <v>4.3</v>
      </c>
      <c r="C53" s="34">
        <v>40.6</v>
      </c>
      <c r="D53" s="35" t="str">
        <f t="shared" si="22"/>
        <v>Yes</v>
      </c>
      <c r="E53" s="36">
        <f t="shared" si="23"/>
        <v>4.3</v>
      </c>
      <c r="F53" s="37">
        <f t="shared" si="24"/>
        <v>174.58</v>
      </c>
      <c r="G53" s="36">
        <f t="shared" si="25"/>
        <v>2.6962162162162162</v>
      </c>
      <c r="H53" s="38">
        <f t="shared" si="26"/>
        <v>1.6037837837837836</v>
      </c>
    </row>
    <row r="54" spans="1:10" ht="14.25" customHeight="1">
      <c r="A54" s="28"/>
      <c r="B54" s="30"/>
      <c r="C54" s="30"/>
      <c r="D54" s="30"/>
      <c r="E54" s="30"/>
      <c r="F54" s="30"/>
      <c r="G54" s="30"/>
      <c r="H54" s="39">
        <f>SUM(H52:H53)</f>
        <v>2.6668262548262551</v>
      </c>
    </row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>
      <c r="A60" s="40" t="s">
        <v>172</v>
      </c>
      <c r="B60" s="41">
        <v>2024</v>
      </c>
      <c r="C60" s="41">
        <v>2025</v>
      </c>
      <c r="D60" s="41">
        <v>2026</v>
      </c>
      <c r="E60" s="41">
        <v>2027</v>
      </c>
      <c r="F60" s="42"/>
      <c r="G60" s="43"/>
    </row>
    <row r="61" spans="1:10" ht="14.25" customHeight="1">
      <c r="A61" s="44" t="s">
        <v>39</v>
      </c>
      <c r="B61">
        <v>61643</v>
      </c>
      <c r="C61">
        <v>62897</v>
      </c>
      <c r="D61">
        <v>65539</v>
      </c>
      <c r="E61">
        <v>67767</v>
      </c>
      <c r="G61" s="45"/>
    </row>
    <row r="62" spans="1:10" ht="14.25" customHeight="1">
      <c r="A62" s="44" t="s">
        <v>40</v>
      </c>
      <c r="B62">
        <v>9077</v>
      </c>
      <c r="C62">
        <v>10233</v>
      </c>
      <c r="D62">
        <v>11123</v>
      </c>
      <c r="E62">
        <v>11610</v>
      </c>
      <c r="G62" s="46"/>
    </row>
    <row r="63" spans="1:10" ht="14.25" customHeight="1">
      <c r="A63" s="47" t="s">
        <v>41</v>
      </c>
      <c r="B63" s="177">
        <v>6016</v>
      </c>
      <c r="C63" s="177">
        <v>7317</v>
      </c>
      <c r="D63" s="177">
        <v>7965</v>
      </c>
      <c r="E63" s="177">
        <v>8522</v>
      </c>
      <c r="F63" s="48"/>
      <c r="G63" s="49"/>
    </row>
    <row r="64" spans="1:10" ht="14.25" customHeight="1">
      <c r="A64" s="50" t="s">
        <v>42</v>
      </c>
      <c r="F64" s="175" t="s">
        <v>171</v>
      </c>
    </row>
    <row r="65" spans="3:4" ht="14.25" customHeight="1">
      <c r="C65" s="176"/>
    </row>
    <row r="66" spans="3:4" ht="14.25" customHeight="1"/>
    <row r="67" spans="3:4" ht="14.25" customHeight="1">
      <c r="D67" s="176"/>
    </row>
    <row r="68" spans="3:4" ht="14.25" customHeight="1"/>
    <row r="69" spans="3:4" ht="14.25" customHeight="1"/>
    <row r="70" spans="3:4" ht="14.25" customHeight="1"/>
    <row r="71" spans="3:4" ht="14.25" customHeight="1"/>
    <row r="72" spans="3:4" ht="14.25" customHeight="1"/>
    <row r="73" spans="3:4" ht="14.25" customHeight="1"/>
    <row r="74" spans="3:4" ht="14.25" customHeight="1"/>
    <row r="75" spans="3:4" ht="14.25" customHeight="1"/>
    <row r="76" spans="3:4" ht="14.25" customHeight="1"/>
    <row r="77" spans="3:4" ht="14.25" customHeight="1"/>
    <row r="78" spans="3:4" ht="14.25" customHeight="1"/>
    <row r="79" spans="3:4" ht="14.25" customHeight="1"/>
    <row r="80" spans="3: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42">
    <mergeCell ref="E50:G50"/>
    <mergeCell ref="L4:M4"/>
    <mergeCell ref="N4:N5"/>
    <mergeCell ref="O4:P4"/>
    <mergeCell ref="C4:D4"/>
    <mergeCell ref="E4:F4"/>
    <mergeCell ref="G4:G5"/>
    <mergeCell ref="H4:H5"/>
    <mergeCell ref="I4:I5"/>
    <mergeCell ref="J4:J5"/>
    <mergeCell ref="K4:K5"/>
    <mergeCell ref="L13:M13"/>
    <mergeCell ref="N13:N14"/>
    <mergeCell ref="O13:P13"/>
    <mergeCell ref="C13:D13"/>
    <mergeCell ref="E13:F13"/>
    <mergeCell ref="G13:G14"/>
    <mergeCell ref="H13:H14"/>
    <mergeCell ref="I13:I14"/>
    <mergeCell ref="J13:J14"/>
    <mergeCell ref="K13:K14"/>
    <mergeCell ref="L22:M22"/>
    <mergeCell ref="N22:N23"/>
    <mergeCell ref="O22:P22"/>
    <mergeCell ref="C22:D22"/>
    <mergeCell ref="E22:F22"/>
    <mergeCell ref="G22:G23"/>
    <mergeCell ref="H22:H23"/>
    <mergeCell ref="I22:I23"/>
    <mergeCell ref="J22:J23"/>
    <mergeCell ref="K22:K23"/>
    <mergeCell ref="A49:H49"/>
    <mergeCell ref="L31:M31"/>
    <mergeCell ref="N31:N32"/>
    <mergeCell ref="O31:P31"/>
    <mergeCell ref="C31:D31"/>
    <mergeCell ref="E31:F31"/>
    <mergeCell ref="G31:G32"/>
    <mergeCell ref="H31:H32"/>
    <mergeCell ref="I31:I32"/>
    <mergeCell ref="J31:J32"/>
    <mergeCell ref="K31:K32"/>
  </mergeCells>
  <dataValidations count="1">
    <dataValidation type="list" allowBlank="1" showInputMessage="1" showErrorMessage="1" sqref="G2" xr:uid="{2DCC3829-22AE-4AD1-8CD1-29DAFC4435A7}">
      <formula1>$W$2:$W$4</formula1>
    </dataValidation>
  </dataValidation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95"/>
  <sheetViews>
    <sheetView showGridLines="0" workbookViewId="0">
      <pane xSplit="1" ySplit="13" topLeftCell="F14" activePane="bottomRight" state="frozen"/>
      <selection pane="topRight" activeCell="B1" sqref="B1"/>
      <selection pane="bottomLeft" activeCell="A14" sqref="A14"/>
      <selection pane="bottomRight" activeCell="S24" sqref="S24"/>
    </sheetView>
  </sheetViews>
  <sheetFormatPr defaultColWidth="14.42578125" defaultRowHeight="15" customHeight="1"/>
  <cols>
    <col min="1" max="1" width="25" customWidth="1"/>
    <col min="2" max="4" width="8.7109375" customWidth="1"/>
    <col min="5" max="5" width="9.85546875" customWidth="1"/>
    <col min="6" max="6" width="15" customWidth="1"/>
    <col min="7" max="7" width="8.7109375" customWidth="1"/>
    <col min="8" max="8" width="9.85546875" bestFit="1" customWidth="1"/>
    <col min="9" max="10" width="8.7109375" customWidth="1"/>
    <col min="11" max="11" width="1.85546875" customWidth="1"/>
    <col min="12" max="12" width="8.7109375" customWidth="1"/>
    <col min="13" max="13" width="10.42578125" customWidth="1"/>
    <col min="14" max="15" width="8.7109375" customWidth="1"/>
    <col min="16" max="16" width="1.85546875" customWidth="1"/>
    <col min="17" max="17" width="8.7109375" customWidth="1"/>
    <col min="18" max="18" width="10.42578125" customWidth="1"/>
    <col min="19" max="26" width="8.7109375" customWidth="1"/>
  </cols>
  <sheetData>
    <row r="1" spans="1:21" ht="14.25" customHeight="1">
      <c r="A1" s="51" t="s">
        <v>43</v>
      </c>
    </row>
    <row r="2" spans="1:21" ht="14.25" customHeight="1">
      <c r="A2" s="3" t="s">
        <v>44</v>
      </c>
    </row>
    <row r="3" spans="1:21" ht="0.75" customHeight="1"/>
    <row r="4" spans="1:21" ht="0.75" customHeight="1"/>
    <row r="5" spans="1:21" ht="14.25" customHeight="1"/>
    <row r="6" spans="1:21" ht="14.25" customHeight="1">
      <c r="A6" s="3" t="s">
        <v>45</v>
      </c>
      <c r="C6" s="15" t="s">
        <v>144</v>
      </c>
    </row>
    <row r="7" spans="1:21" ht="14.25" customHeight="1">
      <c r="A7" s="3" t="s">
        <v>46</v>
      </c>
      <c r="C7" s="15" t="s">
        <v>47</v>
      </c>
    </row>
    <row r="8" spans="1:21" ht="14.25" customHeight="1">
      <c r="A8" s="3" t="s">
        <v>48</v>
      </c>
      <c r="C8" s="15" t="s">
        <v>49</v>
      </c>
    </row>
    <row r="9" spans="1:21" ht="0.75" customHeight="1"/>
    <row r="10" spans="1:21" ht="0.75" customHeight="1"/>
    <row r="11" spans="1:21" ht="14.25" customHeight="1">
      <c r="B11" s="52" t="s">
        <v>50</v>
      </c>
      <c r="C11" s="52"/>
      <c r="D11" s="52" t="s">
        <v>51</v>
      </c>
      <c r="E11" s="52" t="s">
        <v>52</v>
      </c>
      <c r="F11" s="52" t="s">
        <v>53</v>
      </c>
      <c r="G11" s="52" t="s">
        <v>54</v>
      </c>
      <c r="H11" s="52" t="s">
        <v>55</v>
      </c>
      <c r="I11" s="52" t="s">
        <v>56</v>
      </c>
      <c r="J11" s="52" t="s">
        <v>57</v>
      </c>
      <c r="K11" s="52"/>
      <c r="L11" s="52" t="s">
        <v>58</v>
      </c>
      <c r="M11" s="52" t="s">
        <v>59</v>
      </c>
      <c r="N11" s="52" t="s">
        <v>60</v>
      </c>
      <c r="O11" s="52" t="s">
        <v>61</v>
      </c>
      <c r="Q11" s="3" t="s">
        <v>62</v>
      </c>
      <c r="R11" s="52" t="s">
        <v>63</v>
      </c>
      <c r="S11" s="52" t="s">
        <v>64</v>
      </c>
      <c r="T11" s="52" t="s">
        <v>65</v>
      </c>
      <c r="U11" s="52" t="s">
        <v>66</v>
      </c>
    </row>
    <row r="12" spans="1:21" ht="14.25" customHeight="1">
      <c r="A12" s="15"/>
      <c r="B12" s="196" t="s">
        <v>67</v>
      </c>
      <c r="C12" s="196" t="s">
        <v>68</v>
      </c>
      <c r="D12" s="15"/>
      <c r="E12" s="15"/>
      <c r="F12" s="15"/>
      <c r="G12" s="197" t="s">
        <v>69</v>
      </c>
      <c r="H12" s="198"/>
      <c r="I12" s="198"/>
      <c r="J12" s="192"/>
      <c r="L12" s="197" t="s">
        <v>70</v>
      </c>
      <c r="M12" s="198"/>
      <c r="N12" s="198"/>
      <c r="O12" s="192"/>
      <c r="P12" s="17"/>
      <c r="Q12" s="199" t="s">
        <v>71</v>
      </c>
      <c r="R12" s="198"/>
      <c r="S12" s="198"/>
      <c r="T12" s="192"/>
      <c r="U12" s="16"/>
    </row>
    <row r="13" spans="1:21" ht="14.25" customHeight="1">
      <c r="A13" s="53" t="s">
        <v>72</v>
      </c>
      <c r="B13" s="194"/>
      <c r="C13" s="194"/>
      <c r="D13" s="54" t="s">
        <v>73</v>
      </c>
      <c r="E13" s="54" t="s">
        <v>74</v>
      </c>
      <c r="F13" s="54" t="s">
        <v>75</v>
      </c>
      <c r="G13" s="54" t="s">
        <v>76</v>
      </c>
      <c r="H13" s="54" t="s">
        <v>77</v>
      </c>
      <c r="I13" s="54" t="s">
        <v>78</v>
      </c>
      <c r="J13" s="54" t="s">
        <v>79</v>
      </c>
      <c r="K13" s="17"/>
      <c r="L13" s="54" t="s">
        <v>76</v>
      </c>
      <c r="M13" s="54" t="s">
        <v>77</v>
      </c>
      <c r="N13" s="54" t="s">
        <v>78</v>
      </c>
      <c r="O13" s="54" t="s">
        <v>79</v>
      </c>
      <c r="P13" s="17"/>
      <c r="Q13" s="54" t="s">
        <v>76</v>
      </c>
      <c r="R13" s="54" t="s">
        <v>77</v>
      </c>
      <c r="S13" s="54" t="s">
        <v>78</v>
      </c>
      <c r="T13" s="54" t="s">
        <v>79</v>
      </c>
      <c r="U13" s="15" t="s">
        <v>80</v>
      </c>
    </row>
    <row r="14" spans="1:21" ht="14.25" customHeight="1">
      <c r="A14" s="3" t="s">
        <v>167</v>
      </c>
      <c r="B14" t="str" cm="1">
        <f t="array" aca="1" ref="B14" ca="1">INDIRECT($A14&amp;"!"&amp;B$11)</f>
        <v>USD</v>
      </c>
      <c r="C14" s="55">
        <v>1</v>
      </c>
      <c r="D14" s="56" cm="1">
        <f t="array" aca="1" ref="D14" ca="1">INDIRECT($A14&amp;"!"&amp;D$11)</f>
        <v>16.41</v>
      </c>
      <c r="E14" s="56" cm="1">
        <f t="array" aca="1" ref="E14" ca="1">INDIRECT($A14&amp;"!"&amp;E$11)*$C14</f>
        <v>108042.15316062</v>
      </c>
      <c r="F14" s="56" cm="1">
        <f t="array" aca="1" ref="F14" ca="1">INDIRECT($A14&amp;"!"&amp;F$11)*$C14</f>
        <v>132260.15316062002</v>
      </c>
      <c r="G14" s="57" cm="1">
        <f t="array" aca="1" ref="G14" ca="1">$F14/(INDIRECT($A14&amp;"!"&amp;G$11)*$C14)</f>
        <v>2.4397290800874365</v>
      </c>
      <c r="H14" s="57" cm="1">
        <f t="array" aca="1" ref="H14" ca="1">$F14/(INDIRECT($A14&amp;"!"&amp;H$11)*$C14)</f>
        <v>20.937177957989554</v>
      </c>
      <c r="I14" s="57" cm="1">
        <f t="array" aca="1" ref="I14" ca="1">$F14/(INDIRECT($A14&amp;"!"&amp;I$11)*$C14)</f>
        <v>32.480391247696467</v>
      </c>
      <c r="J14" s="57" cm="1">
        <f t="array" aca="1" ref="J14" ca="1">$E14/(INDIRECT($A14&amp;"!"&amp;J$11)*$C14)</f>
        <v>79.326103642158586</v>
      </c>
      <c r="K14" s="57"/>
      <c r="L14" s="57" cm="1">
        <f t="array" aca="1" ref="L14" ca="1">$F14/(INDIRECT($A14&amp;"!"&amp;L$11)*$C14)</f>
        <v>2.3113514585407713</v>
      </c>
      <c r="M14" s="57" cm="1">
        <f t="array" aca="1" ref="M14" ca="1">$F14/(INDIRECT($A14&amp;"!"&amp;M$11)*$C14)</f>
        <v>18.749667303745394</v>
      </c>
      <c r="N14" s="57" cm="1">
        <f t="array" aca="1" ref="N14" ca="1">$F14/(INDIRECT($A14&amp;"!"&amp;N$11)*$C14)</f>
        <v>36.556150680105034</v>
      </c>
      <c r="O14" s="57" cm="1">
        <f t="array" aca="1" ref="O14" ca="1">$E14/(INDIRECT($A14&amp;"!"&amp;O$11)*$C14)</f>
        <v>62.272134386524499</v>
      </c>
      <c r="P14" s="57"/>
      <c r="Q14" s="57" cm="1">
        <f t="array" aca="1" ref="Q14" ca="1">$F14/(INDIRECT($A14&amp;"!"&amp;Q$11)*$C14)</f>
        <v>2.2053282837380155</v>
      </c>
      <c r="R14" s="57" cm="1">
        <f t="array" aca="1" ref="R14" ca="1">$F14/(INDIRECT($A14&amp;"!"&amp;R$11)*$C14)</f>
        <v>17.261831527097364</v>
      </c>
      <c r="S14" s="57" cm="1">
        <f t="array" aca="1" ref="S14" ca="1">$F14/(INDIRECT($A14&amp;"!"&amp;S$11)*$C14)</f>
        <v>32.464446038443796</v>
      </c>
      <c r="T14" s="57" cm="1">
        <f t="array" aca="1" ref="T14" ca="1">$E14/(INDIRECT($A14&amp;"!"&amp;T$11)*$C14)</f>
        <v>51.818778494302158</v>
      </c>
      <c r="U14" s="111" cm="1">
        <f t="array" aca="1" ref="U14" ca="1">INDIRECT($A14&amp;"!"&amp;U$11)</f>
        <v>0.10827028913388181</v>
      </c>
    </row>
    <row r="15" spans="1:21" ht="14.25" customHeight="1">
      <c r="A15" s="3" t="s">
        <v>168</v>
      </c>
      <c r="B15" t="str" cm="1">
        <f t="array" aca="1" ref="B15" ca="1">INDIRECT($A15&amp;"!"&amp;B$11)</f>
        <v>USD</v>
      </c>
      <c r="C15" s="55">
        <v>1</v>
      </c>
      <c r="D15" s="56" cm="1">
        <f t="array" aca="1" ref="D15" ca="1">INDIRECT($A15&amp;"!"&amp;D$11)</f>
        <v>6.3499999999999988</v>
      </c>
      <c r="E15" s="56" cm="1">
        <f t="array" aca="1" ref="E15" ca="1">INDIRECT($A15&amp;"!"&amp;E$11)*$C15</f>
        <v>2286.0066484499998</v>
      </c>
      <c r="F15" s="56" cm="1">
        <f t="array" aca="1" ref="F15" ca="1">INDIRECT($A15&amp;"!"&amp;F$11)*$C15</f>
        <v>7249.0066484500003</v>
      </c>
      <c r="G15" s="57" cm="1">
        <f t="array" aca="1" ref="G15" ca="1">$F15/(INDIRECT($A15&amp;"!"&amp;G$11)*$C15)</f>
        <v>0.78122714176635422</v>
      </c>
      <c r="H15" s="57" cm="1">
        <f t="array" aca="1" ref="H15" ca="1">$F15/(INDIRECT($A15&amp;"!"&amp;H$11)*$C15)</f>
        <v>-29.95457292747934</v>
      </c>
      <c r="I15" s="57" cm="1">
        <f t="array" aca="1" ref="I15" ca="1">$F15/(INDIRECT($A15&amp;"!"&amp;I$11)*$C15)</f>
        <v>-8.081389797603121</v>
      </c>
      <c r="J15" s="57" cm="1">
        <f t="array" aca="1" ref="J15" ca="1">$E15/(INDIRECT($A15&amp;"!"&amp;J$11)*$C15)</f>
        <v>-2.8754800609433961</v>
      </c>
      <c r="K15" s="58"/>
      <c r="L15" s="57" cm="1">
        <f t="array" aca="1" ref="L15" ca="1">$F15/(INDIRECT($A15&amp;"!"&amp;L$11)*$C15)</f>
        <v>0.74409840365941293</v>
      </c>
      <c r="M15" s="57" cm="1">
        <f t="array" aca="1" ref="M15" ca="1">$F15/(INDIRECT($A15&amp;"!"&amp;M$11)*$C15)</f>
        <v>8.5192227623104948</v>
      </c>
      <c r="N15" s="57" cm="1">
        <f t="array" aca="1" ref="N15" ca="1">$F15/(INDIRECT($A15&amp;"!"&amp;N$11)*$C15)</f>
        <v>100.36005328049286</v>
      </c>
      <c r="O15" s="57" cm="1">
        <f t="array" aca="1" ref="O15" ca="1">$E15/(INDIRECT($A15&amp;"!"&amp;O$11)*$C15)</f>
        <v>-8.9577063027037607</v>
      </c>
      <c r="Q15" s="57" cm="1">
        <f t="array" aca="1" ref="Q15" ca="1">$F15/(INDIRECT($A15&amp;"!"&amp;Q$11)*$C15)</f>
        <v>0.70092889658189905</v>
      </c>
      <c r="R15" s="57" cm="1">
        <f t="array" aca="1" ref="R15" ca="1">$F15/(INDIRECT($A15&amp;"!"&amp;R$11)*$C15)</f>
        <v>6.8645896292140156</v>
      </c>
      <c r="S15" s="57" cm="1">
        <f t="array" aca="1" ref="S15" ca="1">$F15/(INDIRECT($A15&amp;"!"&amp;S$11)*$C15)</f>
        <v>25.213936168521741</v>
      </c>
      <c r="T15" s="57" cm="1">
        <f t="array" aca="1" ref="T15" ca="1">$E15/(INDIRECT($A15&amp;"!"&amp;T$11)*$C15)</f>
        <v>-14.076395618534482</v>
      </c>
      <c r="U15" s="111" cm="1">
        <f t="array" aca="1" ref="U15" ca="1">INDIRECT($A15&amp;"!"&amp;U$11)</f>
        <v>0.76029797108781594</v>
      </c>
    </row>
    <row r="16" spans="1:21" ht="14.25" customHeight="1">
      <c r="A16" s="3" t="s">
        <v>157</v>
      </c>
      <c r="B16" t="str" cm="1">
        <f t="array" aca="1" ref="B16" ca="1">INDIRECT($A16&amp;"!"&amp;B$11)</f>
        <v>USD</v>
      </c>
      <c r="C16" s="55">
        <v>1</v>
      </c>
      <c r="D16" s="56" cm="1">
        <f t="array" aca="1" ref="D16" ca="1">INDIRECT($A16&amp;"!"&amp;D$11)</f>
        <v>110.16</v>
      </c>
      <c r="E16" s="56" cm="1">
        <f t="array" aca="1" ref="E16" ca="1">INDIRECT($A16&amp;"!"&amp;E$11)*$C16</f>
        <v>4466.2015677599993</v>
      </c>
      <c r="F16" s="56" cm="1">
        <f t="array" aca="1" ref="F16" ca="1">INDIRECT($A16&amp;"!"&amp;F$11)*$C16</f>
        <v>6509.2145677599992</v>
      </c>
      <c r="G16" s="57" cm="1">
        <f t="array" aca="1" ref="G16" ca="1">$F16/(INDIRECT($A16&amp;"!"&amp;G$11)*$C16)</f>
        <v>1.8450154670521539</v>
      </c>
      <c r="H16" s="57" cm="1">
        <f t="array" aca="1" ref="H16" ca="1">$F16/(INDIRECT($A16&amp;"!"&amp;H$11)*$C16)</f>
        <v>6.9916375593555307</v>
      </c>
      <c r="I16" s="57" cm="1">
        <f t="array" aca="1" ref="I16" ca="1">$F16/(INDIRECT($A16&amp;"!"&amp;I$11)*$C16)</f>
        <v>11.899843816745886</v>
      </c>
      <c r="J16" s="57" cm="1">
        <f t="array" aca="1" ref="J16" ca="1">$E16/(INDIRECT($A16&amp;"!"&amp;J$11)*$C16)</f>
        <v>13.828876362420345</v>
      </c>
      <c r="K16" s="57"/>
      <c r="L16" s="57" cm="1">
        <f t="array" aca="1" ref="L16" ca="1">$F16/(INDIRECT($A16&amp;"!"&amp;L$11)*$C16)</f>
        <v>1.686325017554404</v>
      </c>
      <c r="M16" s="57" cm="1">
        <f t="array" aca="1" ref="M16" ca="1">$F16/(INDIRECT($A16&amp;"!"&amp;M$11)*$C16)</f>
        <v>6.8073777115247847</v>
      </c>
      <c r="N16" s="57" cm="1">
        <f t="array" aca="1" ref="N16" ca="1">$F16/(INDIRECT($A16&amp;"!"&amp;N$11)*$C16)</f>
        <v>11.520733748247785</v>
      </c>
      <c r="O16" s="57" cm="1">
        <f t="array" aca="1" ref="O16" ca="1">$E16/(INDIRECT($A16&amp;"!"&amp;O$11)*$C16)</f>
        <v>12.009146458080128</v>
      </c>
      <c r="P16" s="57"/>
      <c r="Q16" s="57" cm="1">
        <f t="array" aca="1" ref="Q16" ca="1">$F16/(INDIRECT($A16&amp;"!"&amp;Q$11)*$C16)</f>
        <v>1.6020710233226678</v>
      </c>
      <c r="R16" s="57" cm="1">
        <f t="array" aca="1" ref="R16" ca="1">$F16/(INDIRECT($A16&amp;"!"&amp;R$11)*$C16)</f>
        <v>6.4193437551873762</v>
      </c>
      <c r="S16" s="57" cm="1">
        <f t="array" aca="1" ref="S16" ca="1">$F16/(INDIRECT($A16&amp;"!"&amp;S$11)*$C16)</f>
        <v>10.764370047560773</v>
      </c>
      <c r="T16" s="57" cm="1">
        <f t="array" aca="1" ref="T16" ca="1">$E16/(INDIRECT($A16&amp;"!"&amp;T$11)*$C16)</f>
        <v>11.46944419044684</v>
      </c>
      <c r="U16" s="111" cm="1">
        <f t="array" aca="1" ref="U16" ca="1">INDIRECT($A16&amp;"!"&amp;U$11)</f>
        <v>7.8219193174236201E-2</v>
      </c>
    </row>
    <row r="17" spans="1:21" ht="14.25" customHeight="1">
      <c r="A17" s="3" t="s">
        <v>169</v>
      </c>
      <c r="B17" t="str" cm="1">
        <f t="array" aca="1" ref="B17" ca="1">INDIRECT($A17&amp;"!"&amp;B$11)</f>
        <v>USD</v>
      </c>
      <c r="C17" s="55">
        <v>1</v>
      </c>
      <c r="D17" s="56" cm="1">
        <f t="array" aca="1" ref="D17" ca="1">INDIRECT($A17&amp;"!"&amp;D$11)</f>
        <v>29.77</v>
      </c>
      <c r="E17" s="56" cm="1">
        <f t="array" aca="1" ref="E17" ca="1">INDIRECT($A17&amp;"!"&amp;E$11)*$C17</f>
        <v>17818.776460679997</v>
      </c>
      <c r="F17" s="56" cm="1">
        <f t="array" aca="1" ref="F17" ca="1">INDIRECT($A17&amp;"!"&amp;F$11)*$C17</f>
        <v>14967.776460679997</v>
      </c>
      <c r="G17" s="57" cm="1">
        <f t="array" aca="1" ref="G17" ca="1">$F17/(INDIRECT($A17&amp;"!"&amp;G$11)*$C17)</f>
        <v>0.54461945423279834</v>
      </c>
      <c r="H17" s="57" cm="1">
        <f t="array" aca="1" ref="H17" ca="1">$F17/(INDIRECT($A17&amp;"!"&amp;H$11)*$C17)</f>
        <v>7.4429519943709588</v>
      </c>
      <c r="I17" s="57" cm="1">
        <f t="array" aca="1" ref="I17" ca="1">$F17/(INDIRECT($A17&amp;"!"&amp;I$11)*$C17)</f>
        <v>42.281854408700561</v>
      </c>
      <c r="J17" s="57" cm="1">
        <f t="array" aca="1" ref="J17" ca="1">$E17/(INDIRECT($A17&amp;"!"&amp;J$11)*$C17)</f>
        <v>29.847196751557785</v>
      </c>
      <c r="K17" s="58"/>
      <c r="L17" s="57" cm="1">
        <f t="array" aca="1" ref="L17" ca="1">$F17/(INDIRECT($A17&amp;"!"&amp;L$11)*$C17)</f>
        <v>0.51296399673326698</v>
      </c>
      <c r="M17" s="57" cm="1">
        <f t="array" aca="1" ref="M17" ca="1">$F17/(INDIRECT($A17&amp;"!"&amp;M$11)*$C17)</f>
        <v>5.3571139802004284</v>
      </c>
      <c r="N17" s="57" cm="1">
        <f t="array" aca="1" ref="N17" ca="1">$F17/(INDIRECT($A17&amp;"!"&amp;N$11)*$C17)</f>
        <v>14.531821806485434</v>
      </c>
      <c r="O17" s="57" cm="1">
        <f t="array" aca="1" ref="O17" ca="1">$E17/(INDIRECT($A17&amp;"!"&amp;O$11)*$C17)</f>
        <v>18.366085818058128</v>
      </c>
      <c r="Q17" s="57" cm="1">
        <f t="array" aca="1" ref="Q17" ca="1">$F17/(INDIRECT($A17&amp;"!"&amp;Q$11)*$C17)</f>
        <v>0.4868519535740306</v>
      </c>
      <c r="R17" s="57" cm="1">
        <f t="array" aca="1" ref="R17" ca="1">$F17/(INDIRECT($A17&amp;"!"&amp;R$11)*$C17)</f>
        <v>4.3172127085895582</v>
      </c>
      <c r="S17" s="57" cm="1">
        <f t="array" aca="1" ref="S17" ca="1">$F17/(INDIRECT($A17&amp;"!"&amp;S$11)*$C17)</f>
        <v>9.2794646377433345</v>
      </c>
      <c r="T17" s="57" cm="1">
        <f t="array" aca="1" ref="T17" ca="1">$E17/(INDIRECT($A17&amp;"!"&amp;T$11)*$C17)</f>
        <v>13.685696206359445</v>
      </c>
      <c r="U17" s="111" cm="1">
        <f t="array" aca="1" ref="U17" ca="1">INDIRECT($A17&amp;"!"&amp;U$11)</f>
        <v>0.26356516875488234</v>
      </c>
    </row>
    <row r="18" spans="1:21" ht="14.25" customHeight="1">
      <c r="A18" s="3" t="s">
        <v>170</v>
      </c>
      <c r="B18" t="str" cm="1">
        <f t="array" aca="1" ref="B18" ca="1">INDIRECT($A18&amp;"!"&amp;B$11)</f>
        <v>USD</v>
      </c>
      <c r="C18" s="55">
        <v>1</v>
      </c>
      <c r="D18" s="56" cm="1">
        <f t="array" aca="1" ref="D18" ca="1">INDIRECT($A18&amp;"!"&amp;D$11)</f>
        <v>103.31</v>
      </c>
      <c r="E18" s="56" cm="1">
        <f t="array" aca="1" ref="E18" ca="1">INDIRECT($A18&amp;"!"&amp;E$11)*$C18</f>
        <v>34340.244000000006</v>
      </c>
      <c r="F18" s="56" cm="1">
        <f t="array" aca="1" ref="F18" ca="1">INDIRECT($A18&amp;"!"&amp;F$11)*$C18</f>
        <v>47872.244000000006</v>
      </c>
      <c r="G18" s="57" cm="1">
        <f t="array" aca="1" ref="G18" ca="1">$F18/(INDIRECT($A18&amp;"!"&amp;G$11)*$C18)</f>
        <v>0.83893668401591237</v>
      </c>
      <c r="H18" s="57" cm="1">
        <f t="array" aca="1" ref="H18" ca="1">$F18/(INDIRECT($A18&amp;"!"&amp;H$11)*$C18)</f>
        <v>5.9453854942871347</v>
      </c>
      <c r="I18" s="57" cm="1">
        <f t="array" aca="1" ref="I18" ca="1">$F18/(INDIRECT($A18&amp;"!"&amp;I$11)*$C18)</f>
        <v>9.3427486338797827</v>
      </c>
      <c r="J18" s="57" cm="1">
        <f t="array" aca="1" ref="J18" ca="1">$E18/(INDIRECT($A18&amp;"!"&amp;J$11)*$C18)</f>
        <v>10.905126706891078</v>
      </c>
      <c r="K18" s="58"/>
      <c r="L18" s="57" cm="1">
        <f t="array" aca="1" ref="L18" ca="1">$F18/(INDIRECT($A18&amp;"!"&amp;L$11)*$C18)</f>
        <v>0.78189403194721208</v>
      </c>
      <c r="M18" s="57" cm="1">
        <f t="array" aca="1" ref="M18" ca="1">$F18/(INDIRECT($A18&amp;"!"&amp;M$11)*$C18)</f>
        <v>5.0610259012580618</v>
      </c>
      <c r="N18" s="57" cm="1">
        <f t="array" aca="1" ref="N18" ca="1">$F18/(INDIRECT($A18&amp;"!"&amp;N$11)*$C18)</f>
        <v>7.6903203212851414</v>
      </c>
      <c r="O18" s="57" cm="1">
        <f t="array" aca="1" ref="O18" ca="1">$E18/(INDIRECT($A18&amp;"!"&amp;O$11)*$C18)</f>
        <v>8.1723569728700625</v>
      </c>
      <c r="Q18" s="57" cm="1">
        <f t="array" aca="1" ref="Q18" ca="1">$F18/(INDIRECT($A18&amp;"!"&amp;Q$11)*$C18)</f>
        <v>0.73441709621993134</v>
      </c>
      <c r="R18" s="57" cm="1">
        <f t="array" aca="1" ref="R18" ca="1">$F18/(INDIRECT($A18&amp;"!"&amp;R$11)*$C18)</f>
        <v>4.6928971669444177</v>
      </c>
      <c r="S18" s="57" cm="1">
        <f t="array" aca="1" ref="S18" ca="1">$F18/(INDIRECT($A18&amp;"!"&amp;S$11)*$C18)</f>
        <v>7.1461776384535014</v>
      </c>
      <c r="T18" s="57" cm="1">
        <f t="array" aca="1" ref="T18" ca="1">$E18/(INDIRECT($A18&amp;"!"&amp;T$11)*$C18)</f>
        <v>7.4523098958333343</v>
      </c>
      <c r="U18" s="111" cm="1">
        <f t="array" aca="1" ref="U18" ca="1">INDIRECT($A18&amp;"!"&amp;U$11)</f>
        <v>9.9718972054964716E-2</v>
      </c>
    </row>
    <row r="19" spans="1:21" ht="14.25" customHeight="1">
      <c r="B19" s="20"/>
      <c r="C19" s="11"/>
      <c r="D19" s="56"/>
      <c r="E19" s="59"/>
      <c r="F19" s="60" t="s">
        <v>81</v>
      </c>
      <c r="G19" s="61">
        <f ca="1">AVERAGE(G14:G18)</f>
        <v>1.289905565430931</v>
      </c>
      <c r="H19" s="61">
        <f ca="1">AVERAGE(H14:H18)</f>
        <v>2.2725160157047677</v>
      </c>
      <c r="I19" s="61">
        <f ca="1">AVERAGE(I14:I18)</f>
        <v>17.584689661883914</v>
      </c>
      <c r="J19" s="61">
        <f ca="1">AVERAGE(J14:J18)</f>
        <v>26.206364680416879</v>
      </c>
      <c r="K19" s="62"/>
      <c r="L19" s="61">
        <f ca="1">AVERAGE(L14:L18)</f>
        <v>1.2073265816870136</v>
      </c>
      <c r="M19" s="61">
        <f ca="1">AVERAGE(M14:M18)</f>
        <v>8.8988815318078345</v>
      </c>
      <c r="N19" s="61">
        <f ca="1">AVERAGE(N14:N18)</f>
        <v>34.131815967323249</v>
      </c>
      <c r="O19" s="61">
        <f ca="1">AVERAGE(O14:O18)</f>
        <v>18.37240346656581</v>
      </c>
      <c r="P19" s="62"/>
      <c r="Q19" s="61">
        <f ca="1">AVERAGE(Q14:Q18)</f>
        <v>1.1459194506873089</v>
      </c>
      <c r="R19" s="61">
        <f ca="1">AVERAGE(R14:R18)</f>
        <v>7.9111749574065469</v>
      </c>
      <c r="S19" s="61">
        <f ca="1">AVERAGE(S14:S18)</f>
        <v>16.973678906144631</v>
      </c>
      <c r="T19" s="61">
        <f ca="1">AVERAGE(T14:T18)</f>
        <v>14.069966633681457</v>
      </c>
      <c r="U19" s="182"/>
    </row>
    <row r="20" spans="1:21" ht="14.25" customHeight="1">
      <c r="B20" s="20"/>
      <c r="C20" s="11"/>
      <c r="D20" s="56"/>
      <c r="E20" s="59"/>
      <c r="F20" s="63" t="s">
        <v>1</v>
      </c>
      <c r="G20" s="64">
        <f ca="1">MEDIAN(G14:G18)</f>
        <v>0.83893668401591237</v>
      </c>
      <c r="H20" s="64">
        <f ca="1">MEDIAN(H14:H18)</f>
        <v>6.9916375593555307</v>
      </c>
      <c r="I20" s="64">
        <f ca="1">MEDIAN(I14:I18)</f>
        <v>11.899843816745886</v>
      </c>
      <c r="J20" s="64">
        <f ca="1">MEDIAN(J14:J18)</f>
        <v>13.828876362420345</v>
      </c>
      <c r="K20" s="62"/>
      <c r="L20" s="64">
        <f ca="1">MEDIAN(L14:L18)</f>
        <v>0.78189403194721208</v>
      </c>
      <c r="M20" s="64">
        <f ca="1">MEDIAN(M14:M18)</f>
        <v>6.8073777115247847</v>
      </c>
      <c r="N20" s="64">
        <f ca="1">MEDIAN(N14:N18)</f>
        <v>14.531821806485434</v>
      </c>
      <c r="O20" s="64">
        <f ca="1">MEDIAN(O14:O18)</f>
        <v>12.009146458080128</v>
      </c>
      <c r="P20" s="62"/>
      <c r="Q20" s="64">
        <f ca="1">MEDIAN(Q14:Q18)</f>
        <v>0.73441709621993134</v>
      </c>
      <c r="R20" s="114">
        <f ca="1">MEDIAN(R14:R18)</f>
        <v>6.4193437551873762</v>
      </c>
      <c r="S20" s="64">
        <f ca="1">MEDIAN(S14:S18)</f>
        <v>10.764370047560773</v>
      </c>
      <c r="T20" s="64">
        <f ca="1">MEDIAN(T14:T18)</f>
        <v>11.46944419044684</v>
      </c>
      <c r="U20" s="183"/>
    </row>
    <row r="21" spans="1:21" ht="14.25" customHeight="1">
      <c r="B21" s="20"/>
      <c r="C21" s="11"/>
      <c r="D21" s="56"/>
      <c r="E21" s="59"/>
      <c r="F21" s="65" t="s">
        <v>2</v>
      </c>
      <c r="G21" s="64">
        <f ca="1">QUARTILE(G14:G18,1)</f>
        <v>0.78122714176635422</v>
      </c>
      <c r="H21" s="64">
        <f ca="1">QUARTILE(H14:H18,1)</f>
        <v>5.9453854942871347</v>
      </c>
      <c r="I21" s="64">
        <f ca="1">QUARTILE(I14:I18,1)</f>
        <v>9.3427486338797827</v>
      </c>
      <c r="J21" s="64">
        <f ca="1">QUARTILE(J14:J18,1)</f>
        <v>10.905126706891078</v>
      </c>
      <c r="K21" s="62"/>
      <c r="L21" s="64">
        <f ca="1">QUARTILE(L14:L18,1)</f>
        <v>0.74409840365941293</v>
      </c>
      <c r="M21" s="64">
        <f ca="1">QUARTILE(M14:M18,1)</f>
        <v>5.3571139802004284</v>
      </c>
      <c r="N21" s="64">
        <f ca="1">QUARTILE(N14:N18,1)</f>
        <v>11.520733748247785</v>
      </c>
      <c r="O21" s="64">
        <f ca="1">QUARTILE(O14:O18,1)</f>
        <v>8.1723569728700625</v>
      </c>
      <c r="P21" s="62"/>
      <c r="Q21" s="64">
        <f ca="1">QUARTILE(Q14:Q18,1)</f>
        <v>0.70092889658189905</v>
      </c>
      <c r="R21" s="64">
        <f ca="1">QUARTILE(R14:R18,1)</f>
        <v>4.6928971669444177</v>
      </c>
      <c r="S21" s="64">
        <f ca="1">QUARTILE(S14:S18,1)</f>
        <v>9.2794646377433345</v>
      </c>
      <c r="T21" s="64">
        <f ca="1">QUARTILE(T14:T18,1)</f>
        <v>7.4523098958333343</v>
      </c>
      <c r="U21" s="183"/>
    </row>
    <row r="22" spans="1:21" ht="14.25" customHeight="1">
      <c r="B22" s="20"/>
      <c r="C22" s="11"/>
      <c r="D22" s="56"/>
      <c r="E22" s="59"/>
      <c r="F22" s="66" t="s">
        <v>10</v>
      </c>
      <c r="G22" s="67">
        <f ca="1">QUARTILE(G14:G18,3)</f>
        <v>1.8450154670521539</v>
      </c>
      <c r="H22" s="67">
        <f ca="1">QUARTILE(H14:H18,3)</f>
        <v>7.4429519943709588</v>
      </c>
      <c r="I22" s="67">
        <f ca="1">QUARTILE(I14:I18,3)</f>
        <v>32.480391247696467</v>
      </c>
      <c r="J22" s="67">
        <f ca="1">QUARTILE(J14:J18,3)</f>
        <v>29.847196751557785</v>
      </c>
      <c r="K22" s="62"/>
      <c r="L22" s="67">
        <f ca="1">QUARTILE(L14:L18,3)</f>
        <v>1.686325017554404</v>
      </c>
      <c r="M22" s="67">
        <f ca="1">QUARTILE(M14:M18,3)</f>
        <v>8.5192227623104948</v>
      </c>
      <c r="N22" s="67">
        <f ca="1">QUARTILE(N14:N18,3)</f>
        <v>36.556150680105034</v>
      </c>
      <c r="O22" s="67">
        <f ca="1">QUARTILE(O14:O18,3)</f>
        <v>18.366085818058128</v>
      </c>
      <c r="P22" s="62"/>
      <c r="Q22" s="67">
        <f ca="1">QUARTILE(Q14:Q18,3)</f>
        <v>1.6020710233226678</v>
      </c>
      <c r="R22" s="67">
        <f ca="1">QUARTILE(R14:R18,3)</f>
        <v>6.8645896292140156</v>
      </c>
      <c r="S22" s="67">
        <f ca="1">QUARTILE(S14:S18,3)</f>
        <v>25.213936168521741</v>
      </c>
      <c r="T22" s="67">
        <f ca="1">QUARTILE(T14:T18,3)</f>
        <v>13.685696206359445</v>
      </c>
      <c r="U22" s="184"/>
    </row>
    <row r="23" spans="1:21" ht="14.25" customHeight="1">
      <c r="B23" s="20"/>
      <c r="C23" s="20"/>
      <c r="D23" s="68"/>
      <c r="E23" s="58"/>
      <c r="F23" s="58"/>
      <c r="G23" s="59"/>
      <c r="H23" s="59"/>
      <c r="I23" s="59"/>
      <c r="J23" s="59"/>
      <c r="K23" s="59"/>
    </row>
    <row r="24" spans="1:21" ht="14.25" customHeight="1">
      <c r="A24" s="69"/>
      <c r="J24" s="58"/>
      <c r="K24" s="58"/>
    </row>
    <row r="25" spans="1:21" ht="14.25" customHeight="1">
      <c r="J25" s="58"/>
      <c r="K25" s="58"/>
    </row>
    <row r="26" spans="1:21" ht="14.25" customHeight="1">
      <c r="A26" s="70"/>
      <c r="B26" s="70"/>
      <c r="J26" s="71"/>
      <c r="K26" s="71"/>
    </row>
    <row r="27" spans="1:21" ht="14.25" customHeight="1"/>
    <row r="28" spans="1:21" ht="14.25" customHeight="1"/>
    <row r="29" spans="1:21" ht="14.25" customHeight="1"/>
    <row r="30" spans="1:21" ht="14.25" customHeight="1"/>
    <row r="31" spans="1:21" ht="14.25" customHeight="1"/>
    <row r="32" spans="1:2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5">
    <mergeCell ref="B12:B13"/>
    <mergeCell ref="C12:C13"/>
    <mergeCell ref="G12:J12"/>
    <mergeCell ref="L12:O12"/>
    <mergeCell ref="Q12:T1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3375-3B54-4C17-A1B1-9D8EFB521A0F}">
  <dimension ref="A1:U78"/>
  <sheetViews>
    <sheetView showGridLines="0" topLeftCell="A61" zoomScale="95" workbookViewId="0">
      <selection activeCell="D50" sqref="D50"/>
    </sheetView>
  </sheetViews>
  <sheetFormatPr defaultRowHeight="15"/>
  <cols>
    <col min="2" max="2" width="31.7109375" customWidth="1"/>
    <col min="3" max="3" width="10.7109375" customWidth="1"/>
    <col min="6" max="6" width="11.7109375" customWidth="1"/>
    <col min="12" max="12" width="10.5703125" customWidth="1"/>
    <col min="13" max="13" width="10.42578125" customWidth="1"/>
    <col min="14" max="14" width="10.85546875" customWidth="1"/>
  </cols>
  <sheetData>
    <row r="1" spans="1:21" ht="23.25">
      <c r="A1" s="115" t="s">
        <v>145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</row>
    <row r="2" spans="1:21">
      <c r="A2" s="117" t="str">
        <f>"(In "&amp;F10&amp;" Millions Except Per Share Data)"</f>
        <v>(In USD Millions Except Per Share Data)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</row>
    <row r="3" spans="1:21" ht="15.75" thickBo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>
      <c r="A4" s="72" t="s">
        <v>82</v>
      </c>
      <c r="B4" s="118"/>
      <c r="C4" s="118"/>
      <c r="D4" s="118"/>
      <c r="E4" s="118"/>
      <c r="F4" s="119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>
      <c r="A5" s="120" t="s">
        <v>83</v>
      </c>
      <c r="B5" s="26"/>
      <c r="C5" s="26"/>
      <c r="D5" s="26"/>
      <c r="E5" s="26"/>
      <c r="F5" s="73" t="s">
        <v>146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>
      <c r="A6" s="120" t="s">
        <v>84</v>
      </c>
      <c r="B6" s="26"/>
      <c r="C6" s="26"/>
      <c r="D6" s="26"/>
      <c r="E6" s="26"/>
      <c r="F6" s="121">
        <f>DATE(2025,2,11)</f>
        <v>45699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>
      <c r="A7" s="120" t="s">
        <v>85</v>
      </c>
      <c r="B7" s="26"/>
      <c r="C7" s="26"/>
      <c r="D7" s="26"/>
      <c r="E7" s="26"/>
      <c r="F7" s="73" t="s">
        <v>147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>
      <c r="A8" s="120" t="s">
        <v>86</v>
      </c>
      <c r="B8" s="26"/>
      <c r="C8" s="26"/>
      <c r="D8" s="26"/>
      <c r="E8" s="26"/>
      <c r="F8" s="74">
        <v>45657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>
      <c r="A9" s="120" t="s">
        <v>87</v>
      </c>
      <c r="B9" s="26"/>
      <c r="C9" s="26"/>
      <c r="D9" s="26"/>
      <c r="E9" s="26"/>
      <c r="F9" s="74">
        <f>F8</f>
        <v>45657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>
      <c r="A10" s="120" t="s">
        <v>67</v>
      </c>
      <c r="B10" s="26"/>
      <c r="C10" s="26"/>
      <c r="D10" s="26"/>
      <c r="E10" s="26"/>
      <c r="F10" s="73" t="s">
        <v>49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ht="15.75" thickBot="1">
      <c r="A11" s="75" t="s">
        <v>88</v>
      </c>
      <c r="B11" s="122"/>
      <c r="C11" s="122"/>
      <c r="D11" s="122"/>
      <c r="E11" s="122"/>
      <c r="F11" s="76">
        <v>0.27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spans="1:2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ht="15.75" thickBot="1">
      <c r="A13" s="26"/>
      <c r="B13" s="26"/>
      <c r="C13" s="26"/>
      <c r="D13" s="26"/>
      <c r="E13" s="26"/>
      <c r="F13" s="26"/>
      <c r="G13" s="200"/>
      <c r="H13" s="189"/>
      <c r="I13" s="189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ht="15.75" thickBot="1">
      <c r="A14" s="123" t="s">
        <v>89</v>
      </c>
      <c r="B14" s="78"/>
      <c r="C14" s="79" t="s">
        <v>90</v>
      </c>
      <c r="D14" s="79" t="s">
        <v>91</v>
      </c>
      <c r="E14" s="79" t="s">
        <v>92</v>
      </c>
      <c r="F14" s="124"/>
      <c r="G14" s="26"/>
      <c r="H14" s="77"/>
      <c r="I14" s="77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>
      <c r="A15" s="120" t="s">
        <v>93</v>
      </c>
      <c r="B15" s="26"/>
      <c r="C15" s="125">
        <v>16.41</v>
      </c>
      <c r="D15" s="126">
        <v>0</v>
      </c>
      <c r="E15" s="126">
        <v>0</v>
      </c>
      <c r="F15" s="127"/>
      <c r="G15" s="80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>
      <c r="A16" s="120" t="s">
        <v>94</v>
      </c>
      <c r="B16" s="26"/>
      <c r="C16" s="126">
        <f>6575575582/10^6</f>
        <v>6575.5755820000004</v>
      </c>
      <c r="D16" s="126">
        <v>0</v>
      </c>
      <c r="E16" s="126">
        <v>0</v>
      </c>
      <c r="F16" s="128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>
      <c r="A17" s="120" t="s">
        <v>95</v>
      </c>
      <c r="B17" s="26"/>
      <c r="C17" s="129">
        <f>C16+H45+G53</f>
        <v>6583.9215819999999</v>
      </c>
      <c r="D17" s="129">
        <v>0</v>
      </c>
      <c r="E17" s="129">
        <v>0</v>
      </c>
      <c r="F17" s="130">
        <f>SUM(C17:E17)</f>
        <v>6583.9215819999999</v>
      </c>
      <c r="G17" s="26"/>
      <c r="H17" s="8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>
      <c r="A18" s="120" t="s">
        <v>74</v>
      </c>
      <c r="B18" s="26"/>
      <c r="C18" s="129">
        <f>C15*C17</f>
        <v>108042.15316062</v>
      </c>
      <c r="D18" s="129">
        <f t="shared" ref="D18:E18" si="0">D15*D17</f>
        <v>0</v>
      </c>
      <c r="E18" s="129">
        <f t="shared" si="0"/>
        <v>0</v>
      </c>
      <c r="F18" s="82">
        <f>SUM(C18:E18)</f>
        <v>108042.15316062</v>
      </c>
      <c r="G18" s="26"/>
      <c r="H18" s="26"/>
      <c r="I18" s="81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>
      <c r="A19" s="120" t="s">
        <v>4</v>
      </c>
      <c r="B19" s="26"/>
      <c r="C19" s="26"/>
      <c r="D19" s="81"/>
      <c r="E19" s="81"/>
      <c r="F19" s="83">
        <v>0</v>
      </c>
      <c r="G19" s="26"/>
      <c r="H19" s="81"/>
      <c r="I19" s="81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>
      <c r="A20" s="131" t="s">
        <v>96</v>
      </c>
      <c r="B20" s="26"/>
      <c r="C20" s="26"/>
      <c r="D20" s="81"/>
      <c r="E20" s="81"/>
      <c r="F20" s="82">
        <f>E21+E22</f>
        <v>0</v>
      </c>
      <c r="G20" s="26"/>
      <c r="H20" s="81"/>
      <c r="I20" s="81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>
      <c r="A21" s="120"/>
      <c r="B21" s="26" t="s">
        <v>97</v>
      </c>
      <c r="C21" s="26"/>
      <c r="D21" s="26"/>
      <c r="E21" s="132">
        <v>0</v>
      </c>
      <c r="F21" s="128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>
      <c r="A22" s="120"/>
      <c r="B22" s="84" t="s">
        <v>98</v>
      </c>
      <c r="C22" s="26"/>
      <c r="D22" s="26"/>
      <c r="E22" s="133">
        <v>0</v>
      </c>
      <c r="F22" s="128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>
      <c r="A23" s="131" t="s">
        <v>99</v>
      </c>
      <c r="B23" s="26"/>
      <c r="C23" s="26"/>
      <c r="D23" s="26"/>
      <c r="E23" s="81"/>
      <c r="F23" s="82">
        <f>E24+E25</f>
        <v>30476</v>
      </c>
      <c r="G23" s="26"/>
      <c r="H23" s="81"/>
      <c r="I23" s="81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>
      <c r="A24" s="120"/>
      <c r="B24" s="84" t="s">
        <v>100</v>
      </c>
      <c r="C24" s="84"/>
      <c r="D24" s="26"/>
      <c r="E24" s="132">
        <f>25154+5322</f>
        <v>30476</v>
      </c>
      <c r="F24" s="128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>
      <c r="A25" s="120"/>
      <c r="B25" s="84" t="s">
        <v>101</v>
      </c>
      <c r="C25" s="84"/>
      <c r="D25" s="26"/>
      <c r="E25" s="133"/>
      <c r="F25" s="128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>
      <c r="A26" s="131" t="s">
        <v>102</v>
      </c>
      <c r="B26" s="26"/>
      <c r="C26" s="26"/>
      <c r="D26" s="26"/>
      <c r="E26" s="81"/>
      <c r="F26" s="128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>
      <c r="A27" s="120"/>
      <c r="B27" s="26" t="s">
        <v>103</v>
      </c>
      <c r="C27" s="26"/>
      <c r="D27" s="26"/>
      <c r="E27" s="81"/>
      <c r="F27" s="83">
        <f>1095+1180</f>
        <v>2275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>
      <c r="A28" s="120"/>
      <c r="B28" s="26" t="s">
        <v>104</v>
      </c>
      <c r="C28" s="26"/>
      <c r="D28" s="26"/>
      <c r="E28" s="26"/>
      <c r="F28" s="83">
        <v>7333</v>
      </c>
      <c r="G28" s="26"/>
      <c r="H28" s="81"/>
      <c r="I28" s="81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>
      <c r="A29" s="131" t="s">
        <v>105</v>
      </c>
      <c r="B29" s="26"/>
      <c r="C29" s="26"/>
      <c r="D29" s="26"/>
      <c r="E29" s="81"/>
      <c r="F29" s="83">
        <v>804</v>
      </c>
      <c r="G29" s="26"/>
      <c r="H29" s="81"/>
      <c r="I29" s="81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15.75" thickBot="1">
      <c r="A30" s="85" t="s">
        <v>106</v>
      </c>
      <c r="B30" s="86"/>
      <c r="C30" s="86"/>
      <c r="D30" s="87"/>
      <c r="E30" s="87"/>
      <c r="F30" s="88">
        <f>F18+F19+F20+F23+F27-F29</f>
        <v>139989.15316062002</v>
      </c>
      <c r="G30" s="26"/>
      <c r="H30" s="26"/>
      <c r="I30" s="81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>
      <c r="A31" s="134" t="s">
        <v>107</v>
      </c>
      <c r="B31" s="89"/>
      <c r="C31" s="89"/>
      <c r="D31" s="90"/>
      <c r="E31" s="90"/>
      <c r="F31" s="83">
        <f>6180+1549</f>
        <v>7729</v>
      </c>
      <c r="G31" s="26"/>
      <c r="H31" s="81"/>
      <c r="I31" s="81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>
      <c r="A32" s="134" t="s">
        <v>108</v>
      </c>
      <c r="B32" s="89"/>
      <c r="C32" s="89"/>
      <c r="D32" s="90"/>
      <c r="E32" s="90"/>
      <c r="F32" s="82">
        <f>F30-F31</f>
        <v>132260.15316062002</v>
      </c>
      <c r="G32" s="26"/>
      <c r="H32" s="26"/>
      <c r="I32" s="81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15.75" thickBot="1">
      <c r="A33" s="75" t="s">
        <v>109</v>
      </c>
      <c r="B33" s="122"/>
      <c r="C33" s="122"/>
      <c r="D33" s="122"/>
      <c r="E33" s="122"/>
      <c r="F33" s="91">
        <f>F18/F17</f>
        <v>16.41</v>
      </c>
      <c r="G33" s="26"/>
      <c r="H33" s="26"/>
      <c r="I33" s="26"/>
      <c r="J33" s="92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ht="15.75" thickBot="1">
      <c r="A34" s="26"/>
      <c r="B34" s="26"/>
      <c r="C34" s="26"/>
      <c r="D34" s="26"/>
      <c r="E34" s="26"/>
      <c r="F34" s="26"/>
      <c r="G34" s="26"/>
      <c r="H34" s="93"/>
      <c r="I34" s="93"/>
      <c r="J34" s="93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15.75" thickBot="1">
      <c r="A35" s="123" t="s">
        <v>110</v>
      </c>
      <c r="B35" s="78"/>
      <c r="C35" s="94"/>
      <c r="D35" s="94"/>
      <c r="E35" s="94"/>
      <c r="F35" s="94"/>
      <c r="G35" s="94"/>
      <c r="H35" s="94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15.75" thickBot="1">
      <c r="A36" s="26"/>
      <c r="B36" s="26"/>
      <c r="C36" s="26"/>
      <c r="D36" s="26"/>
      <c r="E36" s="26"/>
      <c r="F36" s="26"/>
      <c r="G36" s="26"/>
      <c r="H36" s="93"/>
      <c r="I36" s="93"/>
      <c r="J36" s="93"/>
      <c r="K36" s="93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ht="15.75" thickBot="1">
      <c r="A37" s="26"/>
      <c r="B37" s="123" t="s">
        <v>111</v>
      </c>
      <c r="C37" s="94"/>
      <c r="D37" s="94"/>
      <c r="E37" s="94"/>
      <c r="F37" s="94"/>
      <c r="G37" s="94"/>
      <c r="H37" s="135"/>
      <c r="I37" s="93"/>
      <c r="J37" s="9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>
      <c r="A38" s="26"/>
      <c r="B38" s="136"/>
      <c r="C38" s="25" t="s">
        <v>28</v>
      </c>
      <c r="D38" s="26"/>
      <c r="E38" s="137" t="s">
        <v>29</v>
      </c>
      <c r="F38" s="137"/>
      <c r="G38" s="137"/>
      <c r="H38" s="138" t="s">
        <v>30</v>
      </c>
      <c r="I38" s="93"/>
      <c r="J38" s="25"/>
      <c r="K38" s="25"/>
      <c r="L38" s="77"/>
      <c r="M38" s="77"/>
      <c r="N38" s="26"/>
      <c r="O38" s="26"/>
      <c r="P38" s="26"/>
      <c r="Q38" s="26"/>
      <c r="R38" s="26"/>
      <c r="S38" s="26"/>
      <c r="T38" s="26"/>
      <c r="U38" s="26"/>
    </row>
    <row r="39" spans="1:21" ht="15.75" thickBot="1">
      <c r="A39" s="26"/>
      <c r="B39" s="96" t="s">
        <v>112</v>
      </c>
      <c r="C39" s="139" t="s">
        <v>32</v>
      </c>
      <c r="D39" s="139" t="s">
        <v>33</v>
      </c>
      <c r="E39" s="139" t="s">
        <v>34</v>
      </c>
      <c r="F39" s="139" t="s">
        <v>35</v>
      </c>
      <c r="G39" s="122" t="s">
        <v>36</v>
      </c>
      <c r="H39" s="140" t="s">
        <v>37</v>
      </c>
      <c r="I39" s="93"/>
      <c r="J39" s="97"/>
      <c r="K39" s="25"/>
      <c r="L39" s="25"/>
      <c r="M39" s="26"/>
      <c r="N39" s="26"/>
      <c r="O39" s="26"/>
      <c r="P39" s="26"/>
      <c r="Q39" s="26"/>
      <c r="R39" s="26"/>
      <c r="S39" s="26"/>
      <c r="T39" s="26"/>
      <c r="U39" s="26"/>
    </row>
    <row r="40" spans="1:21">
      <c r="A40" s="26"/>
      <c r="B40" s="98">
        <f>8346/10^3</f>
        <v>8.3460000000000001</v>
      </c>
      <c r="C40" s="125"/>
      <c r="D40" s="141" t="str">
        <f>IF(C15&gt;C40,"YES","NO")</f>
        <v>YES</v>
      </c>
      <c r="E40" s="142">
        <f>IF(D40="YES",B40,0)</f>
        <v>8.3460000000000001</v>
      </c>
      <c r="F40" s="129">
        <f>C40*B40</f>
        <v>0</v>
      </c>
      <c r="G40" s="142">
        <f>F40/C15</f>
        <v>0</v>
      </c>
      <c r="H40" s="99">
        <f>E40-G40</f>
        <v>8.3460000000000001</v>
      </c>
      <c r="I40" s="93" t="s">
        <v>148</v>
      </c>
      <c r="J40" s="100"/>
      <c r="K40" s="100"/>
      <c r="L40" s="81"/>
      <c r="M40" s="100"/>
      <c r="N40" s="26"/>
      <c r="O40" s="26"/>
      <c r="P40" s="26"/>
      <c r="Q40" s="26"/>
      <c r="R40" s="26"/>
      <c r="S40" s="26"/>
      <c r="T40" s="26"/>
      <c r="U40" s="26"/>
    </row>
    <row r="41" spans="1:21">
      <c r="A41" s="26"/>
      <c r="B41" s="98"/>
      <c r="C41" s="143"/>
      <c r="D41" s="141"/>
      <c r="E41" s="142"/>
      <c r="F41" s="129"/>
      <c r="G41" s="142"/>
      <c r="H41" s="99"/>
      <c r="I41" s="93"/>
      <c r="J41" s="100"/>
      <c r="K41" s="100"/>
      <c r="L41" s="81"/>
      <c r="M41" s="100"/>
      <c r="N41" s="26"/>
      <c r="O41" s="26"/>
      <c r="P41" s="26"/>
      <c r="Q41" s="26"/>
      <c r="R41" s="26"/>
      <c r="S41" s="26"/>
      <c r="T41" s="26"/>
      <c r="U41" s="26"/>
    </row>
    <row r="42" spans="1:21">
      <c r="A42" s="26"/>
      <c r="B42" s="98"/>
      <c r="C42" s="143"/>
      <c r="D42" s="141"/>
      <c r="E42" s="142"/>
      <c r="F42" s="129"/>
      <c r="G42" s="142"/>
      <c r="H42" s="99"/>
      <c r="I42" s="93"/>
      <c r="J42" s="100"/>
      <c r="K42" s="100"/>
      <c r="L42" s="81"/>
      <c r="M42" s="100"/>
      <c r="N42" s="26"/>
      <c r="O42" s="26"/>
      <c r="P42" s="26"/>
      <c r="Q42" s="26"/>
      <c r="R42" s="26"/>
      <c r="S42" s="26"/>
      <c r="T42" s="26"/>
      <c r="U42" s="26"/>
    </row>
    <row r="43" spans="1:21">
      <c r="A43" s="26"/>
      <c r="B43" s="98"/>
      <c r="C43" s="143"/>
      <c r="D43" s="141"/>
      <c r="E43" s="142"/>
      <c r="F43" s="129"/>
      <c r="G43" s="142"/>
      <c r="H43" s="99"/>
      <c r="I43" s="93"/>
      <c r="J43" s="100"/>
      <c r="K43" s="100"/>
      <c r="L43" s="81"/>
      <c r="M43" s="100"/>
      <c r="N43" s="26"/>
      <c r="O43" s="26"/>
      <c r="P43" s="26"/>
      <c r="Q43" s="26"/>
      <c r="R43" s="26"/>
      <c r="S43" s="26"/>
      <c r="T43" s="26"/>
      <c r="U43" s="26"/>
    </row>
    <row r="44" spans="1:21">
      <c r="A44" s="26"/>
      <c r="B44" s="98"/>
      <c r="C44" s="143"/>
      <c r="D44" s="141"/>
      <c r="E44" s="142"/>
      <c r="F44" s="129"/>
      <c r="G44" s="142"/>
      <c r="H44" s="99"/>
      <c r="I44" s="93"/>
      <c r="J44" s="100"/>
      <c r="K44" s="100"/>
      <c r="L44" s="81"/>
      <c r="M44" s="100"/>
      <c r="N44" s="26"/>
      <c r="O44" s="26"/>
      <c r="P44" s="26"/>
      <c r="Q44" s="26"/>
      <c r="R44" s="26"/>
      <c r="S44" s="26"/>
      <c r="T44" s="26"/>
      <c r="U44" s="26"/>
    </row>
    <row r="45" spans="1:21" ht="15.75" thickBot="1">
      <c r="A45" s="26"/>
      <c r="B45" s="75"/>
      <c r="C45" s="122"/>
      <c r="D45" s="122"/>
      <c r="E45" s="122"/>
      <c r="F45" s="122"/>
      <c r="G45" s="122"/>
      <c r="H45" s="101">
        <f>H40+H41</f>
        <v>8.3460000000000001</v>
      </c>
      <c r="I45" s="93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ht="15.75" thickBot="1">
      <c r="A46" s="26"/>
      <c r="B46" s="26"/>
      <c r="C46" s="26"/>
      <c r="D46" s="26"/>
      <c r="E46" s="26"/>
      <c r="F46" s="26"/>
      <c r="G46" s="26"/>
      <c r="H46" s="93"/>
      <c r="I46" s="93"/>
      <c r="J46" s="93"/>
      <c r="K46" s="93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ht="15.75" thickBot="1">
      <c r="A47" s="26"/>
      <c r="B47" s="123" t="s">
        <v>113</v>
      </c>
      <c r="C47" s="94"/>
      <c r="D47" s="94"/>
      <c r="E47" s="94"/>
      <c r="F47" s="94"/>
      <c r="G47" s="135"/>
      <c r="H47" s="93"/>
      <c r="I47" s="93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>
      <c r="A48" s="26"/>
      <c r="B48" s="144"/>
      <c r="C48" s="102"/>
      <c r="D48" s="102"/>
      <c r="E48" s="201" t="s">
        <v>114</v>
      </c>
      <c r="F48" s="103"/>
      <c r="G48" s="202" t="s">
        <v>115</v>
      </c>
      <c r="H48" s="93"/>
      <c r="I48" s="93"/>
      <c r="J48" s="84"/>
      <c r="K48" s="84"/>
      <c r="L48" s="26"/>
      <c r="M48" s="204"/>
      <c r="N48" s="26"/>
      <c r="O48" s="26"/>
      <c r="P48" s="26"/>
      <c r="Q48" s="26"/>
      <c r="R48" s="26"/>
      <c r="S48" s="26"/>
      <c r="T48" s="26"/>
      <c r="U48" s="26"/>
    </row>
    <row r="49" spans="1:21">
      <c r="A49" s="26"/>
      <c r="B49" s="145" t="s">
        <v>116</v>
      </c>
      <c r="C49" s="104" t="s">
        <v>117</v>
      </c>
      <c r="D49" s="104" t="s">
        <v>118</v>
      </c>
      <c r="E49" s="189"/>
      <c r="F49" s="105" t="s">
        <v>119</v>
      </c>
      <c r="G49" s="203"/>
      <c r="H49" s="93"/>
      <c r="I49" s="93"/>
      <c r="J49" s="84"/>
      <c r="K49" s="104"/>
      <c r="L49" s="105"/>
      <c r="M49" s="189"/>
      <c r="N49" s="26"/>
      <c r="O49" s="26"/>
      <c r="P49" s="26"/>
      <c r="Q49" s="26"/>
      <c r="R49" s="26"/>
      <c r="S49" s="26"/>
      <c r="T49" s="26"/>
      <c r="U49" s="26"/>
    </row>
    <row r="50" spans="1:21">
      <c r="A50" s="26"/>
      <c r="B50" s="120"/>
      <c r="C50" s="126">
        <f>1000000000/10^6</f>
        <v>1000</v>
      </c>
      <c r="D50" s="126"/>
      <c r="E50" s="146">
        <v>16.2</v>
      </c>
      <c r="F50" s="147" t="s">
        <v>182</v>
      </c>
      <c r="G50" s="106"/>
      <c r="H50" s="93"/>
      <c r="I50" s="93"/>
      <c r="J50" s="26"/>
      <c r="K50" s="81"/>
      <c r="L50" s="107"/>
      <c r="M50" s="107"/>
      <c r="N50" s="26"/>
      <c r="O50" s="26"/>
      <c r="P50" s="26"/>
      <c r="Q50" s="26"/>
      <c r="R50" s="26"/>
      <c r="S50" s="26"/>
      <c r="T50" s="26"/>
      <c r="U50" s="26"/>
    </row>
    <row r="51" spans="1:21">
      <c r="A51" s="26"/>
      <c r="B51" s="120"/>
      <c r="C51" s="126"/>
      <c r="D51" s="126"/>
      <c r="E51" s="146"/>
      <c r="F51" s="147"/>
      <c r="G51" s="106"/>
      <c r="H51" s="93"/>
      <c r="I51" s="93"/>
      <c r="J51" s="26"/>
      <c r="K51" s="81"/>
      <c r="L51" s="107"/>
      <c r="M51" s="107"/>
      <c r="N51" s="26"/>
      <c r="O51" s="26"/>
      <c r="P51" s="26"/>
      <c r="Q51" s="26"/>
      <c r="R51" s="26"/>
      <c r="S51" s="26"/>
      <c r="T51" s="26"/>
      <c r="U51" s="26"/>
    </row>
    <row r="52" spans="1:21">
      <c r="A52" s="26"/>
      <c r="B52" s="120"/>
      <c r="C52" s="126"/>
      <c r="D52" s="126"/>
      <c r="E52" s="146"/>
      <c r="F52" s="148"/>
      <c r="G52" s="106"/>
      <c r="H52" s="93"/>
      <c r="I52" s="93"/>
      <c r="J52" s="26"/>
      <c r="K52" s="81"/>
      <c r="L52" s="107"/>
      <c r="M52" s="107"/>
      <c r="N52" s="26"/>
      <c r="O52" s="26"/>
      <c r="P52" s="26"/>
      <c r="Q52" s="26"/>
      <c r="R52" s="26"/>
      <c r="S52" s="26"/>
      <c r="T52" s="26"/>
      <c r="U52" s="26"/>
    </row>
    <row r="53" spans="1:21" ht="15.75" thickBot="1">
      <c r="A53" s="26"/>
      <c r="B53" s="75"/>
      <c r="C53" s="149"/>
      <c r="D53" s="149"/>
      <c r="E53" s="149"/>
      <c r="F53" s="108"/>
      <c r="G53" s="109">
        <v>0</v>
      </c>
      <c r="H53" s="93"/>
      <c r="I53" s="93"/>
      <c r="J53" s="26"/>
      <c r="K53" s="81"/>
      <c r="L53" s="107"/>
      <c r="M53" s="107"/>
      <c r="N53" s="26"/>
      <c r="O53" s="26"/>
      <c r="P53" s="26"/>
      <c r="Q53" s="26"/>
      <c r="R53" s="26"/>
      <c r="S53" s="26"/>
      <c r="T53" s="26"/>
      <c r="U53" s="26"/>
    </row>
    <row r="54" spans="1:21">
      <c r="A54" s="26"/>
      <c r="B54" s="26"/>
      <c r="C54" s="26"/>
      <c r="D54" s="26"/>
      <c r="E54" s="26"/>
      <c r="F54" s="26"/>
      <c r="G54" s="26"/>
      <c r="H54" s="93"/>
      <c r="I54" s="93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>
      <c r="A55" s="26"/>
      <c r="B55" s="26"/>
      <c r="C55" s="26"/>
      <c r="D55" s="26"/>
      <c r="E55" s="26"/>
      <c r="F55" s="26"/>
      <c r="G55" s="26"/>
      <c r="H55" s="93"/>
      <c r="I55" s="93"/>
      <c r="J55" s="93"/>
      <c r="K55" s="93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ht="15.75">
      <c r="A56" s="26"/>
      <c r="B56" s="26"/>
      <c r="C56" s="26"/>
      <c r="D56" s="26"/>
      <c r="E56" s="26"/>
      <c r="F56" s="26"/>
      <c r="G56" s="26"/>
      <c r="H56" s="93"/>
      <c r="I56" s="93"/>
      <c r="J56" s="93"/>
      <c r="K56" s="93"/>
      <c r="L56" s="205" t="s">
        <v>149</v>
      </c>
      <c r="M56" s="205"/>
      <c r="N56" s="205"/>
      <c r="O56" s="150"/>
      <c r="P56" s="150"/>
      <c r="Q56" s="150"/>
      <c r="R56" s="26"/>
      <c r="S56" s="26"/>
      <c r="T56" s="26"/>
      <c r="U56" s="26"/>
    </row>
    <row r="57" spans="1:21" ht="15.75">
      <c r="A57" s="151" t="s">
        <v>120</v>
      </c>
      <c r="B57" s="151"/>
      <c r="C57" s="151"/>
      <c r="D57" s="151"/>
      <c r="E57" s="151"/>
      <c r="F57" s="151"/>
      <c r="G57" s="151"/>
      <c r="H57" s="152" t="s">
        <v>121</v>
      </c>
      <c r="I57" s="152" t="s">
        <v>122</v>
      </c>
      <c r="J57" s="152" t="s">
        <v>123</v>
      </c>
      <c r="K57" s="152" t="s">
        <v>38</v>
      </c>
      <c r="L57" s="153" t="s">
        <v>124</v>
      </c>
      <c r="M57" s="153" t="s">
        <v>125</v>
      </c>
      <c r="N57" s="153" t="s">
        <v>126</v>
      </c>
      <c r="O57" s="154"/>
      <c r="P57" s="153" t="s">
        <v>150</v>
      </c>
      <c r="Q57" s="150"/>
      <c r="R57" s="26"/>
      <c r="S57" s="26"/>
      <c r="T57" s="26"/>
      <c r="U57" s="26"/>
    </row>
    <row r="58" spans="1:21" ht="16.5" thickBot="1">
      <c r="A58" s="26"/>
      <c r="B58" s="26"/>
      <c r="C58" s="26"/>
      <c r="D58" s="26"/>
      <c r="E58" s="26"/>
      <c r="F58" s="26"/>
      <c r="G58" s="26"/>
      <c r="H58" s="26" t="s">
        <v>127</v>
      </c>
      <c r="I58" s="26" t="s">
        <v>151</v>
      </c>
      <c r="J58" s="26" t="s">
        <v>151</v>
      </c>
      <c r="K58" s="26"/>
      <c r="L58" s="155">
        <v>46022</v>
      </c>
      <c r="M58" s="155">
        <f>EDATE(L58,12)</f>
        <v>46387</v>
      </c>
      <c r="N58" s="155">
        <f>EDATE(M58,12)</f>
        <v>46752</v>
      </c>
      <c r="O58" s="156"/>
      <c r="P58" s="150"/>
      <c r="Q58" s="150"/>
      <c r="R58" s="26"/>
      <c r="S58" s="26"/>
      <c r="T58" s="26"/>
      <c r="U58" s="26"/>
    </row>
    <row r="59" spans="1:21" ht="16.5" thickBot="1">
      <c r="A59" s="26" t="s">
        <v>128</v>
      </c>
      <c r="B59" s="26"/>
      <c r="C59" s="26"/>
      <c r="D59" s="26"/>
      <c r="E59" s="26"/>
      <c r="F59" s="26"/>
      <c r="G59" s="26"/>
      <c r="H59" s="126">
        <v>54211</v>
      </c>
      <c r="I59" s="126">
        <v>0</v>
      </c>
      <c r="J59" s="157">
        <v>0</v>
      </c>
      <c r="K59" s="158">
        <f>H59+I59-J59</f>
        <v>54211</v>
      </c>
      <c r="L59" s="171">
        <v>57222</v>
      </c>
      <c r="M59" s="171">
        <v>59973</v>
      </c>
      <c r="N59" s="171">
        <v>62838</v>
      </c>
      <c r="O59" s="159"/>
      <c r="P59" s="160">
        <f>_xlfn.RRI(3,H59,N59)</f>
        <v>5.0457078226761043E-2</v>
      </c>
      <c r="Q59" s="150"/>
      <c r="R59" s="26"/>
      <c r="S59" s="26"/>
      <c r="T59" s="26"/>
      <c r="U59" s="26"/>
    </row>
    <row r="60" spans="1:21" ht="15.75">
      <c r="A60" s="26"/>
      <c r="B60" s="26"/>
      <c r="C60" s="26"/>
      <c r="D60" s="26"/>
      <c r="E60" s="26"/>
      <c r="F60" s="26"/>
      <c r="G60" s="26"/>
      <c r="H60" s="81"/>
      <c r="I60" s="81"/>
      <c r="J60" s="81"/>
      <c r="K60" s="81"/>
      <c r="L60" s="150"/>
      <c r="M60" s="150"/>
      <c r="N60" s="150"/>
      <c r="O60" s="150"/>
      <c r="P60" s="150"/>
      <c r="Q60" s="150"/>
      <c r="R60" s="26"/>
      <c r="S60" s="26"/>
      <c r="T60" s="26"/>
      <c r="U60" s="26"/>
    </row>
    <row r="61" spans="1:21" ht="15.75">
      <c r="A61" s="26" t="s">
        <v>129</v>
      </c>
      <c r="B61" s="26"/>
      <c r="C61" s="26"/>
      <c r="D61" s="26"/>
      <c r="E61" s="26"/>
      <c r="F61" s="26"/>
      <c r="G61" s="26"/>
      <c r="H61" s="126">
        <v>2612</v>
      </c>
      <c r="I61" s="126">
        <v>0</v>
      </c>
      <c r="J61" s="126">
        <v>0</v>
      </c>
      <c r="K61" s="158">
        <f>H61+I61-J61</f>
        <v>2612</v>
      </c>
      <c r="L61" s="150"/>
      <c r="M61" s="150"/>
      <c r="N61" s="150"/>
      <c r="O61" s="150"/>
      <c r="P61" s="150"/>
      <c r="Q61" s="150"/>
      <c r="R61" s="26"/>
      <c r="S61" s="26"/>
      <c r="T61" s="26"/>
      <c r="U61" s="26"/>
    </row>
    <row r="62" spans="1:21" ht="16.5" thickBot="1">
      <c r="A62" s="26" t="s">
        <v>130</v>
      </c>
      <c r="B62" s="89"/>
      <c r="C62" s="89"/>
      <c r="D62" s="89"/>
      <c r="E62" s="89"/>
      <c r="F62" s="89"/>
      <c r="G62" s="89"/>
      <c r="H62" s="126">
        <v>-1460</v>
      </c>
      <c r="I62" s="126">
        <v>0</v>
      </c>
      <c r="J62" s="126">
        <v>0</v>
      </c>
      <c r="K62" s="90"/>
      <c r="L62" s="161"/>
      <c r="M62" s="161"/>
      <c r="N62" s="161"/>
      <c r="O62" s="161"/>
      <c r="P62" s="161"/>
      <c r="Q62" s="161"/>
      <c r="R62" s="89"/>
      <c r="S62" s="89"/>
      <c r="T62" s="89"/>
      <c r="U62" s="89"/>
    </row>
    <row r="63" spans="1:21" ht="16.5" thickBot="1">
      <c r="A63" s="110" t="s">
        <v>131</v>
      </c>
      <c r="B63" s="89"/>
      <c r="C63" s="89"/>
      <c r="D63" s="89"/>
      <c r="E63" s="89"/>
      <c r="F63" s="89"/>
      <c r="G63" s="89"/>
      <c r="H63" s="162">
        <f>H61-H62</f>
        <v>4072</v>
      </c>
      <c r="I63" s="162">
        <v>0</v>
      </c>
      <c r="J63" s="162">
        <v>0</v>
      </c>
      <c r="K63" s="158">
        <f>H63+I63-J63</f>
        <v>4072</v>
      </c>
      <c r="L63" s="171">
        <v>3618</v>
      </c>
      <c r="M63" s="171">
        <v>4074</v>
      </c>
      <c r="N63" s="171">
        <v>4593</v>
      </c>
      <c r="O63" s="163"/>
      <c r="P63" s="160">
        <f>_xlfn.RRI(3,H63,N63)</f>
        <v>4.0949254984196992E-2</v>
      </c>
      <c r="Q63" s="161"/>
      <c r="R63" s="89"/>
      <c r="S63" s="89"/>
      <c r="T63" s="89"/>
      <c r="U63" s="89"/>
    </row>
    <row r="64" spans="1:21" ht="16.5" thickBot="1">
      <c r="A64" s="26" t="s">
        <v>132</v>
      </c>
      <c r="B64" s="26"/>
      <c r="C64" s="26"/>
      <c r="D64" s="26"/>
      <c r="E64" s="26"/>
      <c r="F64" s="26"/>
      <c r="G64" s="26"/>
      <c r="H64" s="126">
        <v>2245</v>
      </c>
      <c r="I64" s="126">
        <v>0</v>
      </c>
      <c r="J64" s="126">
        <v>0</v>
      </c>
      <c r="K64" s="81"/>
      <c r="L64" s="150"/>
      <c r="M64" s="150"/>
      <c r="N64" s="150"/>
      <c r="O64" s="150"/>
      <c r="P64" s="150"/>
      <c r="Q64" s="150"/>
      <c r="R64" s="26"/>
      <c r="S64" s="26"/>
      <c r="T64" s="26"/>
      <c r="U64" s="26"/>
    </row>
    <row r="65" spans="1:21" ht="16.5" thickBot="1">
      <c r="A65" s="89" t="s">
        <v>133</v>
      </c>
      <c r="B65" s="89"/>
      <c r="C65" s="89"/>
      <c r="D65" s="89"/>
      <c r="E65" s="89"/>
      <c r="F65" s="89"/>
      <c r="G65" s="89"/>
      <c r="H65" s="162">
        <f>H63+H64</f>
        <v>6317</v>
      </c>
      <c r="I65" s="162">
        <v>0</v>
      </c>
      <c r="J65" s="162">
        <v>0</v>
      </c>
      <c r="K65" s="158">
        <f>H65+I65-J65</f>
        <v>6317</v>
      </c>
      <c r="L65" s="173">
        <v>7054</v>
      </c>
      <c r="M65" s="173">
        <v>7662</v>
      </c>
      <c r="N65" s="173">
        <v>8599</v>
      </c>
      <c r="O65" s="163"/>
      <c r="P65" s="160">
        <f>_xlfn.RRI(3,H65,N65)</f>
        <v>0.10827028913388181</v>
      </c>
      <c r="Q65" s="161"/>
      <c r="R65" s="89"/>
      <c r="S65" s="89"/>
      <c r="T65" s="89"/>
      <c r="U65" s="89"/>
    </row>
    <row r="66" spans="1:21" ht="15.75">
      <c r="A66" s="26"/>
      <c r="B66" s="26"/>
      <c r="C66" s="26"/>
      <c r="D66" s="26"/>
      <c r="E66" s="26"/>
      <c r="F66" s="26"/>
      <c r="G66" s="26"/>
      <c r="H66" s="81"/>
      <c r="I66" s="81">
        <v>0</v>
      </c>
      <c r="J66" s="81">
        <v>0</v>
      </c>
      <c r="K66" s="81"/>
      <c r="L66" s="150"/>
      <c r="M66" s="150"/>
      <c r="N66" s="150"/>
      <c r="O66" s="150"/>
      <c r="P66" s="150"/>
      <c r="Q66" s="150"/>
      <c r="R66" s="26"/>
      <c r="S66" s="26"/>
      <c r="T66" s="26"/>
      <c r="U66" s="26"/>
    </row>
    <row r="67" spans="1:21" ht="15.75">
      <c r="A67" s="26" t="s">
        <v>134</v>
      </c>
      <c r="B67" s="26"/>
      <c r="C67" s="26"/>
      <c r="D67" s="26"/>
      <c r="E67" s="26"/>
      <c r="F67" s="26"/>
      <c r="G67" s="26"/>
      <c r="H67" s="126">
        <v>846</v>
      </c>
      <c r="I67" s="126">
        <v>0</v>
      </c>
      <c r="J67" s="126">
        <v>0</v>
      </c>
      <c r="K67" s="158">
        <f>H67+I67-J67</f>
        <v>846</v>
      </c>
      <c r="L67" s="150"/>
      <c r="M67" s="150"/>
      <c r="N67" s="150"/>
      <c r="O67" s="150"/>
      <c r="P67" s="150"/>
      <c r="Q67" s="150"/>
      <c r="R67" s="26"/>
      <c r="S67" s="26"/>
      <c r="T67" s="26"/>
      <c r="U67" s="26"/>
    </row>
    <row r="68" spans="1:21" ht="15.75">
      <c r="A68" s="26" t="s">
        <v>135</v>
      </c>
      <c r="B68" s="26"/>
      <c r="C68" s="26"/>
      <c r="D68" s="26"/>
      <c r="E68" s="26"/>
      <c r="F68" s="26"/>
      <c r="G68" s="26"/>
      <c r="H68" s="129"/>
      <c r="I68" s="129">
        <v>0</v>
      </c>
      <c r="J68" s="129">
        <v>0</v>
      </c>
      <c r="K68" s="26"/>
      <c r="L68" s="150"/>
      <c r="M68" s="150"/>
      <c r="N68" s="150"/>
      <c r="O68" s="150"/>
      <c r="P68" s="150"/>
      <c r="Q68" s="150"/>
      <c r="R68" s="26"/>
      <c r="S68" s="26"/>
      <c r="T68" s="26"/>
      <c r="U68" s="26"/>
    </row>
    <row r="69" spans="1:21" ht="15.75">
      <c r="A69" s="26" t="s">
        <v>136</v>
      </c>
      <c r="B69" s="26"/>
      <c r="C69" s="26"/>
      <c r="D69" s="26"/>
      <c r="E69" s="26"/>
      <c r="F69" s="26"/>
      <c r="G69" s="26"/>
      <c r="H69" s="126"/>
      <c r="I69" s="126">
        <v>0</v>
      </c>
      <c r="J69" s="126">
        <v>0</v>
      </c>
      <c r="K69" s="26"/>
      <c r="L69" s="150"/>
      <c r="M69" s="150"/>
      <c r="N69" s="150"/>
      <c r="O69" s="150"/>
      <c r="P69" s="150"/>
      <c r="Q69" s="150"/>
      <c r="R69" s="26"/>
      <c r="S69" s="26"/>
      <c r="T69" s="26"/>
      <c r="U69" s="26"/>
    </row>
    <row r="70" spans="1:21" ht="15.75">
      <c r="A70" s="26" t="s">
        <v>137</v>
      </c>
      <c r="B70" s="26"/>
      <c r="C70" s="26"/>
      <c r="D70" s="26"/>
      <c r="E70" s="26"/>
      <c r="F70" s="26"/>
      <c r="G70" s="26"/>
      <c r="H70" s="129"/>
      <c r="I70" s="129">
        <v>0</v>
      </c>
      <c r="J70" s="129">
        <v>0</v>
      </c>
      <c r="K70" s="26"/>
      <c r="L70" s="150"/>
      <c r="M70" s="150"/>
      <c r="N70" s="150"/>
      <c r="O70" s="150"/>
      <c r="P70" s="150"/>
      <c r="Q70" s="150"/>
      <c r="R70" s="26"/>
      <c r="S70" s="26"/>
      <c r="T70" s="26"/>
      <c r="U70" s="26"/>
    </row>
    <row r="71" spans="1:21" ht="15.75">
      <c r="A71" s="26" t="s">
        <v>138</v>
      </c>
      <c r="B71" s="26"/>
      <c r="C71" s="26"/>
      <c r="D71" s="26"/>
      <c r="E71" s="26"/>
      <c r="F71" s="26"/>
      <c r="G71" s="26"/>
      <c r="H71" s="126"/>
      <c r="I71" s="126">
        <v>0</v>
      </c>
      <c r="J71" s="126">
        <v>0</v>
      </c>
      <c r="K71" s="26"/>
      <c r="L71" s="150"/>
      <c r="M71" s="150"/>
      <c r="N71" s="150"/>
      <c r="O71" s="150"/>
      <c r="P71" s="150"/>
      <c r="Q71" s="150"/>
      <c r="R71" s="26"/>
      <c r="S71" s="26"/>
      <c r="T71" s="26"/>
      <c r="U71" s="26"/>
    </row>
    <row r="72" spans="1:21" ht="15.75">
      <c r="A72" s="89" t="s">
        <v>139</v>
      </c>
      <c r="B72" s="26"/>
      <c r="C72" s="26"/>
      <c r="D72" s="26"/>
      <c r="E72" s="26"/>
      <c r="F72" s="26"/>
      <c r="G72" s="26"/>
      <c r="H72" s="162"/>
      <c r="I72" s="162">
        <v>0</v>
      </c>
      <c r="J72" s="162">
        <v>0</v>
      </c>
      <c r="K72" s="26"/>
      <c r="L72" s="150"/>
      <c r="M72" s="150"/>
      <c r="N72" s="150"/>
      <c r="O72" s="150"/>
      <c r="P72" s="150"/>
      <c r="Q72" s="150"/>
      <c r="R72" s="26"/>
      <c r="S72" s="26"/>
      <c r="T72" s="26"/>
      <c r="U72" s="26"/>
    </row>
    <row r="73" spans="1:21" ht="16.5" thickBot="1">
      <c r="A73" s="26" t="s">
        <v>140</v>
      </c>
      <c r="B73" s="26"/>
      <c r="C73" s="26"/>
      <c r="D73" s="26"/>
      <c r="E73" s="26"/>
      <c r="F73" s="26"/>
      <c r="G73" s="26"/>
      <c r="H73" s="126"/>
      <c r="I73" s="126">
        <v>0</v>
      </c>
      <c r="J73" s="126">
        <v>0</v>
      </c>
      <c r="K73" s="26"/>
      <c r="L73" s="150"/>
      <c r="M73" s="150"/>
      <c r="N73" s="150"/>
      <c r="O73" s="150"/>
      <c r="P73" s="150"/>
      <c r="Q73" s="150"/>
      <c r="R73" s="26"/>
      <c r="S73" s="26"/>
      <c r="T73" s="26"/>
      <c r="U73" s="26"/>
    </row>
    <row r="74" spans="1:21" ht="16.5" thickBot="1">
      <c r="A74" s="89" t="s">
        <v>141</v>
      </c>
      <c r="B74" s="89"/>
      <c r="C74" s="89"/>
      <c r="D74" s="89"/>
      <c r="E74" s="89"/>
      <c r="F74" s="89"/>
      <c r="G74" s="89"/>
      <c r="H74" s="158">
        <v>1362</v>
      </c>
      <c r="I74" s="158">
        <v>0</v>
      </c>
      <c r="J74" s="158">
        <v>0</v>
      </c>
      <c r="K74" s="158">
        <f>H74+I74-J74</f>
        <v>1362</v>
      </c>
      <c r="L74" s="171">
        <v>1735</v>
      </c>
      <c r="M74" s="171">
        <v>2085</v>
      </c>
      <c r="N74" s="171">
        <v>2556</v>
      </c>
      <c r="O74" s="163"/>
      <c r="P74" s="160">
        <f>_xlfn.RRI(3,H74,N74)</f>
        <v>0.23346807653928603</v>
      </c>
      <c r="Q74" s="161"/>
      <c r="R74" s="89"/>
      <c r="S74" s="89"/>
      <c r="T74" s="89"/>
      <c r="U74" s="89"/>
    </row>
    <row r="75" spans="1:21" ht="15.75">
      <c r="A75" s="26"/>
      <c r="B75" s="26"/>
      <c r="C75" s="26"/>
      <c r="D75" s="26"/>
      <c r="E75" s="26"/>
      <c r="F75" s="26"/>
      <c r="G75" s="26"/>
      <c r="H75" s="81"/>
      <c r="I75" s="81">
        <v>0</v>
      </c>
      <c r="J75" s="81">
        <v>0</v>
      </c>
      <c r="K75" s="81"/>
      <c r="L75" s="150"/>
      <c r="M75" s="150"/>
      <c r="N75" s="150"/>
      <c r="O75" s="150"/>
      <c r="P75" s="150"/>
      <c r="Q75" s="150"/>
      <c r="R75" s="26"/>
      <c r="S75" s="26"/>
      <c r="T75" s="26"/>
      <c r="U75" s="26"/>
    </row>
    <row r="76" spans="1:21" ht="15.75">
      <c r="A76" s="26" t="s">
        <v>142</v>
      </c>
      <c r="B76" s="26"/>
      <c r="C76" s="26"/>
      <c r="D76" s="26"/>
      <c r="E76" s="26"/>
      <c r="F76" s="26"/>
      <c r="G76" s="26"/>
      <c r="H76" s="126">
        <f>721300/10^3</f>
        <v>721.3</v>
      </c>
      <c r="I76" s="126">
        <v>0</v>
      </c>
      <c r="J76" s="126">
        <v>0</v>
      </c>
      <c r="K76" s="81"/>
      <c r="L76" s="150"/>
      <c r="M76" s="150"/>
      <c r="N76" s="150"/>
      <c r="O76" s="150"/>
      <c r="P76" s="150"/>
      <c r="Q76" s="150"/>
      <c r="R76" s="26"/>
      <c r="S76" s="26"/>
      <c r="T76" s="26"/>
      <c r="U76" s="26"/>
    </row>
    <row r="77" spans="1:21" ht="15.75">
      <c r="A77" s="26" t="s">
        <v>143</v>
      </c>
      <c r="B77" s="26"/>
      <c r="C77" s="26"/>
      <c r="D77" s="26"/>
      <c r="E77" s="26"/>
      <c r="F77" s="26"/>
      <c r="G77" s="26"/>
      <c r="H77" s="164">
        <f>H74/H76</f>
        <v>1.8882573131845282</v>
      </c>
      <c r="I77" s="164">
        <v>0</v>
      </c>
      <c r="J77" s="164">
        <v>0</v>
      </c>
      <c r="K77" s="158">
        <f>H77+I77-J77</f>
        <v>1.8882573131845282</v>
      </c>
      <c r="L77" s="172">
        <f>L74/$H$76</f>
        <v>2.4053791764868988</v>
      </c>
      <c r="M77" s="172">
        <f t="shared" ref="M77:N77" si="1">M74/$H$76</f>
        <v>2.8906141688617777</v>
      </c>
      <c r="N77" s="172">
        <f t="shared" si="1"/>
        <v>3.5436018300291141</v>
      </c>
      <c r="O77" s="150"/>
      <c r="P77" s="160">
        <f>_xlfn.RRI(3,H77,N77)</f>
        <v>0.23346807653928603</v>
      </c>
      <c r="Q77" s="150"/>
      <c r="R77" s="26"/>
      <c r="S77" s="26"/>
      <c r="T77" s="26"/>
      <c r="U77" s="26"/>
    </row>
    <row r="78" spans="1:21" ht="15.75">
      <c r="A78" s="26"/>
      <c r="B78" s="26"/>
      <c r="C78" s="26"/>
      <c r="D78" s="26"/>
      <c r="E78" s="26"/>
      <c r="F78" s="26"/>
      <c r="G78" s="26"/>
      <c r="H78" s="81"/>
      <c r="I78" s="81"/>
      <c r="J78" s="81"/>
      <c r="K78" s="81"/>
      <c r="L78" s="165" t="s">
        <v>152</v>
      </c>
      <c r="M78" s="150"/>
      <c r="N78" s="150"/>
      <c r="O78" s="150"/>
      <c r="P78" s="150"/>
      <c r="Q78" s="150"/>
      <c r="R78" s="26"/>
      <c r="S78" s="26"/>
      <c r="T78" s="26"/>
      <c r="U78" s="26"/>
    </row>
  </sheetData>
  <mergeCells count="5">
    <mergeCell ref="G13:I13"/>
    <mergeCell ref="E48:E49"/>
    <mergeCell ref="G48:G49"/>
    <mergeCell ref="M48:M49"/>
    <mergeCell ref="L56:N56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10B-0BDC-43F7-AB13-91CEA850ACF2}">
  <dimension ref="A1:U78"/>
  <sheetViews>
    <sheetView showGridLines="0" topLeftCell="A20" workbookViewId="0">
      <selection activeCell="F27" sqref="F27"/>
    </sheetView>
  </sheetViews>
  <sheetFormatPr defaultRowHeight="15"/>
  <cols>
    <col min="1" max="1" width="4" customWidth="1"/>
    <col min="2" max="2" width="34.140625" customWidth="1"/>
    <col min="5" max="5" width="13" customWidth="1"/>
    <col min="12" max="12" width="9.85546875" customWidth="1"/>
    <col min="13" max="14" width="10.140625" bestFit="1" customWidth="1"/>
  </cols>
  <sheetData>
    <row r="1" spans="1:21" ht="23.25">
      <c r="A1" s="115" t="s">
        <v>153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</row>
    <row r="2" spans="1:21">
      <c r="A2" s="117" t="str">
        <f>"(In "&amp;F10&amp;" Millions Except Per Share Data)"</f>
        <v>(In USD Millions Except Per Share Data)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</row>
    <row r="3" spans="1:21" ht="15.75" thickBo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>
      <c r="A4" s="72" t="s">
        <v>82</v>
      </c>
      <c r="B4" s="118"/>
      <c r="C4" s="118"/>
      <c r="D4" s="118"/>
      <c r="E4" s="118"/>
      <c r="F4" s="119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>
      <c r="A5" s="120" t="s">
        <v>83</v>
      </c>
      <c r="B5" s="26"/>
      <c r="C5" s="26"/>
      <c r="D5" s="26"/>
      <c r="E5" s="26"/>
      <c r="F5" s="73" t="s">
        <v>146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>
      <c r="A6" s="120" t="s">
        <v>84</v>
      </c>
      <c r="B6" s="26"/>
      <c r="C6" s="26"/>
      <c r="D6" s="26"/>
      <c r="E6" s="26"/>
      <c r="F6" s="121">
        <f>DATE(2025,2,11)</f>
        <v>45699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>
      <c r="A7" s="120" t="s">
        <v>85</v>
      </c>
      <c r="B7" s="26"/>
      <c r="C7" s="26"/>
      <c r="D7" s="26"/>
      <c r="E7" s="26"/>
      <c r="F7" s="73" t="s">
        <v>154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>
      <c r="A8" s="120" t="s">
        <v>86</v>
      </c>
      <c r="B8" s="26"/>
      <c r="C8" s="26"/>
      <c r="D8" s="26"/>
      <c r="E8" s="26"/>
      <c r="F8" s="74">
        <v>45657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>
      <c r="A9" s="120" t="s">
        <v>87</v>
      </c>
      <c r="B9" s="26"/>
      <c r="C9" s="26"/>
      <c r="D9" s="26"/>
      <c r="E9" s="26"/>
      <c r="F9" s="74">
        <f>F8</f>
        <v>45657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>
      <c r="A10" s="120" t="s">
        <v>67</v>
      </c>
      <c r="B10" s="26"/>
      <c r="C10" s="26"/>
      <c r="D10" s="26"/>
      <c r="E10" s="26"/>
      <c r="F10" s="73" t="s">
        <v>49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ht="15.75" thickBot="1">
      <c r="A11" s="75" t="s">
        <v>88</v>
      </c>
      <c r="B11" s="122"/>
      <c r="C11" s="122"/>
      <c r="D11" s="122"/>
      <c r="E11" s="122"/>
      <c r="F11" s="76">
        <v>0.27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spans="1:2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ht="15.75" thickBot="1">
      <c r="A13" s="26"/>
      <c r="B13" s="26"/>
      <c r="C13" s="26"/>
      <c r="D13" s="26"/>
      <c r="E13" s="26"/>
      <c r="F13" s="26"/>
      <c r="G13" s="200"/>
      <c r="H13" s="189"/>
      <c r="I13" s="189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ht="15.75" thickBot="1">
      <c r="A14" s="123" t="s">
        <v>89</v>
      </c>
      <c r="B14" s="78"/>
      <c r="C14" s="79" t="s">
        <v>90</v>
      </c>
      <c r="D14" s="79" t="s">
        <v>91</v>
      </c>
      <c r="E14" s="79" t="s">
        <v>92</v>
      </c>
      <c r="F14" s="124"/>
      <c r="G14" s="26"/>
      <c r="H14" s="77"/>
      <c r="I14" s="77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>
      <c r="A15" s="120" t="s">
        <v>93</v>
      </c>
      <c r="B15" s="26"/>
      <c r="C15" s="125">
        <v>6.35</v>
      </c>
      <c r="D15" s="126">
        <v>0</v>
      </c>
      <c r="E15" s="126">
        <v>0</v>
      </c>
      <c r="F15" s="127"/>
      <c r="G15" s="80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>
      <c r="A16" s="120" t="s">
        <v>94</v>
      </c>
      <c r="B16" s="26"/>
      <c r="C16" s="126">
        <f>353001047/10^6</f>
        <v>353.00104700000003</v>
      </c>
      <c r="D16" s="126">
        <v>0</v>
      </c>
      <c r="E16" s="126">
        <v>0</v>
      </c>
      <c r="F16" s="128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>
      <c r="A17" s="120" t="s">
        <v>95</v>
      </c>
      <c r="B17" s="26"/>
      <c r="C17" s="129">
        <f>C16+H45+G53</f>
        <v>360.00104700000003</v>
      </c>
      <c r="D17" s="129">
        <v>0</v>
      </c>
      <c r="E17" s="129">
        <v>0</v>
      </c>
      <c r="F17" s="166">
        <f>SUM(C17:E17)</f>
        <v>360.00104700000003</v>
      </c>
      <c r="G17" s="26"/>
      <c r="H17" s="8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>
      <c r="A18" s="120" t="s">
        <v>74</v>
      </c>
      <c r="B18" s="26"/>
      <c r="C18" s="129">
        <f>C15*C17</f>
        <v>2286.0066484499998</v>
      </c>
      <c r="D18" s="129">
        <f t="shared" ref="D18:E18" si="0">D15*D17</f>
        <v>0</v>
      </c>
      <c r="E18" s="129">
        <f t="shared" si="0"/>
        <v>0</v>
      </c>
      <c r="F18" s="82">
        <f>SUM(C18:E18)</f>
        <v>2286.0066484499998</v>
      </c>
      <c r="G18" s="26"/>
      <c r="H18" s="26"/>
      <c r="I18" s="81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>
      <c r="A19" s="120" t="s">
        <v>4</v>
      </c>
      <c r="B19" s="26"/>
      <c r="C19" s="26"/>
      <c r="D19" s="81"/>
      <c r="E19" s="81"/>
      <c r="F19" s="83">
        <v>0</v>
      </c>
      <c r="G19" s="26"/>
      <c r="H19" s="81"/>
      <c r="I19" s="81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>
      <c r="A20" s="131" t="s">
        <v>96</v>
      </c>
      <c r="B20" s="26"/>
      <c r="C20" s="26"/>
      <c r="D20" s="81"/>
      <c r="E20" s="81"/>
      <c r="F20" s="82">
        <f>E21+E22</f>
        <v>0</v>
      </c>
      <c r="G20" s="26"/>
      <c r="H20" s="81"/>
      <c r="I20" s="81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>
      <c r="A21" s="120"/>
      <c r="B21" s="26" t="s">
        <v>97</v>
      </c>
      <c r="C21" s="26"/>
      <c r="D21" s="26"/>
      <c r="E21" s="132">
        <v>0</v>
      </c>
      <c r="F21" s="128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>
      <c r="A22" s="120"/>
      <c r="B22" s="84" t="s">
        <v>98</v>
      </c>
      <c r="C22" s="26"/>
      <c r="D22" s="26"/>
      <c r="E22" s="133">
        <v>0</v>
      </c>
      <c r="F22" s="128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>
      <c r="A23" s="131" t="s">
        <v>99</v>
      </c>
      <c r="B23" s="26"/>
      <c r="C23" s="26"/>
      <c r="D23" s="26"/>
      <c r="E23" s="81"/>
      <c r="F23" s="82">
        <f>E24+E25</f>
        <v>9324</v>
      </c>
      <c r="G23" s="26"/>
      <c r="H23" s="81"/>
      <c r="I23" s="81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>
      <c r="A24" s="120"/>
      <c r="B24" s="84" t="s">
        <v>100</v>
      </c>
      <c r="C24" s="84"/>
      <c r="D24" s="26"/>
      <c r="E24" s="132">
        <f>8147+392</f>
        <v>8539</v>
      </c>
      <c r="F24" s="128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>
      <c r="A25" s="120"/>
      <c r="B25" s="84" t="s">
        <v>101</v>
      </c>
      <c r="C25" s="84"/>
      <c r="D25" s="26"/>
      <c r="E25" s="133">
        <f>325+460</f>
        <v>785</v>
      </c>
      <c r="F25" s="128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>
      <c r="A26" s="131" t="s">
        <v>102</v>
      </c>
      <c r="B26" s="26"/>
      <c r="C26" s="26"/>
      <c r="D26" s="26"/>
      <c r="E26" s="81"/>
      <c r="F26" s="128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>
      <c r="A27" s="120"/>
      <c r="B27" s="26" t="s">
        <v>103</v>
      </c>
      <c r="C27" s="26"/>
      <c r="D27" s="26"/>
      <c r="E27" s="81"/>
      <c r="F27" s="83">
        <v>0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>
      <c r="A28" s="120"/>
      <c r="B28" s="26" t="s">
        <v>104</v>
      </c>
      <c r="C28" s="26"/>
      <c r="D28" s="26"/>
      <c r="E28" s="26"/>
      <c r="F28" s="83">
        <v>550</v>
      </c>
      <c r="G28" s="26"/>
      <c r="H28" s="81"/>
      <c r="I28" s="81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>
      <c r="A29" s="131" t="s">
        <v>105</v>
      </c>
      <c r="B29" s="26"/>
      <c r="C29" s="26"/>
      <c r="D29" s="26"/>
      <c r="E29" s="81"/>
      <c r="F29" s="83">
        <v>1921</v>
      </c>
      <c r="G29" s="26"/>
      <c r="H29" s="81"/>
      <c r="I29" s="81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15.75" thickBot="1">
      <c r="A30" s="85" t="s">
        <v>106</v>
      </c>
      <c r="B30" s="86"/>
      <c r="C30" s="86"/>
      <c r="D30" s="87"/>
      <c r="E30" s="87"/>
      <c r="F30" s="88">
        <f>F18+F19+F20+F23+F27-F29</f>
        <v>9689.0066484500003</v>
      </c>
      <c r="G30" s="26"/>
      <c r="H30" s="26"/>
      <c r="I30" s="81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>
      <c r="A31" s="134" t="s">
        <v>107</v>
      </c>
      <c r="B31" s="89"/>
      <c r="C31" s="89"/>
      <c r="D31" s="90"/>
      <c r="E31" s="90"/>
      <c r="F31" s="83">
        <f>1689+336+415</f>
        <v>2440</v>
      </c>
      <c r="G31" s="26"/>
      <c r="H31" s="81"/>
      <c r="I31" s="81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>
      <c r="A32" s="134" t="s">
        <v>108</v>
      </c>
      <c r="B32" s="89"/>
      <c r="C32" s="89"/>
      <c r="D32" s="90"/>
      <c r="E32" s="90"/>
      <c r="F32" s="82">
        <f>F30-F31</f>
        <v>7249.0066484500003</v>
      </c>
      <c r="G32" s="26"/>
      <c r="H32" s="26"/>
      <c r="I32" s="81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15.75" thickBot="1">
      <c r="A33" s="75" t="s">
        <v>109</v>
      </c>
      <c r="B33" s="122"/>
      <c r="C33" s="122"/>
      <c r="D33" s="122"/>
      <c r="E33" s="122"/>
      <c r="F33" s="91">
        <f>F18/F17</f>
        <v>6.3499999999999988</v>
      </c>
      <c r="G33" s="26"/>
      <c r="H33" s="26"/>
      <c r="I33" s="26"/>
      <c r="J33" s="92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ht="15.75" thickBot="1">
      <c r="A34" s="26"/>
      <c r="B34" s="26"/>
      <c r="C34" s="26"/>
      <c r="D34" s="26"/>
      <c r="E34" s="26"/>
      <c r="F34" s="26"/>
      <c r="G34" s="26"/>
      <c r="H34" s="93"/>
      <c r="I34" s="93"/>
      <c r="J34" s="93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15.75" thickBot="1">
      <c r="A35" s="123" t="s">
        <v>110</v>
      </c>
      <c r="B35" s="78"/>
      <c r="C35" s="94"/>
      <c r="D35" s="94"/>
      <c r="E35" s="94"/>
      <c r="F35" s="94"/>
      <c r="G35" s="94"/>
      <c r="H35" s="94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15.75" thickBot="1">
      <c r="A36" s="26"/>
      <c r="B36" s="26"/>
      <c r="C36" s="26"/>
      <c r="D36" s="26"/>
      <c r="E36" s="26"/>
      <c r="F36" s="26"/>
      <c r="G36" s="26"/>
      <c r="H36" s="93"/>
      <c r="I36" s="93"/>
      <c r="J36" s="93"/>
      <c r="K36" s="93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ht="15.75" thickBot="1">
      <c r="A37" s="26"/>
      <c r="B37" s="123" t="s">
        <v>111</v>
      </c>
      <c r="C37" s="94"/>
      <c r="D37" s="94"/>
      <c r="E37" s="94"/>
      <c r="F37" s="94"/>
      <c r="G37" s="94"/>
      <c r="H37" s="135"/>
      <c r="I37" s="93"/>
      <c r="J37" s="9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>
      <c r="A38" s="26"/>
      <c r="B38" s="136"/>
      <c r="C38" s="25" t="s">
        <v>28</v>
      </c>
      <c r="D38" s="26"/>
      <c r="E38" s="195" t="s">
        <v>29</v>
      </c>
      <c r="F38" s="195"/>
      <c r="G38" s="195"/>
      <c r="H38" s="138" t="s">
        <v>30</v>
      </c>
      <c r="I38" s="93"/>
      <c r="J38" s="25"/>
      <c r="K38" s="25"/>
      <c r="L38" s="77"/>
      <c r="M38" s="77"/>
      <c r="N38" s="26"/>
      <c r="O38" s="26"/>
      <c r="P38" s="26"/>
      <c r="Q38" s="26"/>
      <c r="R38" s="26"/>
      <c r="S38" s="26"/>
      <c r="T38" s="26"/>
      <c r="U38" s="26"/>
    </row>
    <row r="39" spans="1:21" ht="15.75" thickBot="1">
      <c r="A39" s="26"/>
      <c r="B39" s="96" t="s">
        <v>112</v>
      </c>
      <c r="C39" s="139" t="s">
        <v>32</v>
      </c>
      <c r="D39" s="139" t="s">
        <v>33</v>
      </c>
      <c r="E39" s="139" t="s">
        <v>34</v>
      </c>
      <c r="F39" s="139" t="s">
        <v>35</v>
      </c>
      <c r="G39" s="139" t="s">
        <v>36</v>
      </c>
      <c r="H39" s="140" t="s">
        <v>37</v>
      </c>
      <c r="I39" s="93"/>
      <c r="J39" s="97"/>
      <c r="K39" s="25"/>
      <c r="L39" s="25"/>
      <c r="M39" s="26"/>
      <c r="N39" s="26"/>
      <c r="O39" s="26"/>
      <c r="P39" s="26"/>
      <c r="Q39" s="26"/>
      <c r="R39" s="26"/>
      <c r="S39" s="26"/>
      <c r="T39" s="26"/>
      <c r="U39" s="26"/>
    </row>
    <row r="40" spans="1:21">
      <c r="A40" s="26"/>
      <c r="B40" s="98">
        <v>7</v>
      </c>
      <c r="C40" s="143"/>
      <c r="D40" s="141" t="str">
        <f>IF(C15&gt;C40,"YES","NO")</f>
        <v>YES</v>
      </c>
      <c r="E40" s="142">
        <f>IF(D40="YES",B40,0)</f>
        <v>7</v>
      </c>
      <c r="F40" s="129">
        <f>C40*B40</f>
        <v>0</v>
      </c>
      <c r="G40" s="142">
        <f>F40/C15</f>
        <v>0</v>
      </c>
      <c r="H40" s="99">
        <f>E40-G40</f>
        <v>7</v>
      </c>
      <c r="I40" s="93" t="s">
        <v>148</v>
      </c>
      <c r="J40" s="100"/>
      <c r="K40" s="100"/>
      <c r="L40" s="81"/>
      <c r="M40" s="100"/>
      <c r="N40" s="26"/>
      <c r="O40" s="26"/>
      <c r="P40" s="26"/>
      <c r="Q40" s="26"/>
      <c r="R40" s="26"/>
      <c r="S40" s="26"/>
      <c r="T40" s="26"/>
      <c r="U40" s="26"/>
    </row>
    <row r="41" spans="1:21">
      <c r="A41" s="26"/>
      <c r="B41" s="98"/>
      <c r="C41" s="143"/>
      <c r="D41" s="141"/>
      <c r="E41" s="142"/>
      <c r="F41" s="129"/>
      <c r="G41" s="142"/>
      <c r="H41" s="99"/>
      <c r="I41" s="93"/>
      <c r="J41" s="100"/>
      <c r="K41" s="100"/>
      <c r="L41" s="81"/>
      <c r="M41" s="100"/>
      <c r="N41" s="26"/>
      <c r="O41" s="26"/>
      <c r="P41" s="26"/>
      <c r="Q41" s="26"/>
      <c r="R41" s="26"/>
      <c r="S41" s="26"/>
      <c r="T41" s="26"/>
      <c r="U41" s="26"/>
    </row>
    <row r="42" spans="1:21">
      <c r="A42" s="26"/>
      <c r="B42" s="98"/>
      <c r="C42" s="143"/>
      <c r="D42" s="141"/>
      <c r="E42" s="142"/>
      <c r="F42" s="129"/>
      <c r="G42" s="142"/>
      <c r="H42" s="99"/>
      <c r="I42" s="93"/>
      <c r="J42" s="100"/>
      <c r="K42" s="100"/>
      <c r="L42" s="81"/>
      <c r="M42" s="100"/>
      <c r="N42" s="26"/>
      <c r="O42" s="26"/>
      <c r="P42" s="26"/>
      <c r="Q42" s="26"/>
      <c r="R42" s="26"/>
      <c r="S42" s="26"/>
      <c r="T42" s="26"/>
      <c r="U42" s="26"/>
    </row>
    <row r="43" spans="1:21">
      <c r="A43" s="26"/>
      <c r="B43" s="98"/>
      <c r="C43" s="143"/>
      <c r="D43" s="141"/>
      <c r="E43" s="142"/>
      <c r="F43" s="129"/>
      <c r="G43" s="142"/>
      <c r="H43" s="99"/>
      <c r="I43" s="93"/>
      <c r="J43" s="100"/>
      <c r="K43" s="100"/>
      <c r="L43" s="81"/>
      <c r="M43" s="100"/>
      <c r="N43" s="26"/>
      <c r="O43" s="26"/>
      <c r="P43" s="26"/>
      <c r="Q43" s="26"/>
      <c r="R43" s="26"/>
      <c r="S43" s="26"/>
      <c r="T43" s="26"/>
      <c r="U43" s="26"/>
    </row>
    <row r="44" spans="1:21">
      <c r="A44" s="26"/>
      <c r="B44" s="98"/>
      <c r="C44" s="143"/>
      <c r="D44" s="141"/>
      <c r="E44" s="142"/>
      <c r="F44" s="129"/>
      <c r="G44" s="142"/>
      <c r="H44" s="99"/>
      <c r="I44" s="93"/>
      <c r="J44" s="100"/>
      <c r="K44" s="100"/>
      <c r="L44" s="81"/>
      <c r="M44" s="100"/>
      <c r="N44" s="26"/>
      <c r="O44" s="26"/>
      <c r="P44" s="26"/>
      <c r="Q44" s="26"/>
      <c r="R44" s="26"/>
      <c r="S44" s="26"/>
      <c r="T44" s="26"/>
      <c r="U44" s="26"/>
    </row>
    <row r="45" spans="1:21" ht="15.75" thickBot="1">
      <c r="A45" s="26"/>
      <c r="B45" s="75"/>
      <c r="C45" s="122"/>
      <c r="D45" s="122"/>
      <c r="E45" s="122"/>
      <c r="F45" s="122"/>
      <c r="G45" s="122"/>
      <c r="H45" s="101">
        <f>H40+H41</f>
        <v>7</v>
      </c>
      <c r="I45" s="93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ht="15.75" thickBot="1">
      <c r="A46" s="26"/>
      <c r="B46" s="26"/>
      <c r="C46" s="26"/>
      <c r="D46" s="26"/>
      <c r="E46" s="26"/>
      <c r="F46" s="26"/>
      <c r="G46" s="26"/>
      <c r="H46" s="93"/>
      <c r="I46" s="93"/>
      <c r="J46" s="93"/>
      <c r="K46" s="93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ht="15.75" thickBot="1">
      <c r="A47" s="26"/>
      <c r="B47" s="123" t="s">
        <v>113</v>
      </c>
      <c r="C47" s="94"/>
      <c r="D47" s="94"/>
      <c r="E47" s="94"/>
      <c r="F47" s="94"/>
      <c r="G47" s="135"/>
      <c r="H47" s="93"/>
      <c r="I47" s="93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>
      <c r="A48" s="26"/>
      <c r="B48" s="144"/>
      <c r="C48" s="102"/>
      <c r="D48" s="102"/>
      <c r="E48" s="201" t="s">
        <v>114</v>
      </c>
      <c r="F48" s="103"/>
      <c r="G48" s="202" t="s">
        <v>115</v>
      </c>
      <c r="H48" s="93"/>
      <c r="I48" s="93"/>
      <c r="J48" s="84"/>
      <c r="K48" s="84"/>
      <c r="L48" s="26"/>
      <c r="M48" s="204"/>
      <c r="N48" s="26"/>
      <c r="O48" s="26"/>
      <c r="P48" s="26"/>
      <c r="Q48" s="26"/>
      <c r="R48" s="26"/>
      <c r="S48" s="26"/>
      <c r="T48" s="26"/>
      <c r="U48" s="26"/>
    </row>
    <row r="49" spans="1:21">
      <c r="A49" s="26"/>
      <c r="B49" s="145" t="s">
        <v>116</v>
      </c>
      <c r="C49" s="104" t="s">
        <v>117</v>
      </c>
      <c r="D49" s="104" t="s">
        <v>118</v>
      </c>
      <c r="E49" s="189"/>
      <c r="F49" s="105" t="s">
        <v>119</v>
      </c>
      <c r="G49" s="203"/>
      <c r="H49" s="93"/>
      <c r="I49" s="93"/>
      <c r="J49" s="84"/>
      <c r="K49" s="104"/>
      <c r="L49" s="105"/>
      <c r="M49" s="189"/>
      <c r="N49" s="26"/>
      <c r="O49" s="26"/>
      <c r="P49" s="26"/>
      <c r="Q49" s="26"/>
      <c r="R49" s="26"/>
      <c r="S49" s="26"/>
      <c r="T49" s="26"/>
      <c r="U49" s="26"/>
    </row>
    <row r="50" spans="1:21">
      <c r="A50" s="26"/>
      <c r="B50" s="120"/>
      <c r="C50" s="126"/>
      <c r="D50" s="126"/>
      <c r="E50" s="146"/>
      <c r="F50" s="147"/>
      <c r="G50" s="106"/>
      <c r="H50" s="93"/>
      <c r="I50" s="93"/>
      <c r="J50" s="26"/>
      <c r="K50" s="81"/>
      <c r="L50" s="107"/>
      <c r="M50" s="107"/>
      <c r="N50" s="26"/>
      <c r="O50" s="26"/>
      <c r="P50" s="26"/>
      <c r="Q50" s="26"/>
      <c r="R50" s="26"/>
      <c r="S50" s="26"/>
      <c r="T50" s="26"/>
      <c r="U50" s="26"/>
    </row>
    <row r="51" spans="1:21">
      <c r="A51" s="26"/>
      <c r="B51" s="120"/>
      <c r="C51" s="126"/>
      <c r="D51" s="126"/>
      <c r="E51" s="146"/>
      <c r="F51" s="147"/>
      <c r="G51" s="106"/>
      <c r="H51" s="93"/>
      <c r="I51" s="93"/>
      <c r="J51" s="26"/>
      <c r="K51" s="81"/>
      <c r="L51" s="107"/>
      <c r="M51" s="107"/>
      <c r="N51" s="26"/>
      <c r="O51" s="26"/>
      <c r="P51" s="26"/>
      <c r="Q51" s="26"/>
      <c r="R51" s="26"/>
      <c r="S51" s="26"/>
      <c r="T51" s="26"/>
      <c r="U51" s="26"/>
    </row>
    <row r="52" spans="1:21">
      <c r="A52" s="26"/>
      <c r="B52" s="120"/>
      <c r="C52" s="126"/>
      <c r="D52" s="126"/>
      <c r="E52" s="146"/>
      <c r="F52" s="148"/>
      <c r="G52" s="106"/>
      <c r="H52" s="93"/>
      <c r="I52" s="93"/>
      <c r="J52" s="26"/>
      <c r="K52" s="81"/>
      <c r="L52" s="107"/>
      <c r="M52" s="107"/>
      <c r="N52" s="26"/>
      <c r="O52" s="26"/>
      <c r="P52" s="26"/>
      <c r="Q52" s="26"/>
      <c r="R52" s="26"/>
      <c r="S52" s="26"/>
      <c r="T52" s="26"/>
      <c r="U52" s="26"/>
    </row>
    <row r="53" spans="1:21" ht="15.75" thickBot="1">
      <c r="A53" s="26"/>
      <c r="B53" s="75"/>
      <c r="C53" s="149"/>
      <c r="D53" s="149"/>
      <c r="E53" s="149"/>
      <c r="F53" s="108"/>
      <c r="G53" s="109">
        <v>0</v>
      </c>
      <c r="H53" s="93"/>
      <c r="I53" s="93"/>
      <c r="J53" s="26"/>
      <c r="K53" s="81"/>
      <c r="L53" s="107"/>
      <c r="M53" s="107"/>
      <c r="N53" s="26"/>
      <c r="O53" s="26"/>
      <c r="P53" s="26"/>
      <c r="Q53" s="26"/>
      <c r="R53" s="26"/>
      <c r="S53" s="26"/>
      <c r="T53" s="26"/>
      <c r="U53" s="26"/>
    </row>
    <row r="54" spans="1:21">
      <c r="A54" s="26"/>
      <c r="B54" s="26"/>
      <c r="C54" s="26"/>
      <c r="D54" s="26"/>
      <c r="E54" s="26"/>
      <c r="F54" s="26"/>
      <c r="G54" s="26"/>
      <c r="H54" s="93"/>
      <c r="I54" s="93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>
      <c r="A55" s="26"/>
      <c r="B55" s="26"/>
      <c r="C55" s="26"/>
      <c r="D55" s="26"/>
      <c r="E55" s="26"/>
      <c r="F55" s="26"/>
      <c r="G55" s="26"/>
      <c r="H55" s="93"/>
      <c r="I55" s="93"/>
      <c r="J55" s="93"/>
      <c r="K55" s="93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ht="15.75">
      <c r="A56" s="26"/>
      <c r="B56" s="26"/>
      <c r="C56" s="26"/>
      <c r="D56" s="26"/>
      <c r="E56" s="26"/>
      <c r="F56" s="26"/>
      <c r="G56" s="26"/>
      <c r="H56" s="93"/>
      <c r="I56" s="93"/>
      <c r="J56" s="93"/>
      <c r="K56" s="93"/>
      <c r="L56" s="205" t="s">
        <v>149</v>
      </c>
      <c r="M56" s="205"/>
      <c r="N56" s="205"/>
      <c r="O56" s="150"/>
      <c r="P56" s="150"/>
      <c r="Q56" s="150"/>
      <c r="R56" s="26"/>
      <c r="S56" s="26"/>
      <c r="T56" s="26"/>
      <c r="U56" s="26"/>
    </row>
    <row r="57" spans="1:21" ht="15.75">
      <c r="A57" s="151" t="s">
        <v>120</v>
      </c>
      <c r="B57" s="151"/>
      <c r="C57" s="151"/>
      <c r="D57" s="151"/>
      <c r="E57" s="151"/>
      <c r="F57" s="151"/>
      <c r="G57" s="151"/>
      <c r="H57" s="152" t="s">
        <v>121</v>
      </c>
      <c r="I57" s="152" t="s">
        <v>122</v>
      </c>
      <c r="J57" s="152" t="s">
        <v>123</v>
      </c>
      <c r="K57" s="152" t="s">
        <v>38</v>
      </c>
      <c r="L57" s="153" t="s">
        <v>124</v>
      </c>
      <c r="M57" s="153" t="s">
        <v>125</v>
      </c>
      <c r="N57" s="153" t="s">
        <v>126</v>
      </c>
      <c r="O57" s="154"/>
      <c r="P57" s="153" t="s">
        <v>150</v>
      </c>
      <c r="Q57" s="150"/>
      <c r="R57" s="26"/>
      <c r="S57" s="26"/>
      <c r="T57" s="26"/>
      <c r="U57" s="26"/>
    </row>
    <row r="58" spans="1:21" ht="16.5" thickBot="1">
      <c r="A58" s="26"/>
      <c r="B58" s="26"/>
      <c r="C58" s="26"/>
      <c r="D58" s="26"/>
      <c r="E58" s="26"/>
      <c r="F58" s="26"/>
      <c r="G58" s="26"/>
      <c r="H58" s="26" t="s">
        <v>127</v>
      </c>
      <c r="I58" s="26" t="s">
        <v>151</v>
      </c>
      <c r="J58" s="26" t="s">
        <v>151</v>
      </c>
      <c r="K58" s="26"/>
      <c r="L58" s="155">
        <v>46022</v>
      </c>
      <c r="M58" s="155">
        <f>EDATE(L58,12)</f>
        <v>46387</v>
      </c>
      <c r="N58" s="155">
        <f>EDATE(M58,12)</f>
        <v>46752</v>
      </c>
      <c r="O58" s="156"/>
      <c r="P58" s="150"/>
      <c r="Q58" s="150"/>
      <c r="R58" s="26"/>
      <c r="S58" s="26"/>
      <c r="T58" s="26"/>
      <c r="U58" s="26"/>
    </row>
    <row r="59" spans="1:21" ht="16.5" thickBot="1">
      <c r="A59" s="26" t="s">
        <v>128</v>
      </c>
      <c r="B59" s="26"/>
      <c r="C59" s="26"/>
      <c r="D59" s="26"/>
      <c r="E59" s="26"/>
      <c r="F59" s="26"/>
      <c r="G59" s="26"/>
      <c r="H59" s="126">
        <v>9279</v>
      </c>
      <c r="I59" s="126">
        <v>0</v>
      </c>
      <c r="J59" s="157">
        <v>0</v>
      </c>
      <c r="K59" s="158">
        <f>H59+I59-J59</f>
        <v>9279</v>
      </c>
      <c r="L59" s="171">
        <v>9742</v>
      </c>
      <c r="M59" s="171">
        <v>10342</v>
      </c>
      <c r="N59" s="171">
        <v>11010</v>
      </c>
      <c r="O59" s="159"/>
      <c r="P59" s="160">
        <f>_xlfn.RRI(3,H59,N59)</f>
        <v>5.8673514220050516E-2</v>
      </c>
      <c r="Q59" s="150"/>
      <c r="R59" s="26"/>
      <c r="S59" s="26"/>
      <c r="T59" s="26"/>
      <c r="U59" s="26"/>
    </row>
    <row r="60" spans="1:21" ht="15.75">
      <c r="A60" s="26"/>
      <c r="B60" s="26"/>
      <c r="C60" s="26"/>
      <c r="D60" s="26"/>
      <c r="E60" s="26"/>
      <c r="F60" s="26"/>
      <c r="G60" s="26"/>
      <c r="H60" s="81"/>
      <c r="I60" s="81"/>
      <c r="J60" s="81"/>
      <c r="K60" s="81"/>
      <c r="L60" s="150"/>
      <c r="M60" s="150"/>
      <c r="N60" s="150"/>
      <c r="O60" s="150"/>
      <c r="P60" s="150"/>
      <c r="Q60" s="150"/>
      <c r="R60" s="26"/>
      <c r="S60" s="26"/>
      <c r="T60" s="26"/>
      <c r="U60" s="26"/>
    </row>
    <row r="61" spans="1:21" ht="15.75">
      <c r="A61" s="26" t="s">
        <v>129</v>
      </c>
      <c r="B61" s="26"/>
      <c r="C61" s="26"/>
      <c r="D61" s="26"/>
      <c r="E61" s="26"/>
      <c r="F61" s="26"/>
      <c r="G61" s="26"/>
      <c r="H61" s="126">
        <v>-684</v>
      </c>
      <c r="I61" s="126">
        <v>0</v>
      </c>
      <c r="J61" s="126">
        <v>0</v>
      </c>
      <c r="K61" s="158">
        <f>H61+I61-J61</f>
        <v>-684</v>
      </c>
      <c r="L61" s="150"/>
      <c r="M61" s="150"/>
      <c r="N61" s="150"/>
      <c r="O61" s="150"/>
      <c r="P61" s="150"/>
      <c r="Q61" s="150"/>
      <c r="R61" s="26"/>
      <c r="S61" s="26"/>
      <c r="T61" s="26"/>
      <c r="U61" s="26"/>
    </row>
    <row r="62" spans="1:21" ht="16.5" thickBot="1">
      <c r="A62" s="26" t="s">
        <v>130</v>
      </c>
      <c r="B62" s="89"/>
      <c r="C62" s="89"/>
      <c r="D62" s="89"/>
      <c r="E62" s="89"/>
      <c r="F62" s="89"/>
      <c r="G62" s="89"/>
      <c r="H62" s="126">
        <v>-213</v>
      </c>
      <c r="I62" s="126">
        <v>0</v>
      </c>
      <c r="J62" s="126">
        <v>0</v>
      </c>
      <c r="K62" s="90"/>
      <c r="L62" s="161"/>
      <c r="M62" s="161"/>
      <c r="N62" s="161"/>
      <c r="O62" s="161"/>
      <c r="P62" s="161"/>
      <c r="Q62" s="161"/>
      <c r="R62" s="89"/>
      <c r="S62" s="89"/>
      <c r="T62" s="89"/>
      <c r="U62" s="89"/>
    </row>
    <row r="63" spans="1:21" ht="16.5" thickBot="1">
      <c r="A63" s="110" t="s">
        <v>131</v>
      </c>
      <c r="B63" s="89"/>
      <c r="C63" s="89"/>
      <c r="D63" s="89"/>
      <c r="E63" s="89"/>
      <c r="F63" s="89"/>
      <c r="G63" s="89"/>
      <c r="H63" s="162">
        <f>H61+H62</f>
        <v>-897</v>
      </c>
      <c r="I63" s="162">
        <v>0</v>
      </c>
      <c r="J63" s="162"/>
      <c r="K63" s="158">
        <f>H63+I63-J63</f>
        <v>-897</v>
      </c>
      <c r="L63" s="174">
        <v>72.23</v>
      </c>
      <c r="M63" s="174">
        <v>287.5</v>
      </c>
      <c r="N63" s="174">
        <v>456.2</v>
      </c>
      <c r="O63" s="163"/>
      <c r="P63" s="160">
        <f>_xlfn.RRI(3,-H63,N63)</f>
        <v>-0.20178304953909298</v>
      </c>
      <c r="Q63" s="161"/>
      <c r="R63" s="89"/>
      <c r="S63" s="89"/>
      <c r="T63" s="89"/>
      <c r="U63" s="89"/>
    </row>
    <row r="64" spans="1:21" ht="16.5" thickBot="1">
      <c r="A64" s="26" t="s">
        <v>132</v>
      </c>
      <c r="B64" s="26"/>
      <c r="C64" s="26"/>
      <c r="D64" s="26"/>
      <c r="E64" s="26"/>
      <c r="F64" s="26"/>
      <c r="G64" s="26"/>
      <c r="H64" s="126">
        <v>655</v>
      </c>
      <c r="I64" s="126">
        <v>0</v>
      </c>
      <c r="J64" s="126">
        <v>0</v>
      </c>
      <c r="K64" s="81"/>
      <c r="L64" s="150"/>
      <c r="M64" s="150"/>
      <c r="N64" s="150"/>
      <c r="O64" s="150"/>
      <c r="P64" s="150"/>
      <c r="Q64" s="150"/>
      <c r="R64" s="26"/>
      <c r="S64" s="26"/>
      <c r="T64" s="26"/>
      <c r="U64" s="26"/>
    </row>
    <row r="65" spans="1:21" ht="16.5" thickBot="1">
      <c r="A65" s="89" t="s">
        <v>133</v>
      </c>
      <c r="B65" s="89"/>
      <c r="C65" s="89"/>
      <c r="D65" s="89"/>
      <c r="E65" s="89"/>
      <c r="F65" s="89"/>
      <c r="G65" s="89"/>
      <c r="H65" s="162">
        <f>H63+H64</f>
        <v>-242</v>
      </c>
      <c r="I65" s="162">
        <v>0</v>
      </c>
      <c r="J65" s="162">
        <v>0</v>
      </c>
      <c r="K65" s="158">
        <f>H65+I65-J65</f>
        <v>-242</v>
      </c>
      <c r="L65" s="174">
        <v>850.9</v>
      </c>
      <c r="M65" s="171">
        <v>1056</v>
      </c>
      <c r="N65" s="171">
        <v>1320</v>
      </c>
      <c r="O65" s="163"/>
      <c r="P65" s="160">
        <f>_xlfn.RRI(3,-H65,N65)</f>
        <v>0.76029797108781594</v>
      </c>
      <c r="Q65" s="161"/>
      <c r="R65" s="89"/>
      <c r="S65" s="89"/>
      <c r="T65" s="89"/>
      <c r="U65" s="89"/>
    </row>
    <row r="66" spans="1:21" ht="15.75">
      <c r="A66" s="26"/>
      <c r="B66" s="26"/>
      <c r="C66" s="26"/>
      <c r="D66" s="26"/>
      <c r="E66" s="26"/>
      <c r="F66" s="26"/>
      <c r="G66" s="26"/>
      <c r="H66" s="81"/>
      <c r="I66" s="81"/>
      <c r="J66" s="81"/>
      <c r="K66" s="81"/>
      <c r="L66" s="150"/>
      <c r="M66" s="150"/>
      <c r="N66" s="150"/>
      <c r="O66" s="150"/>
      <c r="P66" s="150"/>
      <c r="Q66" s="150"/>
      <c r="R66" s="26"/>
      <c r="S66" s="26"/>
      <c r="T66" s="26"/>
      <c r="U66" s="26"/>
    </row>
    <row r="67" spans="1:21" ht="15.75">
      <c r="A67" s="26" t="s">
        <v>134</v>
      </c>
      <c r="B67" s="26"/>
      <c r="C67" s="26"/>
      <c r="D67" s="26"/>
      <c r="E67" s="26"/>
      <c r="F67" s="26"/>
      <c r="G67" s="26"/>
      <c r="H67" s="126">
        <v>-795</v>
      </c>
      <c r="I67" s="126">
        <v>0</v>
      </c>
      <c r="J67" s="126">
        <v>0</v>
      </c>
      <c r="K67" s="158">
        <f>H67+I67-J67</f>
        <v>-795</v>
      </c>
      <c r="L67" s="150"/>
      <c r="M67" s="150"/>
      <c r="N67" s="150"/>
      <c r="O67" s="150"/>
      <c r="P67" s="150"/>
      <c r="Q67" s="150"/>
      <c r="R67" s="26"/>
      <c r="S67" s="26"/>
      <c r="T67" s="26"/>
      <c r="U67" s="26"/>
    </row>
    <row r="68" spans="1:21" ht="15.75">
      <c r="A68" s="26" t="s">
        <v>135</v>
      </c>
      <c r="B68" s="26"/>
      <c r="C68" s="26"/>
      <c r="D68" s="26"/>
      <c r="E68" s="26"/>
      <c r="F68" s="26"/>
      <c r="G68" s="26"/>
      <c r="H68" s="129"/>
      <c r="I68" s="129">
        <v>0</v>
      </c>
      <c r="J68" s="129">
        <v>0</v>
      </c>
      <c r="K68" s="26"/>
      <c r="L68" s="150"/>
      <c r="M68" s="150"/>
      <c r="N68" s="150"/>
      <c r="O68" s="150"/>
      <c r="P68" s="150"/>
      <c r="Q68" s="150"/>
      <c r="R68" s="26"/>
      <c r="S68" s="26"/>
      <c r="T68" s="26"/>
      <c r="U68" s="26"/>
    </row>
    <row r="69" spans="1:21" ht="15.75">
      <c r="A69" s="26" t="s">
        <v>136</v>
      </c>
      <c r="B69" s="26"/>
      <c r="C69" s="26"/>
      <c r="D69" s="26"/>
      <c r="E69" s="26"/>
      <c r="F69" s="26"/>
      <c r="G69" s="26"/>
      <c r="H69" s="126"/>
      <c r="I69" s="126">
        <v>0</v>
      </c>
      <c r="J69" s="126">
        <v>0</v>
      </c>
      <c r="K69" s="26"/>
      <c r="L69" s="150"/>
      <c r="M69" s="150"/>
      <c r="N69" s="150"/>
      <c r="O69" s="150"/>
      <c r="P69" s="150"/>
      <c r="Q69" s="150"/>
      <c r="R69" s="26"/>
      <c r="S69" s="26"/>
      <c r="T69" s="26"/>
      <c r="U69" s="26"/>
    </row>
    <row r="70" spans="1:21" ht="15.75">
      <c r="A70" s="26" t="s">
        <v>137</v>
      </c>
      <c r="B70" s="26"/>
      <c r="C70" s="26"/>
      <c r="D70" s="26"/>
      <c r="E70" s="26"/>
      <c r="F70" s="26"/>
      <c r="G70" s="26"/>
      <c r="H70" s="129"/>
      <c r="I70" s="129">
        <v>0</v>
      </c>
      <c r="J70" s="129">
        <v>0</v>
      </c>
      <c r="K70" s="26"/>
      <c r="L70" s="150"/>
      <c r="M70" s="150"/>
      <c r="N70" s="150"/>
      <c r="O70" s="150"/>
      <c r="P70" s="150"/>
      <c r="Q70" s="150"/>
      <c r="R70" s="26"/>
      <c r="S70" s="26"/>
      <c r="T70" s="26"/>
      <c r="U70" s="26"/>
    </row>
    <row r="71" spans="1:21" ht="15.75">
      <c r="A71" s="26" t="s">
        <v>138</v>
      </c>
      <c r="B71" s="26"/>
      <c r="C71" s="26"/>
      <c r="D71" s="26"/>
      <c r="E71" s="26"/>
      <c r="F71" s="26"/>
      <c r="G71" s="26"/>
      <c r="H71" s="126"/>
      <c r="I71" s="126">
        <v>0</v>
      </c>
      <c r="J71" s="126">
        <v>0</v>
      </c>
      <c r="K71" s="26"/>
      <c r="L71" s="150"/>
      <c r="M71" s="150"/>
      <c r="N71" s="150"/>
      <c r="O71" s="150"/>
      <c r="P71" s="150"/>
      <c r="Q71" s="150"/>
      <c r="R71" s="26"/>
      <c r="S71" s="26"/>
      <c r="T71" s="26"/>
      <c r="U71" s="26"/>
    </row>
    <row r="72" spans="1:21" ht="15.75">
      <c r="A72" s="89" t="s">
        <v>139</v>
      </c>
      <c r="B72" s="26"/>
      <c r="C72" s="26"/>
      <c r="D72" s="26"/>
      <c r="E72" s="26"/>
      <c r="F72" s="26"/>
      <c r="G72" s="26"/>
      <c r="H72" s="162"/>
      <c r="I72" s="162">
        <v>0</v>
      </c>
      <c r="J72" s="162">
        <v>0</v>
      </c>
      <c r="K72" s="26"/>
      <c r="L72" s="150"/>
      <c r="M72" s="150"/>
      <c r="N72" s="150"/>
      <c r="O72" s="150"/>
      <c r="P72" s="150"/>
      <c r="Q72" s="150"/>
      <c r="R72" s="26"/>
      <c r="S72" s="26"/>
      <c r="T72" s="26"/>
      <c r="U72" s="26"/>
    </row>
    <row r="73" spans="1:21" ht="16.5" thickBot="1">
      <c r="A73" s="26" t="s">
        <v>140</v>
      </c>
      <c r="B73" s="26"/>
      <c r="C73" s="26"/>
      <c r="D73" s="26"/>
      <c r="E73" s="26"/>
      <c r="F73" s="26"/>
      <c r="G73" s="26"/>
      <c r="H73" s="126"/>
      <c r="I73" s="126">
        <v>0</v>
      </c>
      <c r="J73" s="126">
        <v>0</v>
      </c>
      <c r="K73" s="26"/>
      <c r="L73" s="150"/>
      <c r="M73" s="150"/>
      <c r="N73" s="150"/>
      <c r="O73" s="150"/>
      <c r="P73" s="150"/>
      <c r="Q73" s="150"/>
      <c r="R73" s="26"/>
      <c r="S73" s="26"/>
      <c r="T73" s="26"/>
      <c r="U73" s="26"/>
    </row>
    <row r="74" spans="1:21" ht="16.5" thickBot="1">
      <c r="A74" s="89" t="s">
        <v>141</v>
      </c>
      <c r="B74" s="89"/>
      <c r="C74" s="89"/>
      <c r="D74" s="89"/>
      <c r="E74" s="89"/>
      <c r="F74" s="89"/>
      <c r="G74" s="89"/>
      <c r="H74" s="158">
        <f>H67</f>
        <v>-795</v>
      </c>
      <c r="I74" s="158">
        <v>0</v>
      </c>
      <c r="J74" s="158">
        <v>0</v>
      </c>
      <c r="K74" s="158">
        <f>H74+I74-J74</f>
        <v>-795</v>
      </c>
      <c r="L74" s="174">
        <v>-255.2</v>
      </c>
      <c r="M74" s="174">
        <v>-162.4</v>
      </c>
      <c r="N74" s="174">
        <v>-78.39</v>
      </c>
      <c r="O74" s="163"/>
      <c r="P74" s="160">
        <f>_xlfn.RRI(3,H74,N74)</f>
        <v>-0.538011485601114</v>
      </c>
      <c r="Q74" s="161"/>
      <c r="R74" s="89"/>
      <c r="S74" s="89"/>
      <c r="T74" s="89"/>
      <c r="U74" s="89"/>
    </row>
    <row r="75" spans="1:21" ht="15.75">
      <c r="A75" s="26"/>
      <c r="B75" s="26"/>
      <c r="C75" s="26"/>
      <c r="D75" s="26"/>
      <c r="E75" s="26"/>
      <c r="F75" s="26"/>
      <c r="G75" s="26"/>
      <c r="H75" s="81"/>
      <c r="I75" s="81">
        <v>0</v>
      </c>
      <c r="J75" s="81">
        <v>0</v>
      </c>
      <c r="K75" s="81"/>
      <c r="L75" s="150"/>
      <c r="M75" s="150"/>
      <c r="N75" s="150"/>
      <c r="O75" s="150"/>
      <c r="P75" s="150"/>
      <c r="Q75" s="150"/>
      <c r="R75" s="26"/>
      <c r="S75" s="26"/>
      <c r="T75" s="26"/>
      <c r="U75" s="26"/>
    </row>
    <row r="76" spans="1:21" ht="15.75">
      <c r="A76" s="26" t="s">
        <v>142</v>
      </c>
      <c r="B76" s="26"/>
      <c r="C76" s="26"/>
      <c r="D76" s="26"/>
      <c r="E76" s="26"/>
      <c r="F76" s="26"/>
      <c r="G76" s="26"/>
      <c r="H76" s="126">
        <v>346</v>
      </c>
      <c r="I76" s="126">
        <v>0</v>
      </c>
      <c r="J76" s="126">
        <v>0</v>
      </c>
      <c r="K76" s="81"/>
      <c r="L76" s="150"/>
      <c r="M76" s="150"/>
      <c r="N76" s="150"/>
      <c r="O76" s="150"/>
      <c r="P76" s="150"/>
      <c r="Q76" s="150"/>
      <c r="R76" s="26"/>
      <c r="S76" s="26"/>
      <c r="T76" s="26"/>
      <c r="U76" s="26"/>
    </row>
    <row r="77" spans="1:21" ht="15.75">
      <c r="A77" s="26" t="s">
        <v>156</v>
      </c>
      <c r="B77" s="26"/>
      <c r="C77" s="26"/>
      <c r="D77" s="26"/>
      <c r="E77" s="26"/>
      <c r="F77" s="26"/>
      <c r="G77" s="26"/>
      <c r="H77" s="164">
        <f>H74/H76</f>
        <v>-2.2976878612716765</v>
      </c>
      <c r="I77" s="164">
        <v>0</v>
      </c>
      <c r="J77" s="164">
        <v>0</v>
      </c>
      <c r="K77" s="167">
        <f>H77+I77-J77</f>
        <v>-2.2976878612716765</v>
      </c>
      <c r="L77" s="172">
        <f>L74/$H$76</f>
        <v>-0.73757225433526008</v>
      </c>
      <c r="M77" s="172">
        <f t="shared" ref="M77:N77" si="1">M74/$H$76</f>
        <v>-0.46936416184971103</v>
      </c>
      <c r="N77" s="172">
        <f t="shared" si="1"/>
        <v>-0.22656069364161849</v>
      </c>
      <c r="O77" s="150"/>
      <c r="P77" s="160">
        <f>_xlfn.RRI(3,H77,N77)</f>
        <v>-0.53801148560111411</v>
      </c>
      <c r="Q77" s="150"/>
      <c r="R77" s="26"/>
      <c r="S77" s="26"/>
      <c r="T77" s="26"/>
      <c r="U77" s="26"/>
    </row>
    <row r="78" spans="1:21" ht="15.75">
      <c r="A78" s="26"/>
      <c r="B78" s="26"/>
      <c r="C78" s="26"/>
      <c r="D78" s="26"/>
      <c r="E78" s="26"/>
      <c r="F78" s="26"/>
      <c r="G78" s="26"/>
      <c r="H78" s="81"/>
      <c r="I78" s="81"/>
      <c r="J78" s="81"/>
      <c r="K78" s="81"/>
      <c r="L78" s="165" t="s">
        <v>152</v>
      </c>
      <c r="M78" s="150"/>
      <c r="N78" s="150"/>
      <c r="O78" s="150"/>
      <c r="P78" s="150"/>
      <c r="Q78" s="150"/>
      <c r="R78" s="26"/>
      <c r="S78" s="26"/>
      <c r="T78" s="26"/>
      <c r="U78" s="26"/>
    </row>
  </sheetData>
  <mergeCells count="6">
    <mergeCell ref="L56:N56"/>
    <mergeCell ref="G13:I13"/>
    <mergeCell ref="E38:G38"/>
    <mergeCell ref="E48:E49"/>
    <mergeCell ref="G48:G49"/>
    <mergeCell ref="M48:M49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F1EF-9D14-45C9-B0EC-48EF12837C7D}">
  <dimension ref="A1:U78"/>
  <sheetViews>
    <sheetView showGridLines="0" topLeftCell="A8" workbookViewId="0">
      <selection activeCell="H86" sqref="H86"/>
    </sheetView>
  </sheetViews>
  <sheetFormatPr defaultRowHeight="15"/>
  <cols>
    <col min="1" max="1" width="3.7109375" customWidth="1"/>
    <col min="2" max="2" width="34.140625" customWidth="1"/>
    <col min="5" max="5" width="10.85546875" bestFit="1" customWidth="1"/>
    <col min="12" max="12" width="9.85546875" customWidth="1"/>
    <col min="13" max="14" width="10.140625" bestFit="1" customWidth="1"/>
  </cols>
  <sheetData>
    <row r="1" spans="1:21" ht="23.25">
      <c r="A1" s="115" t="s">
        <v>157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</row>
    <row r="2" spans="1:21">
      <c r="A2" s="117" t="str">
        <f>"(In "&amp;F10&amp;" Millions Except Per Share Data)"</f>
        <v>(In USD Millions Except Per Share Data)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</row>
    <row r="3" spans="1:21" ht="15.75" thickBo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>
      <c r="A4" s="72" t="s">
        <v>82</v>
      </c>
      <c r="B4" s="118"/>
      <c r="C4" s="118"/>
      <c r="D4" s="118"/>
      <c r="E4" s="118"/>
      <c r="F4" s="119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>
      <c r="A5" s="120" t="s">
        <v>83</v>
      </c>
      <c r="B5" s="26"/>
      <c r="C5" s="26"/>
      <c r="D5" s="26"/>
      <c r="E5" s="26"/>
      <c r="F5" s="73" t="s">
        <v>146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>
      <c r="A6" s="120" t="s">
        <v>84</v>
      </c>
      <c r="B6" s="26"/>
      <c r="C6" s="26"/>
      <c r="D6" s="26"/>
      <c r="E6" s="26"/>
      <c r="F6" s="121">
        <f>DATE(2025,2,11)</f>
        <v>45699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>
      <c r="A7" s="120" t="s">
        <v>85</v>
      </c>
      <c r="B7" s="26"/>
      <c r="C7" s="26"/>
      <c r="D7" s="26"/>
      <c r="E7" s="26"/>
      <c r="F7" s="73" t="s">
        <v>158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>
      <c r="A8" s="120" t="s">
        <v>86</v>
      </c>
      <c r="B8" s="26"/>
      <c r="C8" s="26"/>
      <c r="D8" s="26"/>
      <c r="E8" s="26"/>
      <c r="F8" s="74">
        <v>45657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>
      <c r="A9" s="120" t="s">
        <v>87</v>
      </c>
      <c r="B9" s="26"/>
      <c r="C9" s="26"/>
      <c r="D9" s="26"/>
      <c r="E9" s="26"/>
      <c r="F9" s="74">
        <f>F8</f>
        <v>45657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>
      <c r="A10" s="120" t="s">
        <v>67</v>
      </c>
      <c r="B10" s="26"/>
      <c r="C10" s="26"/>
      <c r="D10" s="26"/>
      <c r="E10" s="26"/>
      <c r="F10" s="73" t="s">
        <v>49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ht="15.75" thickBot="1">
      <c r="A11" s="75" t="s">
        <v>88</v>
      </c>
      <c r="B11" s="122"/>
      <c r="C11" s="122"/>
      <c r="D11" s="122"/>
      <c r="E11" s="122"/>
      <c r="F11" s="76">
        <v>0.27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spans="1:2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ht="15.75" thickBot="1">
      <c r="A13" s="26"/>
      <c r="B13" s="26"/>
      <c r="C13" s="26"/>
      <c r="D13" s="26"/>
      <c r="E13" s="26"/>
      <c r="F13" s="26"/>
      <c r="G13" s="200"/>
      <c r="H13" s="189"/>
      <c r="I13" s="189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ht="15.75" thickBot="1">
      <c r="A14" s="123" t="s">
        <v>89</v>
      </c>
      <c r="B14" s="78"/>
      <c r="C14" s="79" t="s">
        <v>90</v>
      </c>
      <c r="D14" s="79" t="s">
        <v>91</v>
      </c>
      <c r="E14" s="79" t="s">
        <v>92</v>
      </c>
      <c r="F14" s="124"/>
      <c r="G14" s="26"/>
      <c r="H14" s="77"/>
      <c r="I14" s="77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>
      <c r="A15" s="120" t="s">
        <v>93</v>
      </c>
      <c r="B15" s="26"/>
      <c r="C15" s="125">
        <v>110.16</v>
      </c>
      <c r="D15" s="126">
        <v>0</v>
      </c>
      <c r="E15" s="126">
        <v>0</v>
      </c>
      <c r="F15" s="127"/>
      <c r="G15" s="80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>
      <c r="A16" s="120" t="s">
        <v>94</v>
      </c>
      <c r="B16" s="26"/>
      <c r="C16" s="125">
        <f>40330017/10^6</f>
        <v>40.330016999999998</v>
      </c>
      <c r="D16" s="126">
        <v>0</v>
      </c>
      <c r="E16" s="126">
        <v>0</v>
      </c>
      <c r="F16" s="128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>
      <c r="A17" s="120" t="s">
        <v>95</v>
      </c>
      <c r="B17" s="26"/>
      <c r="C17" s="168">
        <f>C16+H45+G53</f>
        <v>40.542860999999995</v>
      </c>
      <c r="D17" s="129">
        <v>0</v>
      </c>
      <c r="E17" s="129">
        <v>0</v>
      </c>
      <c r="F17" s="166">
        <f>SUM(C17:E17)</f>
        <v>40.542860999999995</v>
      </c>
      <c r="G17" s="26"/>
      <c r="H17" s="8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>
      <c r="A18" s="120" t="s">
        <v>74</v>
      </c>
      <c r="B18" s="26"/>
      <c r="C18" s="129">
        <f>C15*C17</f>
        <v>4466.2015677599993</v>
      </c>
      <c r="D18" s="129">
        <f t="shared" ref="D18:E18" si="0">D15*D17</f>
        <v>0</v>
      </c>
      <c r="E18" s="129">
        <f t="shared" si="0"/>
        <v>0</v>
      </c>
      <c r="F18" s="82">
        <f>SUM(C18:E18)</f>
        <v>4466.2015677599993</v>
      </c>
      <c r="G18" s="26"/>
      <c r="H18" s="26"/>
      <c r="I18" s="81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>
      <c r="A19" s="120" t="s">
        <v>4</v>
      </c>
      <c r="B19" s="26"/>
      <c r="C19" s="26"/>
      <c r="D19" s="81"/>
      <c r="E19" s="81"/>
      <c r="F19" s="83">
        <v>0</v>
      </c>
      <c r="G19" s="26"/>
      <c r="H19" s="81"/>
      <c r="I19" s="81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>
      <c r="A20" s="131" t="s">
        <v>96</v>
      </c>
      <c r="B20" s="26"/>
      <c r="C20" s="26"/>
      <c r="D20" s="81"/>
      <c r="E20" s="81"/>
      <c r="F20" s="82">
        <f>E21+E22</f>
        <v>0</v>
      </c>
      <c r="G20" s="26"/>
      <c r="H20" s="81"/>
      <c r="I20" s="81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>
      <c r="A21" s="120"/>
      <c r="B21" s="26" t="s">
        <v>97</v>
      </c>
      <c r="C21" s="26"/>
      <c r="D21" s="26"/>
      <c r="E21" s="132">
        <v>0</v>
      </c>
      <c r="F21" s="128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>
      <c r="A22" s="120"/>
      <c r="B22" s="84" t="s">
        <v>98</v>
      </c>
      <c r="C22" s="26"/>
      <c r="D22" s="26"/>
      <c r="E22" s="133">
        <v>0</v>
      </c>
      <c r="F22" s="128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>
      <c r="A23" s="131" t="s">
        <v>99</v>
      </c>
      <c r="B23" s="26"/>
      <c r="C23" s="26"/>
      <c r="D23" s="26"/>
      <c r="E23" s="81"/>
      <c r="F23" s="82">
        <f>E24+E25</f>
        <v>2672.375</v>
      </c>
      <c r="G23" s="26"/>
      <c r="H23" s="81"/>
      <c r="I23" s="81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>
      <c r="A24" s="120"/>
      <c r="B24" s="84" t="s">
        <v>100</v>
      </c>
      <c r="C24" s="84"/>
      <c r="D24" s="26"/>
      <c r="E24" s="132">
        <f>(535589+2136786) /10^3</f>
        <v>2672.375</v>
      </c>
      <c r="F24" s="128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>
      <c r="A25" s="120"/>
      <c r="B25" s="84" t="s">
        <v>101</v>
      </c>
      <c r="C25" s="84"/>
      <c r="D25" s="26"/>
      <c r="E25" s="133">
        <v>0</v>
      </c>
      <c r="F25" s="128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>
      <c r="A26" s="131" t="s">
        <v>102</v>
      </c>
      <c r="B26" s="26"/>
      <c r="C26" s="26"/>
      <c r="D26" s="26"/>
      <c r="E26" s="81"/>
      <c r="F26" s="128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>
      <c r="A27" s="120"/>
      <c r="B27" s="26" t="s">
        <v>103</v>
      </c>
      <c r="C27" s="26"/>
      <c r="D27" s="26"/>
      <c r="E27" s="81"/>
      <c r="F27" s="83">
        <v>0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>
      <c r="A28" s="120"/>
      <c r="B28" s="26" t="s">
        <v>104</v>
      </c>
      <c r="C28" s="26"/>
      <c r="D28" s="26"/>
      <c r="E28" s="26"/>
      <c r="F28" s="83">
        <f>87731/10^3</f>
        <v>87.730999999999995</v>
      </c>
      <c r="G28" s="26"/>
      <c r="H28" s="81"/>
      <c r="I28" s="81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>
      <c r="A29" s="131" t="s">
        <v>105</v>
      </c>
      <c r="B29" s="26"/>
      <c r="C29" s="26"/>
      <c r="D29" s="26"/>
      <c r="E29" s="81"/>
      <c r="F29" s="83">
        <f>227362/10^3</f>
        <v>227.36199999999999</v>
      </c>
      <c r="G29" s="26"/>
      <c r="H29" s="81"/>
      <c r="I29" s="81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15.75" thickBot="1">
      <c r="A30" s="85" t="s">
        <v>106</v>
      </c>
      <c r="B30" s="86"/>
      <c r="C30" s="86"/>
      <c r="D30" s="87"/>
      <c r="E30" s="87"/>
      <c r="F30" s="88">
        <f>F18+F19+F20+F23+F27-F29</f>
        <v>6911.2145677599992</v>
      </c>
      <c r="G30" s="26"/>
      <c r="H30" s="26"/>
      <c r="I30" s="81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>
      <c r="A31" s="134" t="s">
        <v>107</v>
      </c>
      <c r="B31" s="89"/>
      <c r="C31" s="89"/>
      <c r="D31" s="90"/>
      <c r="E31" s="90"/>
      <c r="F31" s="83">
        <f>348+54</f>
        <v>402</v>
      </c>
      <c r="G31" s="26"/>
      <c r="H31" s="81"/>
      <c r="I31" s="81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>
      <c r="A32" s="134" t="s">
        <v>108</v>
      </c>
      <c r="B32" s="89"/>
      <c r="C32" s="89"/>
      <c r="D32" s="90"/>
      <c r="E32" s="90"/>
      <c r="F32" s="82">
        <f>F30-F31</f>
        <v>6509.2145677599992</v>
      </c>
      <c r="G32" s="26"/>
      <c r="H32" s="26"/>
      <c r="I32" s="81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15.75" thickBot="1">
      <c r="A33" s="75" t="s">
        <v>109</v>
      </c>
      <c r="B33" s="122"/>
      <c r="C33" s="122"/>
      <c r="D33" s="122"/>
      <c r="E33" s="122"/>
      <c r="F33" s="91">
        <f>F18/F17</f>
        <v>110.16</v>
      </c>
      <c r="G33" s="26"/>
      <c r="H33" s="26"/>
      <c r="I33" s="26"/>
      <c r="J33" s="92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ht="15.75" thickBot="1">
      <c r="A34" s="26"/>
      <c r="B34" s="26"/>
      <c r="C34" s="26"/>
      <c r="D34" s="26"/>
      <c r="E34" s="26"/>
      <c r="F34" s="26"/>
      <c r="G34" s="26"/>
      <c r="H34" s="93"/>
      <c r="I34" s="93"/>
      <c r="J34" s="93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15.75" thickBot="1">
      <c r="A35" s="123" t="s">
        <v>110</v>
      </c>
      <c r="B35" s="78"/>
      <c r="C35" s="94"/>
      <c r="D35" s="94"/>
      <c r="E35" s="94"/>
      <c r="F35" s="94"/>
      <c r="G35" s="94"/>
      <c r="H35" s="94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15.75" thickBot="1">
      <c r="A36" s="26"/>
      <c r="B36" s="26"/>
      <c r="C36" s="26"/>
      <c r="D36" s="26"/>
      <c r="E36" s="26"/>
      <c r="F36" s="26"/>
      <c r="G36" s="26"/>
      <c r="H36" s="93"/>
      <c r="I36" s="93"/>
      <c r="J36" s="93"/>
      <c r="K36" s="93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ht="15.75" thickBot="1">
      <c r="A37" s="26"/>
      <c r="B37" s="123" t="s">
        <v>111</v>
      </c>
      <c r="C37" s="94"/>
      <c r="D37" s="94"/>
      <c r="E37" s="94"/>
      <c r="F37" s="94"/>
      <c r="G37" s="94"/>
      <c r="H37" s="135"/>
      <c r="I37" s="93"/>
      <c r="J37" s="9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>
      <c r="A38" s="26"/>
      <c r="B38" s="136"/>
      <c r="C38" s="25" t="s">
        <v>28</v>
      </c>
      <c r="D38" s="26"/>
      <c r="E38" s="137" t="s">
        <v>29</v>
      </c>
      <c r="F38" s="137"/>
      <c r="G38" s="137"/>
      <c r="H38" s="138" t="s">
        <v>30</v>
      </c>
      <c r="I38" s="93"/>
      <c r="J38" s="25"/>
      <c r="K38" s="25"/>
      <c r="L38" s="77"/>
      <c r="M38" s="77"/>
      <c r="N38" s="26"/>
      <c r="O38" s="26"/>
      <c r="P38" s="26"/>
      <c r="Q38" s="26"/>
      <c r="R38" s="26"/>
      <c r="S38" s="26"/>
      <c r="T38" s="26"/>
      <c r="U38" s="26"/>
    </row>
    <row r="39" spans="1:21" ht="15.75" thickBot="1">
      <c r="A39" s="26"/>
      <c r="B39" s="96" t="s">
        <v>112</v>
      </c>
      <c r="C39" s="139" t="s">
        <v>32</v>
      </c>
      <c r="D39" s="139" t="s">
        <v>33</v>
      </c>
      <c r="E39" s="139" t="s">
        <v>34</v>
      </c>
      <c r="F39" s="139" t="s">
        <v>35</v>
      </c>
      <c r="G39" s="122" t="s">
        <v>36</v>
      </c>
      <c r="H39" s="140" t="s">
        <v>37</v>
      </c>
      <c r="I39" s="93"/>
      <c r="J39" s="97"/>
      <c r="K39" s="25"/>
      <c r="L39" s="25"/>
      <c r="M39" s="26"/>
      <c r="N39" s="26"/>
      <c r="O39" s="26"/>
      <c r="P39" s="26"/>
      <c r="Q39" s="26"/>
      <c r="R39" s="26"/>
      <c r="S39" s="26"/>
      <c r="T39" s="26"/>
      <c r="U39" s="26"/>
    </row>
    <row r="40" spans="1:21">
      <c r="A40" s="26"/>
      <c r="B40" s="98">
        <v>0</v>
      </c>
      <c r="C40" s="143">
        <v>0</v>
      </c>
      <c r="D40" s="141" t="str">
        <f>IF(C15&gt;C40,"YES","NO")</f>
        <v>YES</v>
      </c>
      <c r="E40" s="142">
        <f>IF(D40="YES",B40,0)</f>
        <v>0</v>
      </c>
      <c r="F40" s="129">
        <f>C40*B40</f>
        <v>0</v>
      </c>
      <c r="G40" s="142">
        <f>F40/C15</f>
        <v>0</v>
      </c>
      <c r="H40" s="99">
        <f>E40-G40</f>
        <v>0</v>
      </c>
      <c r="I40" s="93" t="s">
        <v>159</v>
      </c>
      <c r="J40" s="100"/>
      <c r="K40" s="100"/>
      <c r="L40" s="81"/>
      <c r="M40" s="100"/>
      <c r="N40" s="26"/>
      <c r="O40" s="26"/>
      <c r="P40" s="26"/>
      <c r="Q40" s="26"/>
      <c r="R40" s="26"/>
      <c r="S40" s="26"/>
      <c r="T40" s="26"/>
      <c r="U40" s="26"/>
    </row>
    <row r="41" spans="1:21">
      <c r="A41" s="26"/>
      <c r="B41" s="98">
        <f>212844/10^6</f>
        <v>0.21284400000000001</v>
      </c>
      <c r="C41" s="143">
        <v>31.83</v>
      </c>
      <c r="D41" s="141">
        <v>0</v>
      </c>
      <c r="E41" s="142">
        <v>0</v>
      </c>
      <c r="F41" s="129">
        <v>0</v>
      </c>
      <c r="G41" s="142">
        <v>0</v>
      </c>
      <c r="H41" s="99">
        <f>B41</f>
        <v>0.21284400000000001</v>
      </c>
      <c r="I41" s="93" t="s">
        <v>160</v>
      </c>
      <c r="J41" s="100"/>
      <c r="K41" s="100"/>
      <c r="L41" s="81"/>
      <c r="M41" s="100"/>
      <c r="N41" s="26"/>
      <c r="O41" s="26"/>
      <c r="P41" s="26"/>
      <c r="Q41" s="26"/>
      <c r="R41" s="26"/>
      <c r="S41" s="26"/>
      <c r="T41" s="26"/>
      <c r="U41" s="26"/>
    </row>
    <row r="42" spans="1:21">
      <c r="A42" s="26"/>
      <c r="B42" s="98"/>
      <c r="C42" s="143"/>
      <c r="D42" s="141"/>
      <c r="E42" s="142"/>
      <c r="F42" s="129"/>
      <c r="G42" s="142"/>
      <c r="H42" s="99"/>
      <c r="I42" s="93"/>
      <c r="J42" s="100"/>
      <c r="K42" s="100"/>
      <c r="L42" s="81"/>
      <c r="M42" s="100"/>
      <c r="N42" s="26"/>
      <c r="O42" s="26"/>
      <c r="P42" s="26"/>
      <c r="Q42" s="26"/>
      <c r="R42" s="26"/>
      <c r="S42" s="26"/>
      <c r="T42" s="26"/>
      <c r="U42" s="26"/>
    </row>
    <row r="43" spans="1:21">
      <c r="A43" s="26"/>
      <c r="B43" s="98"/>
      <c r="C43" s="143"/>
      <c r="D43" s="141"/>
      <c r="E43" s="142"/>
      <c r="F43" s="129"/>
      <c r="G43" s="142"/>
      <c r="H43" s="99"/>
      <c r="I43" s="93"/>
      <c r="J43" s="100"/>
      <c r="K43" s="100"/>
      <c r="L43" s="81"/>
      <c r="M43" s="100"/>
      <c r="N43" s="26"/>
      <c r="O43" s="26"/>
      <c r="P43" s="26"/>
      <c r="Q43" s="26"/>
      <c r="R43" s="26"/>
      <c r="S43" s="26"/>
      <c r="T43" s="26"/>
      <c r="U43" s="26"/>
    </row>
    <row r="44" spans="1:21">
      <c r="A44" s="26"/>
      <c r="B44" s="98"/>
      <c r="C44" s="143"/>
      <c r="D44" s="141"/>
      <c r="E44" s="142"/>
      <c r="F44" s="129"/>
      <c r="G44" s="142"/>
      <c r="H44" s="99"/>
      <c r="I44" s="93"/>
      <c r="J44" s="100"/>
      <c r="K44" s="100"/>
      <c r="L44" s="81"/>
      <c r="M44" s="100"/>
      <c r="N44" s="26"/>
      <c r="O44" s="26"/>
      <c r="P44" s="26"/>
      <c r="Q44" s="26"/>
      <c r="R44" s="26"/>
      <c r="S44" s="26"/>
      <c r="T44" s="26"/>
      <c r="U44" s="26"/>
    </row>
    <row r="45" spans="1:21" ht="15.75" thickBot="1">
      <c r="A45" s="26"/>
      <c r="B45" s="75"/>
      <c r="C45" s="122"/>
      <c r="D45" s="122"/>
      <c r="E45" s="122"/>
      <c r="F45" s="122"/>
      <c r="G45" s="122"/>
      <c r="H45" s="101">
        <f>H40+H41</f>
        <v>0.21284400000000001</v>
      </c>
      <c r="I45" s="93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ht="15.75" thickBot="1">
      <c r="A46" s="26"/>
      <c r="B46" s="26"/>
      <c r="C46" s="26"/>
      <c r="D46" s="26"/>
      <c r="E46" s="26"/>
      <c r="F46" s="26"/>
      <c r="G46" s="26"/>
      <c r="H46" s="93"/>
      <c r="I46" s="93"/>
      <c r="J46" s="93"/>
      <c r="K46" s="93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ht="15.75" thickBot="1">
      <c r="A47" s="26"/>
      <c r="B47" s="123" t="s">
        <v>113</v>
      </c>
      <c r="C47" s="94"/>
      <c r="D47" s="94"/>
      <c r="E47" s="94"/>
      <c r="F47" s="94"/>
      <c r="G47" s="135"/>
      <c r="H47" s="93"/>
      <c r="I47" s="93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>
      <c r="A48" s="26"/>
      <c r="B48" s="144"/>
      <c r="C48" s="102"/>
      <c r="D48" s="102"/>
      <c r="E48" s="201" t="s">
        <v>114</v>
      </c>
      <c r="F48" s="103"/>
      <c r="G48" s="202" t="s">
        <v>115</v>
      </c>
      <c r="H48" s="93"/>
      <c r="I48" s="93"/>
      <c r="J48" s="84"/>
      <c r="K48" s="84"/>
      <c r="L48" s="26"/>
      <c r="M48" s="204"/>
      <c r="N48" s="26"/>
      <c r="O48" s="26"/>
      <c r="P48" s="26"/>
      <c r="Q48" s="26"/>
      <c r="R48" s="26"/>
      <c r="S48" s="26"/>
      <c r="T48" s="26"/>
      <c r="U48" s="26"/>
    </row>
    <row r="49" spans="1:21">
      <c r="A49" s="26"/>
      <c r="B49" s="145" t="s">
        <v>116</v>
      </c>
      <c r="C49" s="104" t="s">
        <v>117</v>
      </c>
      <c r="D49" s="104" t="s">
        <v>118</v>
      </c>
      <c r="E49" s="189"/>
      <c r="F49" s="105" t="s">
        <v>119</v>
      </c>
      <c r="G49" s="203"/>
      <c r="H49" s="93"/>
      <c r="I49" s="93"/>
      <c r="J49" s="84"/>
      <c r="K49" s="104"/>
      <c r="L49" s="105"/>
      <c r="M49" s="189"/>
      <c r="N49" s="26"/>
      <c r="O49" s="26"/>
      <c r="P49" s="26"/>
      <c r="Q49" s="26"/>
      <c r="R49" s="26"/>
      <c r="S49" s="26"/>
      <c r="T49" s="26"/>
      <c r="U49" s="26"/>
    </row>
    <row r="50" spans="1:21">
      <c r="A50" s="26"/>
      <c r="B50" s="120"/>
      <c r="C50" s="126"/>
      <c r="D50" s="126"/>
      <c r="E50" s="146"/>
      <c r="F50" s="147"/>
      <c r="G50" s="106"/>
      <c r="H50" s="93"/>
      <c r="I50" s="93"/>
      <c r="J50" s="26"/>
      <c r="K50" s="81"/>
      <c r="L50" s="107"/>
      <c r="M50" s="107"/>
      <c r="N50" s="26"/>
      <c r="O50" s="26"/>
      <c r="P50" s="26"/>
      <c r="Q50" s="26"/>
      <c r="R50" s="26"/>
      <c r="S50" s="26"/>
      <c r="T50" s="26"/>
      <c r="U50" s="26"/>
    </row>
    <row r="51" spans="1:21">
      <c r="A51" s="26"/>
      <c r="B51" s="120"/>
      <c r="C51" s="126"/>
      <c r="D51" s="126"/>
      <c r="E51" s="146"/>
      <c r="F51" s="147"/>
      <c r="G51" s="106"/>
      <c r="H51" s="93"/>
      <c r="I51" s="93"/>
      <c r="J51" s="26"/>
      <c r="K51" s="81"/>
      <c r="L51" s="107"/>
      <c r="M51" s="107"/>
      <c r="N51" s="26"/>
      <c r="O51" s="26"/>
      <c r="P51" s="26"/>
      <c r="Q51" s="26"/>
      <c r="R51" s="26"/>
      <c r="S51" s="26"/>
      <c r="T51" s="26"/>
      <c r="U51" s="26"/>
    </row>
    <row r="52" spans="1:21">
      <c r="A52" s="26"/>
      <c r="B52" s="120"/>
      <c r="C52" s="126"/>
      <c r="D52" s="126"/>
      <c r="E52" s="146"/>
      <c r="F52" s="148"/>
      <c r="G52" s="106"/>
      <c r="H52" s="93"/>
      <c r="I52" s="93"/>
      <c r="J52" s="26"/>
      <c r="K52" s="81"/>
      <c r="L52" s="107"/>
      <c r="M52" s="107"/>
      <c r="N52" s="26"/>
      <c r="O52" s="26"/>
      <c r="P52" s="26"/>
      <c r="Q52" s="26"/>
      <c r="R52" s="26"/>
      <c r="S52" s="26"/>
      <c r="T52" s="26"/>
      <c r="U52" s="26"/>
    </row>
    <row r="53" spans="1:21" ht="15.75" thickBot="1">
      <c r="A53" s="26"/>
      <c r="B53" s="75"/>
      <c r="C53" s="149"/>
      <c r="D53" s="149"/>
      <c r="E53" s="149"/>
      <c r="F53" s="108"/>
      <c r="G53" s="109">
        <v>0</v>
      </c>
      <c r="H53" s="93"/>
      <c r="I53" s="93"/>
      <c r="J53" s="26"/>
      <c r="K53" s="81"/>
      <c r="L53" s="107"/>
      <c r="M53" s="107"/>
      <c r="N53" s="26"/>
      <c r="O53" s="26"/>
      <c r="P53" s="26"/>
      <c r="Q53" s="26"/>
      <c r="R53" s="26"/>
      <c r="S53" s="26"/>
      <c r="T53" s="26"/>
      <c r="U53" s="26"/>
    </row>
    <row r="54" spans="1:21">
      <c r="A54" s="26"/>
      <c r="B54" s="26"/>
      <c r="C54" s="26"/>
      <c r="D54" s="26"/>
      <c r="E54" s="26"/>
      <c r="F54" s="26"/>
      <c r="G54" s="26"/>
      <c r="H54" s="93"/>
      <c r="I54" s="93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>
      <c r="A55" s="26"/>
      <c r="B55" s="26"/>
      <c r="C55" s="26"/>
      <c r="D55" s="26"/>
      <c r="E55" s="26"/>
      <c r="F55" s="26"/>
      <c r="G55" s="26"/>
      <c r="H55" s="93"/>
      <c r="I55" s="93"/>
      <c r="J55" s="93"/>
      <c r="K55" s="93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ht="15.75">
      <c r="A56" s="26"/>
      <c r="B56" s="26"/>
      <c r="C56" s="26"/>
      <c r="D56" s="26"/>
      <c r="E56" s="26"/>
      <c r="F56" s="26"/>
      <c r="G56" s="26"/>
      <c r="H56" s="93"/>
      <c r="I56" s="93"/>
      <c r="J56" s="93"/>
      <c r="K56" s="93"/>
      <c r="L56" s="205" t="s">
        <v>149</v>
      </c>
      <c r="M56" s="205"/>
      <c r="N56" s="205"/>
      <c r="O56" s="150"/>
      <c r="P56" s="150"/>
      <c r="Q56" s="150"/>
      <c r="R56" s="26"/>
      <c r="S56" s="26"/>
      <c r="T56" s="26"/>
      <c r="U56" s="26"/>
    </row>
    <row r="57" spans="1:21" ht="15.75">
      <c r="A57" s="151" t="s">
        <v>120</v>
      </c>
      <c r="B57" s="151"/>
      <c r="C57" s="151"/>
      <c r="D57" s="151"/>
      <c r="E57" s="151"/>
      <c r="F57" s="151"/>
      <c r="G57" s="151"/>
      <c r="H57" s="152" t="s">
        <v>121</v>
      </c>
      <c r="I57" s="152" t="s">
        <v>122</v>
      </c>
      <c r="J57" s="152" t="s">
        <v>123</v>
      </c>
      <c r="K57" s="152" t="s">
        <v>38</v>
      </c>
      <c r="L57" s="153" t="s">
        <v>124</v>
      </c>
      <c r="M57" s="153" t="s">
        <v>125</v>
      </c>
      <c r="N57" s="153" t="s">
        <v>126</v>
      </c>
      <c r="O57" s="154"/>
      <c r="P57" s="153" t="s">
        <v>150</v>
      </c>
      <c r="Q57" s="150"/>
      <c r="R57" s="26"/>
      <c r="S57" s="26"/>
      <c r="T57" s="26"/>
      <c r="U57" s="26"/>
    </row>
    <row r="58" spans="1:21" ht="16.5" thickBot="1">
      <c r="A58" s="26"/>
      <c r="B58" s="26"/>
      <c r="C58" s="26"/>
      <c r="D58" s="26"/>
      <c r="E58" s="26"/>
      <c r="F58" s="26"/>
      <c r="G58" s="26"/>
      <c r="H58" s="26" t="s">
        <v>127</v>
      </c>
      <c r="I58" s="26" t="s">
        <v>151</v>
      </c>
      <c r="J58" s="26" t="s">
        <v>151</v>
      </c>
      <c r="K58" s="26"/>
      <c r="L58" s="155">
        <v>46022</v>
      </c>
      <c r="M58" s="155">
        <f>EDATE(L58,12)</f>
        <v>46387</v>
      </c>
      <c r="N58" s="155">
        <f>EDATE(M58,12)</f>
        <v>46752</v>
      </c>
      <c r="O58" s="156"/>
      <c r="P58" s="150"/>
      <c r="Q58" s="150"/>
      <c r="R58" s="26"/>
      <c r="S58" s="26"/>
      <c r="T58" s="26"/>
      <c r="U58" s="26"/>
    </row>
    <row r="59" spans="1:21" ht="16.5" thickBot="1">
      <c r="A59" s="26" t="s">
        <v>128</v>
      </c>
      <c r="B59" s="26"/>
      <c r="C59" s="26"/>
      <c r="D59" s="26"/>
      <c r="E59" s="26"/>
      <c r="F59" s="26"/>
      <c r="G59" s="26"/>
      <c r="H59" s="126">
        <f>3528</f>
        <v>3528</v>
      </c>
      <c r="I59" s="126">
        <v>0</v>
      </c>
      <c r="J59" s="157">
        <v>0</v>
      </c>
      <c r="K59" s="158">
        <f>H59+I59-J59</f>
        <v>3528</v>
      </c>
      <c r="L59" s="171">
        <v>3860</v>
      </c>
      <c r="M59" s="171">
        <v>4063</v>
      </c>
      <c r="N59" s="171">
        <v>4439</v>
      </c>
      <c r="O59" s="159"/>
      <c r="P59" s="160">
        <f>_xlfn.RRI(3,H59,N59)</f>
        <v>7.9573435409330262E-2</v>
      </c>
      <c r="Q59" s="150"/>
      <c r="R59" s="26"/>
      <c r="S59" s="26"/>
      <c r="T59" s="26"/>
      <c r="U59" s="26"/>
    </row>
    <row r="60" spans="1:21" ht="15.75">
      <c r="A60" s="26"/>
      <c r="B60" s="26"/>
      <c r="C60" s="26"/>
      <c r="D60" s="26"/>
      <c r="E60" s="26"/>
      <c r="F60" s="26"/>
      <c r="G60" s="26"/>
      <c r="H60" s="81"/>
      <c r="I60" s="81">
        <v>0</v>
      </c>
      <c r="J60" s="81">
        <v>0</v>
      </c>
      <c r="K60" s="81"/>
      <c r="L60" s="150"/>
      <c r="M60" s="150"/>
      <c r="N60" s="150"/>
      <c r="O60" s="150"/>
      <c r="P60" s="150"/>
      <c r="Q60" s="150"/>
      <c r="R60" s="26"/>
      <c r="S60" s="26"/>
      <c r="T60" s="26"/>
      <c r="U60" s="26"/>
    </row>
    <row r="61" spans="1:21" ht="15.75">
      <c r="A61" s="26" t="s">
        <v>129</v>
      </c>
      <c r="B61" s="26"/>
      <c r="C61" s="26"/>
      <c r="D61" s="26"/>
      <c r="E61" s="26"/>
      <c r="F61" s="26"/>
      <c r="G61" s="26"/>
      <c r="H61" s="126">
        <v>495</v>
      </c>
      <c r="I61" s="126">
        <v>0</v>
      </c>
      <c r="J61" s="126">
        <v>0</v>
      </c>
      <c r="K61" s="158">
        <f>H61+I61-J61</f>
        <v>495</v>
      </c>
      <c r="L61" s="150"/>
      <c r="M61" s="150"/>
      <c r="N61" s="150"/>
      <c r="O61" s="150"/>
      <c r="P61" s="150"/>
      <c r="Q61" s="150"/>
      <c r="R61" s="26"/>
      <c r="S61" s="26"/>
      <c r="T61" s="26"/>
      <c r="U61" s="26"/>
    </row>
    <row r="62" spans="1:21" ht="16.5" thickBot="1">
      <c r="A62" s="26" t="s">
        <v>130</v>
      </c>
      <c r="B62" s="89"/>
      <c r="C62" s="89"/>
      <c r="D62" s="89"/>
      <c r="E62" s="89"/>
      <c r="F62" s="89"/>
      <c r="G62" s="89"/>
      <c r="H62" s="126">
        <f>48+4</f>
        <v>52</v>
      </c>
      <c r="I62" s="126">
        <v>0</v>
      </c>
      <c r="J62" s="126">
        <v>0</v>
      </c>
      <c r="K62" s="90"/>
      <c r="L62" s="161"/>
      <c r="M62" s="161"/>
      <c r="N62" s="161"/>
      <c r="O62" s="161"/>
      <c r="P62" s="161"/>
      <c r="Q62" s="161"/>
      <c r="R62" s="89"/>
      <c r="S62" s="89"/>
      <c r="T62" s="89"/>
      <c r="U62" s="89"/>
    </row>
    <row r="63" spans="1:21" ht="16.5" thickBot="1">
      <c r="A63" s="110" t="s">
        <v>131</v>
      </c>
      <c r="B63" s="89"/>
      <c r="C63" s="89"/>
      <c r="D63" s="89"/>
      <c r="E63" s="89"/>
      <c r="F63" s="89"/>
      <c r="G63" s="89"/>
      <c r="H63" s="162">
        <f>H61+H62</f>
        <v>547</v>
      </c>
      <c r="I63" s="162">
        <v>0</v>
      </c>
      <c r="J63" s="162"/>
      <c r="K63" s="158">
        <f>H63+I63-J63</f>
        <v>547</v>
      </c>
      <c r="L63" s="174">
        <v>565</v>
      </c>
      <c r="M63" s="174">
        <v>604.70000000000005</v>
      </c>
      <c r="N63" s="174">
        <v>680.2</v>
      </c>
      <c r="O63" s="163"/>
      <c r="P63" s="160">
        <f>_xlfn.RRI(3,H63,N63)</f>
        <v>7.534982084546904E-2</v>
      </c>
      <c r="Q63" s="161"/>
      <c r="R63" s="89"/>
      <c r="S63" s="89"/>
      <c r="T63" s="89"/>
      <c r="U63" s="89"/>
    </row>
    <row r="64" spans="1:21" ht="16.5" thickBot="1">
      <c r="A64" s="26" t="s">
        <v>132</v>
      </c>
      <c r="B64" s="26"/>
      <c r="C64" s="26"/>
      <c r="D64" s="26"/>
      <c r="E64" s="26"/>
      <c r="F64" s="26"/>
      <c r="G64" s="26"/>
      <c r="H64" s="126">
        <v>384</v>
      </c>
      <c r="I64" s="126">
        <v>0</v>
      </c>
      <c r="J64" s="126">
        <v>0</v>
      </c>
      <c r="K64" s="81"/>
      <c r="L64" s="150"/>
      <c r="M64" s="150"/>
      <c r="N64" s="150"/>
      <c r="O64" s="150"/>
      <c r="P64" s="150"/>
      <c r="Q64" s="150"/>
      <c r="R64" s="26"/>
      <c r="S64" s="26"/>
      <c r="T64" s="26"/>
      <c r="U64" s="26"/>
    </row>
    <row r="65" spans="1:21" ht="16.5" thickBot="1">
      <c r="A65" s="89" t="s">
        <v>133</v>
      </c>
      <c r="B65" s="89"/>
      <c r="C65" s="89"/>
      <c r="D65" s="89"/>
      <c r="E65" s="89"/>
      <c r="F65" s="89"/>
      <c r="G65" s="89"/>
      <c r="H65" s="162">
        <f>H63+H64</f>
        <v>931</v>
      </c>
      <c r="I65" s="162">
        <v>0</v>
      </c>
      <c r="J65" s="162">
        <v>0</v>
      </c>
      <c r="K65" s="158">
        <f>H65+I65-J65</f>
        <v>931</v>
      </c>
      <c r="L65" s="174">
        <v>956.2</v>
      </c>
      <c r="M65" s="171">
        <v>1014</v>
      </c>
      <c r="N65" s="171">
        <v>1167</v>
      </c>
      <c r="O65" s="163"/>
      <c r="P65" s="160">
        <f>_xlfn.RRI(3,H65,N65)</f>
        <v>7.8219193174236201E-2</v>
      </c>
      <c r="Q65" s="161"/>
      <c r="R65" s="89"/>
      <c r="S65" s="89"/>
      <c r="T65" s="89"/>
      <c r="U65" s="89"/>
    </row>
    <row r="66" spans="1:21" ht="15.75">
      <c r="A66" s="26"/>
      <c r="B66" s="26"/>
      <c r="C66" s="26"/>
      <c r="D66" s="26"/>
      <c r="E66" s="26"/>
      <c r="F66" s="26"/>
      <c r="G66" s="26"/>
      <c r="H66" s="81"/>
      <c r="I66" s="81">
        <v>0</v>
      </c>
      <c r="J66" s="81">
        <v>0</v>
      </c>
      <c r="K66" s="81"/>
      <c r="L66" s="150"/>
      <c r="M66" s="150"/>
      <c r="N66" s="150"/>
      <c r="O66" s="150"/>
      <c r="P66" s="150"/>
      <c r="Q66" s="150"/>
      <c r="R66" s="26"/>
      <c r="S66" s="26"/>
      <c r="T66" s="26"/>
      <c r="U66" s="26"/>
    </row>
    <row r="67" spans="1:21" ht="15.75">
      <c r="A67" s="26" t="s">
        <v>134</v>
      </c>
      <c r="B67" s="26"/>
      <c r="C67" s="26"/>
      <c r="D67" s="26"/>
      <c r="E67" s="26"/>
      <c r="F67" s="26"/>
      <c r="G67" s="26"/>
      <c r="H67" s="126">
        <v>323</v>
      </c>
      <c r="I67" s="126">
        <v>0</v>
      </c>
      <c r="J67" s="126"/>
      <c r="K67" s="158">
        <f>H67+I67-J67</f>
        <v>323</v>
      </c>
      <c r="L67" s="150"/>
      <c r="M67" s="150"/>
      <c r="N67" s="150"/>
      <c r="O67" s="150"/>
      <c r="P67" s="150"/>
      <c r="Q67" s="150"/>
      <c r="R67" s="26"/>
      <c r="S67" s="26"/>
      <c r="T67" s="26"/>
      <c r="U67" s="26"/>
    </row>
    <row r="68" spans="1:21" ht="15.75">
      <c r="A68" s="26" t="s">
        <v>135</v>
      </c>
      <c r="B68" s="26"/>
      <c r="C68" s="26"/>
      <c r="D68" s="26"/>
      <c r="E68" s="26"/>
      <c r="F68" s="26"/>
      <c r="G68" s="26"/>
      <c r="H68" s="129">
        <f>H62</f>
        <v>52</v>
      </c>
      <c r="I68" s="129">
        <v>0</v>
      </c>
      <c r="J68" s="129">
        <v>0</v>
      </c>
      <c r="K68" s="26"/>
      <c r="L68" s="150"/>
      <c r="M68" s="150"/>
      <c r="N68" s="150"/>
      <c r="O68" s="150"/>
      <c r="P68" s="150"/>
      <c r="Q68" s="150"/>
      <c r="R68" s="26"/>
      <c r="S68" s="26"/>
      <c r="T68" s="26"/>
      <c r="U68" s="26"/>
    </row>
    <row r="69" spans="1:21" ht="15.75">
      <c r="A69" s="26" t="s">
        <v>136</v>
      </c>
      <c r="B69" s="26"/>
      <c r="C69" s="26"/>
      <c r="D69" s="26"/>
      <c r="E69" s="26"/>
      <c r="F69" s="26"/>
      <c r="G69" s="26"/>
      <c r="H69" s="126"/>
      <c r="I69" s="126">
        <v>0</v>
      </c>
      <c r="J69" s="126">
        <v>0</v>
      </c>
      <c r="K69" s="26"/>
      <c r="L69" s="150"/>
      <c r="M69" s="150"/>
      <c r="N69" s="150"/>
      <c r="O69" s="150"/>
      <c r="P69" s="150"/>
      <c r="Q69" s="150"/>
      <c r="R69" s="26"/>
      <c r="S69" s="26"/>
      <c r="T69" s="26"/>
      <c r="U69" s="26"/>
    </row>
    <row r="70" spans="1:21" ht="15.75">
      <c r="A70" s="26" t="s">
        <v>137</v>
      </c>
      <c r="B70" s="26"/>
      <c r="C70" s="26"/>
      <c r="D70" s="26"/>
      <c r="E70" s="26"/>
      <c r="F70" s="26"/>
      <c r="G70" s="26"/>
      <c r="H70" s="129"/>
      <c r="I70" s="129">
        <v>0</v>
      </c>
      <c r="J70" s="129">
        <v>0</v>
      </c>
      <c r="K70" s="26"/>
      <c r="L70" s="150"/>
      <c r="M70" s="150"/>
      <c r="N70" s="150"/>
      <c r="O70" s="150"/>
      <c r="P70" s="150"/>
      <c r="Q70" s="150"/>
      <c r="R70" s="26"/>
      <c r="S70" s="26"/>
      <c r="T70" s="26"/>
      <c r="U70" s="26"/>
    </row>
    <row r="71" spans="1:21" ht="15.75">
      <c r="A71" s="26" t="s">
        <v>138</v>
      </c>
      <c r="B71" s="26"/>
      <c r="C71" s="26"/>
      <c r="D71" s="26"/>
      <c r="E71" s="26"/>
      <c r="F71" s="26"/>
      <c r="G71" s="26"/>
      <c r="H71" s="126"/>
      <c r="I71" s="126">
        <v>0</v>
      </c>
      <c r="J71" s="126">
        <v>0</v>
      </c>
      <c r="K71" s="26"/>
      <c r="L71" s="150"/>
      <c r="M71" s="150"/>
      <c r="N71" s="150"/>
      <c r="O71" s="150"/>
      <c r="P71" s="150"/>
      <c r="Q71" s="150"/>
      <c r="R71" s="26"/>
      <c r="S71" s="26"/>
      <c r="T71" s="26"/>
      <c r="U71" s="26"/>
    </row>
    <row r="72" spans="1:21" ht="15.75">
      <c r="A72" s="89" t="s">
        <v>139</v>
      </c>
      <c r="B72" s="26"/>
      <c r="C72" s="26"/>
      <c r="D72" s="26"/>
      <c r="E72" s="26"/>
      <c r="F72" s="26"/>
      <c r="G72" s="26"/>
      <c r="H72" s="162"/>
      <c r="I72" s="162">
        <v>0</v>
      </c>
      <c r="J72" s="162">
        <v>0</v>
      </c>
      <c r="K72" s="26"/>
      <c r="L72" s="150"/>
      <c r="M72" s="150"/>
      <c r="N72" s="150"/>
      <c r="O72" s="150"/>
      <c r="P72" s="150"/>
      <c r="Q72" s="150"/>
      <c r="R72" s="26"/>
      <c r="S72" s="26"/>
      <c r="T72" s="26"/>
      <c r="U72" s="26"/>
    </row>
    <row r="73" spans="1:21" ht="16.5" thickBot="1">
      <c r="A73" s="26" t="s">
        <v>140</v>
      </c>
      <c r="B73" s="26"/>
      <c r="C73" s="26"/>
      <c r="D73" s="26"/>
      <c r="E73" s="26"/>
      <c r="F73" s="26"/>
      <c r="G73" s="26"/>
      <c r="H73" s="126">
        <v>0</v>
      </c>
      <c r="I73" s="126">
        <v>0</v>
      </c>
      <c r="J73" s="126">
        <v>0</v>
      </c>
      <c r="K73" s="26"/>
      <c r="L73" s="150"/>
      <c r="M73" s="150"/>
      <c r="N73" s="150"/>
      <c r="O73" s="150"/>
      <c r="P73" s="150"/>
      <c r="Q73" s="150"/>
      <c r="R73" s="26"/>
      <c r="S73" s="26"/>
      <c r="T73" s="26"/>
      <c r="U73" s="26"/>
    </row>
    <row r="74" spans="1:21" ht="16.5" thickBot="1">
      <c r="A74" s="89" t="s">
        <v>141</v>
      </c>
      <c r="B74" s="89"/>
      <c r="C74" s="89"/>
      <c r="D74" s="89"/>
      <c r="E74" s="89"/>
      <c r="F74" s="89"/>
      <c r="G74" s="89"/>
      <c r="H74" s="158">
        <f>322962/10^3</f>
        <v>322.96199999999999</v>
      </c>
      <c r="I74" s="158">
        <v>0</v>
      </c>
      <c r="J74" s="158">
        <v>0</v>
      </c>
      <c r="K74" s="158">
        <f>H74+I74-J74</f>
        <v>322.96199999999999</v>
      </c>
      <c r="L74" s="174">
        <v>371.9</v>
      </c>
      <c r="M74" s="174">
        <v>389.4</v>
      </c>
      <c r="N74" s="174">
        <v>409.3</v>
      </c>
      <c r="O74" s="163"/>
      <c r="P74" s="160">
        <f>_xlfn.RRI(3,H74,N74)</f>
        <v>8.2173196249385905E-2</v>
      </c>
      <c r="Q74" s="161"/>
      <c r="R74" s="89"/>
      <c r="S74" s="89"/>
      <c r="T74" s="89"/>
      <c r="U74" s="89"/>
    </row>
    <row r="75" spans="1:21" ht="15.75">
      <c r="A75" s="26"/>
      <c r="B75" s="26"/>
      <c r="C75" s="26"/>
      <c r="D75" s="26"/>
      <c r="E75" s="26"/>
      <c r="F75" s="26"/>
      <c r="G75" s="26"/>
      <c r="H75" s="81"/>
      <c r="I75" s="81">
        <v>0</v>
      </c>
      <c r="J75" s="81">
        <v>0</v>
      </c>
      <c r="K75" s="81"/>
      <c r="L75" s="150"/>
      <c r="M75" s="150"/>
      <c r="N75" s="150"/>
      <c r="O75" s="150"/>
      <c r="P75" s="150"/>
      <c r="Q75" s="150"/>
      <c r="R75" s="26"/>
      <c r="S75" s="26"/>
      <c r="T75" s="26"/>
      <c r="U75" s="26"/>
    </row>
    <row r="76" spans="1:21" ht="15.75">
      <c r="A76" s="26" t="s">
        <v>142</v>
      </c>
      <c r="B76" s="26"/>
      <c r="C76" s="26"/>
      <c r="D76" s="26"/>
      <c r="E76" s="26"/>
      <c r="F76" s="26"/>
      <c r="G76" s="26"/>
      <c r="H76" s="126">
        <f>41547/10^3</f>
        <v>41.546999999999997</v>
      </c>
      <c r="I76" s="126">
        <v>0</v>
      </c>
      <c r="J76" s="126">
        <v>0</v>
      </c>
      <c r="K76" s="81"/>
      <c r="L76" s="150"/>
      <c r="M76" s="150"/>
      <c r="N76" s="150"/>
      <c r="O76" s="150"/>
      <c r="P76" s="150"/>
      <c r="Q76" s="150"/>
      <c r="R76" s="26"/>
      <c r="S76" s="26"/>
      <c r="T76" s="26"/>
      <c r="U76" s="26"/>
    </row>
    <row r="77" spans="1:21" ht="15.75">
      <c r="A77" s="26" t="s">
        <v>143</v>
      </c>
      <c r="B77" s="26"/>
      <c r="C77" s="26"/>
      <c r="D77" s="26"/>
      <c r="E77" s="26"/>
      <c r="F77" s="26"/>
      <c r="G77" s="26"/>
      <c r="H77" s="164">
        <f>H74/H76</f>
        <v>7.7734132428334179</v>
      </c>
      <c r="I77" s="164">
        <v>0</v>
      </c>
      <c r="J77" s="164">
        <v>0</v>
      </c>
      <c r="K77" s="158">
        <f>H77+I77-J77</f>
        <v>7.7734132428334179</v>
      </c>
      <c r="L77" s="172">
        <f>L74/$H$76</f>
        <v>8.9513081570269808</v>
      </c>
      <c r="M77" s="172">
        <f t="shared" ref="M77:N77" si="1">M74/$H$76</f>
        <v>9.3725178713264494</v>
      </c>
      <c r="N77" s="172">
        <f t="shared" si="1"/>
        <v>9.8514934893012747</v>
      </c>
      <c r="O77" s="150"/>
      <c r="P77" s="160">
        <f>_xlfn.RRI(3,H77,N77)</f>
        <v>8.2173196249385905E-2</v>
      </c>
      <c r="Q77" s="150"/>
      <c r="R77" s="26"/>
      <c r="S77" s="26"/>
      <c r="T77" s="26"/>
      <c r="U77" s="26"/>
    </row>
    <row r="78" spans="1:21" ht="15.75">
      <c r="A78" s="26"/>
      <c r="B78" s="26"/>
      <c r="C78" s="26"/>
      <c r="D78" s="26"/>
      <c r="E78" s="26"/>
      <c r="F78" s="26"/>
      <c r="G78" s="26"/>
      <c r="H78" s="181" t="s">
        <v>161</v>
      </c>
      <c r="I78" s="81"/>
      <c r="J78" s="81"/>
      <c r="K78" s="81"/>
      <c r="L78" s="165" t="s">
        <v>152</v>
      </c>
      <c r="M78" s="150"/>
      <c r="N78" s="150"/>
      <c r="O78" s="150"/>
      <c r="P78" s="150"/>
      <c r="Q78" s="150"/>
      <c r="R78" s="26"/>
      <c r="S78" s="26"/>
      <c r="T78" s="26"/>
      <c r="U78" s="26"/>
    </row>
  </sheetData>
  <mergeCells count="5">
    <mergeCell ref="G13:I13"/>
    <mergeCell ref="E48:E49"/>
    <mergeCell ref="G48:G49"/>
    <mergeCell ref="M48:M49"/>
    <mergeCell ref="L56:N56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E8D0-03B9-4920-853A-2E86A8D7CD15}">
  <dimension ref="A1:U78"/>
  <sheetViews>
    <sheetView showGridLines="0" topLeftCell="A22" workbookViewId="0">
      <selection activeCell="J29" sqref="J29"/>
    </sheetView>
  </sheetViews>
  <sheetFormatPr defaultRowHeight="15"/>
  <cols>
    <col min="1" max="1" width="4" customWidth="1"/>
    <col min="2" max="2" width="33.5703125" customWidth="1"/>
    <col min="5" max="5" width="12.7109375" customWidth="1"/>
    <col min="12" max="12" width="10.5703125" customWidth="1"/>
    <col min="13" max="14" width="10.140625" bestFit="1" customWidth="1"/>
  </cols>
  <sheetData>
    <row r="1" spans="1:21" ht="23.25">
      <c r="A1" s="115" t="s">
        <v>162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</row>
    <row r="2" spans="1:21">
      <c r="A2" s="117" t="str">
        <f>"(In "&amp;F10&amp;" Millions Except Per Share Data)"</f>
        <v>(In USD Millions Except Per Share Data)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</row>
    <row r="3" spans="1:21" ht="15.75" thickBo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>
      <c r="A4" s="72" t="s">
        <v>82</v>
      </c>
      <c r="B4" s="118"/>
      <c r="C4" s="118"/>
      <c r="D4" s="118"/>
      <c r="E4" s="118"/>
      <c r="F4" s="119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>
      <c r="A5" s="120" t="s">
        <v>83</v>
      </c>
      <c r="B5" s="26"/>
      <c r="C5" s="26"/>
      <c r="D5" s="26"/>
      <c r="E5" s="26"/>
      <c r="F5" s="73" t="s">
        <v>146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>
      <c r="A6" s="120" t="s">
        <v>84</v>
      </c>
      <c r="B6" s="26"/>
      <c r="C6" s="26"/>
      <c r="D6" s="26"/>
      <c r="E6" s="26"/>
      <c r="F6" s="121">
        <f>DATE(2025,2,11)</f>
        <v>45699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>
      <c r="A7" s="120" t="s">
        <v>85</v>
      </c>
      <c r="B7" s="26"/>
      <c r="C7" s="26"/>
      <c r="D7" s="26"/>
      <c r="E7" s="26"/>
      <c r="F7" s="73" t="s">
        <v>163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>
      <c r="A8" s="120" t="s">
        <v>86</v>
      </c>
      <c r="B8" s="26"/>
      <c r="C8" s="26"/>
      <c r="D8" s="26"/>
      <c r="E8" s="26"/>
      <c r="F8" s="74">
        <v>45657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>
      <c r="A9" s="120" t="s">
        <v>87</v>
      </c>
      <c r="B9" s="26"/>
      <c r="C9" s="26"/>
      <c r="D9" s="26"/>
      <c r="E9" s="26"/>
      <c r="F9" s="74">
        <f>F8</f>
        <v>45657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>
      <c r="A10" s="120" t="s">
        <v>67</v>
      </c>
      <c r="B10" s="26"/>
      <c r="C10" s="26"/>
      <c r="D10" s="26"/>
      <c r="E10" s="26"/>
      <c r="F10" s="73" t="s">
        <v>49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ht="15.75" thickBot="1">
      <c r="A11" s="75" t="s">
        <v>88</v>
      </c>
      <c r="B11" s="122"/>
      <c r="C11" s="122"/>
      <c r="D11" s="122"/>
      <c r="E11" s="122"/>
      <c r="F11" s="76">
        <v>0.27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spans="1:2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ht="15.75" thickBot="1">
      <c r="A13" s="26"/>
      <c r="B13" s="26"/>
      <c r="C13" s="26"/>
      <c r="D13" s="26"/>
      <c r="E13" s="26"/>
      <c r="F13" s="26"/>
      <c r="G13" s="200"/>
      <c r="H13" s="189"/>
      <c r="I13" s="189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ht="15.75" thickBot="1">
      <c r="A14" s="123" t="s">
        <v>89</v>
      </c>
      <c r="B14" s="78"/>
      <c r="C14" s="79" t="s">
        <v>90</v>
      </c>
      <c r="D14" s="79" t="s">
        <v>91</v>
      </c>
      <c r="E14" s="79" t="s">
        <v>92</v>
      </c>
      <c r="F14" s="124"/>
      <c r="G14" s="26"/>
      <c r="H14" s="77"/>
      <c r="I14" s="77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>
      <c r="A15" s="120" t="s">
        <v>93</v>
      </c>
      <c r="B15" s="26"/>
      <c r="C15" s="125">
        <v>29.77</v>
      </c>
      <c r="D15" s="126">
        <v>0</v>
      </c>
      <c r="E15" s="126">
        <v>0</v>
      </c>
      <c r="F15" s="127"/>
      <c r="G15" s="80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>
      <c r="A16" s="120" t="s">
        <v>94</v>
      </c>
      <c r="B16" s="26"/>
      <c r="C16" s="126">
        <f>592661084/10^6</f>
        <v>592.66108399999996</v>
      </c>
      <c r="D16" s="126">
        <v>0</v>
      </c>
      <c r="E16" s="126">
        <v>0</v>
      </c>
      <c r="F16" s="128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>
      <c r="A17" s="120" t="s">
        <v>95</v>
      </c>
      <c r="B17" s="26"/>
      <c r="C17" s="129">
        <f>C16+H45+G53</f>
        <v>598.5480839999999</v>
      </c>
      <c r="D17" s="129">
        <v>0</v>
      </c>
      <c r="E17" s="129">
        <v>0</v>
      </c>
      <c r="F17" s="166">
        <f>SUM(C17:E17)</f>
        <v>598.5480839999999</v>
      </c>
      <c r="G17" s="26"/>
      <c r="H17" s="8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>
      <c r="A18" s="120" t="s">
        <v>74</v>
      </c>
      <c r="B18" s="26"/>
      <c r="C18" s="129">
        <f>C15*C17</f>
        <v>17818.776460679997</v>
      </c>
      <c r="D18" s="129">
        <f t="shared" ref="D18:E18" si="0">D15*D17</f>
        <v>0</v>
      </c>
      <c r="E18" s="129">
        <f t="shared" si="0"/>
        <v>0</v>
      </c>
      <c r="F18" s="82">
        <f>SUM(C18:E18)</f>
        <v>17818.776460679997</v>
      </c>
      <c r="G18" s="26"/>
      <c r="H18" s="26"/>
      <c r="I18" s="81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>
      <c r="A19" s="120" t="s">
        <v>4</v>
      </c>
      <c r="B19" s="26"/>
      <c r="C19" s="26"/>
      <c r="D19" s="81"/>
      <c r="E19" s="81"/>
      <c r="F19" s="83">
        <v>0</v>
      </c>
      <c r="G19" s="26"/>
      <c r="H19" s="81"/>
      <c r="I19" s="81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>
      <c r="A20" s="131" t="s">
        <v>96</v>
      </c>
      <c r="B20" s="26"/>
      <c r="C20" s="26"/>
      <c r="D20" s="81"/>
      <c r="E20" s="81"/>
      <c r="F20" s="82">
        <f>E21+E22</f>
        <v>0</v>
      </c>
      <c r="G20" s="26"/>
      <c r="H20" s="81"/>
      <c r="I20" s="81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>
      <c r="A21" s="120"/>
      <c r="B21" s="26" t="s">
        <v>97</v>
      </c>
      <c r="C21" s="26"/>
      <c r="D21" s="26"/>
      <c r="E21" s="132">
        <v>0</v>
      </c>
      <c r="F21" s="128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>
      <c r="A22" s="120"/>
      <c r="B22" s="84" t="s">
        <v>98</v>
      </c>
      <c r="C22" s="26"/>
      <c r="D22" s="26"/>
      <c r="E22" s="133">
        <v>0</v>
      </c>
      <c r="F22" s="128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>
      <c r="A23" s="131" t="s">
        <v>99</v>
      </c>
      <c r="B23" s="26"/>
      <c r="C23" s="26"/>
      <c r="D23" s="26"/>
      <c r="E23" s="81"/>
      <c r="F23" s="82">
        <f>E24+E25</f>
        <v>6699</v>
      </c>
      <c r="G23" s="26"/>
      <c r="H23" s="81"/>
      <c r="I23" s="81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>
      <c r="A24" s="120"/>
      <c r="B24" s="84" t="s">
        <v>100</v>
      </c>
      <c r="C24" s="84"/>
      <c r="D24" s="26"/>
      <c r="E24" s="132">
        <f>1630+5069</f>
        <v>6699</v>
      </c>
      <c r="F24" s="128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>
      <c r="A25" s="120"/>
      <c r="B25" s="84" t="s">
        <v>101</v>
      </c>
      <c r="C25" s="84"/>
      <c r="D25" s="26"/>
      <c r="E25" s="133">
        <v>0</v>
      </c>
      <c r="F25" s="128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>
      <c r="A26" s="131" t="s">
        <v>102</v>
      </c>
      <c r="B26" s="26"/>
      <c r="C26" s="26"/>
      <c r="D26" s="26"/>
      <c r="E26" s="81"/>
      <c r="F26" s="128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>
      <c r="A27" s="120"/>
      <c r="B27" s="26" t="s">
        <v>103</v>
      </c>
      <c r="C27" s="26"/>
      <c r="D27" s="26"/>
      <c r="E27" s="81"/>
      <c r="F27" s="83">
        <f>-1+257</f>
        <v>256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>
      <c r="A28" s="120"/>
      <c r="B28" s="26" t="s">
        <v>104</v>
      </c>
      <c r="C28" s="26"/>
      <c r="D28" s="26"/>
      <c r="E28" s="26"/>
      <c r="F28" s="83">
        <v>1369</v>
      </c>
      <c r="G28" s="26"/>
      <c r="H28" s="81"/>
      <c r="I28" s="81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>
      <c r="A29" s="131" t="s">
        <v>105</v>
      </c>
      <c r="B29" s="26"/>
      <c r="C29" s="26"/>
      <c r="D29" s="26"/>
      <c r="E29" s="81"/>
      <c r="F29" s="83">
        <f>7509</f>
        <v>7509</v>
      </c>
      <c r="G29" s="26"/>
      <c r="H29" s="81"/>
      <c r="I29" s="81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15.75" thickBot="1">
      <c r="A30" s="85" t="s">
        <v>106</v>
      </c>
      <c r="B30" s="86"/>
      <c r="C30" s="86"/>
      <c r="D30" s="87"/>
      <c r="E30" s="87"/>
      <c r="F30" s="88">
        <f>F18+F19+F20+F23+F27-F29</f>
        <v>17264.776460679997</v>
      </c>
      <c r="G30" s="26"/>
      <c r="H30" s="26"/>
      <c r="I30" s="81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>
      <c r="A31" s="134" t="s">
        <v>107</v>
      </c>
      <c r="B31" s="89"/>
      <c r="C31" s="89"/>
      <c r="D31" s="90"/>
      <c r="E31" s="90"/>
      <c r="F31" s="83">
        <f>1216+1081</f>
        <v>2297</v>
      </c>
      <c r="G31" s="26"/>
      <c r="H31" s="81"/>
      <c r="I31" s="81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>
      <c r="A32" s="134" t="s">
        <v>108</v>
      </c>
      <c r="B32" s="89"/>
      <c r="C32" s="89"/>
      <c r="D32" s="90"/>
      <c r="E32" s="90"/>
      <c r="F32" s="82">
        <f>F30-F31</f>
        <v>14967.776460679997</v>
      </c>
      <c r="G32" s="26"/>
      <c r="H32" s="26"/>
      <c r="I32" s="81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15.75" thickBot="1">
      <c r="A33" s="75" t="s">
        <v>109</v>
      </c>
      <c r="B33" s="122"/>
      <c r="C33" s="122"/>
      <c r="D33" s="122"/>
      <c r="E33" s="122"/>
      <c r="F33" s="91">
        <f>F18/F17</f>
        <v>29.77</v>
      </c>
      <c r="G33" s="26"/>
      <c r="H33" s="26"/>
      <c r="I33" s="26"/>
      <c r="J33" s="92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ht="15.75" thickBot="1">
      <c r="A34" s="26"/>
      <c r="B34" s="26"/>
      <c r="C34" s="26"/>
      <c r="D34" s="26"/>
      <c r="E34" s="26"/>
      <c r="F34" s="26"/>
      <c r="G34" s="26"/>
      <c r="H34" s="93"/>
      <c r="I34" s="93"/>
      <c r="J34" s="93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15.75" thickBot="1">
      <c r="A35" s="123" t="s">
        <v>110</v>
      </c>
      <c r="B35" s="78"/>
      <c r="C35" s="94"/>
      <c r="D35" s="94"/>
      <c r="E35" s="94"/>
      <c r="F35" s="94"/>
      <c r="G35" s="94"/>
      <c r="H35" s="94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15.75" thickBot="1">
      <c r="A36" s="26"/>
      <c r="B36" s="26"/>
      <c r="C36" s="26"/>
      <c r="D36" s="26"/>
      <c r="E36" s="26"/>
      <c r="F36" s="26"/>
      <c r="G36" s="26"/>
      <c r="H36" s="93"/>
      <c r="I36" s="93"/>
      <c r="J36" s="93"/>
      <c r="K36" s="93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ht="15.75" thickBot="1">
      <c r="A37" s="26"/>
      <c r="B37" s="123" t="s">
        <v>111</v>
      </c>
      <c r="C37" s="94"/>
      <c r="D37" s="94"/>
      <c r="E37" s="94"/>
      <c r="F37" s="94"/>
      <c r="G37" s="94"/>
      <c r="H37" s="135"/>
      <c r="I37" s="93"/>
      <c r="J37" s="9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>
      <c r="A38" s="26"/>
      <c r="B38" s="136"/>
      <c r="C38" s="25" t="s">
        <v>28</v>
      </c>
      <c r="D38" s="26"/>
      <c r="E38" s="195" t="s">
        <v>29</v>
      </c>
      <c r="F38" s="195"/>
      <c r="G38" s="195"/>
      <c r="H38" s="138" t="s">
        <v>30</v>
      </c>
      <c r="I38" s="93"/>
      <c r="J38" s="25"/>
      <c r="K38" s="25"/>
      <c r="L38" s="77"/>
      <c r="M38" s="77"/>
      <c r="N38" s="26"/>
      <c r="O38" s="26"/>
      <c r="P38" s="26"/>
      <c r="Q38" s="26"/>
      <c r="R38" s="26"/>
      <c r="S38" s="26"/>
      <c r="T38" s="26"/>
      <c r="U38" s="26"/>
    </row>
    <row r="39" spans="1:21" ht="15.75" thickBot="1">
      <c r="A39" s="26"/>
      <c r="B39" s="96" t="s">
        <v>112</v>
      </c>
      <c r="C39" s="139" t="s">
        <v>32</v>
      </c>
      <c r="D39" s="139" t="s">
        <v>33</v>
      </c>
      <c r="E39" s="139" t="s">
        <v>34</v>
      </c>
      <c r="F39" s="169" t="s">
        <v>35</v>
      </c>
      <c r="G39" s="122" t="s">
        <v>36</v>
      </c>
      <c r="H39" s="140" t="s">
        <v>37</v>
      </c>
      <c r="I39" s="93"/>
      <c r="J39" s="97"/>
      <c r="K39" s="25"/>
      <c r="L39" s="25"/>
      <c r="M39" s="26"/>
      <c r="N39" s="26"/>
      <c r="O39" s="26"/>
      <c r="P39" s="26"/>
      <c r="Q39" s="26"/>
      <c r="R39" s="26"/>
      <c r="S39" s="26"/>
      <c r="T39" s="26"/>
      <c r="U39" s="26"/>
    </row>
    <row r="40" spans="1:21">
      <c r="A40" s="26"/>
      <c r="B40" s="98"/>
      <c r="C40" s="143"/>
      <c r="D40" s="141" t="str">
        <f>IF(C15&gt;C40,"YES","NO")</f>
        <v>YES</v>
      </c>
      <c r="E40" s="142">
        <f>IF(D40="YES",B40,0)</f>
        <v>0</v>
      </c>
      <c r="F40" s="129">
        <f>C40*B40</f>
        <v>0</v>
      </c>
      <c r="G40" s="142">
        <f>F40/C15</f>
        <v>0</v>
      </c>
      <c r="H40" s="99">
        <f>E40-G40</f>
        <v>0</v>
      </c>
      <c r="I40" s="93" t="s">
        <v>164</v>
      </c>
      <c r="J40" s="100" t="s">
        <v>155</v>
      </c>
      <c r="K40" s="100"/>
      <c r="L40" s="81"/>
      <c r="M40" s="100"/>
      <c r="N40" s="26"/>
      <c r="O40" s="26"/>
      <c r="P40" s="26"/>
      <c r="Q40" s="26"/>
      <c r="R40" s="26"/>
      <c r="S40" s="26"/>
      <c r="T40" s="26"/>
      <c r="U40" s="26"/>
    </row>
    <row r="41" spans="1:21">
      <c r="A41" s="26"/>
      <c r="B41" s="98">
        <f>5887/10^3</f>
        <v>5.8869999999999996</v>
      </c>
      <c r="C41" s="143">
        <v>0</v>
      </c>
      <c r="D41" s="141" t="str">
        <f>IF(C16&gt;C41,"YES","NO")</f>
        <v>YES</v>
      </c>
      <c r="E41" s="142">
        <v>0</v>
      </c>
      <c r="F41" s="129">
        <v>0</v>
      </c>
      <c r="G41" s="142">
        <v>0</v>
      </c>
      <c r="H41" s="99">
        <f>B41</f>
        <v>5.8869999999999996</v>
      </c>
      <c r="I41" s="93" t="s">
        <v>160</v>
      </c>
      <c r="J41" s="100"/>
      <c r="K41" s="100"/>
      <c r="L41" s="81"/>
      <c r="M41" s="100"/>
      <c r="N41" s="26"/>
      <c r="O41" s="26"/>
      <c r="P41" s="26"/>
      <c r="Q41" s="26"/>
      <c r="R41" s="26"/>
      <c r="S41" s="26"/>
      <c r="T41" s="26"/>
      <c r="U41" s="26"/>
    </row>
    <row r="42" spans="1:21">
      <c r="A42" s="26"/>
      <c r="B42" s="98"/>
      <c r="C42" s="143"/>
      <c r="D42" s="141"/>
      <c r="E42" s="142"/>
      <c r="F42" s="129"/>
      <c r="G42" s="142"/>
      <c r="H42" s="99"/>
      <c r="I42" s="93"/>
      <c r="J42" s="100"/>
      <c r="K42" s="100"/>
      <c r="L42" s="81"/>
      <c r="M42" s="100"/>
      <c r="N42" s="26"/>
      <c r="O42" s="26"/>
      <c r="P42" s="26"/>
      <c r="Q42" s="26"/>
      <c r="R42" s="26"/>
      <c r="S42" s="26"/>
      <c r="T42" s="26"/>
      <c r="U42" s="26"/>
    </row>
    <row r="43" spans="1:21">
      <c r="A43" s="26"/>
      <c r="B43" s="98"/>
      <c r="C43" s="143"/>
      <c r="D43" s="141"/>
      <c r="E43" s="142"/>
      <c r="F43" s="129"/>
      <c r="G43" s="142"/>
      <c r="H43" s="99"/>
      <c r="I43" s="93"/>
      <c r="J43" s="100"/>
      <c r="K43" s="100"/>
      <c r="L43" s="81"/>
      <c r="M43" s="100"/>
      <c r="N43" s="26"/>
      <c r="O43" s="26"/>
      <c r="P43" s="26"/>
      <c r="Q43" s="26"/>
      <c r="R43" s="26"/>
      <c r="S43" s="26"/>
      <c r="T43" s="26"/>
      <c r="U43" s="26"/>
    </row>
    <row r="44" spans="1:21">
      <c r="A44" s="26"/>
      <c r="B44" s="98"/>
      <c r="C44" s="143"/>
      <c r="D44" s="141"/>
      <c r="E44" s="142"/>
      <c r="F44" s="129"/>
      <c r="G44" s="142"/>
      <c r="H44" s="99"/>
      <c r="I44" s="93"/>
      <c r="J44" s="100"/>
      <c r="K44" s="100"/>
      <c r="L44" s="81"/>
      <c r="M44" s="100"/>
      <c r="N44" s="26"/>
      <c r="O44" s="26"/>
      <c r="P44" s="26"/>
      <c r="Q44" s="26"/>
      <c r="R44" s="26"/>
      <c r="S44" s="26"/>
      <c r="T44" s="26"/>
      <c r="U44" s="26"/>
    </row>
    <row r="45" spans="1:21" ht="15.75" thickBot="1">
      <c r="A45" s="26"/>
      <c r="B45" s="75"/>
      <c r="C45" s="122"/>
      <c r="D45" s="122"/>
      <c r="E45" s="122"/>
      <c r="F45" s="122"/>
      <c r="G45" s="122"/>
      <c r="H45" s="101">
        <f>H40+H41</f>
        <v>5.8869999999999996</v>
      </c>
      <c r="I45" s="93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ht="15.75" thickBot="1">
      <c r="A46" s="26"/>
      <c r="B46" s="26"/>
      <c r="C46" s="26"/>
      <c r="D46" s="26"/>
      <c r="E46" s="26"/>
      <c r="F46" s="26"/>
      <c r="G46" s="26"/>
      <c r="H46" s="93"/>
      <c r="I46" s="93"/>
      <c r="J46" s="93"/>
      <c r="K46" s="93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ht="15.75" thickBot="1">
      <c r="A47" s="26"/>
      <c r="B47" s="123" t="s">
        <v>113</v>
      </c>
      <c r="C47" s="94"/>
      <c r="D47" s="94"/>
      <c r="E47" s="94"/>
      <c r="F47" s="94"/>
      <c r="G47" s="135"/>
      <c r="H47" s="93"/>
      <c r="I47" s="93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>
      <c r="A48" s="26"/>
      <c r="B48" s="144"/>
      <c r="C48" s="102"/>
      <c r="D48" s="102"/>
      <c r="E48" s="201" t="s">
        <v>114</v>
      </c>
      <c r="F48" s="103"/>
      <c r="G48" s="202" t="s">
        <v>115</v>
      </c>
      <c r="H48" s="93"/>
      <c r="I48" s="93"/>
      <c r="J48" s="84"/>
      <c r="K48" s="84"/>
      <c r="L48" s="26"/>
      <c r="M48" s="204"/>
      <c r="N48" s="26"/>
      <c r="O48" s="26"/>
      <c r="P48" s="26"/>
      <c r="Q48" s="26"/>
      <c r="R48" s="26"/>
      <c r="S48" s="26"/>
      <c r="T48" s="26"/>
      <c r="U48" s="26"/>
    </row>
    <row r="49" spans="1:21">
      <c r="A49" s="26"/>
      <c r="B49" s="145" t="s">
        <v>116</v>
      </c>
      <c r="C49" s="104" t="s">
        <v>117</v>
      </c>
      <c r="D49" s="104" t="s">
        <v>118</v>
      </c>
      <c r="E49" s="189"/>
      <c r="F49" s="105" t="s">
        <v>119</v>
      </c>
      <c r="G49" s="203"/>
      <c r="H49" s="93"/>
      <c r="I49" s="93"/>
      <c r="J49" s="84"/>
      <c r="K49" s="104"/>
      <c r="L49" s="105"/>
      <c r="M49" s="189"/>
      <c r="N49" s="26"/>
      <c r="O49" s="26"/>
      <c r="P49" s="26"/>
      <c r="Q49" s="26"/>
      <c r="R49" s="26"/>
      <c r="S49" s="26"/>
      <c r="T49" s="26"/>
      <c r="U49" s="26"/>
    </row>
    <row r="50" spans="1:21">
      <c r="A50" s="26"/>
      <c r="B50" s="120"/>
      <c r="C50" s="126"/>
      <c r="D50" s="126"/>
      <c r="E50" s="146"/>
      <c r="F50" s="147"/>
      <c r="G50" s="106"/>
      <c r="H50" s="93"/>
      <c r="I50" s="93"/>
      <c r="J50" s="26"/>
      <c r="K50" s="81"/>
      <c r="L50" s="107"/>
      <c r="M50" s="107"/>
      <c r="N50" s="26"/>
      <c r="O50" s="26"/>
      <c r="P50" s="26"/>
      <c r="Q50" s="26"/>
      <c r="R50" s="26"/>
      <c r="S50" s="26"/>
      <c r="T50" s="26"/>
      <c r="U50" s="26"/>
    </row>
    <row r="51" spans="1:21">
      <c r="A51" s="26"/>
      <c r="B51" s="120"/>
      <c r="C51" s="126"/>
      <c r="D51" s="126"/>
      <c r="E51" s="146"/>
      <c r="F51" s="147"/>
      <c r="G51" s="106"/>
      <c r="H51" s="93"/>
      <c r="I51" s="93"/>
      <c r="J51" s="26"/>
      <c r="K51" s="81"/>
      <c r="L51" s="107"/>
      <c r="M51" s="107"/>
      <c r="N51" s="26"/>
      <c r="O51" s="26"/>
      <c r="P51" s="26"/>
      <c r="Q51" s="26"/>
      <c r="R51" s="26"/>
      <c r="S51" s="26"/>
      <c r="T51" s="26"/>
      <c r="U51" s="26"/>
    </row>
    <row r="52" spans="1:21">
      <c r="A52" s="26"/>
      <c r="B52" s="120"/>
      <c r="C52" s="126"/>
      <c r="D52" s="126"/>
      <c r="E52" s="146"/>
      <c r="F52" s="148"/>
      <c r="G52" s="106"/>
      <c r="H52" s="93"/>
      <c r="I52" s="93"/>
      <c r="J52" s="26"/>
      <c r="K52" s="81"/>
      <c r="L52" s="107"/>
      <c r="M52" s="107"/>
      <c r="N52" s="26"/>
      <c r="O52" s="26"/>
      <c r="P52" s="26"/>
      <c r="Q52" s="26"/>
      <c r="R52" s="26"/>
      <c r="S52" s="26"/>
      <c r="T52" s="26"/>
      <c r="U52" s="26"/>
    </row>
    <row r="53" spans="1:21" ht="15.75" thickBot="1">
      <c r="A53" s="26"/>
      <c r="B53" s="75"/>
      <c r="C53" s="149"/>
      <c r="D53" s="149"/>
      <c r="E53" s="149"/>
      <c r="F53" s="108"/>
      <c r="G53" s="109">
        <v>0</v>
      </c>
      <c r="H53" s="93"/>
      <c r="I53" s="93"/>
      <c r="J53" s="26"/>
      <c r="K53" s="81"/>
      <c r="L53" s="107"/>
      <c r="M53" s="107"/>
      <c r="N53" s="26"/>
      <c r="O53" s="26"/>
      <c r="P53" s="26"/>
      <c r="Q53" s="26"/>
      <c r="R53" s="26"/>
      <c r="S53" s="26"/>
      <c r="T53" s="26"/>
      <c r="U53" s="26"/>
    </row>
    <row r="54" spans="1:21">
      <c r="A54" s="26"/>
      <c r="B54" s="26"/>
      <c r="C54" s="26"/>
      <c r="D54" s="26"/>
      <c r="E54" s="26"/>
      <c r="F54" s="26"/>
      <c r="G54" s="26"/>
      <c r="H54" s="93"/>
      <c r="I54" s="93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>
      <c r="A55" s="26"/>
      <c r="B55" s="26"/>
      <c r="C55" s="26"/>
      <c r="D55" s="26"/>
      <c r="E55" s="26"/>
      <c r="F55" s="26"/>
      <c r="G55" s="26"/>
      <c r="H55" s="93"/>
      <c r="I55" s="93"/>
      <c r="J55" s="93"/>
      <c r="K55" s="93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ht="15.75">
      <c r="A56" s="26"/>
      <c r="B56" s="26"/>
      <c r="C56" s="26"/>
      <c r="D56" s="26"/>
      <c r="E56" s="26"/>
      <c r="F56" s="26"/>
      <c r="G56" s="26"/>
      <c r="H56" s="93"/>
      <c r="I56" s="93"/>
      <c r="J56" s="93"/>
      <c r="K56" s="93"/>
      <c r="L56" s="205" t="s">
        <v>149</v>
      </c>
      <c r="M56" s="205"/>
      <c r="N56" s="205"/>
      <c r="O56" s="150"/>
      <c r="P56" s="150"/>
      <c r="Q56" s="150"/>
      <c r="R56" s="26"/>
      <c r="S56" s="26"/>
      <c r="T56" s="26"/>
      <c r="U56" s="26"/>
    </row>
    <row r="57" spans="1:21" ht="15.75">
      <c r="A57" s="151" t="s">
        <v>120</v>
      </c>
      <c r="B57" s="151"/>
      <c r="C57" s="151"/>
      <c r="D57" s="151"/>
      <c r="E57" s="151"/>
      <c r="F57" s="151"/>
      <c r="G57" s="151"/>
      <c r="H57" s="152" t="s">
        <v>121</v>
      </c>
      <c r="I57" s="152" t="s">
        <v>122</v>
      </c>
      <c r="J57" s="152" t="s">
        <v>123</v>
      </c>
      <c r="K57" s="152" t="s">
        <v>38</v>
      </c>
      <c r="L57" s="153" t="s">
        <v>124</v>
      </c>
      <c r="M57" s="153" t="s">
        <v>125</v>
      </c>
      <c r="N57" s="153" t="s">
        <v>126</v>
      </c>
      <c r="O57" s="154"/>
      <c r="P57" s="153" t="s">
        <v>150</v>
      </c>
      <c r="Q57" s="150"/>
      <c r="R57" s="26"/>
      <c r="S57" s="26"/>
      <c r="T57" s="26"/>
      <c r="U57" s="26"/>
    </row>
    <row r="58" spans="1:21" ht="16.5" thickBot="1">
      <c r="A58" s="26"/>
      <c r="B58" s="26"/>
      <c r="C58" s="26"/>
      <c r="D58" s="26"/>
      <c r="E58" s="26"/>
      <c r="F58" s="26"/>
      <c r="G58" s="26"/>
      <c r="H58" s="26" t="s">
        <v>127</v>
      </c>
      <c r="I58" s="26" t="s">
        <v>151</v>
      </c>
      <c r="J58" s="26" t="s">
        <v>151</v>
      </c>
      <c r="K58" s="26"/>
      <c r="L58" s="155">
        <v>46022</v>
      </c>
      <c r="M58" s="155">
        <f>EDATE(L58,12)</f>
        <v>46387</v>
      </c>
      <c r="N58" s="155">
        <f>EDATE(M58,12)</f>
        <v>46752</v>
      </c>
      <c r="O58" s="156"/>
      <c r="P58" s="150"/>
      <c r="Q58" s="150"/>
      <c r="R58" s="26"/>
      <c r="S58" s="26"/>
      <c r="T58" s="26"/>
      <c r="U58" s="26"/>
    </row>
    <row r="59" spans="1:21" ht="16.5" thickBot="1">
      <c r="A59" s="26" t="s">
        <v>128</v>
      </c>
      <c r="B59" s="26"/>
      <c r="C59" s="26"/>
      <c r="D59" s="26"/>
      <c r="E59" s="26"/>
      <c r="F59" s="26"/>
      <c r="G59" s="26"/>
      <c r="H59" s="126">
        <v>27483</v>
      </c>
      <c r="I59" s="126">
        <v>0</v>
      </c>
      <c r="J59" s="157">
        <v>0</v>
      </c>
      <c r="K59" s="158">
        <f>H59+I59-J59</f>
        <v>27483</v>
      </c>
      <c r="L59" s="171">
        <v>29179</v>
      </c>
      <c r="M59" s="171">
        <v>30744</v>
      </c>
      <c r="N59" s="171">
        <v>32100</v>
      </c>
      <c r="O59" s="159"/>
      <c r="P59" s="160">
        <f>_xlfn.RRI(3,H59,N59)</f>
        <v>5.3125910868925041E-2</v>
      </c>
      <c r="Q59" s="150"/>
      <c r="R59" s="26"/>
      <c r="S59" s="26"/>
      <c r="T59" s="26"/>
      <c r="U59" s="26"/>
    </row>
    <row r="60" spans="1:21" ht="15.75">
      <c r="A60" s="26"/>
      <c r="B60" s="26"/>
      <c r="C60" s="26"/>
      <c r="D60" s="26"/>
      <c r="E60" s="26"/>
      <c r="F60" s="26"/>
      <c r="G60" s="26"/>
      <c r="H60" s="81"/>
      <c r="I60" s="81">
        <v>0</v>
      </c>
      <c r="J60" s="81">
        <v>0</v>
      </c>
      <c r="K60" s="81"/>
      <c r="L60" s="150"/>
      <c r="M60" s="150"/>
      <c r="N60" s="150"/>
      <c r="O60" s="150"/>
      <c r="P60" s="150"/>
      <c r="Q60" s="150"/>
      <c r="R60" s="26"/>
      <c r="S60" s="26"/>
      <c r="T60" s="26"/>
      <c r="U60" s="26"/>
    </row>
    <row r="61" spans="1:21" ht="15.75">
      <c r="A61" s="26" t="s">
        <v>129</v>
      </c>
      <c r="B61" s="26"/>
      <c r="C61" s="26"/>
      <c r="D61" s="26"/>
      <c r="E61" s="26"/>
      <c r="F61" s="26"/>
      <c r="G61" s="26"/>
      <c r="H61" s="126">
        <v>321</v>
      </c>
      <c r="I61" s="126">
        <v>0</v>
      </c>
      <c r="J61" s="126">
        <v>0</v>
      </c>
      <c r="K61" s="158">
        <f>H61+I61-J61</f>
        <v>321</v>
      </c>
      <c r="L61" s="150"/>
      <c r="M61" s="150"/>
      <c r="N61" s="150"/>
      <c r="O61" s="150"/>
      <c r="P61" s="150"/>
      <c r="Q61" s="150"/>
      <c r="R61" s="26"/>
      <c r="S61" s="26"/>
      <c r="T61" s="26"/>
      <c r="U61" s="26"/>
    </row>
    <row r="62" spans="1:21" ht="16.5" thickBot="1">
      <c r="A62" s="26" t="s">
        <v>130</v>
      </c>
      <c r="B62" s="89"/>
      <c r="C62" s="89"/>
      <c r="D62" s="89"/>
      <c r="E62" s="89"/>
      <c r="F62" s="89"/>
      <c r="G62" s="89"/>
      <c r="H62" s="126">
        <f>35-2</f>
        <v>33</v>
      </c>
      <c r="I62" s="126">
        <v>0</v>
      </c>
      <c r="J62" s="126">
        <v>0</v>
      </c>
      <c r="K62" s="90"/>
      <c r="L62" s="161"/>
      <c r="M62" s="161"/>
      <c r="N62" s="161"/>
      <c r="O62" s="161"/>
      <c r="P62" s="161"/>
      <c r="Q62" s="161"/>
      <c r="R62" s="89"/>
      <c r="S62" s="89"/>
      <c r="T62" s="89"/>
      <c r="U62" s="89"/>
    </row>
    <row r="63" spans="1:21" ht="16.5" thickBot="1">
      <c r="A63" s="110" t="s">
        <v>131</v>
      </c>
      <c r="B63" s="89"/>
      <c r="C63" s="89"/>
      <c r="D63" s="89"/>
      <c r="E63" s="89"/>
      <c r="F63" s="89"/>
      <c r="G63" s="89"/>
      <c r="H63" s="162">
        <f>H61+H62</f>
        <v>354</v>
      </c>
      <c r="I63" s="162">
        <v>0</v>
      </c>
      <c r="J63" s="162"/>
      <c r="K63" s="158">
        <f>H63+I63-J63</f>
        <v>354</v>
      </c>
      <c r="L63" s="171">
        <v>1030</v>
      </c>
      <c r="M63" s="171">
        <v>1613</v>
      </c>
      <c r="N63" s="171">
        <v>2121</v>
      </c>
      <c r="O63" s="163"/>
      <c r="P63" s="160">
        <f>_xlfn.RRI(3,H63,N63)</f>
        <v>0.8162646715595665</v>
      </c>
      <c r="Q63" s="161"/>
      <c r="R63" s="89"/>
      <c r="S63" s="89"/>
      <c r="T63" s="89"/>
      <c r="U63" s="89"/>
    </row>
    <row r="64" spans="1:21" ht="16.5" thickBot="1">
      <c r="A64" s="26" t="s">
        <v>132</v>
      </c>
      <c r="B64" s="26"/>
      <c r="C64" s="26"/>
      <c r="D64" s="26"/>
      <c r="E64" s="26"/>
      <c r="F64" s="26"/>
      <c r="G64" s="26"/>
      <c r="H64" s="126">
        <v>1657</v>
      </c>
      <c r="I64" s="126">
        <v>0</v>
      </c>
      <c r="J64" s="126">
        <v>0</v>
      </c>
      <c r="K64" s="81"/>
      <c r="L64" s="150"/>
      <c r="M64" s="150"/>
      <c r="N64" s="150"/>
      <c r="O64" s="150"/>
      <c r="P64" s="150"/>
      <c r="Q64" s="150"/>
      <c r="R64" s="26"/>
      <c r="S64" s="26"/>
      <c r="T64" s="26"/>
      <c r="U64" s="26"/>
    </row>
    <row r="65" spans="1:21" ht="16.5" thickBot="1">
      <c r="A65" s="89" t="s">
        <v>133</v>
      </c>
      <c r="B65" s="89"/>
      <c r="C65" s="89"/>
      <c r="D65" s="89"/>
      <c r="E65" s="89"/>
      <c r="F65" s="89"/>
      <c r="G65" s="89"/>
      <c r="H65" s="162">
        <f>H63+H64</f>
        <v>2011</v>
      </c>
      <c r="I65" s="162">
        <v>0</v>
      </c>
      <c r="J65" s="162">
        <v>0</v>
      </c>
      <c r="K65" s="158">
        <f>H65+I65-J65</f>
        <v>2011</v>
      </c>
      <c r="L65" s="171">
        <v>2794</v>
      </c>
      <c r="M65" s="171">
        <v>3467</v>
      </c>
      <c r="N65" s="171">
        <v>4057</v>
      </c>
      <c r="O65" s="163"/>
      <c r="P65" s="160">
        <f>_xlfn.RRI(3,H65,N65)</f>
        <v>0.26356516875488234</v>
      </c>
      <c r="Q65" s="161"/>
      <c r="R65" s="89"/>
      <c r="S65" s="89"/>
      <c r="T65" s="89"/>
      <c r="U65" s="89"/>
    </row>
    <row r="66" spans="1:21" ht="15.75">
      <c r="A66" s="26"/>
      <c r="B66" s="26"/>
      <c r="C66" s="26"/>
      <c r="D66" s="26"/>
      <c r="E66" s="26"/>
      <c r="F66" s="26"/>
      <c r="G66" s="26"/>
      <c r="H66" s="81"/>
      <c r="I66" s="81">
        <v>0</v>
      </c>
      <c r="J66" s="81">
        <v>0</v>
      </c>
      <c r="K66" s="81"/>
      <c r="L66" s="150"/>
      <c r="M66" s="150"/>
      <c r="N66" s="150"/>
      <c r="O66" s="150"/>
      <c r="P66" s="150"/>
      <c r="Q66" s="150"/>
      <c r="R66" s="26"/>
      <c r="S66" s="26"/>
      <c r="T66" s="26"/>
      <c r="U66" s="26"/>
    </row>
    <row r="67" spans="1:21" ht="15.75">
      <c r="A67" s="26" t="s">
        <v>134</v>
      </c>
      <c r="B67" s="26"/>
      <c r="C67" s="26"/>
      <c r="D67" s="26"/>
      <c r="E67" s="26"/>
      <c r="F67" s="26"/>
      <c r="G67" s="26"/>
      <c r="H67" s="126">
        <f>465</f>
        <v>465</v>
      </c>
      <c r="I67" s="126">
        <v>0</v>
      </c>
      <c r="J67" s="126"/>
      <c r="K67" s="158">
        <f>H67+I67-J67</f>
        <v>465</v>
      </c>
      <c r="L67" s="150"/>
      <c r="M67" s="150"/>
      <c r="N67" s="150"/>
      <c r="O67" s="150"/>
      <c r="P67" s="150"/>
      <c r="Q67" s="150"/>
      <c r="R67" s="26"/>
      <c r="S67" s="26"/>
      <c r="T67" s="26"/>
      <c r="U67" s="26"/>
    </row>
    <row r="68" spans="1:21" ht="15.75">
      <c r="A68" s="26" t="s">
        <v>135</v>
      </c>
      <c r="B68" s="26"/>
      <c r="C68" s="26"/>
      <c r="D68" s="26"/>
      <c r="E68" s="26"/>
      <c r="F68" s="26"/>
      <c r="G68" s="26"/>
      <c r="H68" s="129"/>
      <c r="I68" s="129">
        <v>0</v>
      </c>
      <c r="J68" s="129">
        <v>0</v>
      </c>
      <c r="K68" s="26"/>
      <c r="L68" s="150"/>
      <c r="M68" s="150"/>
      <c r="N68" s="150"/>
      <c r="O68" s="150"/>
      <c r="P68" s="150"/>
      <c r="Q68" s="150"/>
      <c r="R68" s="26"/>
      <c r="S68" s="26"/>
      <c r="T68" s="26"/>
      <c r="U68" s="26"/>
    </row>
    <row r="69" spans="1:21" ht="15.75">
      <c r="A69" s="26" t="s">
        <v>136</v>
      </c>
      <c r="B69" s="26"/>
      <c r="C69" s="26"/>
      <c r="D69" s="26"/>
      <c r="E69" s="26"/>
      <c r="F69" s="26"/>
      <c r="G69" s="26"/>
      <c r="H69" s="126"/>
      <c r="I69" s="126">
        <v>0</v>
      </c>
      <c r="J69" s="126">
        <v>0</v>
      </c>
      <c r="K69" s="26"/>
      <c r="L69" s="150"/>
      <c r="M69" s="150"/>
      <c r="N69" s="150"/>
      <c r="O69" s="150"/>
      <c r="P69" s="150"/>
      <c r="Q69" s="150"/>
      <c r="R69" s="26"/>
      <c r="S69" s="26"/>
      <c r="T69" s="26"/>
      <c r="U69" s="26"/>
    </row>
    <row r="70" spans="1:21" ht="15.75">
      <c r="A70" s="26" t="s">
        <v>137</v>
      </c>
      <c r="B70" s="26"/>
      <c r="C70" s="26"/>
      <c r="D70" s="26"/>
      <c r="E70" s="26"/>
      <c r="F70" s="26"/>
      <c r="G70" s="26"/>
      <c r="H70" s="129"/>
      <c r="I70" s="129">
        <v>0</v>
      </c>
      <c r="J70" s="129">
        <v>0</v>
      </c>
      <c r="K70" s="26"/>
      <c r="L70" s="150"/>
      <c r="M70" s="150"/>
      <c r="N70" s="150"/>
      <c r="O70" s="150"/>
      <c r="P70" s="150"/>
      <c r="Q70" s="150"/>
      <c r="R70" s="26"/>
      <c r="S70" s="26"/>
      <c r="T70" s="26"/>
      <c r="U70" s="26"/>
    </row>
    <row r="71" spans="1:21" ht="15.75">
      <c r="A71" s="26" t="s">
        <v>138</v>
      </c>
      <c r="B71" s="26"/>
      <c r="C71" s="26"/>
      <c r="D71" s="26"/>
      <c r="E71" s="26"/>
      <c r="F71" s="26"/>
      <c r="G71" s="26"/>
      <c r="H71" s="126"/>
      <c r="I71" s="126">
        <v>0</v>
      </c>
      <c r="J71" s="126">
        <v>0</v>
      </c>
      <c r="K71" s="26"/>
      <c r="L71" s="150"/>
      <c r="M71" s="150"/>
      <c r="N71" s="150"/>
      <c r="O71" s="150"/>
      <c r="P71" s="150"/>
      <c r="Q71" s="150"/>
      <c r="R71" s="26"/>
      <c r="S71" s="26"/>
      <c r="T71" s="26"/>
      <c r="U71" s="26"/>
    </row>
    <row r="72" spans="1:21" ht="15.75">
      <c r="A72" s="89" t="s">
        <v>139</v>
      </c>
      <c r="B72" s="26"/>
      <c r="C72" s="26"/>
      <c r="D72" s="26"/>
      <c r="E72" s="26"/>
      <c r="F72" s="26"/>
      <c r="G72" s="26"/>
      <c r="H72" s="162"/>
      <c r="I72" s="162">
        <v>0</v>
      </c>
      <c r="J72" s="162">
        <v>0</v>
      </c>
      <c r="K72" s="26"/>
      <c r="L72" s="150"/>
      <c r="M72" s="150"/>
      <c r="N72" s="150"/>
      <c r="O72" s="150"/>
      <c r="P72" s="150"/>
      <c r="Q72" s="150"/>
      <c r="R72" s="26"/>
      <c r="S72" s="26"/>
      <c r="T72" s="26"/>
      <c r="U72" s="26"/>
    </row>
    <row r="73" spans="1:21" ht="16.5" thickBot="1">
      <c r="A73" s="26" t="s">
        <v>140</v>
      </c>
      <c r="B73" s="26"/>
      <c r="C73" s="26"/>
      <c r="D73" s="26"/>
      <c r="E73" s="26"/>
      <c r="F73" s="26"/>
      <c r="G73" s="26"/>
      <c r="H73" s="126"/>
      <c r="I73" s="126">
        <v>0</v>
      </c>
      <c r="J73" s="126">
        <v>0</v>
      </c>
      <c r="K73" s="26"/>
      <c r="L73" s="150"/>
      <c r="M73" s="150"/>
      <c r="N73" s="150"/>
      <c r="O73" s="150"/>
      <c r="P73" s="150"/>
      <c r="Q73" s="150"/>
      <c r="R73" s="26"/>
      <c r="S73" s="26"/>
      <c r="T73" s="26"/>
      <c r="U73" s="26"/>
    </row>
    <row r="74" spans="1:21" ht="16.5" thickBot="1">
      <c r="A74" s="89" t="s">
        <v>141</v>
      </c>
      <c r="B74" s="89"/>
      <c r="C74" s="89"/>
      <c r="D74" s="89"/>
      <c r="E74" s="89"/>
      <c r="F74" s="89"/>
      <c r="G74" s="89"/>
      <c r="H74" s="158">
        <v>597</v>
      </c>
      <c r="I74" s="158">
        <v>0</v>
      </c>
      <c r="J74" s="158">
        <v>0</v>
      </c>
      <c r="K74" s="158">
        <f>H74+I74-J74</f>
        <v>597</v>
      </c>
      <c r="L74" s="174">
        <v>970.2</v>
      </c>
      <c r="M74" s="171">
        <v>1302</v>
      </c>
      <c r="N74" s="171">
        <v>1551</v>
      </c>
      <c r="O74" s="163"/>
      <c r="P74" s="160">
        <f>_xlfn.RRI(3,H74,N74)</f>
        <v>0.37471442219000872</v>
      </c>
      <c r="Q74" s="161"/>
      <c r="R74" s="89"/>
      <c r="S74" s="89"/>
      <c r="T74" s="89"/>
      <c r="U74" s="89"/>
    </row>
    <row r="75" spans="1:21" ht="15.75">
      <c r="A75" s="26"/>
      <c r="B75" s="26"/>
      <c r="C75" s="26"/>
      <c r="D75" s="26"/>
      <c r="E75" s="26"/>
      <c r="F75" s="26"/>
      <c r="G75" s="26"/>
      <c r="H75" s="81"/>
      <c r="I75" s="81">
        <v>0</v>
      </c>
      <c r="J75" s="81">
        <v>0</v>
      </c>
      <c r="K75" s="81"/>
      <c r="L75" s="150"/>
      <c r="M75" s="150"/>
      <c r="N75" s="150"/>
      <c r="O75" s="150"/>
      <c r="P75" s="150"/>
      <c r="Q75" s="150"/>
      <c r="R75" s="26"/>
      <c r="S75" s="26"/>
      <c r="T75" s="26"/>
      <c r="U75" s="26"/>
    </row>
    <row r="76" spans="1:21" ht="15.75">
      <c r="A76" s="26" t="s">
        <v>142</v>
      </c>
      <c r="B76" s="26"/>
      <c r="C76" s="26"/>
      <c r="D76" s="26"/>
      <c r="E76" s="26"/>
      <c r="F76" s="26"/>
      <c r="G76" s="26"/>
      <c r="H76" s="126">
        <f>H74/H77</f>
        <v>621.875</v>
      </c>
      <c r="I76" s="126">
        <v>0</v>
      </c>
      <c r="J76" s="126">
        <v>0</v>
      </c>
      <c r="K76" s="81"/>
      <c r="L76" s="150"/>
      <c r="M76" s="150"/>
      <c r="N76" s="150"/>
      <c r="O76" s="150"/>
      <c r="P76" s="150"/>
      <c r="Q76" s="150"/>
      <c r="R76" s="26"/>
      <c r="S76" s="26"/>
      <c r="T76" s="26"/>
      <c r="U76" s="26"/>
    </row>
    <row r="77" spans="1:21" ht="15.75">
      <c r="A77" s="26" t="s">
        <v>143</v>
      </c>
      <c r="B77" s="26"/>
      <c r="C77" s="26"/>
      <c r="D77" s="26"/>
      <c r="E77" s="26"/>
      <c r="F77" s="26"/>
      <c r="G77" s="26"/>
      <c r="H77" s="164">
        <v>0.96</v>
      </c>
      <c r="I77" s="164">
        <v>0</v>
      </c>
      <c r="J77" s="164">
        <v>0</v>
      </c>
      <c r="K77" s="170">
        <f>H77+I77-J77</f>
        <v>0.96</v>
      </c>
      <c r="L77" s="172">
        <f>L74/$H$76</f>
        <v>1.5601206030150754</v>
      </c>
      <c r="M77" s="172">
        <f t="shared" ref="M77:N77" si="1">M74/$H$76</f>
        <v>2.0936683417085429</v>
      </c>
      <c r="N77" s="172">
        <f t="shared" si="1"/>
        <v>2.4940703517587939</v>
      </c>
      <c r="O77" s="150"/>
      <c r="P77" s="160">
        <f>_xlfn.RRI(3,H77,N77)</f>
        <v>0.37471442219000872</v>
      </c>
      <c r="Q77" s="150"/>
      <c r="R77" s="26"/>
      <c r="S77" s="26"/>
      <c r="T77" s="26"/>
      <c r="U77" s="26"/>
    </row>
    <row r="78" spans="1:21" ht="15.75">
      <c r="A78" s="26"/>
      <c r="B78" s="26"/>
      <c r="C78" s="26"/>
      <c r="D78" s="26"/>
      <c r="E78" s="26"/>
      <c r="F78" s="26"/>
      <c r="G78" s="26"/>
      <c r="H78" s="81"/>
      <c r="I78" s="81"/>
      <c r="J78" s="81"/>
      <c r="K78" s="81"/>
      <c r="L78" s="165" t="s">
        <v>152</v>
      </c>
      <c r="M78" s="150"/>
      <c r="N78" s="150"/>
      <c r="O78" s="150"/>
      <c r="P78" s="150"/>
      <c r="Q78" s="150"/>
      <c r="R78" s="26"/>
      <c r="S78" s="26"/>
      <c r="T78" s="26"/>
      <c r="U78" s="26"/>
    </row>
  </sheetData>
  <mergeCells count="6">
    <mergeCell ref="L56:N56"/>
    <mergeCell ref="G13:I13"/>
    <mergeCell ref="E38:G38"/>
    <mergeCell ref="E48:E49"/>
    <mergeCell ref="G48:G49"/>
    <mergeCell ref="M48:M49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5276-3A94-4A15-9475-D3952BAF7E3A}">
  <dimension ref="A1:U78"/>
  <sheetViews>
    <sheetView showGridLines="0" topLeftCell="A64" workbookViewId="0">
      <selection activeCell="F79" sqref="F79"/>
    </sheetView>
  </sheetViews>
  <sheetFormatPr defaultRowHeight="15"/>
  <cols>
    <col min="1" max="1" width="3.42578125" customWidth="1"/>
    <col min="2" max="2" width="34.28515625" customWidth="1"/>
    <col min="3" max="3" width="10" customWidth="1"/>
    <col min="12" max="12" width="10.7109375" customWidth="1"/>
    <col min="13" max="14" width="10.140625" bestFit="1" customWidth="1"/>
  </cols>
  <sheetData>
    <row r="1" spans="1:21" ht="23.25">
      <c r="A1" s="115" t="s">
        <v>165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</row>
    <row r="2" spans="1:21">
      <c r="A2" s="117" t="str">
        <f>"(In "&amp;F10&amp;" Millions Except Per Share Data)"</f>
        <v>(In USD Millions Except Per Share Data)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</row>
    <row r="3" spans="1:21" ht="15.75" thickBo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>
      <c r="A4" s="72" t="s">
        <v>82</v>
      </c>
      <c r="B4" s="118"/>
      <c r="C4" s="118"/>
      <c r="D4" s="118"/>
      <c r="E4" s="118"/>
      <c r="F4" s="119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>
      <c r="A5" s="120" t="s">
        <v>83</v>
      </c>
      <c r="B5" s="26"/>
      <c r="C5" s="26"/>
      <c r="D5" s="26"/>
      <c r="E5" s="26"/>
      <c r="F5" s="73" t="s">
        <v>146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>
      <c r="A6" s="120" t="s">
        <v>84</v>
      </c>
      <c r="B6" s="26"/>
      <c r="C6" s="26"/>
      <c r="D6" s="26"/>
      <c r="E6" s="26"/>
      <c r="F6" s="121">
        <f>DATE(2025,2,11)</f>
        <v>45699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>
      <c r="A7" s="120" t="s">
        <v>85</v>
      </c>
      <c r="B7" s="26"/>
      <c r="C7" s="26"/>
      <c r="D7" s="26"/>
      <c r="E7" s="26"/>
      <c r="F7" s="73" t="s">
        <v>166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>
      <c r="A8" s="120" t="s">
        <v>86</v>
      </c>
      <c r="B8" s="26"/>
      <c r="C8" s="26"/>
      <c r="D8" s="26"/>
      <c r="E8" s="26"/>
      <c r="F8" s="74">
        <v>45657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>
      <c r="A9" s="120" t="s">
        <v>87</v>
      </c>
      <c r="B9" s="26"/>
      <c r="C9" s="26"/>
      <c r="D9" s="26"/>
      <c r="E9" s="26"/>
      <c r="F9" s="74">
        <f>F8</f>
        <v>45657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>
      <c r="A10" s="120" t="s">
        <v>67</v>
      </c>
      <c r="B10" s="26"/>
      <c r="C10" s="26"/>
      <c r="D10" s="26"/>
      <c r="E10" s="26"/>
      <c r="F10" s="73" t="s">
        <v>49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ht="15.75" thickBot="1">
      <c r="A11" s="75" t="s">
        <v>88</v>
      </c>
      <c r="B11" s="122"/>
      <c r="C11" s="122"/>
      <c r="D11" s="122"/>
      <c r="E11" s="122"/>
      <c r="F11" s="76">
        <v>0.27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spans="1:2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ht="15.75" thickBot="1">
      <c r="A13" s="26"/>
      <c r="B13" s="26"/>
      <c r="C13" s="26"/>
      <c r="D13" s="26"/>
      <c r="E13" s="26"/>
      <c r="F13" s="26"/>
      <c r="G13" s="200"/>
      <c r="H13" s="189"/>
      <c r="I13" s="189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ht="15.75" thickBot="1">
      <c r="A14" s="123" t="s">
        <v>89</v>
      </c>
      <c r="B14" s="78"/>
      <c r="C14" s="79" t="s">
        <v>90</v>
      </c>
      <c r="D14" s="79" t="s">
        <v>91</v>
      </c>
      <c r="E14" s="79" t="s">
        <v>92</v>
      </c>
      <c r="F14" s="124"/>
      <c r="G14" s="26"/>
      <c r="H14" s="77"/>
      <c r="I14" s="77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>
      <c r="A15" s="120" t="s">
        <v>93</v>
      </c>
      <c r="B15" s="26"/>
      <c r="C15" s="125">
        <v>103.31</v>
      </c>
      <c r="D15" s="126">
        <v>0</v>
      </c>
      <c r="E15" s="126">
        <v>0</v>
      </c>
      <c r="F15" s="127"/>
      <c r="G15" s="80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>
      <c r="A16" s="120" t="s">
        <v>94</v>
      </c>
      <c r="B16" s="26"/>
      <c r="C16" s="126">
        <v>327.3</v>
      </c>
      <c r="D16" s="126">
        <v>0</v>
      </c>
      <c r="E16" s="126">
        <v>0</v>
      </c>
      <c r="F16" s="128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>
      <c r="A17" s="120" t="s">
        <v>95</v>
      </c>
      <c r="B17" s="26"/>
      <c r="C17" s="129">
        <f>C16+H45+G53</f>
        <v>332.40000000000003</v>
      </c>
      <c r="D17" s="129">
        <v>0</v>
      </c>
      <c r="E17" s="129">
        <v>0</v>
      </c>
      <c r="F17" s="166">
        <f>SUM(C17:E17)</f>
        <v>332.40000000000003</v>
      </c>
      <c r="G17" s="26"/>
      <c r="H17" s="8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>
      <c r="A18" s="120" t="s">
        <v>74</v>
      </c>
      <c r="B18" s="26"/>
      <c r="C18" s="129">
        <f>C15*C17</f>
        <v>34340.244000000006</v>
      </c>
      <c r="D18" s="129">
        <f t="shared" ref="D18:E18" si="0">D15*D17</f>
        <v>0</v>
      </c>
      <c r="E18" s="129">
        <f t="shared" si="0"/>
        <v>0</v>
      </c>
      <c r="F18" s="82">
        <f>SUM(C18:E18)</f>
        <v>34340.244000000006</v>
      </c>
      <c r="G18" s="26"/>
      <c r="H18" s="26"/>
      <c r="I18" s="81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>
      <c r="A19" s="120" t="s">
        <v>4</v>
      </c>
      <c r="B19" s="26"/>
      <c r="C19" s="26"/>
      <c r="D19" s="81"/>
      <c r="E19" s="81"/>
      <c r="F19" s="83">
        <v>0</v>
      </c>
      <c r="G19" s="26"/>
      <c r="H19" s="81"/>
      <c r="I19" s="81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>
      <c r="A20" s="131" t="s">
        <v>96</v>
      </c>
      <c r="B20" s="26"/>
      <c r="C20" s="26"/>
      <c r="D20" s="81"/>
      <c r="E20" s="81"/>
      <c r="F20" s="82">
        <f>E21+E22</f>
        <v>0</v>
      </c>
      <c r="G20" s="26"/>
      <c r="H20" s="81"/>
      <c r="I20" s="81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>
      <c r="A21" s="120"/>
      <c r="B21" s="26" t="s">
        <v>97</v>
      </c>
      <c r="C21" s="26"/>
      <c r="D21" s="26"/>
      <c r="E21" s="132">
        <v>0</v>
      </c>
      <c r="F21" s="128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>
      <c r="A22" s="120"/>
      <c r="B22" s="84" t="s">
        <v>98</v>
      </c>
      <c r="C22" s="26"/>
      <c r="D22" s="26"/>
      <c r="E22" s="133">
        <v>0</v>
      </c>
      <c r="F22" s="128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>
      <c r="A23" s="131" t="s">
        <v>99</v>
      </c>
      <c r="B23" s="26"/>
      <c r="C23" s="26"/>
      <c r="D23" s="26"/>
      <c r="E23" s="81"/>
      <c r="F23" s="82">
        <f>E24+E25</f>
        <v>28655</v>
      </c>
      <c r="G23" s="26"/>
      <c r="H23" s="81"/>
      <c r="I23" s="81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>
      <c r="A24" s="120"/>
      <c r="B24" s="84" t="s">
        <v>100</v>
      </c>
      <c r="C24" s="84"/>
      <c r="D24" s="26"/>
      <c r="E24" s="132">
        <f>3453+25202</f>
        <v>28655</v>
      </c>
      <c r="F24" s="128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>
      <c r="A25" s="120"/>
      <c r="B25" s="84" t="s">
        <v>101</v>
      </c>
      <c r="C25" s="84"/>
      <c r="D25" s="26"/>
      <c r="E25" s="133">
        <v>0</v>
      </c>
      <c r="F25" s="128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>
      <c r="A26" s="131" t="s">
        <v>102</v>
      </c>
      <c r="B26" s="26"/>
      <c r="C26" s="26"/>
      <c r="D26" s="26"/>
      <c r="E26" s="81"/>
      <c r="F26" s="128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>
      <c r="A27" s="120"/>
      <c r="B27" s="26" t="s">
        <v>103</v>
      </c>
      <c r="C27" s="26"/>
      <c r="D27" s="26"/>
      <c r="E27" s="81"/>
      <c r="F27" s="83">
        <f>714-95</f>
        <v>619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>
      <c r="A28" s="120"/>
      <c r="B28" s="26" t="s">
        <v>104</v>
      </c>
      <c r="C28" s="26"/>
      <c r="D28" s="26"/>
      <c r="E28" s="26"/>
      <c r="F28" s="83">
        <v>3815</v>
      </c>
      <c r="G28" s="26"/>
      <c r="H28" s="81"/>
      <c r="I28" s="81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>
      <c r="A29" s="131" t="s">
        <v>105</v>
      </c>
      <c r="B29" s="26"/>
      <c r="C29" s="26"/>
      <c r="D29" s="26"/>
      <c r="E29" s="81"/>
      <c r="F29" s="83">
        <v>8769</v>
      </c>
      <c r="G29" s="26"/>
      <c r="H29" s="81"/>
      <c r="I29" s="81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15.75" thickBot="1">
      <c r="A30" s="85" t="s">
        <v>106</v>
      </c>
      <c r="B30" s="86"/>
      <c r="C30" s="86"/>
      <c r="D30" s="87"/>
      <c r="E30" s="87"/>
      <c r="F30" s="88">
        <f>F18+F19+F20+F23+F27-F29</f>
        <v>54845.244000000006</v>
      </c>
      <c r="G30" s="26"/>
      <c r="H30" s="26"/>
      <c r="I30" s="81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>
      <c r="A31" s="134" t="s">
        <v>107</v>
      </c>
      <c r="B31" s="89"/>
      <c r="C31" s="89"/>
      <c r="D31" s="90"/>
      <c r="E31" s="90"/>
      <c r="F31" s="83">
        <f>5706+1267</f>
        <v>6973</v>
      </c>
      <c r="G31" s="26"/>
      <c r="H31" s="81"/>
      <c r="I31" s="81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>
      <c r="A32" s="134" t="s">
        <v>108</v>
      </c>
      <c r="B32" s="89"/>
      <c r="C32" s="89"/>
      <c r="D32" s="90"/>
      <c r="E32" s="90"/>
      <c r="F32" s="82">
        <f>F30-F31</f>
        <v>47872.244000000006</v>
      </c>
      <c r="G32" s="26"/>
      <c r="H32" s="26"/>
      <c r="I32" s="81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15.75" thickBot="1">
      <c r="A33" s="75" t="s">
        <v>109</v>
      </c>
      <c r="B33" s="122"/>
      <c r="C33" s="122"/>
      <c r="D33" s="122"/>
      <c r="E33" s="122"/>
      <c r="F33" s="91">
        <f>F18/F17</f>
        <v>103.31</v>
      </c>
      <c r="G33" s="26"/>
      <c r="H33" s="26"/>
      <c r="I33" s="26"/>
      <c r="J33" s="92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ht="15.75" thickBot="1">
      <c r="A34" s="26"/>
      <c r="B34" s="26"/>
      <c r="C34" s="26"/>
      <c r="D34" s="26"/>
      <c r="E34" s="26"/>
      <c r="F34" s="26"/>
      <c r="G34" s="26"/>
      <c r="H34" s="93"/>
      <c r="I34" s="93"/>
      <c r="J34" s="93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15.75" thickBot="1">
      <c r="A35" s="123" t="s">
        <v>110</v>
      </c>
      <c r="B35" s="78"/>
      <c r="C35" s="94"/>
      <c r="D35" s="94"/>
      <c r="E35" s="94"/>
      <c r="F35" s="94"/>
      <c r="G35" s="94"/>
      <c r="H35" s="94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15.75" thickBot="1">
      <c r="A36" s="26"/>
      <c r="B36" s="26"/>
      <c r="C36" s="26"/>
      <c r="D36" s="26"/>
      <c r="E36" s="26"/>
      <c r="F36" s="26"/>
      <c r="G36" s="26"/>
      <c r="H36" s="93"/>
      <c r="I36" s="93"/>
      <c r="J36" s="93"/>
      <c r="K36" s="93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ht="15.75" thickBot="1">
      <c r="A37" s="26"/>
      <c r="B37" s="123" t="s">
        <v>111</v>
      </c>
      <c r="C37" s="94"/>
      <c r="D37" s="94"/>
      <c r="E37" s="94"/>
      <c r="F37" s="94"/>
      <c r="G37" s="94"/>
      <c r="H37" s="135"/>
      <c r="I37" s="93"/>
      <c r="J37" s="9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>
      <c r="A38" s="26"/>
      <c r="B38" s="136"/>
      <c r="C38" s="25" t="s">
        <v>28</v>
      </c>
      <c r="D38" s="26"/>
      <c r="E38" s="137" t="s">
        <v>29</v>
      </c>
      <c r="F38" s="137"/>
      <c r="G38" s="137"/>
      <c r="H38" s="138" t="s">
        <v>30</v>
      </c>
      <c r="I38" s="93"/>
      <c r="J38" s="25"/>
      <c r="K38" s="25"/>
      <c r="L38" s="77"/>
      <c r="M38" s="77"/>
      <c r="N38" s="26"/>
      <c r="O38" s="26"/>
      <c r="P38" s="26"/>
      <c r="Q38" s="26"/>
      <c r="R38" s="26"/>
      <c r="S38" s="26"/>
      <c r="T38" s="26"/>
      <c r="U38" s="26"/>
    </row>
    <row r="39" spans="1:21" ht="15.75" thickBot="1">
      <c r="A39" s="26"/>
      <c r="B39" s="96" t="s">
        <v>112</v>
      </c>
      <c r="C39" s="139" t="s">
        <v>32</v>
      </c>
      <c r="D39" s="139" t="s">
        <v>33</v>
      </c>
      <c r="E39" s="139" t="s">
        <v>34</v>
      </c>
      <c r="F39" s="139" t="s">
        <v>35</v>
      </c>
      <c r="G39" s="122" t="s">
        <v>36</v>
      </c>
      <c r="H39" s="140" t="s">
        <v>37</v>
      </c>
      <c r="I39" s="93"/>
      <c r="J39" s="97"/>
      <c r="K39" s="25"/>
      <c r="L39" s="25"/>
      <c r="M39" s="26"/>
      <c r="N39" s="26"/>
      <c r="O39" s="26"/>
      <c r="P39" s="26"/>
      <c r="Q39" s="26"/>
      <c r="R39" s="26"/>
      <c r="S39" s="26"/>
      <c r="T39" s="26"/>
      <c r="U39" s="26"/>
    </row>
    <row r="40" spans="1:21">
      <c r="A40" s="26"/>
      <c r="B40" s="98">
        <v>5.0999999999999996</v>
      </c>
      <c r="C40" s="143">
        <v>0</v>
      </c>
      <c r="D40" s="141" t="str">
        <f>IF(C15&gt;C40,"YES","NO")</f>
        <v>YES</v>
      </c>
      <c r="E40" s="142">
        <f>IF(D40="YES",B40,0)</f>
        <v>5.0999999999999996</v>
      </c>
      <c r="F40" s="129">
        <f>C40*B40</f>
        <v>0</v>
      </c>
      <c r="G40" s="142">
        <f>F40/C15</f>
        <v>0</v>
      </c>
      <c r="H40" s="99">
        <f>E40-G40</f>
        <v>5.0999999999999996</v>
      </c>
      <c r="I40" s="93" t="s">
        <v>160</v>
      </c>
      <c r="J40" s="100"/>
      <c r="K40" s="100"/>
      <c r="L40" s="81"/>
      <c r="M40" s="100"/>
      <c r="N40" s="26"/>
      <c r="O40" s="26"/>
      <c r="P40" s="26"/>
      <c r="Q40" s="26"/>
      <c r="R40" s="26"/>
      <c r="S40" s="26"/>
      <c r="T40" s="26"/>
      <c r="U40" s="26"/>
    </row>
    <row r="41" spans="1:21">
      <c r="A41" s="26"/>
      <c r="B41" s="98"/>
      <c r="C41" s="143"/>
      <c r="D41" s="141"/>
      <c r="E41" s="142"/>
      <c r="F41" s="129"/>
      <c r="G41" s="142"/>
      <c r="H41" s="99"/>
      <c r="I41" s="93"/>
      <c r="J41" s="100"/>
      <c r="K41" s="100"/>
      <c r="L41" s="81"/>
      <c r="M41" s="100"/>
      <c r="N41" s="26"/>
      <c r="O41" s="26"/>
      <c r="P41" s="26"/>
      <c r="Q41" s="26"/>
      <c r="R41" s="26"/>
      <c r="S41" s="26"/>
      <c r="T41" s="26"/>
      <c r="U41" s="26"/>
    </row>
    <row r="42" spans="1:21">
      <c r="A42" s="26"/>
      <c r="B42" s="98"/>
      <c r="C42" s="143"/>
      <c r="D42" s="141"/>
      <c r="E42" s="142"/>
      <c r="F42" s="129"/>
      <c r="G42" s="142"/>
      <c r="H42" s="99"/>
      <c r="I42" s="93"/>
      <c r="J42" s="100"/>
      <c r="K42" s="100"/>
      <c r="L42" s="81"/>
      <c r="M42" s="100"/>
      <c r="N42" s="26"/>
      <c r="O42" s="26"/>
      <c r="P42" s="26"/>
      <c r="Q42" s="26"/>
      <c r="R42" s="26"/>
      <c r="S42" s="26"/>
      <c r="T42" s="26"/>
      <c r="U42" s="26"/>
    </row>
    <row r="43" spans="1:21">
      <c r="A43" s="26"/>
      <c r="B43" s="98"/>
      <c r="C43" s="143"/>
      <c r="D43" s="141"/>
      <c r="E43" s="142"/>
      <c r="F43" s="129"/>
      <c r="G43" s="142"/>
      <c r="H43" s="99"/>
      <c r="I43" s="93"/>
      <c r="J43" s="100"/>
      <c r="K43" s="100"/>
      <c r="L43" s="81"/>
      <c r="M43" s="100"/>
      <c r="N43" s="26"/>
      <c r="O43" s="26"/>
      <c r="P43" s="26"/>
      <c r="Q43" s="26"/>
      <c r="R43" s="26"/>
      <c r="S43" s="26"/>
      <c r="T43" s="26"/>
      <c r="U43" s="26"/>
    </row>
    <row r="44" spans="1:21">
      <c r="A44" s="26"/>
      <c r="B44" s="98"/>
      <c r="C44" s="143"/>
      <c r="D44" s="141"/>
      <c r="E44" s="142"/>
      <c r="F44" s="129"/>
      <c r="G44" s="142"/>
      <c r="H44" s="99"/>
      <c r="I44" s="93"/>
      <c r="J44" s="100"/>
      <c r="K44" s="100"/>
      <c r="L44" s="81"/>
      <c r="M44" s="100"/>
      <c r="N44" s="26"/>
      <c r="O44" s="26"/>
      <c r="P44" s="26"/>
      <c r="Q44" s="26"/>
      <c r="R44" s="26"/>
      <c r="S44" s="26"/>
      <c r="T44" s="26"/>
      <c r="U44" s="26"/>
    </row>
    <row r="45" spans="1:21" ht="15.75" thickBot="1">
      <c r="A45" s="26"/>
      <c r="B45" s="75"/>
      <c r="C45" s="122"/>
      <c r="D45" s="122"/>
      <c r="E45" s="122"/>
      <c r="F45" s="122"/>
      <c r="G45" s="122"/>
      <c r="H45" s="101">
        <f>H40+H41</f>
        <v>5.0999999999999996</v>
      </c>
      <c r="I45" s="93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ht="15.75" thickBot="1">
      <c r="A46" s="26"/>
      <c r="B46" s="26"/>
      <c r="C46" s="26"/>
      <c r="D46" s="26"/>
      <c r="E46" s="26"/>
      <c r="F46" s="26"/>
      <c r="G46" s="26"/>
      <c r="H46" s="93"/>
      <c r="I46" s="93"/>
      <c r="J46" s="93"/>
      <c r="K46" s="93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ht="15.75" thickBot="1">
      <c r="A47" s="26"/>
      <c r="B47" s="123" t="s">
        <v>113</v>
      </c>
      <c r="C47" s="94"/>
      <c r="D47" s="94"/>
      <c r="E47" s="94"/>
      <c r="F47" s="94"/>
      <c r="G47" s="135"/>
      <c r="H47" s="93"/>
      <c r="I47" s="93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>
      <c r="A48" s="26"/>
      <c r="B48" s="144"/>
      <c r="C48" s="102"/>
      <c r="D48" s="102"/>
      <c r="E48" s="201" t="s">
        <v>114</v>
      </c>
      <c r="F48" s="103"/>
      <c r="G48" s="202" t="s">
        <v>115</v>
      </c>
      <c r="H48" s="93"/>
      <c r="I48" s="93"/>
      <c r="J48" s="84"/>
      <c r="K48" s="84"/>
      <c r="L48" s="26"/>
      <c r="M48" s="204"/>
      <c r="N48" s="26"/>
      <c r="O48" s="26"/>
      <c r="P48" s="26"/>
      <c r="Q48" s="26"/>
      <c r="R48" s="26"/>
      <c r="S48" s="26"/>
      <c r="T48" s="26"/>
      <c r="U48" s="26"/>
    </row>
    <row r="49" spans="1:21">
      <c r="A49" s="26"/>
      <c r="B49" s="145" t="s">
        <v>116</v>
      </c>
      <c r="C49" s="104" t="s">
        <v>117</v>
      </c>
      <c r="D49" s="104" t="s">
        <v>118</v>
      </c>
      <c r="E49" s="189"/>
      <c r="F49" s="105" t="s">
        <v>119</v>
      </c>
      <c r="G49" s="203"/>
      <c r="H49" s="93"/>
      <c r="I49" s="93"/>
      <c r="J49" s="84"/>
      <c r="K49" s="104"/>
      <c r="L49" s="105"/>
      <c r="M49" s="189"/>
      <c r="N49" s="26"/>
      <c r="O49" s="26"/>
      <c r="P49" s="26"/>
      <c r="Q49" s="26"/>
      <c r="R49" s="26"/>
      <c r="S49" s="26"/>
      <c r="T49" s="26"/>
      <c r="U49" s="26"/>
    </row>
    <row r="50" spans="1:21">
      <c r="A50" s="26"/>
      <c r="B50" s="120"/>
      <c r="C50" s="126"/>
      <c r="D50" s="126"/>
      <c r="E50" s="146"/>
      <c r="F50" s="147"/>
      <c r="G50" s="106"/>
      <c r="H50" s="93"/>
      <c r="I50" s="93"/>
      <c r="J50" s="26"/>
      <c r="K50" s="81"/>
      <c r="L50" s="107"/>
      <c r="M50" s="107"/>
      <c r="N50" s="26"/>
      <c r="O50" s="26"/>
      <c r="P50" s="26"/>
      <c r="Q50" s="26"/>
      <c r="R50" s="26"/>
      <c r="S50" s="26"/>
      <c r="T50" s="26"/>
      <c r="U50" s="26"/>
    </row>
    <row r="51" spans="1:21">
      <c r="A51" s="26"/>
      <c r="B51" s="120"/>
      <c r="C51" s="126"/>
      <c r="D51" s="126"/>
      <c r="E51" s="146"/>
      <c r="F51" s="147"/>
      <c r="G51" s="106"/>
      <c r="H51" s="93"/>
      <c r="I51" s="93"/>
      <c r="J51" s="26"/>
      <c r="K51" s="81"/>
      <c r="L51" s="107"/>
      <c r="M51" s="107"/>
      <c r="N51" s="26"/>
      <c r="O51" s="26"/>
      <c r="P51" s="26"/>
      <c r="Q51" s="26"/>
      <c r="R51" s="26"/>
      <c r="S51" s="26"/>
      <c r="T51" s="26"/>
      <c r="U51" s="26"/>
    </row>
    <row r="52" spans="1:21">
      <c r="A52" s="26"/>
      <c r="B52" s="120"/>
      <c r="C52" s="126"/>
      <c r="D52" s="126"/>
      <c r="E52" s="146"/>
      <c r="F52" s="148"/>
      <c r="G52" s="106"/>
      <c r="H52" s="93"/>
      <c r="I52" s="93"/>
      <c r="J52" s="26"/>
      <c r="K52" s="81"/>
      <c r="L52" s="107"/>
      <c r="M52" s="107"/>
      <c r="N52" s="26"/>
      <c r="O52" s="26"/>
      <c r="P52" s="26"/>
      <c r="Q52" s="26"/>
      <c r="R52" s="26"/>
      <c r="S52" s="26"/>
      <c r="T52" s="26"/>
      <c r="U52" s="26"/>
    </row>
    <row r="53" spans="1:21" ht="15.75" thickBot="1">
      <c r="A53" s="26"/>
      <c r="B53" s="75"/>
      <c r="C53" s="149"/>
      <c r="D53" s="149"/>
      <c r="E53" s="149"/>
      <c r="F53" s="108"/>
      <c r="G53" s="109">
        <v>0</v>
      </c>
      <c r="H53" s="93"/>
      <c r="I53" s="93"/>
      <c r="J53" s="26"/>
      <c r="K53" s="81"/>
      <c r="L53" s="107"/>
      <c r="M53" s="107"/>
      <c r="N53" s="26"/>
      <c r="O53" s="26"/>
      <c r="P53" s="26"/>
      <c r="Q53" s="26"/>
      <c r="R53" s="26"/>
      <c r="S53" s="26"/>
      <c r="T53" s="26"/>
      <c r="U53" s="26"/>
    </row>
    <row r="54" spans="1:21">
      <c r="A54" s="26"/>
      <c r="B54" s="26"/>
      <c r="C54" s="26"/>
      <c r="D54" s="26"/>
      <c r="E54" s="26"/>
      <c r="F54" s="26"/>
      <c r="G54" s="26"/>
      <c r="H54" s="93"/>
      <c r="I54" s="93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>
      <c r="A55" s="26"/>
      <c r="B55" s="26"/>
      <c r="C55" s="26"/>
      <c r="D55" s="26"/>
      <c r="E55" s="26"/>
      <c r="F55" s="26"/>
      <c r="G55" s="26"/>
      <c r="H55" s="93"/>
      <c r="I55" s="93"/>
      <c r="J55" s="93"/>
      <c r="K55" s="93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ht="15.75">
      <c r="A56" s="26"/>
      <c r="B56" s="26"/>
      <c r="C56" s="26"/>
      <c r="D56" s="26"/>
      <c r="E56" s="26"/>
      <c r="F56" s="26"/>
      <c r="G56" s="26"/>
      <c r="H56" s="93"/>
      <c r="I56" s="93"/>
      <c r="J56" s="93"/>
      <c r="K56" s="93"/>
      <c r="L56" s="205" t="s">
        <v>149</v>
      </c>
      <c r="M56" s="205"/>
      <c r="N56" s="205"/>
      <c r="O56" s="150"/>
      <c r="P56" s="150"/>
      <c r="Q56" s="150"/>
      <c r="R56" s="26"/>
      <c r="S56" s="26"/>
      <c r="T56" s="26"/>
      <c r="U56" s="26"/>
    </row>
    <row r="57" spans="1:21" ht="15.75">
      <c r="A57" s="151" t="s">
        <v>120</v>
      </c>
      <c r="B57" s="151"/>
      <c r="C57" s="151"/>
      <c r="D57" s="151"/>
      <c r="E57" s="151"/>
      <c r="F57" s="151"/>
      <c r="G57" s="151"/>
      <c r="H57" s="152" t="s">
        <v>121</v>
      </c>
      <c r="I57" s="152" t="s">
        <v>122</v>
      </c>
      <c r="J57" s="152" t="s">
        <v>123</v>
      </c>
      <c r="K57" s="152" t="s">
        <v>38</v>
      </c>
      <c r="L57" s="153" t="s">
        <v>124</v>
      </c>
      <c r="M57" s="153" t="s">
        <v>125</v>
      </c>
      <c r="N57" s="153" t="s">
        <v>126</v>
      </c>
      <c r="O57" s="154"/>
      <c r="P57" s="153" t="s">
        <v>150</v>
      </c>
      <c r="Q57" s="150"/>
      <c r="R57" s="26"/>
      <c r="S57" s="26"/>
      <c r="T57" s="26"/>
      <c r="U57" s="26"/>
    </row>
    <row r="58" spans="1:21" ht="16.5" thickBot="1">
      <c r="A58" s="26"/>
      <c r="B58" s="26"/>
      <c r="C58" s="26"/>
      <c r="D58" s="26"/>
      <c r="E58" s="26"/>
      <c r="F58" s="26"/>
      <c r="G58" s="26"/>
      <c r="H58" s="26" t="s">
        <v>127</v>
      </c>
      <c r="I58" s="26" t="s">
        <v>151</v>
      </c>
      <c r="J58" s="26" t="s">
        <v>151</v>
      </c>
      <c r="K58" s="26"/>
      <c r="L58" s="155">
        <v>46022</v>
      </c>
      <c r="M58" s="155">
        <f>EDATE(L58,12)</f>
        <v>46387</v>
      </c>
      <c r="N58" s="155">
        <f>EDATE(M58,12)</f>
        <v>46752</v>
      </c>
      <c r="O58" s="156"/>
      <c r="P58" s="150"/>
      <c r="Q58" s="150"/>
      <c r="R58" s="26"/>
      <c r="S58" s="26"/>
      <c r="T58" s="26"/>
      <c r="U58" s="26"/>
    </row>
    <row r="59" spans="1:21" ht="16.5" thickBot="1">
      <c r="A59" s="26" t="s">
        <v>128</v>
      </c>
      <c r="B59" s="26"/>
      <c r="C59" s="26"/>
      <c r="D59" s="26"/>
      <c r="E59" s="26"/>
      <c r="F59" s="26"/>
      <c r="G59" s="26"/>
      <c r="H59" s="126">
        <v>57063</v>
      </c>
      <c r="I59" s="126">
        <v>0</v>
      </c>
      <c r="J59" s="157">
        <v>0</v>
      </c>
      <c r="K59" s="158">
        <f>H59+I59-J59</f>
        <v>57063</v>
      </c>
      <c r="L59" s="171">
        <v>61226</v>
      </c>
      <c r="M59" s="171">
        <v>65184</v>
      </c>
      <c r="N59" s="171">
        <v>68514</v>
      </c>
      <c r="O59" s="159"/>
      <c r="P59" s="160">
        <f>_xlfn.RRI(3,H59,N59)</f>
        <v>6.28571725957765E-2</v>
      </c>
      <c r="Q59" s="150"/>
      <c r="R59" s="26"/>
      <c r="S59" s="26"/>
      <c r="T59" s="26"/>
      <c r="U59" s="26"/>
    </row>
    <row r="60" spans="1:21" ht="15.75">
      <c r="A60" s="26"/>
      <c r="B60" s="26"/>
      <c r="C60" s="26"/>
      <c r="D60" s="26"/>
      <c r="E60" s="26"/>
      <c r="F60" s="26"/>
      <c r="G60" s="26"/>
      <c r="H60" s="81"/>
      <c r="I60" s="81">
        <v>0</v>
      </c>
      <c r="J60" s="81">
        <v>0</v>
      </c>
      <c r="K60" s="81"/>
      <c r="L60" s="150"/>
      <c r="M60" s="150"/>
      <c r="N60" s="150"/>
      <c r="O60" s="150"/>
      <c r="P60" s="150"/>
      <c r="Q60" s="150"/>
      <c r="R60" s="26"/>
      <c r="S60" s="26"/>
      <c r="T60" s="26"/>
      <c r="U60" s="26"/>
    </row>
    <row r="61" spans="1:21" ht="15.75">
      <c r="A61" s="26" t="s">
        <v>129</v>
      </c>
      <c r="B61" s="26"/>
      <c r="C61" s="26"/>
      <c r="D61" s="26"/>
      <c r="E61" s="26"/>
      <c r="F61" s="26"/>
      <c r="G61" s="26"/>
      <c r="H61" s="126">
        <v>5096</v>
      </c>
      <c r="I61" s="126">
        <v>0</v>
      </c>
      <c r="J61" s="126">
        <v>0</v>
      </c>
      <c r="K61" s="158">
        <f>H61+I61-J61</f>
        <v>5096</v>
      </c>
      <c r="L61" s="150"/>
      <c r="M61" s="150"/>
      <c r="N61" s="150"/>
      <c r="O61" s="150"/>
      <c r="P61" s="150"/>
      <c r="Q61" s="150"/>
      <c r="R61" s="26"/>
      <c r="S61" s="26"/>
      <c r="T61" s="26"/>
      <c r="U61" s="26"/>
    </row>
    <row r="62" spans="1:21" ht="16.5" thickBot="1">
      <c r="A62" s="26" t="s">
        <v>130</v>
      </c>
      <c r="B62" s="89"/>
      <c r="C62" s="89"/>
      <c r="D62" s="89"/>
      <c r="E62" s="89"/>
      <c r="F62" s="89"/>
      <c r="G62" s="89"/>
      <c r="H62" s="126">
        <f>227-199</f>
        <v>28</v>
      </c>
      <c r="I62" s="126">
        <v>0</v>
      </c>
      <c r="J62" s="126">
        <v>0</v>
      </c>
      <c r="K62" s="90"/>
      <c r="L62" s="161"/>
      <c r="M62" s="161"/>
      <c r="N62" s="161"/>
      <c r="O62" s="161"/>
      <c r="P62" s="161"/>
      <c r="Q62" s="161"/>
      <c r="R62" s="89"/>
      <c r="S62" s="89"/>
      <c r="T62" s="89"/>
      <c r="U62" s="89"/>
    </row>
    <row r="63" spans="1:21" ht="16.5" thickBot="1">
      <c r="A63" s="110" t="s">
        <v>131</v>
      </c>
      <c r="B63" s="89"/>
      <c r="C63" s="89"/>
      <c r="D63" s="89"/>
      <c r="E63" s="89"/>
      <c r="F63" s="89"/>
      <c r="G63" s="89"/>
      <c r="H63" s="162">
        <f>H61+H62</f>
        <v>5124</v>
      </c>
      <c r="I63" s="162">
        <v>0</v>
      </c>
      <c r="J63" s="162"/>
      <c r="K63" s="158">
        <f>H63+I63-J63</f>
        <v>5124</v>
      </c>
      <c r="L63" s="171">
        <v>6225</v>
      </c>
      <c r="M63" s="171">
        <v>6699</v>
      </c>
      <c r="N63" s="171">
        <v>7110</v>
      </c>
      <c r="O63" s="163"/>
      <c r="P63" s="160">
        <f>_xlfn.RRI(3,H63,N63)</f>
        <v>0.1153730838119813</v>
      </c>
      <c r="Q63" s="161"/>
      <c r="R63" s="89"/>
      <c r="S63" s="89"/>
      <c r="T63" s="89"/>
      <c r="U63" s="89"/>
    </row>
    <row r="64" spans="1:21" ht="16.5" thickBot="1">
      <c r="A64" s="26" t="s">
        <v>132</v>
      </c>
      <c r="B64" s="26"/>
      <c r="C64" s="26"/>
      <c r="D64" s="26"/>
      <c r="E64" s="26"/>
      <c r="F64" s="26"/>
      <c r="G64" s="26"/>
      <c r="H64" s="126">
        <v>2928</v>
      </c>
      <c r="I64" s="126">
        <v>0</v>
      </c>
      <c r="J64" s="126">
        <v>0</v>
      </c>
      <c r="K64" s="81"/>
      <c r="L64" s="150"/>
      <c r="M64" s="150"/>
      <c r="N64" s="150"/>
      <c r="O64" s="150"/>
      <c r="P64" s="150"/>
      <c r="Q64" s="150"/>
      <c r="R64" s="26"/>
      <c r="S64" s="26"/>
      <c r="T64" s="26"/>
      <c r="U64" s="26"/>
    </row>
    <row r="65" spans="1:21" ht="16.5" thickBot="1">
      <c r="A65" s="89" t="s">
        <v>133</v>
      </c>
      <c r="B65" s="89"/>
      <c r="C65" s="89"/>
      <c r="D65" s="89"/>
      <c r="E65" s="89"/>
      <c r="F65" s="89"/>
      <c r="G65" s="89"/>
      <c r="H65" s="162">
        <f>H63+H64</f>
        <v>8052</v>
      </c>
      <c r="I65" s="162">
        <v>0</v>
      </c>
      <c r="J65" s="162">
        <v>0</v>
      </c>
      <c r="K65" s="158">
        <f>H65+I65-J65</f>
        <v>8052</v>
      </c>
      <c r="L65" s="171">
        <v>9459</v>
      </c>
      <c r="M65" s="171">
        <v>10201</v>
      </c>
      <c r="N65" s="171">
        <v>10709</v>
      </c>
      <c r="O65" s="163"/>
      <c r="P65" s="160">
        <f>_xlfn.RRI(3,H65,N65)</f>
        <v>9.9718972054964716E-2</v>
      </c>
      <c r="Q65" s="161"/>
      <c r="R65" s="89"/>
      <c r="S65" s="89"/>
      <c r="T65" s="89"/>
      <c r="U65" s="89"/>
    </row>
    <row r="66" spans="1:21" ht="15.75">
      <c r="A66" s="26"/>
      <c r="B66" s="26"/>
      <c r="C66" s="26"/>
      <c r="D66" s="26"/>
      <c r="E66" s="26"/>
      <c r="F66" s="26"/>
      <c r="G66" s="26"/>
      <c r="H66" s="81"/>
      <c r="I66" s="81">
        <v>0</v>
      </c>
      <c r="J66" s="81">
        <v>0</v>
      </c>
      <c r="K66" s="81"/>
      <c r="L66" s="150"/>
      <c r="M66" s="150"/>
      <c r="N66" s="150"/>
      <c r="O66" s="150"/>
      <c r="P66" s="150"/>
      <c r="Q66" s="150"/>
      <c r="R66" s="26"/>
      <c r="S66" s="26"/>
      <c r="T66" s="26"/>
      <c r="U66" s="26"/>
    </row>
    <row r="67" spans="1:21" ht="15.75">
      <c r="A67" s="26" t="s">
        <v>134</v>
      </c>
      <c r="B67" s="26"/>
      <c r="C67" s="26"/>
      <c r="D67" s="26"/>
      <c r="E67" s="26"/>
      <c r="F67" s="26"/>
      <c r="G67" s="26"/>
      <c r="H67" s="126">
        <f>3149</f>
        <v>3149</v>
      </c>
      <c r="I67" s="126">
        <v>0</v>
      </c>
      <c r="J67" s="126"/>
      <c r="K67" s="158">
        <f>H67+I67-J67</f>
        <v>3149</v>
      </c>
      <c r="L67" s="150"/>
      <c r="M67" s="150"/>
      <c r="N67" s="150"/>
      <c r="O67" s="150"/>
      <c r="P67" s="150"/>
      <c r="Q67" s="150"/>
      <c r="R67" s="26"/>
      <c r="S67" s="26"/>
      <c r="T67" s="26"/>
      <c r="U67" s="26"/>
    </row>
    <row r="68" spans="1:21" ht="15.75">
      <c r="A68" s="26" t="s">
        <v>135</v>
      </c>
      <c r="B68" s="26"/>
      <c r="C68" s="26"/>
      <c r="D68" s="26"/>
      <c r="E68" s="26"/>
      <c r="F68" s="26"/>
      <c r="G68" s="26"/>
      <c r="H68" s="129"/>
      <c r="I68" s="129">
        <v>0</v>
      </c>
      <c r="J68" s="129">
        <v>0</v>
      </c>
      <c r="K68" s="26"/>
      <c r="L68" s="150"/>
      <c r="M68" s="150"/>
      <c r="N68" s="150"/>
      <c r="O68" s="150"/>
      <c r="P68" s="150"/>
      <c r="Q68" s="150"/>
      <c r="R68" s="26"/>
      <c r="S68" s="26"/>
      <c r="T68" s="26"/>
      <c r="U68" s="26"/>
    </row>
    <row r="69" spans="1:21" ht="15.75">
      <c r="A69" s="26" t="s">
        <v>136</v>
      </c>
      <c r="B69" s="26"/>
      <c r="C69" s="26"/>
      <c r="D69" s="26"/>
      <c r="E69" s="26"/>
      <c r="F69" s="26"/>
      <c r="G69" s="26"/>
      <c r="H69" s="126"/>
      <c r="I69" s="126">
        <v>0</v>
      </c>
      <c r="J69" s="126">
        <v>0</v>
      </c>
      <c r="K69" s="26"/>
      <c r="L69" s="150"/>
      <c r="M69" s="150"/>
      <c r="N69" s="150"/>
      <c r="O69" s="150"/>
      <c r="P69" s="150"/>
      <c r="Q69" s="150"/>
      <c r="R69" s="26"/>
      <c r="S69" s="26"/>
      <c r="T69" s="26"/>
      <c r="U69" s="26"/>
    </row>
    <row r="70" spans="1:21" ht="15.75">
      <c r="A70" s="26" t="s">
        <v>137</v>
      </c>
      <c r="B70" s="26"/>
      <c r="C70" s="26"/>
      <c r="D70" s="26"/>
      <c r="E70" s="26"/>
      <c r="F70" s="26"/>
      <c r="G70" s="26"/>
      <c r="H70" s="129"/>
      <c r="I70" s="129">
        <v>0</v>
      </c>
      <c r="J70" s="129">
        <v>0</v>
      </c>
      <c r="K70" s="26"/>
      <c r="L70" s="150"/>
      <c r="M70" s="150"/>
      <c r="N70" s="150"/>
      <c r="O70" s="150"/>
      <c r="P70" s="150"/>
      <c r="Q70" s="150"/>
      <c r="R70" s="26"/>
      <c r="S70" s="26"/>
      <c r="T70" s="26"/>
      <c r="U70" s="26"/>
    </row>
    <row r="71" spans="1:21" ht="15.75">
      <c r="A71" s="26" t="s">
        <v>138</v>
      </c>
      <c r="B71" s="26"/>
      <c r="C71" s="26"/>
      <c r="D71" s="26"/>
      <c r="E71" s="26"/>
      <c r="F71" s="26"/>
      <c r="G71" s="26"/>
      <c r="H71" s="126"/>
      <c r="I71" s="126">
        <v>0</v>
      </c>
      <c r="J71" s="126">
        <v>0</v>
      </c>
      <c r="K71" s="26"/>
      <c r="L71" s="150"/>
      <c r="M71" s="150"/>
      <c r="N71" s="150"/>
      <c r="O71" s="150"/>
      <c r="P71" s="150"/>
      <c r="Q71" s="150"/>
      <c r="R71" s="26"/>
      <c r="S71" s="26"/>
      <c r="T71" s="26"/>
      <c r="U71" s="26"/>
    </row>
    <row r="72" spans="1:21" ht="15.75">
      <c r="A72" s="89" t="s">
        <v>139</v>
      </c>
      <c r="B72" s="26"/>
      <c r="C72" s="26"/>
      <c r="D72" s="26"/>
      <c r="E72" s="26"/>
      <c r="F72" s="26"/>
      <c r="G72" s="26"/>
      <c r="H72" s="162"/>
      <c r="I72" s="162">
        <v>0</v>
      </c>
      <c r="J72" s="162">
        <v>0</v>
      </c>
      <c r="K72" s="26"/>
      <c r="L72" s="150"/>
      <c r="M72" s="150"/>
      <c r="N72" s="150"/>
      <c r="O72" s="150"/>
      <c r="P72" s="150"/>
      <c r="Q72" s="150"/>
      <c r="R72" s="26"/>
      <c r="S72" s="26"/>
      <c r="T72" s="26"/>
      <c r="U72" s="26"/>
    </row>
    <row r="73" spans="1:21" ht="16.5" thickBot="1">
      <c r="A73" s="26" t="s">
        <v>140</v>
      </c>
      <c r="B73" s="26"/>
      <c r="C73" s="26"/>
      <c r="D73" s="26"/>
      <c r="E73" s="26"/>
      <c r="F73" s="26"/>
      <c r="G73" s="26"/>
      <c r="H73" s="126"/>
      <c r="I73" s="126">
        <v>0</v>
      </c>
      <c r="J73" s="126">
        <v>0</v>
      </c>
      <c r="K73" s="26"/>
      <c r="L73" s="150"/>
      <c r="M73" s="150"/>
      <c r="N73" s="150"/>
      <c r="O73" s="150"/>
      <c r="P73" s="150"/>
      <c r="Q73" s="150"/>
      <c r="R73" s="26"/>
      <c r="S73" s="26"/>
      <c r="T73" s="26"/>
      <c r="U73" s="26"/>
    </row>
    <row r="74" spans="1:21" ht="16.5" thickBot="1">
      <c r="A74" s="89" t="s">
        <v>141</v>
      </c>
      <c r="B74" s="89"/>
      <c r="C74" s="89"/>
      <c r="D74" s="89"/>
      <c r="E74" s="89"/>
      <c r="F74" s="89"/>
      <c r="G74" s="89"/>
      <c r="H74" s="158">
        <v>3149</v>
      </c>
      <c r="I74" s="158">
        <v>0</v>
      </c>
      <c r="J74" s="158">
        <v>0</v>
      </c>
      <c r="K74" s="158">
        <f>H74+I74-J74</f>
        <v>3149</v>
      </c>
      <c r="L74" s="171">
        <v>4202</v>
      </c>
      <c r="M74" s="171">
        <v>4608</v>
      </c>
      <c r="N74" s="171">
        <v>4698</v>
      </c>
      <c r="O74" s="163"/>
      <c r="P74" s="160">
        <f>_xlfn.RRI(3,H74,N74)</f>
        <v>0.14265059628351273</v>
      </c>
      <c r="Q74" s="161"/>
      <c r="R74" s="89"/>
      <c r="S74" s="89"/>
      <c r="T74" s="89"/>
      <c r="U74" s="89"/>
    </row>
    <row r="75" spans="1:21" ht="15.75">
      <c r="A75" s="26"/>
      <c r="B75" s="26"/>
      <c r="C75" s="26"/>
      <c r="D75" s="26"/>
      <c r="E75" s="26"/>
      <c r="F75" s="26"/>
      <c r="G75" s="26"/>
      <c r="H75" s="81"/>
      <c r="I75" s="81">
        <v>0</v>
      </c>
      <c r="J75" s="81">
        <v>0</v>
      </c>
      <c r="K75" s="81"/>
      <c r="L75" s="150"/>
      <c r="M75" s="150"/>
      <c r="N75" s="150"/>
      <c r="O75" s="150"/>
      <c r="P75" s="150"/>
      <c r="Q75" s="150"/>
      <c r="R75" s="26"/>
      <c r="S75" s="26"/>
      <c r="T75" s="26"/>
      <c r="U75" s="26"/>
    </row>
    <row r="76" spans="1:21" ht="15.75">
      <c r="A76" s="26" t="s">
        <v>142</v>
      </c>
      <c r="B76" s="26"/>
      <c r="C76" s="26"/>
      <c r="D76" s="26"/>
      <c r="E76" s="26"/>
      <c r="F76" s="26"/>
      <c r="G76" s="26"/>
      <c r="H76" s="126">
        <v>333.23</v>
      </c>
      <c r="I76" s="126">
        <v>0</v>
      </c>
      <c r="J76" s="126">
        <v>0</v>
      </c>
      <c r="K76" s="81"/>
      <c r="L76" s="150"/>
      <c r="M76" s="150"/>
      <c r="N76" s="150"/>
      <c r="O76" s="150"/>
      <c r="P76" s="150"/>
      <c r="Q76" s="150"/>
      <c r="R76" s="26"/>
      <c r="S76" s="26"/>
      <c r="T76" s="26"/>
      <c r="U76" s="26"/>
    </row>
    <row r="77" spans="1:21" ht="15.75">
      <c r="A77" s="26" t="s">
        <v>143</v>
      </c>
      <c r="B77" s="26"/>
      <c r="C77" s="26"/>
      <c r="D77" s="26"/>
      <c r="E77" s="26"/>
      <c r="F77" s="26"/>
      <c r="G77" s="26"/>
      <c r="H77" s="164">
        <f>H74/H76</f>
        <v>9.4499294781382215</v>
      </c>
      <c r="I77" s="164">
        <v>0</v>
      </c>
      <c r="J77" s="164">
        <v>0</v>
      </c>
      <c r="K77" s="158">
        <f>H77+I77-J77</f>
        <v>9.4499294781382215</v>
      </c>
      <c r="L77" s="172">
        <f>L74/$H$76</f>
        <v>12.609909071812261</v>
      </c>
      <c r="M77" s="172">
        <f t="shared" ref="M77:N77" si="1">M74/$H$76</f>
        <v>13.828286768898359</v>
      </c>
      <c r="N77" s="172">
        <f t="shared" si="1"/>
        <v>14.098370494853404</v>
      </c>
      <c r="O77" s="150"/>
      <c r="P77" s="160">
        <f>_xlfn.RRI(3,H77,N77)</f>
        <v>0.14265059628351273</v>
      </c>
      <c r="Q77" s="150"/>
      <c r="R77" s="26"/>
      <c r="S77" s="26"/>
      <c r="T77" s="26"/>
      <c r="U77" s="26"/>
    </row>
    <row r="78" spans="1:21" ht="15.75">
      <c r="A78" s="26"/>
      <c r="B78" s="26"/>
      <c r="C78" s="26"/>
      <c r="D78" s="26"/>
      <c r="E78" s="26"/>
      <c r="F78" s="26"/>
      <c r="G78" s="26"/>
      <c r="H78" s="181" t="s">
        <v>161</v>
      </c>
      <c r="I78" s="81"/>
      <c r="J78" s="81"/>
      <c r="K78" s="81"/>
      <c r="L78" s="165" t="s">
        <v>152</v>
      </c>
      <c r="M78" s="150"/>
      <c r="N78" s="150"/>
      <c r="O78" s="150"/>
      <c r="P78" s="150"/>
      <c r="Q78" s="150"/>
      <c r="R78" s="26"/>
      <c r="S78" s="26"/>
      <c r="T78" s="26"/>
      <c r="U78" s="26"/>
    </row>
  </sheetData>
  <mergeCells count="5">
    <mergeCell ref="G13:I13"/>
    <mergeCell ref="E48:E49"/>
    <mergeCell ref="G48:G49"/>
    <mergeCell ref="M48:M49"/>
    <mergeCell ref="L56:N5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Valuation </vt:lpstr>
      <vt:lpstr>Output</vt:lpstr>
      <vt:lpstr>AmericanAirlinesGroup</vt:lpstr>
      <vt:lpstr>JetBlueAirlines</vt:lpstr>
      <vt:lpstr>Skywest</vt:lpstr>
      <vt:lpstr>SouthwestAirlines</vt:lpstr>
      <vt:lpstr>UnitedAirlinesHoldings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Pankajj Goel</dc:creator>
  <cp:lastModifiedBy>Rajat Kumar Mishra</cp:lastModifiedBy>
  <dcterms:created xsi:type="dcterms:W3CDTF">2023-09-18T16:13:25Z</dcterms:created>
  <dcterms:modified xsi:type="dcterms:W3CDTF">2025-03-20T19:18:53Z</dcterms:modified>
</cp:coreProperties>
</file>