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LOLE-Q1" sheetId="4" r:id="rId1"/>
    <sheet name="LOLE-Q1-Dir" sheetId="3" r:id="rId2"/>
    <sheet name="LOLE-Q2" sheetId="5" r:id="rId3"/>
    <sheet name="LOLE-Q3" sheetId="7" r:id="rId4"/>
    <sheet name="EENS" sheetId="8" r:id="rId5"/>
  </sheets>
  <calcPr calcId="124519"/>
</workbook>
</file>

<file path=xl/calcChain.xml><?xml version="1.0" encoding="utf-8"?>
<calcChain xmlns="http://schemas.openxmlformats.org/spreadsheetml/2006/main">
  <c r="R9" i="8"/>
  <c r="R8"/>
  <c r="R7"/>
  <c r="Q9"/>
  <c r="Q8"/>
  <c r="Q7"/>
  <c r="L43"/>
  <c r="J34"/>
  <c r="L34" s="1"/>
  <c r="L41" s="1"/>
  <c r="L31"/>
  <c r="L32"/>
  <c r="L33"/>
  <c r="L35"/>
  <c r="L36"/>
  <c r="L37"/>
  <c r="L38"/>
  <c r="L39"/>
  <c r="L40"/>
  <c r="J36"/>
  <c r="J37"/>
  <c r="J40"/>
  <c r="J39"/>
  <c r="J38"/>
  <c r="J35"/>
  <c r="J33"/>
  <c r="J31"/>
  <c r="J30"/>
  <c r="L30" s="1"/>
  <c r="J32"/>
  <c r="I31"/>
  <c r="I32"/>
  <c r="I33"/>
  <c r="I34"/>
  <c r="I35"/>
  <c r="I36"/>
  <c r="I37"/>
  <c r="I38"/>
  <c r="K38" s="1"/>
  <c r="I39"/>
  <c r="K39" s="1"/>
  <c r="I40"/>
  <c r="I30"/>
  <c r="K40"/>
  <c r="K37"/>
  <c r="K36"/>
  <c r="L25"/>
  <c r="L23"/>
  <c r="L18"/>
  <c r="K19"/>
  <c r="K20"/>
  <c r="K21"/>
  <c r="L21" s="1"/>
  <c r="K22"/>
  <c r="L22" s="1"/>
  <c r="L19"/>
  <c r="L20"/>
  <c r="J22"/>
  <c r="J21"/>
  <c r="J20"/>
  <c r="J19"/>
  <c r="J18"/>
  <c r="J17"/>
  <c r="I18"/>
  <c r="I19"/>
  <c r="I20"/>
  <c r="I21"/>
  <c r="I22"/>
  <c r="I17"/>
  <c r="L12"/>
  <c r="L10"/>
  <c r="L8"/>
  <c r="L9"/>
  <c r="L7"/>
  <c r="K8"/>
  <c r="K9"/>
  <c r="K7"/>
  <c r="J9"/>
  <c r="J8"/>
  <c r="J7"/>
  <c r="N18" i="7"/>
  <c r="O8"/>
  <c r="B15"/>
  <c r="D14" s="1"/>
  <c r="C16" s="1"/>
  <c r="B14"/>
  <c r="K12"/>
  <c r="L12" s="1"/>
  <c r="I12"/>
  <c r="K11"/>
  <c r="I11"/>
  <c r="N11" s="1"/>
  <c r="K10"/>
  <c r="I10"/>
  <c r="N10" s="1"/>
  <c r="K9"/>
  <c r="O9" s="1"/>
  <c r="I9"/>
  <c r="K8"/>
  <c r="I8"/>
  <c r="D8"/>
  <c r="N15" i="5"/>
  <c r="N14"/>
  <c r="N13"/>
  <c r="N11"/>
  <c r="N10"/>
  <c r="C17"/>
  <c r="C16"/>
  <c r="B15"/>
  <c r="B14"/>
  <c r="J9"/>
  <c r="J10"/>
  <c r="J11"/>
  <c r="J12"/>
  <c r="J8"/>
  <c r="L9"/>
  <c r="L8" s="1"/>
  <c r="L10"/>
  <c r="L11"/>
  <c r="L12"/>
  <c r="K13"/>
  <c r="K9"/>
  <c r="K10"/>
  <c r="K11"/>
  <c r="K12"/>
  <c r="I9"/>
  <c r="I10"/>
  <c r="I11"/>
  <c r="I12"/>
  <c r="I8"/>
  <c r="K8"/>
  <c r="D8"/>
  <c r="L17" i="8" l="1"/>
  <c r="O11" i="7"/>
  <c r="O10"/>
  <c r="N13"/>
  <c r="O13"/>
  <c r="N15" s="1"/>
  <c r="N16" s="1"/>
  <c r="N17" s="1"/>
  <c r="J12"/>
  <c r="C17"/>
  <c r="K13"/>
  <c r="L11"/>
  <c r="L10" s="1"/>
  <c r="L9" s="1"/>
  <c r="L8" s="1"/>
  <c r="J11"/>
  <c r="J8"/>
  <c r="J9"/>
  <c r="J10"/>
  <c r="D14" i="5"/>
  <c r="U7" i="4" l="1"/>
  <c r="U8"/>
  <c r="U9"/>
  <c r="U10"/>
  <c r="U6"/>
  <c r="M10" i="3"/>
  <c r="N10"/>
  <c r="K7"/>
  <c r="M11"/>
  <c r="N11" s="1"/>
  <c r="M9"/>
  <c r="M8"/>
  <c r="I17" i="4"/>
  <c r="I16"/>
  <c r="I15"/>
  <c r="M8" s="1"/>
  <c r="D7"/>
  <c r="M10"/>
  <c r="M9"/>
  <c r="I12"/>
  <c r="I11"/>
  <c r="I10"/>
  <c r="K8"/>
  <c r="K17" s="1"/>
  <c r="O10" s="1"/>
  <c r="P10" s="1"/>
  <c r="M7"/>
  <c r="K7"/>
  <c r="K16" s="1"/>
  <c r="O9" s="1"/>
  <c r="M6"/>
  <c r="K6"/>
  <c r="K15" s="1"/>
  <c r="D6"/>
  <c r="J8" s="1"/>
  <c r="N6" l="1"/>
  <c r="D8"/>
  <c r="P9"/>
  <c r="K18"/>
  <c r="K10"/>
  <c r="K12"/>
  <c r="O8" s="1"/>
  <c r="J7"/>
  <c r="K11"/>
  <c r="O7" s="1"/>
  <c r="J6"/>
  <c r="V9" l="1"/>
  <c r="W9" s="1"/>
  <c r="V10"/>
  <c r="W10" s="1"/>
  <c r="V8"/>
  <c r="W8" s="1"/>
  <c r="N9"/>
  <c r="N7"/>
  <c r="N8"/>
  <c r="P8"/>
  <c r="N10"/>
  <c r="P7"/>
  <c r="P6" s="1"/>
  <c r="K13"/>
  <c r="O6"/>
  <c r="L9" i="3"/>
  <c r="M7"/>
  <c r="E8"/>
  <c r="E10" s="1"/>
  <c r="L8" s="1"/>
  <c r="E9"/>
  <c r="E7"/>
  <c r="V6" i="4" l="1"/>
  <c r="W6" s="1"/>
  <c r="W11" s="1"/>
  <c r="V7"/>
  <c r="W7" s="1"/>
  <c r="L10" i="3"/>
  <c r="L11"/>
  <c r="L7"/>
  <c r="N9"/>
  <c r="N8" s="1"/>
  <c r="N7" s="1"/>
</calcChain>
</file>

<file path=xl/comments1.xml><?xml version="1.0" encoding="utf-8"?>
<comments xmlns="http://schemas.openxmlformats.org/spreadsheetml/2006/main">
  <authors>
    <author>Author</author>
  </authors>
  <commentList>
    <comment ref="U5" authorId="0">
      <text>
        <r>
          <rPr>
            <sz val="9"/>
            <color indexed="81"/>
            <rFont val="Tahoma"/>
            <family val="2"/>
          </rPr>
          <t>Capacity Outage greater than this will result in loss of load</t>
        </r>
      </text>
    </comment>
    <comment ref="V5" authorId="0">
      <text>
        <r>
          <rPr>
            <sz val="9"/>
            <color indexed="81"/>
            <rFont val="Tahoma"/>
            <family val="2"/>
          </rPr>
          <t xml:space="preserve">Probability of capacity outage for loss of load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17" authorId="0">
      <text>
        <r>
          <rPr>
            <b/>
            <sz val="9"/>
            <color indexed="81"/>
            <rFont val="Tahoma"/>
            <family val="2"/>
          </rPr>
          <t>How?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How?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How?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How?</t>
        </r>
      </text>
    </comment>
  </commentList>
</comments>
</file>

<file path=xl/sharedStrings.xml><?xml version="1.0" encoding="utf-8"?>
<sst xmlns="http://schemas.openxmlformats.org/spreadsheetml/2006/main" count="137" uniqueCount="79">
  <si>
    <t>FOR</t>
  </si>
  <si>
    <t>Units 
Out</t>
  </si>
  <si>
    <t>Capacity
Out</t>
  </si>
  <si>
    <t>MW 
Available</t>
  </si>
  <si>
    <t>Individual
Probability</t>
  </si>
  <si>
    <t>No.</t>
  </si>
  <si>
    <t>Total 
Units</t>
  </si>
  <si>
    <t>System</t>
  </si>
  <si>
    <t>Total
(MW)</t>
  </si>
  <si>
    <t>Unit 
(MW)</t>
  </si>
  <si>
    <t>Capacity Out (MW)</t>
  </si>
  <si>
    <t>Individual Probability</t>
  </si>
  <si>
    <t>Cumulative Probability</t>
  </si>
  <si>
    <t>MW Available</t>
  </si>
  <si>
    <t>Unit 
Capacity</t>
  </si>
  <si>
    <t>No of 
Units</t>
  </si>
  <si>
    <t>Total 
Capacity</t>
  </si>
  <si>
    <t>COT for 25 MW units</t>
  </si>
  <si>
    <t>Addition of 50 MW unit in service</t>
  </si>
  <si>
    <t>Addition of 50 MW unit out of service</t>
  </si>
  <si>
    <t>25 or 25</t>
  </si>
  <si>
    <t>two 25 or one 50</t>
  </si>
  <si>
    <t>one 25 one 50</t>
  </si>
  <si>
    <t>two 25 and one 50</t>
  </si>
  <si>
    <t>Book Answer</t>
  </si>
  <si>
    <t>Capacity Outage Table (Direct Probability Method)</t>
  </si>
  <si>
    <t>COT for the system</t>
  </si>
  <si>
    <t>Ci - Li</t>
  </si>
  <si>
    <t>Peak Load Li</t>
  </si>
  <si>
    <t>Capacity Ci</t>
  </si>
  <si>
    <t>Prob 
(Ci-Li)</t>
  </si>
  <si>
    <t>LOLE</t>
  </si>
  <si>
    <t>days/year</t>
  </si>
  <si>
    <t>Loss of Load Expectation</t>
  </si>
  <si>
    <t xml:space="preserve">Theare are some issues in direct computation as the cumulative probability is different from that provided in the book. </t>
  </si>
  <si>
    <t>FOR
 (50 MW)</t>
  </si>
  <si>
    <t>No of 
Occur</t>
  </si>
  <si>
    <t>Capacity Outage Table for 5 x40 MW system</t>
  </si>
  <si>
    <t>Time</t>
  </si>
  <si>
    <t>Slope</t>
  </si>
  <si>
    <t xml:space="preserve">Peak </t>
  </si>
  <si>
    <t>Load</t>
  </si>
  <si>
    <t>MW</t>
  </si>
  <si>
    <t>Total Time 
tk (%)</t>
  </si>
  <si>
    <t>-</t>
  </si>
  <si>
    <t>Neglected</t>
  </si>
  <si>
    <t>LOLE (%)</t>
  </si>
  <si>
    <t>(%)</t>
  </si>
  <si>
    <t>days</t>
  </si>
  <si>
    <t>years per day</t>
  </si>
  <si>
    <t>Ek (Ok*tk)</t>
  </si>
  <si>
    <t>Capacity
Out (Ok)</t>
  </si>
  <si>
    <t>Ek*Pk</t>
  </si>
  <si>
    <t>LOEE</t>
  </si>
  <si>
    <t>LOEEpu</t>
  </si>
  <si>
    <t>EIR</t>
  </si>
  <si>
    <t>Total Energy under LDC</t>
  </si>
  <si>
    <t>Unit</t>
  </si>
  <si>
    <t>Capacity
(MW)</t>
  </si>
  <si>
    <t>Probability</t>
  </si>
  <si>
    <t>Capacity out of Service
(MW)</t>
  </si>
  <si>
    <t>EENS with Unit-1 (Installed Capacity 25 MW)</t>
  </si>
  <si>
    <t>Capacity in Service (MW)</t>
  </si>
  <si>
    <t>Prob</t>
  </si>
  <si>
    <t>Energy Curtailed (MWh)</t>
  </si>
  <si>
    <t>Expectation (MWh)</t>
  </si>
  <si>
    <t>EENS0</t>
  </si>
  <si>
    <t>MWh</t>
  </si>
  <si>
    <t>EENS1</t>
  </si>
  <si>
    <t>Expected Energy produced by Unit-1</t>
  </si>
  <si>
    <t>EENS with Unit-1 and 2 (Installed Capacity 55 MW)</t>
  </si>
  <si>
    <t>EENS2</t>
  </si>
  <si>
    <t>EENS with Unit-1 and 2 (Installed Capacity 75 MW)</t>
  </si>
  <si>
    <t>EENS3</t>
  </si>
  <si>
    <t>Summary of EENS</t>
  </si>
  <si>
    <t>Priority Level</t>
  </si>
  <si>
    <t>Unit Capacity (MW)</t>
  </si>
  <si>
    <t>EENS (MWh)</t>
  </si>
  <si>
    <t>Expected Energy Output (MWh)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</si>
</sst>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"/>
    <numFmt numFmtId="166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3" borderId="1" xfId="0" applyFont="1" applyFill="1" applyBorder="1" applyAlignment="1">
      <alignment wrapText="1"/>
    </xf>
    <xf numFmtId="0" fontId="0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0" borderId="2" xfId="0" applyBorder="1"/>
    <xf numFmtId="0" fontId="1" fillId="5" borderId="5" xfId="0" applyFont="1" applyFill="1" applyBorder="1"/>
    <xf numFmtId="0" fontId="1" fillId="5" borderId="6" xfId="0" applyFont="1" applyFill="1" applyBorder="1"/>
    <xf numFmtId="0" fontId="0" fillId="0" borderId="1" xfId="0" applyBorder="1" applyAlignment="1">
      <alignment wrapText="1"/>
    </xf>
    <xf numFmtId="164" fontId="0" fillId="0" borderId="0" xfId="0" applyNumberFormat="1"/>
    <xf numFmtId="0" fontId="1" fillId="3" borderId="1" xfId="0" applyFont="1" applyFill="1" applyBorder="1"/>
    <xf numFmtId="165" fontId="0" fillId="0" borderId="1" xfId="0" applyNumberFormat="1" applyBorder="1"/>
    <xf numFmtId="0" fontId="1" fillId="6" borderId="1" xfId="0" applyFont="1" applyFill="1" applyBorder="1"/>
    <xf numFmtId="164" fontId="0" fillId="0" borderId="3" xfId="0" applyNumberFormat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7" borderId="12" xfId="0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0" borderId="0" xfId="0" applyFont="1" applyFill="1" applyBorder="1"/>
    <xf numFmtId="0" fontId="1" fillId="3" borderId="7" xfId="0" applyFont="1" applyFill="1" applyBorder="1" applyAlignment="1">
      <alignment wrapText="1"/>
    </xf>
    <xf numFmtId="0" fontId="0" fillId="0" borderId="7" xfId="0" applyBorder="1"/>
    <xf numFmtId="0" fontId="1" fillId="0" borderId="1" xfId="0" applyFont="1" applyFill="1" applyBorder="1"/>
    <xf numFmtId="0" fontId="1" fillId="0" borderId="1" xfId="0" applyFont="1" applyBorder="1"/>
    <xf numFmtId="0" fontId="1" fillId="7" borderId="1" xfId="0" applyFont="1" applyFill="1" applyBorder="1"/>
    <xf numFmtId="164" fontId="1" fillId="7" borderId="11" xfId="0" applyNumberFormat="1" applyFont="1" applyFill="1" applyBorder="1"/>
    <xf numFmtId="164" fontId="1" fillId="7" borderId="13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1" fillId="7" borderId="16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166" fontId="0" fillId="0" borderId="1" xfId="0" applyNumberFormat="1" applyBorder="1"/>
    <xf numFmtId="0" fontId="0" fillId="9" borderId="1" xfId="0" applyFill="1" applyBorder="1"/>
    <xf numFmtId="0" fontId="0" fillId="0" borderId="1" xfId="0" applyFill="1" applyBorder="1"/>
    <xf numFmtId="165" fontId="0" fillId="7" borderId="17" xfId="0" applyNumberFormat="1" applyFill="1" applyBorder="1"/>
    <xf numFmtId="165" fontId="1" fillId="7" borderId="19" xfId="0" applyNumberFormat="1" applyFont="1" applyFill="1" applyBorder="1"/>
    <xf numFmtId="165" fontId="0" fillId="9" borderId="1" xfId="0" applyNumberFormat="1" applyFill="1" applyBorder="1"/>
    <xf numFmtId="165" fontId="0" fillId="0" borderId="1" xfId="0" applyNumberFormat="1" applyFill="1" applyBorder="1"/>
    <xf numFmtId="165" fontId="0" fillId="0" borderId="2" xfId="0" applyNumberFormat="1" applyFill="1" applyBorder="1"/>
    <xf numFmtId="2" fontId="0" fillId="0" borderId="2" xfId="0" applyNumberFormat="1" applyBorder="1"/>
    <xf numFmtId="2" fontId="1" fillId="7" borderId="17" xfId="0" applyNumberFormat="1" applyFont="1" applyFill="1" applyBorder="1"/>
    <xf numFmtId="165" fontId="1" fillId="7" borderId="17" xfId="0" applyNumberFormat="1" applyFont="1" applyFill="1" applyBorder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W18"/>
  <sheetViews>
    <sheetView workbookViewId="0">
      <selection activeCell="D16" sqref="D16"/>
    </sheetView>
  </sheetViews>
  <sheetFormatPr defaultRowHeight="15"/>
  <cols>
    <col min="2" max="2" width="6.5703125" customWidth="1"/>
    <col min="3" max="3" width="5" bestFit="1" customWidth="1"/>
    <col min="4" max="4" width="6" bestFit="1" customWidth="1"/>
    <col min="6" max="6" width="5.7109375" bestFit="1" customWidth="1"/>
    <col min="7" max="7" width="5" bestFit="1" customWidth="1"/>
    <col min="8" max="8" width="5.7109375" bestFit="1" customWidth="1"/>
    <col min="9" max="9" width="8.42578125" bestFit="1" customWidth="1"/>
    <col min="10" max="10" width="9.42578125" customWidth="1"/>
    <col min="11" max="11" width="10.5703125" customWidth="1"/>
    <col min="15" max="15" width="11.42578125" customWidth="1"/>
    <col min="16" max="16" width="11.140625" bestFit="1" customWidth="1"/>
    <col min="18" max="18" width="8.42578125" bestFit="1" customWidth="1"/>
    <col min="19" max="19" width="7" bestFit="1" customWidth="1"/>
    <col min="20" max="20" width="6" bestFit="1" customWidth="1"/>
    <col min="21" max="21" width="5.7109375" bestFit="1" customWidth="1"/>
    <col min="22" max="22" width="8.5703125" bestFit="1" customWidth="1"/>
    <col min="23" max="23" width="9.7109375" bestFit="1" customWidth="1"/>
  </cols>
  <sheetData>
    <row r="4" spans="2:23" ht="45">
      <c r="B4" s="13" t="s">
        <v>35</v>
      </c>
      <c r="C4" s="1">
        <v>0.02</v>
      </c>
      <c r="H4" s="56" t="s">
        <v>17</v>
      </c>
      <c r="I4" s="56"/>
      <c r="J4" s="56"/>
      <c r="K4" s="56"/>
      <c r="M4" s="58" t="s">
        <v>26</v>
      </c>
      <c r="N4" s="58"/>
      <c r="O4" s="58"/>
      <c r="P4" s="58"/>
      <c r="R4" s="59" t="s">
        <v>33</v>
      </c>
      <c r="S4" s="60"/>
      <c r="T4" s="60"/>
      <c r="U4" s="60"/>
      <c r="V4" s="60"/>
      <c r="W4" s="61"/>
    </row>
    <row r="5" spans="2:23" ht="45">
      <c r="B5" s="13" t="s">
        <v>9</v>
      </c>
      <c r="C5" s="1" t="s">
        <v>5</v>
      </c>
      <c r="D5" s="13" t="s">
        <v>8</v>
      </c>
      <c r="F5" s="4" t="s">
        <v>6</v>
      </c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M5" s="4" t="s">
        <v>10</v>
      </c>
      <c r="N5" s="4" t="s">
        <v>13</v>
      </c>
      <c r="O5" s="4" t="s">
        <v>11</v>
      </c>
      <c r="P5" s="4" t="s">
        <v>12</v>
      </c>
      <c r="R5" s="4" t="s">
        <v>29</v>
      </c>
      <c r="S5" s="4" t="s">
        <v>28</v>
      </c>
      <c r="T5" s="4" t="s">
        <v>36</v>
      </c>
      <c r="U5" s="4" t="s">
        <v>27</v>
      </c>
      <c r="V5" s="4" t="s">
        <v>30</v>
      </c>
      <c r="W5" s="4" t="s">
        <v>31</v>
      </c>
    </row>
    <row r="6" spans="2:23">
      <c r="B6" s="1">
        <v>25</v>
      </c>
      <c r="C6" s="1">
        <v>2</v>
      </c>
      <c r="D6" s="1">
        <f>B6*C6</f>
        <v>50</v>
      </c>
      <c r="F6" s="1">
        <v>2</v>
      </c>
      <c r="G6" s="1">
        <v>0.02</v>
      </c>
      <c r="H6" s="1">
        <v>0</v>
      </c>
      <c r="I6" s="1">
        <v>0</v>
      </c>
      <c r="J6" s="1">
        <f>D$6-I6</f>
        <v>50</v>
      </c>
      <c r="K6" s="1">
        <f>COMBIN(F6,H6)*(G6^H6)*(1-G6)^(F6-H6)</f>
        <v>0.96039999999999992</v>
      </c>
      <c r="M6" s="1">
        <f>I10</f>
        <v>0</v>
      </c>
      <c r="N6" s="1">
        <f>D$8-M6</f>
        <v>100</v>
      </c>
      <c r="O6" s="1">
        <f t="shared" ref="O6:O7" si="0">K10</f>
        <v>0.94119199999999992</v>
      </c>
      <c r="P6" s="3">
        <f t="shared" ref="P6:P8" si="1">P7+O6</f>
        <v>0.99999999999999989</v>
      </c>
      <c r="R6" s="1">
        <v>100</v>
      </c>
      <c r="S6" s="1">
        <v>57</v>
      </c>
      <c r="T6" s="1">
        <v>12</v>
      </c>
      <c r="U6" s="1">
        <f>R6-S6</f>
        <v>43</v>
      </c>
      <c r="V6" s="3">
        <f>P8</f>
        <v>2.0392E-2</v>
      </c>
      <c r="W6" s="1">
        <f>T6*V6</f>
        <v>0.244704</v>
      </c>
    </row>
    <row r="7" spans="2:23">
      <c r="B7" s="1">
        <v>50</v>
      </c>
      <c r="C7" s="1">
        <v>1</v>
      </c>
      <c r="D7" s="1">
        <f>B7*C7</f>
        <v>50</v>
      </c>
      <c r="F7" s="1">
        <v>2</v>
      </c>
      <c r="G7" s="1">
        <v>0.02</v>
      </c>
      <c r="H7" s="1">
        <v>1</v>
      </c>
      <c r="I7" s="1">
        <v>25</v>
      </c>
      <c r="J7" s="1">
        <f t="shared" ref="J7:J8" si="2">D$6-I7</f>
        <v>25</v>
      </c>
      <c r="K7" s="1">
        <f t="shared" ref="K7:K8" si="3">COMBIN(F7,H7)*(G7^H7)*(1-G7)^(F7-H7)</f>
        <v>3.9199999999999999E-2</v>
      </c>
      <c r="M7" s="1">
        <f>I11</f>
        <v>25</v>
      </c>
      <c r="N7" s="1">
        <f t="shared" ref="N7:N10" si="4">D$8-M7</f>
        <v>75</v>
      </c>
      <c r="O7" s="1">
        <f t="shared" si="0"/>
        <v>3.8415999999999999E-2</v>
      </c>
      <c r="P7" s="3">
        <f t="shared" si="1"/>
        <v>5.8807999999999999E-2</v>
      </c>
      <c r="R7" s="1">
        <v>100</v>
      </c>
      <c r="S7" s="1">
        <v>52</v>
      </c>
      <c r="T7" s="1">
        <v>83</v>
      </c>
      <c r="U7" s="1">
        <f t="shared" ref="U7:U10" si="5">R7-S7</f>
        <v>48</v>
      </c>
      <c r="V7" s="3">
        <f>P8</f>
        <v>2.0392E-2</v>
      </c>
      <c r="W7" s="1">
        <f t="shared" ref="W7:W10" si="6">T7*V7</f>
        <v>1.692536</v>
      </c>
    </row>
    <row r="8" spans="2:23">
      <c r="D8" s="1">
        <f>SUM(D6:D7)</f>
        <v>100</v>
      </c>
      <c r="F8" s="1">
        <v>2</v>
      </c>
      <c r="G8" s="1">
        <v>0.02</v>
      </c>
      <c r="H8" s="1">
        <v>2</v>
      </c>
      <c r="I8" s="1">
        <v>50</v>
      </c>
      <c r="J8" s="1">
        <f t="shared" si="2"/>
        <v>0</v>
      </c>
      <c r="K8" s="1">
        <f t="shared" si="3"/>
        <v>4.0000000000000002E-4</v>
      </c>
      <c r="M8" s="1">
        <f>I15</f>
        <v>50</v>
      </c>
      <c r="N8" s="1">
        <f t="shared" si="4"/>
        <v>50</v>
      </c>
      <c r="O8" s="1">
        <f>K12+K15</f>
        <v>1.9599999999999999E-2</v>
      </c>
      <c r="P8" s="3">
        <f t="shared" si="1"/>
        <v>2.0392E-2</v>
      </c>
      <c r="R8" s="1">
        <v>100</v>
      </c>
      <c r="S8" s="1">
        <v>46</v>
      </c>
      <c r="T8" s="1">
        <v>107</v>
      </c>
      <c r="U8" s="1">
        <f t="shared" si="5"/>
        <v>54</v>
      </c>
      <c r="V8" s="3">
        <f>P9</f>
        <v>7.9199999999999995E-4</v>
      </c>
      <c r="W8" s="1">
        <f t="shared" si="6"/>
        <v>8.4744E-2</v>
      </c>
    </row>
    <row r="9" spans="2:23">
      <c r="H9" s="57" t="s">
        <v>18</v>
      </c>
      <c r="I9" s="57"/>
      <c r="J9" s="57"/>
      <c r="K9" s="57"/>
      <c r="M9" s="1">
        <f>I16</f>
        <v>75</v>
      </c>
      <c r="N9" s="1">
        <f t="shared" si="4"/>
        <v>25</v>
      </c>
      <c r="O9" s="1">
        <f t="shared" ref="O9:O10" si="7">K16</f>
        <v>7.8399999999999997E-4</v>
      </c>
      <c r="P9" s="3">
        <f>P10+O9</f>
        <v>7.9199999999999995E-4</v>
      </c>
      <c r="R9" s="1">
        <v>100</v>
      </c>
      <c r="S9" s="1">
        <v>41</v>
      </c>
      <c r="T9" s="1">
        <v>116</v>
      </c>
      <c r="U9" s="1">
        <f t="shared" si="5"/>
        <v>59</v>
      </c>
      <c r="V9" s="3">
        <f>P9</f>
        <v>7.9199999999999995E-4</v>
      </c>
      <c r="W9" s="1">
        <f t="shared" si="6"/>
        <v>9.1871999999999995E-2</v>
      </c>
    </row>
    <row r="10" spans="2:23" ht="15.75" thickBot="1">
      <c r="F10" s="1"/>
      <c r="G10" s="1"/>
      <c r="H10" s="1"/>
      <c r="I10" s="1">
        <f>I6+0</f>
        <v>0</v>
      </c>
      <c r="J10" s="1"/>
      <c r="K10" s="1">
        <f>K6*(1-C$4)</f>
        <v>0.94119199999999992</v>
      </c>
      <c r="M10" s="1">
        <f>I17</f>
        <v>100</v>
      </c>
      <c r="N10" s="1">
        <f t="shared" si="4"/>
        <v>0</v>
      </c>
      <c r="O10" s="1">
        <f t="shared" si="7"/>
        <v>8.0000000000000013E-6</v>
      </c>
      <c r="P10" s="3">
        <f>O10</f>
        <v>8.0000000000000013E-6</v>
      </c>
      <c r="R10" s="1">
        <v>100</v>
      </c>
      <c r="S10" s="1">
        <v>34</v>
      </c>
      <c r="T10" s="1">
        <v>47</v>
      </c>
      <c r="U10" s="1">
        <f t="shared" si="5"/>
        <v>66</v>
      </c>
      <c r="V10" s="3">
        <f>P9</f>
        <v>7.9199999999999995E-4</v>
      </c>
      <c r="W10" s="10">
        <f t="shared" si="6"/>
        <v>3.7224E-2</v>
      </c>
    </row>
    <row r="11" spans="2:23">
      <c r="F11" s="1"/>
      <c r="G11" s="1"/>
      <c r="H11" s="1"/>
      <c r="I11" s="1">
        <f>I7+0</f>
        <v>25</v>
      </c>
      <c r="J11" s="1"/>
      <c r="K11" s="1">
        <f t="shared" ref="K11:K12" si="8">K7*(1-C$4)</f>
        <v>3.8415999999999999E-2</v>
      </c>
      <c r="W11" s="11">
        <f>SUM(W6:W10)</f>
        <v>2.1510800000000003</v>
      </c>
    </row>
    <row r="12" spans="2:23" ht="15.75" thickBot="1">
      <c r="F12" s="1"/>
      <c r="G12" s="1"/>
      <c r="H12" s="1"/>
      <c r="I12" s="1">
        <f>I8+0</f>
        <v>50</v>
      </c>
      <c r="J12" s="1"/>
      <c r="K12" s="1">
        <f t="shared" si="8"/>
        <v>3.9199999999999999E-4</v>
      </c>
      <c r="W12" s="12" t="s">
        <v>32</v>
      </c>
    </row>
    <row r="13" spans="2:23">
      <c r="F13" s="1"/>
      <c r="G13" s="1"/>
      <c r="H13" s="1"/>
      <c r="I13" s="1"/>
      <c r="J13" s="1"/>
      <c r="K13" s="1">
        <f>SUM(K10:K12)</f>
        <v>0.97999999999999987</v>
      </c>
    </row>
    <row r="14" spans="2:23">
      <c r="H14" s="57" t="s">
        <v>19</v>
      </c>
      <c r="I14" s="57"/>
      <c r="J14" s="57"/>
      <c r="K14" s="57"/>
    </row>
    <row r="15" spans="2:23">
      <c r="F15" s="1"/>
      <c r="G15" s="1"/>
      <c r="H15" s="1"/>
      <c r="I15" s="1">
        <f>I6+50</f>
        <v>50</v>
      </c>
      <c r="J15" s="1"/>
      <c r="K15" s="1">
        <f>K6*C$4</f>
        <v>1.9207999999999999E-2</v>
      </c>
    </row>
    <row r="16" spans="2:23">
      <c r="F16" s="1"/>
      <c r="G16" s="1"/>
      <c r="H16" s="1"/>
      <c r="I16" s="1">
        <f>I7+50</f>
        <v>75</v>
      </c>
      <c r="J16" s="1"/>
      <c r="K16" s="1">
        <f>K7*C$4</f>
        <v>7.8399999999999997E-4</v>
      </c>
    </row>
    <row r="17" spans="6:11">
      <c r="F17" s="1"/>
      <c r="G17" s="1"/>
      <c r="H17" s="1"/>
      <c r="I17" s="1">
        <f>I8+50</f>
        <v>100</v>
      </c>
      <c r="J17" s="1"/>
      <c r="K17" s="1">
        <f>K8*C$4</f>
        <v>8.0000000000000013E-6</v>
      </c>
    </row>
    <row r="18" spans="6:11">
      <c r="F18" s="1"/>
      <c r="G18" s="1"/>
      <c r="H18" s="1"/>
      <c r="I18" s="1"/>
      <c r="J18" s="1"/>
      <c r="K18" s="1">
        <f>SUM(K15:K17)</f>
        <v>0.02</v>
      </c>
    </row>
  </sheetData>
  <mergeCells count="5">
    <mergeCell ref="H4:K4"/>
    <mergeCell ref="H9:K9"/>
    <mergeCell ref="H14:K14"/>
    <mergeCell ref="M4:P4"/>
    <mergeCell ref="R4:W4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2"/>
  <sheetViews>
    <sheetView workbookViewId="0">
      <selection activeCell="B3" sqref="B3"/>
    </sheetView>
  </sheetViews>
  <sheetFormatPr defaultRowHeight="15"/>
  <cols>
    <col min="10" max="10" width="19.140625" customWidth="1"/>
    <col min="13" max="13" width="11.28515625" customWidth="1"/>
    <col min="14" max="14" width="11.140625" bestFit="1" customWidth="1"/>
    <col min="15" max="15" width="13" customWidth="1"/>
  </cols>
  <sheetData>
    <row r="2" spans="2:15">
      <c r="B2" t="s">
        <v>34</v>
      </c>
    </row>
    <row r="5" spans="2:15">
      <c r="H5" s="58" t="s">
        <v>25</v>
      </c>
      <c r="I5" s="62"/>
      <c r="J5" s="62"/>
      <c r="K5" s="62"/>
      <c r="L5" s="62"/>
      <c r="M5" s="62"/>
      <c r="N5" s="63"/>
    </row>
    <row r="6" spans="2:15" ht="45">
      <c r="B6" s="6" t="s">
        <v>7</v>
      </c>
      <c r="C6" s="7" t="s">
        <v>14</v>
      </c>
      <c r="D6" s="7" t="s">
        <v>15</v>
      </c>
      <c r="E6" s="7" t="s">
        <v>16</v>
      </c>
      <c r="F6" s="7" t="s">
        <v>0</v>
      </c>
      <c r="H6" s="8" t="s">
        <v>6</v>
      </c>
      <c r="I6" s="8" t="s">
        <v>0</v>
      </c>
      <c r="J6" s="8" t="s">
        <v>1</v>
      </c>
      <c r="K6" s="8" t="s">
        <v>2</v>
      </c>
      <c r="L6" s="8" t="s">
        <v>3</v>
      </c>
      <c r="M6" s="8" t="s">
        <v>4</v>
      </c>
      <c r="N6" s="9" t="s">
        <v>12</v>
      </c>
      <c r="O6" s="4" t="s">
        <v>24</v>
      </c>
    </row>
    <row r="7" spans="2:15">
      <c r="B7" s="5">
        <v>1</v>
      </c>
      <c r="C7" s="5">
        <v>25</v>
      </c>
      <c r="D7" s="5">
        <v>1</v>
      </c>
      <c r="E7" s="5">
        <f>C7*D7</f>
        <v>25</v>
      </c>
      <c r="F7" s="5">
        <v>0.02</v>
      </c>
      <c r="H7" s="1">
        <v>3</v>
      </c>
      <c r="I7" s="1">
        <v>0.01</v>
      </c>
      <c r="J7" s="1">
        <v>0</v>
      </c>
      <c r="K7" s="1">
        <f>J7*C$7</f>
        <v>0</v>
      </c>
      <c r="L7" s="1">
        <f>E$10-K7</f>
        <v>100</v>
      </c>
      <c r="M7" s="3">
        <f>COMBIN(H7,J7)*(F$7^J7)*(1-F$7)^(H7-J7)</f>
        <v>0.94119199999999992</v>
      </c>
      <c r="N7" s="3">
        <f t="shared" ref="N7:N10" si="0">N8+M7</f>
        <v>1.0024</v>
      </c>
      <c r="O7" s="3">
        <v>1</v>
      </c>
    </row>
    <row r="8" spans="2:15">
      <c r="B8" s="5">
        <v>2</v>
      </c>
      <c r="C8" s="5">
        <v>25</v>
      </c>
      <c r="D8" s="5">
        <v>1</v>
      </c>
      <c r="E8" s="5">
        <f t="shared" ref="E8:E9" si="1">C8*D8</f>
        <v>25</v>
      </c>
      <c r="F8" s="5">
        <v>0.02</v>
      </c>
      <c r="H8" s="1">
        <v>3</v>
      </c>
      <c r="I8" s="1">
        <v>0.01</v>
      </c>
      <c r="J8" s="1" t="s">
        <v>20</v>
      </c>
      <c r="K8" s="1">
        <v>25</v>
      </c>
      <c r="L8" s="1">
        <f>E$10-K8</f>
        <v>75</v>
      </c>
      <c r="M8" s="3">
        <f>COMBIN(1,1)*(F$7^1)*(1-F$7)^(1-1)+COMBIN(1,1)*(F$8^1)*(1-F$8)^(1-1)</f>
        <v>0.04</v>
      </c>
      <c r="N8" s="3">
        <f t="shared" si="0"/>
        <v>6.1207999999999999E-2</v>
      </c>
      <c r="O8" s="3">
        <v>0.58808000000000005</v>
      </c>
    </row>
    <row r="9" spans="2:15">
      <c r="B9" s="5">
        <v>3</v>
      </c>
      <c r="C9" s="5">
        <v>50</v>
      </c>
      <c r="D9" s="5">
        <v>1</v>
      </c>
      <c r="E9" s="5">
        <f t="shared" si="1"/>
        <v>50</v>
      </c>
      <c r="F9" s="5">
        <v>0.02</v>
      </c>
      <c r="H9" s="1">
        <v>3</v>
      </c>
      <c r="I9" s="1">
        <v>0.01</v>
      </c>
      <c r="J9" s="1" t="s">
        <v>21</v>
      </c>
      <c r="K9" s="1">
        <v>50</v>
      </c>
      <c r="L9" s="1">
        <f>E$10-K9</f>
        <v>50</v>
      </c>
      <c r="M9" s="3">
        <f>COMBIN(1,1)*(F$7^1)*(1-F$7)^(1-1)*COMBIN(1,1)*(F$8^1)*(1-F$8)^(1-1)+COMBIN(1,1)*(F$9^1)*(1-F$9)^(1-1)</f>
        <v>2.0400000000000001E-2</v>
      </c>
      <c r="N9" s="3">
        <f t="shared" si="0"/>
        <v>2.1208000000000001E-2</v>
      </c>
      <c r="O9" s="3">
        <v>0.20391999999999999</v>
      </c>
    </row>
    <row r="10" spans="2:15">
      <c r="B10" s="5"/>
      <c r="C10" s="5"/>
      <c r="D10" s="5"/>
      <c r="E10" s="5">
        <f>SUM(E7:E9)</f>
        <v>100</v>
      </c>
      <c r="F10" s="5"/>
      <c r="H10" s="1">
        <v>3</v>
      </c>
      <c r="I10" s="1">
        <v>0.01</v>
      </c>
      <c r="J10" s="1" t="s">
        <v>22</v>
      </c>
      <c r="K10" s="1">
        <v>75</v>
      </c>
      <c r="L10" s="1">
        <f>E$10-K10</f>
        <v>25</v>
      </c>
      <c r="M10" s="3">
        <f>(COMBIN(1,1)*(F$7^1)*(1-F$7)^(1-1)+COMBIN(1,1)*(F$8^1)*(1-F$8)^(1-1))*COMBIN(1,1)*(F$9^1)*(1-F$9)^(1-1)</f>
        <v>8.0000000000000004E-4</v>
      </c>
      <c r="N10" s="3">
        <f t="shared" si="0"/>
        <v>8.0800000000000002E-4</v>
      </c>
      <c r="O10" s="3">
        <v>7.9199999999999995E-4</v>
      </c>
    </row>
    <row r="11" spans="2:15">
      <c r="H11" s="1">
        <v>3</v>
      </c>
      <c r="I11" s="1">
        <v>0.01</v>
      </c>
      <c r="J11" s="1" t="s">
        <v>23</v>
      </c>
      <c r="K11" s="1">
        <v>100</v>
      </c>
      <c r="L11" s="1">
        <f>E$10-K11</f>
        <v>0</v>
      </c>
      <c r="M11" s="3">
        <f>COMBIN(1,1)*(F$7^1)*(1-F$7)^(1-1)*COMBIN(1,1)*(F$8^1)*(1-F$8)^(1-1)*COMBIN(1,1)*(F$9^1)*(1-F$9)^(1-1)</f>
        <v>8.0000000000000013E-6</v>
      </c>
      <c r="N11" s="3">
        <f>M11</f>
        <v>8.0000000000000013E-6</v>
      </c>
      <c r="O11" s="3">
        <v>7.9999999999999996E-6</v>
      </c>
    </row>
    <row r="12" spans="2:15">
      <c r="H12" s="1"/>
      <c r="I12" s="1"/>
      <c r="J12" s="1"/>
      <c r="K12" s="1"/>
      <c r="L12" s="1"/>
      <c r="M12" s="2"/>
      <c r="N12" s="1"/>
      <c r="O12" s="1"/>
    </row>
  </sheetData>
  <mergeCells count="1">
    <mergeCell ref="H5:N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6:O17"/>
  <sheetViews>
    <sheetView workbookViewId="0">
      <selection activeCell="L18" sqref="L18"/>
    </sheetView>
  </sheetViews>
  <sheetFormatPr defaultRowHeight="15"/>
  <cols>
    <col min="6" max="6" width="5.7109375" bestFit="1" customWidth="1"/>
    <col min="11" max="11" width="12.7109375" customWidth="1"/>
    <col min="12" max="12" width="16.7109375" customWidth="1"/>
    <col min="13" max="13" width="10.28515625" bestFit="1" customWidth="1"/>
    <col min="15" max="15" width="12.7109375" bestFit="1" customWidth="1"/>
  </cols>
  <sheetData>
    <row r="6" spans="2:15">
      <c r="F6" s="56" t="s">
        <v>37</v>
      </c>
      <c r="G6" s="63"/>
      <c r="H6" s="63"/>
      <c r="I6" s="63"/>
      <c r="J6" s="63"/>
      <c r="K6" s="63"/>
      <c r="L6" s="64"/>
    </row>
    <row r="7" spans="2:15" ht="45">
      <c r="B7" s="4" t="s">
        <v>9</v>
      </c>
      <c r="C7" s="15" t="s">
        <v>5</v>
      </c>
      <c r="D7" s="4" t="s">
        <v>8</v>
      </c>
      <c r="F7" s="4" t="s">
        <v>6</v>
      </c>
      <c r="G7" s="4" t="s">
        <v>0</v>
      </c>
      <c r="H7" s="4" t="s">
        <v>1</v>
      </c>
      <c r="I7" s="4" t="s">
        <v>2</v>
      </c>
      <c r="J7" s="4" t="s">
        <v>3</v>
      </c>
      <c r="K7" s="4" t="s">
        <v>4</v>
      </c>
      <c r="L7" s="4" t="s">
        <v>12</v>
      </c>
      <c r="M7" s="4" t="s">
        <v>43</v>
      </c>
      <c r="N7" s="4" t="s">
        <v>46</v>
      </c>
    </row>
    <row r="8" spans="2:15">
      <c r="B8" s="1">
        <v>40</v>
      </c>
      <c r="C8" s="1">
        <v>5</v>
      </c>
      <c r="D8" s="1">
        <f>B8*C8</f>
        <v>200</v>
      </c>
      <c r="F8" s="1">
        <v>5</v>
      </c>
      <c r="G8" s="1">
        <v>0.01</v>
      </c>
      <c r="H8" s="1">
        <v>0</v>
      </c>
      <c r="I8" s="1">
        <f>H8*B$8</f>
        <v>0</v>
      </c>
      <c r="J8" s="1">
        <f>D$8-I8</f>
        <v>200</v>
      </c>
      <c r="K8" s="3">
        <f>COMBIN(F8,H8)*(G8^H8)*(1-G8)^(F8-H8)</f>
        <v>0.95099004989999991</v>
      </c>
      <c r="L8" s="18">
        <f t="shared" ref="L8:L10" si="0">L9+K8</f>
        <v>0.99999999989999988</v>
      </c>
      <c r="M8" s="1" t="s">
        <v>44</v>
      </c>
      <c r="N8" s="1" t="s">
        <v>44</v>
      </c>
    </row>
    <row r="9" spans="2:15">
      <c r="F9" s="1">
        <v>5</v>
      </c>
      <c r="G9" s="1">
        <v>0.01</v>
      </c>
      <c r="H9" s="1">
        <v>1</v>
      </c>
      <c r="I9" s="1">
        <f t="shared" ref="I9:I12" si="1">H9*B$8</f>
        <v>40</v>
      </c>
      <c r="J9" s="1">
        <f t="shared" ref="J9:J12" si="2">D$8-I9</f>
        <v>160</v>
      </c>
      <c r="K9" s="3">
        <f t="shared" ref="K9:K12" si="3">COMBIN(F9,H9)*(G9^H9)*(1-G9)^(F9-H9)</f>
        <v>4.8029800499999997E-2</v>
      </c>
      <c r="L9" s="3">
        <f t="shared" si="0"/>
        <v>4.9009949999999997E-2</v>
      </c>
      <c r="M9" s="1" t="s">
        <v>44</v>
      </c>
      <c r="N9" s="1" t="s">
        <v>44</v>
      </c>
    </row>
    <row r="10" spans="2:15">
      <c r="F10" s="1">
        <v>5</v>
      </c>
      <c r="G10" s="1">
        <v>0.01</v>
      </c>
      <c r="H10" s="1">
        <v>2</v>
      </c>
      <c r="I10" s="1">
        <f t="shared" si="1"/>
        <v>80</v>
      </c>
      <c r="J10" s="1">
        <f t="shared" si="2"/>
        <v>120</v>
      </c>
      <c r="K10" s="3">
        <f t="shared" si="3"/>
        <v>9.7029899999999988E-4</v>
      </c>
      <c r="L10" s="3">
        <f t="shared" si="0"/>
        <v>9.8014949999999977E-4</v>
      </c>
      <c r="M10" s="1">
        <v>41.7</v>
      </c>
      <c r="N10" s="1">
        <f>K10*M10</f>
        <v>4.0461468299999997E-2</v>
      </c>
    </row>
    <row r="11" spans="2:15">
      <c r="F11" s="1">
        <v>5</v>
      </c>
      <c r="G11" s="1">
        <v>0.01</v>
      </c>
      <c r="H11" s="1">
        <v>3</v>
      </c>
      <c r="I11" s="1">
        <f t="shared" si="1"/>
        <v>120</v>
      </c>
      <c r="J11" s="1">
        <f t="shared" si="2"/>
        <v>80</v>
      </c>
      <c r="K11" s="3">
        <f t="shared" si="3"/>
        <v>9.8010000000000015E-6</v>
      </c>
      <c r="L11" s="3">
        <f>L12+K11</f>
        <v>9.8505000000000017E-6</v>
      </c>
      <c r="M11" s="1">
        <v>83.4</v>
      </c>
      <c r="N11" s="1">
        <f>K11*M11</f>
        <v>8.1740340000000021E-4</v>
      </c>
    </row>
    <row r="12" spans="2:15" ht="15.75" thickBot="1">
      <c r="B12" s="15" t="s">
        <v>40</v>
      </c>
      <c r="C12" s="15">
        <v>160</v>
      </c>
      <c r="D12" s="1" t="s">
        <v>42</v>
      </c>
      <c r="F12" s="1">
        <v>5</v>
      </c>
      <c r="G12" s="1">
        <v>0.01</v>
      </c>
      <c r="H12" s="1">
        <v>4</v>
      </c>
      <c r="I12" s="1">
        <f t="shared" si="1"/>
        <v>160</v>
      </c>
      <c r="J12" s="1">
        <f t="shared" si="2"/>
        <v>40</v>
      </c>
      <c r="K12" s="3">
        <f t="shared" si="3"/>
        <v>4.95E-8</v>
      </c>
      <c r="L12" s="3">
        <f>K12</f>
        <v>4.95E-8</v>
      </c>
      <c r="M12" s="1" t="s">
        <v>45</v>
      </c>
      <c r="N12" s="10"/>
    </row>
    <row r="13" spans="2:15">
      <c r="B13" s="17" t="s">
        <v>41</v>
      </c>
      <c r="C13" s="17" t="s">
        <v>38</v>
      </c>
      <c r="D13" s="17" t="s">
        <v>39</v>
      </c>
      <c r="K13" s="14">
        <f>SUM(K8:K12)</f>
        <v>0.99999999989999988</v>
      </c>
      <c r="N13" s="19">
        <f>SUM(N10:N11)</f>
        <v>4.1278871699999997E-2</v>
      </c>
      <c r="O13" s="20" t="s">
        <v>47</v>
      </c>
    </row>
    <row r="14" spans="2:15">
      <c r="B14" s="1">
        <f>1*C$12</f>
        <v>160</v>
      </c>
      <c r="C14" s="1">
        <v>0</v>
      </c>
      <c r="D14" s="1">
        <f>(B14-B15)/(C14-C15)</f>
        <v>-0.96</v>
      </c>
      <c r="N14" s="21">
        <f>(N13*365)/100</f>
        <v>0.15066788170499998</v>
      </c>
      <c r="O14" s="22" t="s">
        <v>48</v>
      </c>
    </row>
    <row r="15" spans="2:15" ht="15.75" thickBot="1">
      <c r="B15" s="1">
        <f>0.4*C12</f>
        <v>64</v>
      </c>
      <c r="C15" s="1">
        <v>100</v>
      </c>
      <c r="D15" s="1"/>
      <c r="N15" s="23">
        <f>1/N14</f>
        <v>6.6371146171547624</v>
      </c>
      <c r="O15" s="24" t="s">
        <v>49</v>
      </c>
    </row>
    <row r="16" spans="2:15">
      <c r="B16" s="1">
        <v>120</v>
      </c>
      <c r="C16" s="16">
        <f>(B16-B14)/D14</f>
        <v>41.666666666666671</v>
      </c>
      <c r="D16" s="1"/>
    </row>
    <row r="17" spans="2:4">
      <c r="B17" s="1">
        <v>80</v>
      </c>
      <c r="C17" s="16">
        <f>(B17-B14)/D14</f>
        <v>83.333333333333343</v>
      </c>
      <c r="D17" s="1"/>
    </row>
  </sheetData>
  <mergeCells count="1">
    <mergeCell ref="F6:L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6:O18"/>
  <sheetViews>
    <sheetView workbookViewId="0">
      <selection activeCell="J16" sqref="J16"/>
    </sheetView>
  </sheetViews>
  <sheetFormatPr defaultRowHeight="15"/>
  <cols>
    <col min="2" max="2" width="11.85546875" bestFit="1" customWidth="1"/>
    <col min="6" max="6" width="5.7109375" bestFit="1" customWidth="1"/>
    <col min="11" max="11" width="12.7109375" customWidth="1"/>
    <col min="12" max="12" width="16.7109375" customWidth="1"/>
    <col min="13" max="13" width="10.28515625" bestFit="1" customWidth="1"/>
    <col min="14" max="14" width="11.42578125" customWidth="1"/>
    <col min="15" max="15" width="12.7109375" bestFit="1" customWidth="1"/>
  </cols>
  <sheetData>
    <row r="6" spans="2:15">
      <c r="F6" s="56" t="s">
        <v>37</v>
      </c>
      <c r="G6" s="63"/>
      <c r="H6" s="63"/>
      <c r="I6" s="63"/>
      <c r="J6" s="63"/>
      <c r="K6" s="63"/>
      <c r="L6" s="64"/>
    </row>
    <row r="7" spans="2:15" ht="45">
      <c r="B7" s="4" t="s">
        <v>9</v>
      </c>
      <c r="C7" s="15" t="s">
        <v>5</v>
      </c>
      <c r="D7" s="4" t="s">
        <v>8</v>
      </c>
      <c r="F7" s="4" t="s">
        <v>6</v>
      </c>
      <c r="G7" s="4" t="s">
        <v>0</v>
      </c>
      <c r="H7" s="4" t="s">
        <v>1</v>
      </c>
      <c r="I7" s="4" t="s">
        <v>51</v>
      </c>
      <c r="J7" s="4" t="s">
        <v>3</v>
      </c>
      <c r="K7" s="4" t="s">
        <v>4</v>
      </c>
      <c r="L7" s="4" t="s">
        <v>12</v>
      </c>
      <c r="M7" s="26" t="s">
        <v>43</v>
      </c>
      <c r="N7" s="4" t="s">
        <v>50</v>
      </c>
      <c r="O7" s="4" t="s">
        <v>52</v>
      </c>
    </row>
    <row r="8" spans="2:15">
      <c r="B8" s="1">
        <v>40</v>
      </c>
      <c r="C8" s="1">
        <v>5</v>
      </c>
      <c r="D8" s="1">
        <f>B8*C8</f>
        <v>200</v>
      </c>
      <c r="F8" s="1">
        <v>5</v>
      </c>
      <c r="G8" s="1">
        <v>0.01</v>
      </c>
      <c r="H8" s="1">
        <v>0</v>
      </c>
      <c r="I8" s="1">
        <f>H8*B$8</f>
        <v>0</v>
      </c>
      <c r="J8" s="1">
        <f>D$8-I8</f>
        <v>200</v>
      </c>
      <c r="K8" s="3">
        <f>COMBIN(F8,H8)*(G8^H8)*(1-G8)^(F8-H8)</f>
        <v>0.95099004989999991</v>
      </c>
      <c r="L8" s="18">
        <f t="shared" ref="L8:L10" si="0">L9+K8</f>
        <v>0.99999999989999988</v>
      </c>
      <c r="M8" s="27" t="s">
        <v>44</v>
      </c>
      <c r="N8" s="1">
        <v>0</v>
      </c>
      <c r="O8" s="1">
        <f>K8*N8</f>
        <v>0</v>
      </c>
    </row>
    <row r="9" spans="2:15">
      <c r="F9" s="1">
        <v>5</v>
      </c>
      <c r="G9" s="1">
        <v>0.01</v>
      </c>
      <c r="H9" s="1">
        <v>1</v>
      </c>
      <c r="I9" s="1">
        <f t="shared" ref="I9:I12" si="1">H9*B$8</f>
        <v>40</v>
      </c>
      <c r="J9" s="1">
        <f t="shared" ref="J9:J12" si="2">D$8-I9</f>
        <v>160</v>
      </c>
      <c r="K9" s="3">
        <f t="shared" ref="K9:K12" si="3">COMBIN(F9,H9)*(G9^H9)*(1-G9)^(F9-H9)</f>
        <v>4.8029800499999997E-2</v>
      </c>
      <c r="L9" s="3">
        <f t="shared" si="0"/>
        <v>4.9009949999999997E-2</v>
      </c>
      <c r="M9" s="27" t="s">
        <v>44</v>
      </c>
      <c r="N9" s="1">
        <v>0</v>
      </c>
      <c r="O9" s="1">
        <f t="shared" ref="O9:O11" si="4">K9*N9</f>
        <v>0</v>
      </c>
    </row>
    <row r="10" spans="2:15">
      <c r="F10" s="1">
        <v>5</v>
      </c>
      <c r="G10" s="1">
        <v>0.01</v>
      </c>
      <c r="H10" s="1">
        <v>2</v>
      </c>
      <c r="I10" s="1">
        <f t="shared" si="1"/>
        <v>80</v>
      </c>
      <c r="J10" s="1">
        <f t="shared" si="2"/>
        <v>120</v>
      </c>
      <c r="K10" s="3">
        <f t="shared" si="3"/>
        <v>9.7029899999999988E-4</v>
      </c>
      <c r="L10" s="3">
        <f t="shared" si="0"/>
        <v>9.8014949999999977E-4</v>
      </c>
      <c r="M10" s="27">
        <v>0.41699999999999998</v>
      </c>
      <c r="N10" s="1">
        <f>I10*M10</f>
        <v>33.36</v>
      </c>
      <c r="O10" s="1">
        <f t="shared" si="4"/>
        <v>3.2369174639999998E-2</v>
      </c>
    </row>
    <row r="11" spans="2:15">
      <c r="F11" s="1">
        <v>5</v>
      </c>
      <c r="G11" s="1">
        <v>0.01</v>
      </c>
      <c r="H11" s="1">
        <v>3</v>
      </c>
      <c r="I11" s="1">
        <f t="shared" si="1"/>
        <v>120</v>
      </c>
      <c r="J11" s="1">
        <f t="shared" si="2"/>
        <v>80</v>
      </c>
      <c r="K11" s="3">
        <f t="shared" si="3"/>
        <v>9.8010000000000015E-6</v>
      </c>
      <c r="L11" s="3">
        <f>L12+K11</f>
        <v>9.8505000000000017E-6</v>
      </c>
      <c r="M11" s="27">
        <v>0.83399999999999996</v>
      </c>
      <c r="N11" s="1">
        <f>I11*M11</f>
        <v>100.08</v>
      </c>
      <c r="O11" s="1">
        <f t="shared" si="4"/>
        <v>9.8088408000000012E-4</v>
      </c>
    </row>
    <row r="12" spans="2:15">
      <c r="B12" s="15" t="s">
        <v>40</v>
      </c>
      <c r="C12" s="15">
        <v>160</v>
      </c>
      <c r="D12" s="29" t="s">
        <v>42</v>
      </c>
      <c r="F12" s="1">
        <v>5</v>
      </c>
      <c r="G12" s="1">
        <v>0.01</v>
      </c>
      <c r="H12" s="1">
        <v>4</v>
      </c>
      <c r="I12" s="1">
        <f t="shared" si="1"/>
        <v>160</v>
      </c>
      <c r="J12" s="1">
        <f t="shared" si="2"/>
        <v>40</v>
      </c>
      <c r="K12" s="3">
        <f t="shared" si="3"/>
        <v>4.95E-8</v>
      </c>
      <c r="L12" s="3">
        <f>K12</f>
        <v>4.95E-8</v>
      </c>
      <c r="M12" s="27" t="s">
        <v>45</v>
      </c>
      <c r="N12" s="1"/>
      <c r="O12" s="1"/>
    </row>
    <row r="13" spans="2:15">
      <c r="B13" s="17" t="s">
        <v>41</v>
      </c>
      <c r="C13" s="17" t="s">
        <v>38</v>
      </c>
      <c r="D13" s="17" t="s">
        <v>39</v>
      </c>
      <c r="K13" s="14">
        <f>SUM(K8:K12)</f>
        <v>0.99999999989999988</v>
      </c>
      <c r="N13" s="28">
        <f>SUM(N10:N11)</f>
        <v>133.44</v>
      </c>
      <c r="O13" s="28">
        <f>SUM(O8:O11)</f>
        <v>3.3350058719999999E-2</v>
      </c>
    </row>
    <row r="14" spans="2:15" ht="15.75" thickBot="1">
      <c r="B14" s="1">
        <f>1*C$12</f>
        <v>160</v>
      </c>
      <c r="C14" s="1">
        <v>0</v>
      </c>
      <c r="D14" s="1">
        <f>(B14-B15)/(C14-C15)</f>
        <v>-0.96</v>
      </c>
      <c r="N14" s="25"/>
      <c r="O14" s="25"/>
    </row>
    <row r="15" spans="2:15">
      <c r="B15" s="1">
        <f>0.4*C12</f>
        <v>64</v>
      </c>
      <c r="C15" s="1">
        <v>100</v>
      </c>
      <c r="D15" s="1"/>
      <c r="M15" s="19" t="s">
        <v>53</v>
      </c>
      <c r="N15" s="31">
        <f>O13</f>
        <v>3.3350058719999999E-2</v>
      </c>
      <c r="O15" s="25"/>
    </row>
    <row r="16" spans="2:15">
      <c r="B16" s="1">
        <v>120</v>
      </c>
      <c r="C16" s="16">
        <f>(B16-B14)/D14</f>
        <v>41.666666666666671</v>
      </c>
      <c r="D16" s="1"/>
      <c r="M16" s="21" t="s">
        <v>54</v>
      </c>
      <c r="N16" s="32">
        <f>N15/N18</f>
        <v>2.9776838142857141E-4</v>
      </c>
    </row>
    <row r="17" spans="2:14">
      <c r="B17" s="1">
        <v>80</v>
      </c>
      <c r="C17" s="16">
        <f>(B17-B14)/D14</f>
        <v>83.333333333333343</v>
      </c>
      <c r="D17" s="1"/>
      <c r="M17" s="21" t="s">
        <v>55</v>
      </c>
      <c r="N17" s="32">
        <f>1-N16</f>
        <v>0.99970223161857141</v>
      </c>
    </row>
    <row r="18" spans="2:14">
      <c r="L18" s="30" t="s">
        <v>56</v>
      </c>
      <c r="M18" s="30"/>
      <c r="N18" s="30">
        <f>(B14*0.4)+(0.5*160*0.6)</f>
        <v>112</v>
      </c>
    </row>
  </sheetData>
  <mergeCells count="1">
    <mergeCell ref="F6:L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R43"/>
  <sheetViews>
    <sheetView tabSelected="1" workbookViewId="0">
      <selection activeCell="O16" sqref="O16"/>
    </sheetView>
  </sheetViews>
  <sheetFormatPr defaultRowHeight="15"/>
  <cols>
    <col min="5" max="5" width="10.7109375" bestFit="1" customWidth="1"/>
    <col min="11" max="11" width="11" customWidth="1"/>
    <col min="12" max="12" width="12.7109375" customWidth="1"/>
  </cols>
  <sheetData>
    <row r="5" spans="3:18">
      <c r="H5" s="65" t="s">
        <v>61</v>
      </c>
      <c r="I5" s="66"/>
      <c r="J5" s="66"/>
      <c r="K5" s="66"/>
      <c r="L5" s="67"/>
      <c r="O5" s="68" t="s">
        <v>74</v>
      </c>
      <c r="P5" s="69"/>
      <c r="Q5" s="69"/>
      <c r="R5" s="70"/>
    </row>
    <row r="6" spans="3:18" ht="60">
      <c r="C6" s="34" t="s">
        <v>57</v>
      </c>
      <c r="D6" s="35" t="s">
        <v>58</v>
      </c>
      <c r="E6" s="34" t="s">
        <v>59</v>
      </c>
      <c r="H6" s="35" t="s">
        <v>60</v>
      </c>
      <c r="I6" s="35" t="s">
        <v>62</v>
      </c>
      <c r="J6" s="35" t="s">
        <v>63</v>
      </c>
      <c r="K6" s="35" t="s">
        <v>64</v>
      </c>
      <c r="L6" s="35" t="s">
        <v>65</v>
      </c>
      <c r="M6" s="33"/>
      <c r="O6" s="35" t="s">
        <v>75</v>
      </c>
      <c r="P6" s="35" t="s">
        <v>76</v>
      </c>
      <c r="Q6" s="35" t="s">
        <v>77</v>
      </c>
      <c r="R6" s="35" t="s">
        <v>78</v>
      </c>
    </row>
    <row r="7" spans="3:18">
      <c r="C7" s="1">
        <v>1</v>
      </c>
      <c r="D7" s="1">
        <v>0</v>
      </c>
      <c r="E7" s="2">
        <v>0.05</v>
      </c>
      <c r="H7" s="1">
        <v>0</v>
      </c>
      <c r="I7" s="1">
        <v>25</v>
      </c>
      <c r="J7" s="2">
        <f>E9</f>
        <v>0.65</v>
      </c>
      <c r="K7" s="1">
        <f>D$15-I7*100</f>
        <v>2075</v>
      </c>
      <c r="L7" s="1">
        <f>J7*K7</f>
        <v>1348.75</v>
      </c>
      <c r="O7" s="1">
        <v>1</v>
      </c>
      <c r="P7" s="1">
        <v>25</v>
      </c>
      <c r="Q7" s="1">
        <f>L10</f>
        <v>2500</v>
      </c>
      <c r="R7" s="1">
        <f>L12</f>
        <v>2075</v>
      </c>
    </row>
    <row r="8" spans="3:18">
      <c r="C8" s="1"/>
      <c r="D8" s="1">
        <v>15</v>
      </c>
      <c r="E8" s="2">
        <v>0.3</v>
      </c>
      <c r="H8" s="1">
        <v>10</v>
      </c>
      <c r="I8" s="1">
        <v>15</v>
      </c>
      <c r="J8" s="2">
        <f>E8</f>
        <v>0.3</v>
      </c>
      <c r="K8" s="1">
        <f t="shared" ref="K8:K9" si="0">D$15-I8*100</f>
        <v>3075</v>
      </c>
      <c r="L8" s="1">
        <f t="shared" ref="L8:L9" si="1">J8*K8</f>
        <v>922.5</v>
      </c>
      <c r="O8" s="1">
        <v>2</v>
      </c>
      <c r="P8" s="1">
        <v>30</v>
      </c>
      <c r="Q8" s="16">
        <f>L23</f>
        <v>401.71539999999999</v>
      </c>
      <c r="R8" s="16">
        <f>L25</f>
        <v>2098.2846</v>
      </c>
    </row>
    <row r="9" spans="3:18" ht="15.75" thickBot="1">
      <c r="C9" s="1"/>
      <c r="D9" s="1">
        <v>25</v>
      </c>
      <c r="E9" s="2">
        <v>0.65</v>
      </c>
      <c r="H9" s="1">
        <v>25</v>
      </c>
      <c r="I9" s="1">
        <v>0</v>
      </c>
      <c r="J9" s="2">
        <f>E7</f>
        <v>0.05</v>
      </c>
      <c r="K9" s="10">
        <f t="shared" si="0"/>
        <v>4575</v>
      </c>
      <c r="L9" s="10">
        <f t="shared" si="1"/>
        <v>228.75</v>
      </c>
      <c r="O9" s="1">
        <v>3</v>
      </c>
      <c r="P9" s="1">
        <v>20</v>
      </c>
      <c r="Q9" s="2">
        <f>L41</f>
        <v>64.059975999999992</v>
      </c>
      <c r="R9" s="16">
        <f>L43</f>
        <v>337.65542399999998</v>
      </c>
    </row>
    <row r="10" spans="3:18" ht="15.75" thickBot="1">
      <c r="C10" s="1">
        <v>2</v>
      </c>
      <c r="D10" s="1">
        <v>0</v>
      </c>
      <c r="E10" s="2">
        <v>0.03</v>
      </c>
      <c r="K10" s="42" t="s">
        <v>68</v>
      </c>
      <c r="L10" s="43">
        <f>SUM(L7:L9)</f>
        <v>2500</v>
      </c>
      <c r="M10" s="44" t="s">
        <v>67</v>
      </c>
    </row>
    <row r="11" spans="3:18" ht="15.75" thickBot="1">
      <c r="C11" s="1"/>
      <c r="D11" s="1">
        <v>30</v>
      </c>
      <c r="E11" s="2">
        <v>0.97</v>
      </c>
    </row>
    <row r="12" spans="3:18" ht="15.75" thickBot="1">
      <c r="C12" s="1">
        <v>3</v>
      </c>
      <c r="D12" s="1">
        <v>0</v>
      </c>
      <c r="E12" s="2">
        <v>0.04</v>
      </c>
      <c r="H12" s="39" t="s">
        <v>69</v>
      </c>
      <c r="I12" s="40"/>
      <c r="J12" s="40"/>
      <c r="K12" s="40"/>
      <c r="L12" s="40">
        <f>D15-L10</f>
        <v>2075</v>
      </c>
      <c r="M12" s="41" t="s">
        <v>67</v>
      </c>
    </row>
    <row r="13" spans="3:18">
      <c r="C13" s="1"/>
      <c r="D13" s="1">
        <v>20</v>
      </c>
      <c r="E13" s="2">
        <v>0.96</v>
      </c>
    </row>
    <row r="14" spans="3:18" ht="15.75" thickBot="1"/>
    <row r="15" spans="3:18" ht="15.75" thickBot="1">
      <c r="C15" s="36" t="s">
        <v>66</v>
      </c>
      <c r="D15" s="37">
        <v>4575</v>
      </c>
      <c r="E15" s="38" t="s">
        <v>67</v>
      </c>
      <c r="H15" s="65" t="s">
        <v>70</v>
      </c>
      <c r="I15" s="66"/>
      <c r="J15" s="66"/>
      <c r="K15" s="66"/>
      <c r="L15" s="67"/>
    </row>
    <row r="16" spans="3:18" ht="60">
      <c r="H16" s="35" t="s">
        <v>60</v>
      </c>
      <c r="I16" s="35" t="s">
        <v>62</v>
      </c>
      <c r="J16" s="35" t="s">
        <v>63</v>
      </c>
      <c r="K16" s="35" t="s">
        <v>64</v>
      </c>
      <c r="L16" s="35" t="s">
        <v>65</v>
      </c>
    </row>
    <row r="17" spans="8:13">
      <c r="H17" s="1">
        <v>0</v>
      </c>
      <c r="I17" s="1">
        <f>55-H17</f>
        <v>55</v>
      </c>
      <c r="J17" s="45">
        <f>E9*E11</f>
        <v>0.63049999999999995</v>
      </c>
      <c r="K17" s="46">
        <v>177.8</v>
      </c>
      <c r="L17" s="1">
        <f>J17*K17</f>
        <v>112.10289999999999</v>
      </c>
    </row>
    <row r="18" spans="8:13">
      <c r="H18" s="1">
        <v>10</v>
      </c>
      <c r="I18" s="1">
        <f t="shared" ref="I18:I22" si="2">55-H18</f>
        <v>45</v>
      </c>
      <c r="J18" s="45">
        <f>E8*E11</f>
        <v>0.29099999999999998</v>
      </c>
      <c r="K18" s="46">
        <v>475</v>
      </c>
      <c r="L18" s="1">
        <f t="shared" ref="L18:L22" si="3">J18*K18</f>
        <v>138.22499999999999</v>
      </c>
    </row>
    <row r="19" spans="8:13">
      <c r="H19" s="1">
        <v>25</v>
      </c>
      <c r="I19" s="1">
        <f t="shared" si="2"/>
        <v>30</v>
      </c>
      <c r="J19" s="45">
        <f>E11*E7</f>
        <v>4.8500000000000001E-2</v>
      </c>
      <c r="K19" s="1">
        <f t="shared" ref="K19:K22" si="4">D$15-I19*100</f>
        <v>1575</v>
      </c>
      <c r="L19" s="1">
        <f t="shared" si="3"/>
        <v>76.387500000000003</v>
      </c>
    </row>
    <row r="20" spans="8:13">
      <c r="H20" s="47">
        <v>30</v>
      </c>
      <c r="I20" s="1">
        <f t="shared" si="2"/>
        <v>25</v>
      </c>
      <c r="J20" s="45">
        <f>E9*E10</f>
        <v>1.95E-2</v>
      </c>
      <c r="K20" s="1">
        <f t="shared" si="4"/>
        <v>2075</v>
      </c>
      <c r="L20" s="1">
        <f t="shared" si="3"/>
        <v>40.462499999999999</v>
      </c>
    </row>
    <row r="21" spans="8:13">
      <c r="H21" s="47">
        <v>40</v>
      </c>
      <c r="I21" s="1">
        <f t="shared" si="2"/>
        <v>15</v>
      </c>
      <c r="J21" s="45">
        <f>E8*E10</f>
        <v>8.9999999999999993E-3</v>
      </c>
      <c r="K21" s="1">
        <f t="shared" si="4"/>
        <v>3075</v>
      </c>
      <c r="L21" s="1">
        <f t="shared" si="3"/>
        <v>27.674999999999997</v>
      </c>
    </row>
    <row r="22" spans="8:13" ht="15.75" thickBot="1">
      <c r="H22" s="47">
        <v>55</v>
      </c>
      <c r="I22" s="1">
        <f t="shared" si="2"/>
        <v>0</v>
      </c>
      <c r="J22" s="45">
        <f>E7*E10</f>
        <v>1.5E-3</v>
      </c>
      <c r="K22" s="10">
        <f t="shared" si="4"/>
        <v>4575</v>
      </c>
      <c r="L22" s="10">
        <f t="shared" si="3"/>
        <v>6.8624999999999998</v>
      </c>
    </row>
    <row r="23" spans="8:13" ht="15.75" thickBot="1">
      <c r="K23" s="42" t="s">
        <v>71</v>
      </c>
      <c r="L23" s="49">
        <f>SUM(L17:L22)</f>
        <v>401.71539999999999</v>
      </c>
      <c r="M23" s="44" t="s">
        <v>67</v>
      </c>
    </row>
    <row r="24" spans="8:13" ht="15.75" thickBot="1"/>
    <row r="25" spans="8:13" ht="15.75" thickBot="1">
      <c r="H25" s="39" t="s">
        <v>69</v>
      </c>
      <c r="I25" s="40"/>
      <c r="J25" s="40"/>
      <c r="K25" s="40"/>
      <c r="L25" s="48">
        <f>L10-L23</f>
        <v>2098.2846</v>
      </c>
      <c r="M25" s="41" t="s">
        <v>67</v>
      </c>
    </row>
    <row r="28" spans="8:13">
      <c r="H28" s="65" t="s">
        <v>72</v>
      </c>
      <c r="I28" s="66"/>
      <c r="J28" s="66"/>
      <c r="K28" s="66"/>
      <c r="L28" s="67"/>
    </row>
    <row r="29" spans="8:13" ht="60">
      <c r="H29" s="35" t="s">
        <v>60</v>
      </c>
      <c r="I29" s="35" t="s">
        <v>62</v>
      </c>
      <c r="J29" s="35" t="s">
        <v>63</v>
      </c>
      <c r="K29" s="35" t="s">
        <v>64</v>
      </c>
      <c r="L29" s="35" t="s">
        <v>65</v>
      </c>
    </row>
    <row r="30" spans="8:13">
      <c r="H30" s="1">
        <v>0</v>
      </c>
      <c r="I30" s="1">
        <f>75-H30</f>
        <v>75</v>
      </c>
      <c r="J30" s="45">
        <f>J17*E13</f>
        <v>0.60527999999999993</v>
      </c>
      <c r="K30" s="50">
        <v>0</v>
      </c>
      <c r="L30" s="2">
        <f>J30*K30</f>
        <v>0</v>
      </c>
    </row>
    <row r="31" spans="8:13">
      <c r="H31" s="1">
        <v>10</v>
      </c>
      <c r="I31" s="1">
        <f t="shared" ref="I31:I40" si="5">75-H31</f>
        <v>65</v>
      </c>
      <c r="J31" s="45">
        <f>J18*E13</f>
        <v>0.27936</v>
      </c>
      <c r="K31" s="50">
        <v>44.4</v>
      </c>
      <c r="L31" s="2">
        <f t="shared" ref="L31:L40" si="6">J31*K31</f>
        <v>12.403583999999999</v>
      </c>
    </row>
    <row r="32" spans="8:13">
      <c r="H32" s="1">
        <v>20</v>
      </c>
      <c r="I32" s="1">
        <f t="shared" si="5"/>
        <v>55</v>
      </c>
      <c r="J32" s="45">
        <f>J17*E12</f>
        <v>2.5219999999999999E-2</v>
      </c>
      <c r="K32" s="50">
        <v>177.8</v>
      </c>
      <c r="L32" s="2">
        <f t="shared" si="6"/>
        <v>4.4841160000000002</v>
      </c>
    </row>
    <row r="33" spans="8:13">
      <c r="H33" s="47">
        <v>25</v>
      </c>
      <c r="I33" s="1">
        <f t="shared" si="5"/>
        <v>50</v>
      </c>
      <c r="J33" s="45">
        <f>J19*E13</f>
        <v>4.6559999999999997E-2</v>
      </c>
      <c r="K33" s="50">
        <v>286</v>
      </c>
      <c r="L33" s="2">
        <f t="shared" si="6"/>
        <v>13.31616</v>
      </c>
    </row>
    <row r="34" spans="8:13">
      <c r="H34" s="47">
        <v>30</v>
      </c>
      <c r="I34" s="1">
        <f t="shared" si="5"/>
        <v>45</v>
      </c>
      <c r="J34" s="45">
        <f>J20*E13+J18*E12</f>
        <v>3.0359999999999998E-2</v>
      </c>
      <c r="K34" s="50">
        <v>475</v>
      </c>
      <c r="L34" s="2">
        <f t="shared" si="6"/>
        <v>14.420999999999999</v>
      </c>
    </row>
    <row r="35" spans="8:13">
      <c r="H35" s="47">
        <v>40</v>
      </c>
      <c r="I35" s="1">
        <f t="shared" si="5"/>
        <v>35</v>
      </c>
      <c r="J35" s="45">
        <f>J21*E13</f>
        <v>8.6399999999999984E-3</v>
      </c>
      <c r="K35" s="50">
        <v>1119.4000000000001</v>
      </c>
      <c r="L35" s="2">
        <f t="shared" si="6"/>
        <v>9.6716159999999984</v>
      </c>
    </row>
    <row r="36" spans="8:13">
      <c r="H36" s="47">
        <v>45</v>
      </c>
      <c r="I36" s="1">
        <f t="shared" si="5"/>
        <v>30</v>
      </c>
      <c r="J36" s="1">
        <f>J19*E12</f>
        <v>1.9400000000000001E-3</v>
      </c>
      <c r="K36" s="51">
        <f t="shared" ref="K36:K40" si="7">D$15-I36*100</f>
        <v>1575</v>
      </c>
      <c r="L36" s="2">
        <f t="shared" si="6"/>
        <v>3.0555000000000003</v>
      </c>
    </row>
    <row r="37" spans="8:13">
      <c r="H37" s="47">
        <v>50</v>
      </c>
      <c r="I37" s="1">
        <f t="shared" si="5"/>
        <v>25</v>
      </c>
      <c r="J37" s="1">
        <f>J20*E12</f>
        <v>7.7999999999999999E-4</v>
      </c>
      <c r="K37" s="51">
        <f t="shared" si="7"/>
        <v>2075</v>
      </c>
      <c r="L37" s="2">
        <f t="shared" si="6"/>
        <v>1.6185</v>
      </c>
    </row>
    <row r="38" spans="8:13">
      <c r="H38" s="47">
        <v>55</v>
      </c>
      <c r="I38" s="1">
        <f t="shared" si="5"/>
        <v>20</v>
      </c>
      <c r="J38" s="1">
        <f>J22*E13</f>
        <v>1.4399999999999999E-3</v>
      </c>
      <c r="K38" s="51">
        <f t="shared" si="7"/>
        <v>2575</v>
      </c>
      <c r="L38" s="2">
        <f t="shared" si="6"/>
        <v>3.7079999999999997</v>
      </c>
    </row>
    <row r="39" spans="8:13">
      <c r="H39" s="47">
        <v>60</v>
      </c>
      <c r="I39" s="1">
        <f t="shared" si="5"/>
        <v>15</v>
      </c>
      <c r="J39" s="1">
        <f>J21*E12</f>
        <v>3.5999999999999997E-4</v>
      </c>
      <c r="K39" s="51">
        <f t="shared" si="7"/>
        <v>3075</v>
      </c>
      <c r="L39" s="2">
        <f t="shared" si="6"/>
        <v>1.107</v>
      </c>
    </row>
    <row r="40" spans="8:13" ht="15.75" thickBot="1">
      <c r="H40" s="47">
        <v>75</v>
      </c>
      <c r="I40" s="1">
        <f t="shared" si="5"/>
        <v>0</v>
      </c>
      <c r="J40" s="1">
        <f>J22*E12</f>
        <v>6.0000000000000002E-5</v>
      </c>
      <c r="K40" s="52">
        <f t="shared" si="7"/>
        <v>4575</v>
      </c>
      <c r="L40" s="53">
        <f t="shared" si="6"/>
        <v>0.27450000000000002</v>
      </c>
    </row>
    <row r="41" spans="8:13" ht="15.75" thickBot="1">
      <c r="K41" s="42" t="s">
        <v>73</v>
      </c>
      <c r="L41" s="54">
        <f>SUM(L30:L40)</f>
        <v>64.059975999999992</v>
      </c>
      <c r="M41" s="44" t="s">
        <v>67</v>
      </c>
    </row>
    <row r="42" spans="8:13" ht="15.75" thickBot="1"/>
    <row r="43" spans="8:13" ht="15.75" thickBot="1">
      <c r="H43" s="39" t="s">
        <v>69</v>
      </c>
      <c r="I43" s="40"/>
      <c r="J43" s="40"/>
      <c r="K43" s="40"/>
      <c r="L43" s="55">
        <f>L23-L41</f>
        <v>337.65542399999998</v>
      </c>
      <c r="M43" s="41" t="s">
        <v>67</v>
      </c>
    </row>
  </sheetData>
  <mergeCells count="4">
    <mergeCell ref="H5:L5"/>
    <mergeCell ref="H15:L15"/>
    <mergeCell ref="H28:L28"/>
    <mergeCell ref="O5:R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LOLE-Q1</vt:lpstr>
      <vt:lpstr>LOLE-Q1-Dir</vt:lpstr>
      <vt:lpstr>LOLE-Q2</vt:lpstr>
      <vt:lpstr>LOLE-Q3</vt:lpstr>
      <vt:lpstr>EENS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 System Reliability</dc:title>
  <dc:subject>LOEE, LOLE</dc:subject>
  <dc:creator/>
  <cp:keywords>LOEE, LOLE, EIR</cp:keywords>
  <dc:description>This excel sheet is created to solve problems in the book "Reliability Evaluation of Power Systems" by Billinton, Allan.
Creatd by: Dr. Rajat Kanti Samal, Assistant Professor, Dept. of Electrical Engineering, VSSUT Burla, Odisha, India.</dc:description>
  <cp:lastModifiedBy/>
  <dcterms:created xsi:type="dcterms:W3CDTF">2006-09-16T00:00:00Z</dcterms:created>
  <dcterms:modified xsi:type="dcterms:W3CDTF">2022-02-11T12:14:51Z</dcterms:modified>
</cp:coreProperties>
</file>