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6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  <sheet state="visible" name="questions" sheetId="2" r:id="rId5"/>
    <sheet state="visible" name="category" sheetId="3" r:id="rId6"/>
    <sheet state="visible" name="QUESTION 8" sheetId="4" r:id="rId7"/>
    <sheet state="visible" name="QUESTION 12" sheetId="5" r:id="rId8"/>
    <sheet state="visible" name="QUESTION 15" sheetId="6" r:id="rId9"/>
    <sheet state="visible" name="QUESTION 18" sheetId="7" r:id="rId10"/>
    <sheet state="visible" name="QUESTION 21" sheetId="8" r:id="rId11"/>
    <sheet state="visible" name="QUESTION 22" sheetId="9" r:id="rId12"/>
    <sheet state="visible" name="QUESTION 24" sheetId="10" r:id="rId13"/>
    <sheet state="visible" name="QUESTION 25" sheetId="11" r:id="rId14"/>
    <sheet state="visible" name="QUESTION 26" sheetId="12" r:id="rId15"/>
  </sheets>
  <definedNames/>
  <calcPr/>
  <pivotCaches>
    <pivotCache cacheId="0" r:id="rId16"/>
    <pivotCache cacheId="1" r:id="rId17"/>
  </pivotCaches>
</workbook>
</file>

<file path=xl/sharedStrings.xml><?xml version="1.0" encoding="utf-8"?>
<sst xmlns="http://schemas.openxmlformats.org/spreadsheetml/2006/main" count="1320" uniqueCount="104">
  <si>
    <t>Date</t>
  </si>
  <si>
    <t>Country</t>
  </si>
  <si>
    <t>City</t>
  </si>
  <si>
    <t>CategoryID</t>
  </si>
  <si>
    <t>Cost</t>
  </si>
  <si>
    <t>Category-2ND Q</t>
  </si>
  <si>
    <t>PRICE(QUESTION 7)</t>
  </si>
  <si>
    <t>MONTH (QUESTION 6)</t>
  </si>
  <si>
    <t>1ST QUESTION</t>
  </si>
  <si>
    <t>3rd QUESTION =</t>
  </si>
  <si>
    <t>QUESTION 9</t>
  </si>
  <si>
    <t>QUESTION 9 - ANSWER</t>
  </si>
  <si>
    <t>QUESTION 10</t>
  </si>
  <si>
    <t>QUESTION 11</t>
  </si>
  <si>
    <t>QUESTION 14</t>
  </si>
  <si>
    <t>QUESTION 16</t>
  </si>
  <si>
    <t>QUESTION 17</t>
  </si>
  <si>
    <t>QUESTION 19</t>
  </si>
  <si>
    <t>QUESTION 20</t>
  </si>
  <si>
    <t>QUESTION 23</t>
  </si>
  <si>
    <t>QUESTION 27</t>
  </si>
  <si>
    <t>Austria</t>
  </si>
  <si>
    <t>Vienna</t>
  </si>
  <si>
    <t>DATE - UNIQUE</t>
  </si>
  <si>
    <t>4th QUESTION =</t>
  </si>
  <si>
    <t>Machu Picchu</t>
  </si>
  <si>
    <t>5th QUESTION =</t>
  </si>
  <si>
    <t>Slovakia</t>
  </si>
  <si>
    <t>Germany</t>
  </si>
  <si>
    <t>Spain</t>
  </si>
  <si>
    <t>Bosnia</t>
  </si>
  <si>
    <t>Croatia</t>
  </si>
  <si>
    <t>Bratislava</t>
  </si>
  <si>
    <t>Colombia</t>
  </si>
  <si>
    <t>Peru</t>
  </si>
  <si>
    <t>Berlin</t>
  </si>
  <si>
    <t>Mallorca</t>
  </si>
  <si>
    <t>COUNTRY - UNIQUE</t>
  </si>
  <si>
    <t>Banja Luka</t>
  </si>
  <si>
    <t>Zagreb</t>
  </si>
  <si>
    <t>Plitvic</t>
  </si>
  <si>
    <t>CITY - UNIQUE</t>
  </si>
  <si>
    <t>Madrid</t>
  </si>
  <si>
    <t>CATEGORYID  - UNIQUE</t>
  </si>
  <si>
    <t>Bogota</t>
  </si>
  <si>
    <t>COST  - UNIQUE</t>
  </si>
  <si>
    <t>Lima</t>
  </si>
  <si>
    <t>Cusco</t>
  </si>
  <si>
    <t>COUNT OF UNIQUE VALUES OF COLUMNS</t>
  </si>
  <si>
    <t>find the unique values for each of the columns and also show how will you count the unique values</t>
  </si>
  <si>
    <t>How will you combine the category table data with original data</t>
  </si>
  <si>
    <t>what is the total cost spent on breakfast overall</t>
  </si>
  <si>
    <t>what is the total cost spent on travel for spain</t>
  </si>
  <si>
    <t>how many rows are there in the data that have category as travel</t>
  </si>
  <si>
    <t>find the month of the date using a calculation in a new column</t>
  </si>
  <si>
    <t>Use an if formula to show all costs greater than 100 as expensive and rest as cheap</t>
  </si>
  <si>
    <t>show a pivot table to show average cost per country</t>
  </si>
  <si>
    <t>how would you display the first two letters of each country</t>
  </si>
  <si>
    <t>write a function to check if a city name contains the letter v</t>
  </si>
  <si>
    <t>write a formula to show the 2nd,3rd,4th letters of the column category</t>
  </si>
  <si>
    <t>which country cost the most money overall according to the data</t>
  </si>
  <si>
    <t>conditional format rows which have country as spain with red colour,date before 12th july 2023 with blue color</t>
  </si>
  <si>
    <t>what was the highest value of cost in the given data</t>
  </si>
  <si>
    <t>which category cost the most money in peru</t>
  </si>
  <si>
    <t>can you create a dropdown list of cities and show the total cost of city depending on city selected</t>
  </si>
  <si>
    <t>how many unique months are there in the data</t>
  </si>
  <si>
    <t>create a grid with countries on one side and categories on the other &amp; use index match to showcase formulas to display the total cost depending on a specific combination</t>
  </si>
  <si>
    <t>can you use filter function to showcase only data when country is Colombia</t>
  </si>
  <si>
    <t>Use text join function to show cities separated by a hyphen depending on the name of the country for one particular date of your choice</t>
  </si>
  <si>
    <t>which country cost the highest money for travel</t>
  </si>
  <si>
    <t>insert a piechart to show cost breakdown per category</t>
  </si>
  <si>
    <t>translate the word travel into spanish</t>
  </si>
  <si>
    <t>display the total cost spent per month &amp; as % of total</t>
  </si>
  <si>
    <t>How many days were spent in spanish speaking countries ( use filter &amp; copy data to new sheet and do an unique count)</t>
  </si>
  <si>
    <t>concatenate country and city separated by a hyphen ( show 2 ways)</t>
  </si>
  <si>
    <t>how would you remove duplicates from country</t>
  </si>
  <si>
    <t>viajar</t>
  </si>
  <si>
    <t>CategoryId</t>
  </si>
  <si>
    <t>Category</t>
  </si>
  <si>
    <t>Breakfast</t>
  </si>
  <si>
    <t>Lunch</t>
  </si>
  <si>
    <t>Stay</t>
  </si>
  <si>
    <t>Metro</t>
  </si>
  <si>
    <t>Travel</t>
  </si>
  <si>
    <t>Dinner</t>
  </si>
  <si>
    <t>Entrance</t>
  </si>
  <si>
    <t>Movie</t>
  </si>
  <si>
    <t>Taxi</t>
  </si>
  <si>
    <t>Shopping</t>
  </si>
  <si>
    <t>Game</t>
  </si>
  <si>
    <t>Grocery</t>
  </si>
  <si>
    <t>Shuttle</t>
  </si>
  <si>
    <t>AVERAGE of Cost</t>
  </si>
  <si>
    <t>QUESTION 8</t>
  </si>
  <si>
    <t>Grand Total</t>
  </si>
  <si>
    <t>SUM of Cost</t>
  </si>
  <si>
    <t>QUESTION 12</t>
  </si>
  <si>
    <t>PERU</t>
  </si>
  <si>
    <t>TRAVEL</t>
  </si>
  <si>
    <t>expensive</t>
  </si>
  <si>
    <t>ANSWER TO QUESTION 24</t>
  </si>
  <si>
    <t>cheap</t>
  </si>
  <si>
    <t>1ST WAY</t>
  </si>
  <si>
    <t>2ND 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</si>
</sst>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6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sz val="10.0"/>
      <color rgb="FFFFFFFF"/>
      <name val="Arial"/>
      <scheme val="minor"/>
    </font>
    <font/>
    <font>
      <color theme="1"/>
      <name val="Arial"/>
    </font>
    <font>
      <b/>
      <color rgb="FFFFFFFF"/>
      <name val="Arial"/>
    </font>
    <font>
      <b/>
      <color theme="1"/>
      <name val="Arial"/>
    </font>
    <font>
      <b/>
      <color rgb="FFFFFF00"/>
      <name val="Arial"/>
      <scheme val="minor"/>
    </font>
    <font>
      <color rgb="FFFFFFFF"/>
      <name val="Arial"/>
      <scheme val="minor"/>
    </font>
    <font>
      <b/>
      <sz val="13.0"/>
      <color rgb="FFFFFFFF"/>
      <name val="Arial"/>
      <scheme val="minor"/>
    </font>
    <font>
      <b/>
      <color rgb="FFFF0000"/>
      <name val="Arial"/>
      <scheme val="minor"/>
    </font>
    <font>
      <b/>
      <sz val="13.0"/>
      <color theme="1"/>
      <name val="Arial"/>
      <scheme val="minor"/>
    </font>
    <font>
      <b/>
      <color theme="1"/>
      <name val="Arial"/>
      <scheme val="minor"/>
    </font>
    <font>
      <b/>
      <sz val="13.0"/>
      <color rgb="FFFF0000"/>
      <name val="Arial"/>
      <scheme val="minor"/>
    </font>
    <font>
      <b/>
      <sz val="12.0"/>
      <color rgb="FFF3F3F3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theme="1"/>
        <bgColor theme="1"/>
      </patternFill>
    </fill>
    <fill>
      <patternFill patternType="solid">
        <fgColor rgb="FFFF0000"/>
        <bgColor rgb="FFFF0000"/>
      </patternFill>
    </fill>
    <fill>
      <patternFill patternType="solid">
        <fgColor rgb="FF980000"/>
        <bgColor rgb="FF980000"/>
      </patternFill>
    </fill>
    <fill>
      <patternFill patternType="solid">
        <fgColor rgb="FF1155CC"/>
        <bgColor rgb="FF1155CC"/>
      </patternFill>
    </fill>
    <fill>
      <patternFill patternType="solid">
        <fgColor rgb="FF990000"/>
        <bgColor rgb="FF990000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Fill="1" applyFont="1"/>
    <xf borderId="1" fillId="2" fontId="2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0" fillId="2" fontId="2" numFmtId="0" xfId="0" applyAlignment="1" applyFont="1">
      <alignment horizontal="center" readingOrder="0"/>
    </xf>
    <xf borderId="0" fillId="0" fontId="5" numFmtId="164" xfId="0" applyAlignment="1" applyFont="1" applyNumberFormat="1">
      <alignment horizontal="right" vertical="bottom"/>
    </xf>
    <xf borderId="0" fillId="2" fontId="6" numFmtId="0" xfId="0" applyAlignment="1" applyFont="1">
      <alignment horizontal="center"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vertical="bottom"/>
    </xf>
    <xf borderId="0" fillId="0" fontId="1" numFmtId="164" xfId="0" applyAlignment="1" applyFont="1" applyNumberFormat="1">
      <alignment readingOrder="0"/>
    </xf>
    <xf borderId="0" fillId="2" fontId="8" numFmtId="0" xfId="0" applyFont="1"/>
    <xf borderId="0" fillId="2" fontId="8" numFmtId="49" xfId="0" applyAlignment="1" applyFont="1" applyNumberFormat="1">
      <alignment readingOrder="0"/>
    </xf>
    <xf borderId="0" fillId="5" fontId="2" numFmtId="0" xfId="0" applyAlignment="1" applyFill="1" applyFont="1">
      <alignment readingOrder="0"/>
    </xf>
    <xf borderId="0" fillId="3" fontId="2" numFmtId="0" xfId="0" applyFont="1"/>
    <xf borderId="0" fillId="2" fontId="2" numFmtId="0" xfId="0" applyFont="1"/>
    <xf borderId="0" fillId="2" fontId="9" numFmtId="0" xfId="0" applyAlignment="1" applyFont="1">
      <alignment readingOrder="0"/>
    </xf>
    <xf borderId="0" fillId="2" fontId="10" numFmtId="0" xfId="0" applyFont="1"/>
    <xf borderId="4" fillId="2" fontId="2" numFmtId="164" xfId="0" applyBorder="1" applyFont="1" applyNumberFormat="1"/>
    <xf borderId="4" fillId="2" fontId="2" numFmtId="0" xfId="0" applyBorder="1" applyFont="1"/>
    <xf borderId="0" fillId="2" fontId="2" numFmtId="0" xfId="0" applyAlignment="1" applyFont="1">
      <alignment horizontal="center"/>
    </xf>
    <xf borderId="0" fillId="2" fontId="11" numFmtId="164" xfId="0" applyFont="1" applyNumberFormat="1"/>
    <xf borderId="0" fillId="2" fontId="9" numFmtId="0" xfId="0" applyFont="1"/>
    <xf borderId="0" fillId="0" fontId="12" numFmtId="0" xfId="0" applyFont="1"/>
    <xf borderId="4" fillId="2" fontId="2" numFmtId="164" xfId="0" applyAlignment="1" applyBorder="1" applyFont="1" applyNumberFormat="1">
      <alignment readingOrder="0"/>
    </xf>
    <xf borderId="0" fillId="0" fontId="8" numFmtId="0" xfId="0" applyFont="1"/>
    <xf borderId="0" fillId="0" fontId="13" numFmtId="0" xfId="0" applyFont="1"/>
    <xf borderId="0" fillId="0" fontId="2" numFmtId="0" xfId="0" applyFont="1"/>
    <xf borderId="0" fillId="0" fontId="9" numFmtId="0" xfId="0" applyFont="1"/>
    <xf borderId="0" fillId="0" fontId="2" numFmtId="0" xfId="0" applyAlignment="1" applyFont="1">
      <alignment readingOrder="0"/>
    </xf>
    <xf borderId="5" fillId="2" fontId="2" numFmtId="164" xfId="0" applyBorder="1" applyFont="1" applyNumberFormat="1"/>
    <xf borderId="5" fillId="2" fontId="2" numFmtId="0" xfId="0" applyBorder="1" applyFont="1"/>
    <xf borderId="6" fillId="0" fontId="1" numFmtId="0" xfId="0" applyBorder="1" applyFont="1"/>
    <xf borderId="0" fillId="2" fontId="11" numFmtId="0" xfId="0" applyFont="1"/>
    <xf borderId="0" fillId="2" fontId="8" numFmtId="0" xfId="0" applyAlignment="1" applyFont="1">
      <alignment readingOrder="0"/>
    </xf>
    <xf borderId="0" fillId="6" fontId="1" numFmtId="164" xfId="0" applyAlignment="1" applyFill="1" applyFont="1" applyNumberFormat="1">
      <alignment readingOrder="0"/>
    </xf>
    <xf borderId="0" fillId="0" fontId="13" numFmtId="0" xfId="0" applyAlignment="1" applyFont="1">
      <alignment readingOrder="0"/>
    </xf>
    <xf borderId="0" fillId="2" fontId="11" numFmtId="0" xfId="0" applyFont="1"/>
    <xf borderId="0" fillId="0" fontId="8" numFmtId="0" xfId="0" applyFont="1"/>
    <xf borderId="0" fillId="7" fontId="2" numFmtId="0" xfId="0" applyAlignment="1" applyFill="1" applyFont="1">
      <alignment readingOrder="0"/>
    </xf>
    <xf borderId="0" fillId="2" fontId="14" numFmtId="0" xfId="0" applyFont="1"/>
    <xf borderId="0" fillId="0" fontId="1" numFmtId="0" xfId="0" applyFont="1"/>
    <xf borderId="0" fillId="2" fontId="15" numFmtId="0" xfId="0" applyAlignment="1" applyFont="1">
      <alignment readingOrder="0"/>
    </xf>
    <xf borderId="0" fillId="0" fontId="1" numFmtId="10" xfId="0" applyFont="1" applyNumberFormat="1"/>
    <xf borderId="0" fillId="0" fontId="1" numFmtId="49" xfId="0" applyFont="1" applyNumberFormat="1"/>
    <xf borderId="0" fillId="0" fontId="1" numFmtId="164" xfId="0" applyFont="1" applyNumberFormat="1"/>
    <xf borderId="0" fillId="2" fontId="9" numFmtId="0" xfId="0" applyAlignment="1" applyFont="1">
      <alignment horizontal="center"/>
    </xf>
  </cellXfs>
  <cellStyles count="1">
    <cellStyle xfId="0" name="Normal" builtinId="0"/>
  </cellStyles>
  <dxfs count="2"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1155CC"/>
          <bgColor rgb="FF1155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pivotCacheDefinition" Target="pivotCache/pivotCacheDefinition2.xml"/><Relationship Id="rId16" Type="http://schemas.openxmlformats.org/officeDocument/2006/relationships/pivotCacheDefinition" Target="pivotCache/pivotCacheDefinition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SUM of Cost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Pt>
            <c:idx val="11"/>
            <c:spPr>
              <a:solidFill>
                <a:srgbClr val="7ED1D7"/>
              </a:solidFill>
            </c:spPr>
          </c:dPt>
          <c:dPt>
            <c:idx val="12"/>
            <c:spPr>
              <a:solidFill>
                <a:srgbClr val="B3CEFB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'QUESTION 22'!$A$3:$A$15</c:f>
            </c:strRef>
          </c:cat>
          <c:val>
            <c:numRef>
              <c:f>'QUESTION 22'!$B$3:$B$15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28575</xdr:colOff>
      <xdr:row>1</xdr:row>
      <xdr:rowOff>9525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G1000" sheet="dataset"/>
  </cacheSource>
  <cacheFields>
    <cacheField name="Date" numFmtId="164">
      <sharedItems containsDate="1" containsString="0" containsBlank="1">
        <d v="2022-12-24T00:00:00Z"/>
        <d v="2022-12-25T00:00:00Z"/>
        <d v="2023-01-15T00:00:00Z"/>
        <d v="2023-06-09T00:00:00Z"/>
        <d v="2023-06-10T00:00:00Z"/>
        <d v="2023-06-11T00:00:00Z"/>
        <d v="2023-06-12T00:00:00Z"/>
        <d v="2023-07-01T00:00:00Z"/>
        <d v="2023-07-07T00:00:00Z"/>
        <d v="2023-07-08T00:00:00Z"/>
        <d v="2023-07-09T00:00:00Z"/>
        <d v="2023-07-10T00:00:00Z"/>
        <d v="2023-12-13T00:00:00Z"/>
        <d v="2023-12-14T00:00:00Z"/>
        <d v="2023-12-15T00:00:00Z"/>
        <d v="2023-12-16T00:00:00Z"/>
        <d v="2023-12-17T00:00:00Z"/>
        <d v="2023-12-18T00:00:00Z"/>
        <d v="2023-12-19T00:00:00Z"/>
        <d v="2023-12-20T00:00:00Z"/>
        <d v="2023-12-21T00:00:00Z"/>
        <d v="2023-12-22T00:00:00Z"/>
        <d v="2023-12-23T00:00:00Z"/>
        <d v="2023-12-24T00:00:00Z"/>
        <d v="2023-12-25T00:00:00Z"/>
        <d v="2023-12-26T00:00:00Z"/>
        <d v="2023-12-27T00:00:00Z"/>
        <d v="2023-12-28T00:00:00Z"/>
        <d v="2023-12-29T00:00:00Z"/>
        <d v="2023-12-30T00:00:00Z"/>
        <m/>
      </sharedItems>
    </cacheField>
    <cacheField name="Country" numFmtId="0">
      <sharedItems containsBlank="1">
        <s v="Austria"/>
        <s v="Slovakia"/>
        <s v="Germany"/>
        <s v="Spain"/>
        <s v="Bosnia"/>
        <s v="Croatia"/>
        <s v="Colombia"/>
        <s v="Peru"/>
        <m/>
      </sharedItems>
    </cacheField>
    <cacheField name="City" numFmtId="0">
      <sharedItems containsBlank="1">
        <s v="Vienna"/>
        <s v="Bratislava"/>
        <s v="Berlin"/>
        <s v="Mallorca"/>
        <s v="Banja Luka"/>
        <s v="Zagreb"/>
        <s v="Plitvic"/>
        <s v="Madrid"/>
        <s v="Bogota"/>
        <s v="Lima"/>
        <s v="Cusco"/>
        <s v="Machu Picchu"/>
        <m/>
      </sharedItems>
    </cacheField>
    <cacheField name="CategoryID" numFmtId="0">
      <sharedItems containsString="0" containsBlank="1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m/>
      </sharedItems>
    </cacheField>
    <cacheField name="Cost" numFmtId="0">
      <sharedItems containsString="0" containsBlank="1" containsNumber="1" containsInteger="1">
        <n v="20.0"/>
        <n v="40.0"/>
        <n v="230.0"/>
        <n v="16.0"/>
        <n v="240.0"/>
        <n v="12.0"/>
        <n v="60.0"/>
        <n v="25.0"/>
        <n v="26.0"/>
        <n v="36.0"/>
        <n v="280.0"/>
        <n v="400.0"/>
        <n v="13.0"/>
        <n v="11.0"/>
        <n v="30.0"/>
        <n v="23.0"/>
        <n v="10.0"/>
        <n v="28.0"/>
        <n v="14.0"/>
        <n v="18.0"/>
        <n v="22.0"/>
        <n v="15.0"/>
        <n v="42.0"/>
        <n v="116.0"/>
        <n v="50.0"/>
        <n v="56.0"/>
        <n v="100.0"/>
        <n v="9.0"/>
        <n v="19.0"/>
        <n v="21.0"/>
        <n v="488.0"/>
        <n v="200.0"/>
        <n v="6.0"/>
        <n v="29.0"/>
        <n v="3.0"/>
        <n v="2600.0"/>
        <n v="208.0"/>
        <n v="2.0"/>
        <n v="5.0"/>
        <n v="8.0"/>
        <n v="4.0"/>
        <n v="7.0"/>
        <n v="92.0"/>
        <n v="24.0"/>
        <n v="520.0"/>
        <n v="210.0"/>
        <n v="45.0"/>
        <n v="90.0"/>
        <n v="47.0"/>
        <n v="190.0"/>
        <n v="17.0"/>
        <m/>
      </sharedItems>
    </cacheField>
    <cacheField name="Category-2ND Q" numFmtId="0">
      <sharedItems containsBlank="1">
        <s v="Breakfast"/>
        <s v="Lunch"/>
        <s v="Stay"/>
        <s v="Metro"/>
        <s v="Travel"/>
        <s v="Dinner"/>
        <s v="Entrance"/>
        <s v="Movie"/>
        <s v="Taxi"/>
        <s v="Shopping"/>
        <s v="Game"/>
        <s v="Grocery"/>
        <s v="Shuttle"/>
        <m/>
      </sharedItems>
    </cacheField>
    <cacheField name="PRICE(QUESTION 7)" numFmtId="0">
      <sharedItems containsBlank="1">
        <s v="cheap"/>
        <s v="expensive"/>
        <m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H1000" sheet="dataset"/>
  </cacheSource>
  <cacheFields>
    <cacheField name="Date" numFmtId="164">
      <sharedItems containsDate="1" containsString="0" containsBlank="1">
        <d v="2022-12-24T00:00:00Z"/>
        <d v="2022-12-25T00:00:00Z"/>
        <d v="2023-01-15T00:00:00Z"/>
        <d v="2023-06-09T00:00:00Z"/>
        <d v="2023-06-10T00:00:00Z"/>
        <d v="2023-06-11T00:00:00Z"/>
        <d v="2023-06-12T00:00:00Z"/>
        <d v="2023-07-01T00:00:00Z"/>
        <d v="2023-07-07T00:00:00Z"/>
        <d v="2023-07-08T00:00:00Z"/>
        <d v="2023-07-09T00:00:00Z"/>
        <d v="2023-07-10T00:00:00Z"/>
        <d v="2023-12-13T00:00:00Z"/>
        <d v="2023-12-14T00:00:00Z"/>
        <d v="2023-12-15T00:00:00Z"/>
        <d v="2023-12-16T00:00:00Z"/>
        <d v="2023-12-17T00:00:00Z"/>
        <d v="2023-12-18T00:00:00Z"/>
        <d v="2023-12-19T00:00:00Z"/>
        <d v="2023-12-20T00:00:00Z"/>
        <d v="2023-12-21T00:00:00Z"/>
        <d v="2023-12-22T00:00:00Z"/>
        <d v="2023-12-23T00:00:00Z"/>
        <d v="2023-12-24T00:00:00Z"/>
        <d v="2023-12-25T00:00:00Z"/>
        <d v="2023-12-26T00:00:00Z"/>
        <d v="2023-12-27T00:00:00Z"/>
        <d v="2023-12-28T00:00:00Z"/>
        <d v="2023-12-29T00:00:00Z"/>
        <d v="2023-12-30T00:00:00Z"/>
        <m/>
      </sharedItems>
    </cacheField>
    <cacheField name="Country" numFmtId="0">
      <sharedItems containsBlank="1">
        <s v="Austria"/>
        <s v="Slovakia"/>
        <s v="Germany"/>
        <s v="Spain"/>
        <s v="Bosnia"/>
        <s v="Croatia"/>
        <s v="Colombia"/>
        <s v="Peru"/>
        <m/>
      </sharedItems>
    </cacheField>
    <cacheField name="City" numFmtId="0">
      <sharedItems containsBlank="1">
        <s v="Vienna"/>
        <s v="Bratislava"/>
        <s v="Berlin"/>
        <s v="Mallorca"/>
        <s v="Banja Luka"/>
        <s v="Zagreb"/>
        <s v="Plitvic"/>
        <s v="Madrid"/>
        <s v="Bogota"/>
        <s v="Lima"/>
        <s v="Cusco"/>
        <s v="Machu Picchu"/>
        <m/>
      </sharedItems>
    </cacheField>
    <cacheField name="CategoryID" numFmtId="0">
      <sharedItems containsString="0" containsBlank="1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m/>
      </sharedItems>
    </cacheField>
    <cacheField name="Cost" numFmtId="0">
      <sharedItems containsString="0" containsBlank="1" containsNumber="1" containsInteger="1">
        <n v="20.0"/>
        <n v="40.0"/>
        <n v="230.0"/>
        <n v="16.0"/>
        <n v="240.0"/>
        <n v="12.0"/>
        <n v="60.0"/>
        <n v="25.0"/>
        <n v="26.0"/>
        <n v="36.0"/>
        <n v="280.0"/>
        <n v="400.0"/>
        <n v="13.0"/>
        <n v="11.0"/>
        <n v="30.0"/>
        <n v="23.0"/>
        <n v="10.0"/>
        <n v="28.0"/>
        <n v="14.0"/>
        <n v="18.0"/>
        <n v="22.0"/>
        <n v="15.0"/>
        <n v="42.0"/>
        <n v="116.0"/>
        <n v="50.0"/>
        <n v="56.0"/>
        <n v="100.0"/>
        <n v="9.0"/>
        <n v="19.0"/>
        <n v="21.0"/>
        <n v="488.0"/>
        <n v="200.0"/>
        <n v="6.0"/>
        <n v="29.0"/>
        <n v="3.0"/>
        <n v="2600.0"/>
        <n v="208.0"/>
        <n v="2.0"/>
        <n v="5.0"/>
        <n v="8.0"/>
        <n v="4.0"/>
        <n v="7.0"/>
        <n v="92.0"/>
        <n v="24.0"/>
        <n v="520.0"/>
        <n v="210.0"/>
        <n v="45.0"/>
        <n v="90.0"/>
        <n v="47.0"/>
        <n v="190.0"/>
        <n v="17.0"/>
        <m/>
      </sharedItems>
    </cacheField>
    <cacheField name="Category-2ND Q" numFmtId="0">
      <sharedItems containsBlank="1">
        <s v="Breakfast"/>
        <s v="Lunch"/>
        <s v="Stay"/>
        <s v="Metro"/>
        <s v="Travel"/>
        <s v="Dinner"/>
        <s v="Entrance"/>
        <s v="Movie"/>
        <s v="Taxi"/>
        <s v="Shopping"/>
        <s v="Game"/>
        <s v="Grocery"/>
        <s v="Shuttle"/>
        <m/>
      </sharedItems>
    </cacheField>
    <cacheField name="PRICE(QUESTION 7)" numFmtId="0">
      <sharedItems containsBlank="1">
        <s v="cheap"/>
        <s v="expensive"/>
        <m/>
      </sharedItems>
    </cacheField>
    <cacheField name="MONTH (QUESTION 6)" numFmtId="49">
      <sharedItems containsString="0" containsBlank="1" containsNumber="1" containsInteger="1">
        <n v="12.0"/>
        <n v="1.0"/>
        <n v="6.0"/>
        <n v="7.0"/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QUESTION 12" cacheId="0" dataCaption="" compact="0" compactData="0">
  <location ref="B1:C11" firstHeaderRow="0" firstDataRow="1" firstDataCol="0"/>
  <pivotFields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Country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C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Category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Cos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name="Category-2ND Q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PRICE(QUESTION 7)" compact="0" outline="0" multipleItemSelectionAllowed="1" showAll="0">
      <items>
        <item x="0"/>
        <item x="1"/>
        <item x="2"/>
        <item t="default"/>
      </items>
    </pivotField>
  </pivotFields>
  <rowFields>
    <field x="1"/>
  </rowFields>
  <dataFields>
    <dataField name="SUM of Cost" fld="4" baseField="0"/>
  </dataFields>
</pivotTableDefinition>
</file>

<file path=xl/pivotTables/pivotTable2.xml><?xml version="1.0" encoding="utf-8"?>
<pivotTableDefinition xmlns="http://schemas.openxmlformats.org/spreadsheetml/2006/main" name="QUESTION 15" cacheId="0" dataCaption="" compact="0" compactData="0">
  <location ref="A3:B15" firstHeaderRow="0" firstDataRow="1" firstDataCol="0" rowPageCount="1" colPageCount="1"/>
  <pivotFields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Country" axis="axisPage" compact="0" outline="0" multipleItemSelectionAllowed="1" showAll="0">
      <items>
        <item h="1" x="0"/>
        <item h="1" x="1"/>
        <item h="1" x="2"/>
        <item h="1" x="3"/>
        <item h="1" x="4"/>
        <item h="1" x="5"/>
        <item h="1" x="6"/>
        <item x="7"/>
        <item h="1" x="8"/>
        <item t="default"/>
      </items>
    </pivotField>
    <pivotField name="C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Category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Cos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name="Category-2ND Q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PRICE(QUESTION 7)" compact="0" outline="0" multipleItemSelectionAllowed="1" showAll="0">
      <items>
        <item x="0"/>
        <item x="1"/>
        <item x="2"/>
        <item t="default"/>
      </items>
    </pivotField>
  </pivotFields>
  <rowFields>
    <field x="5"/>
  </rowFields>
  <pageFields>
    <pageField fld="1"/>
  </pageFields>
  <dataFields>
    <dataField name="SUM of Cost" fld="4" baseField="0"/>
  </dataFields>
</pivotTableDefinition>
</file>

<file path=xl/pivotTables/pivotTable3.xml><?xml version="1.0" encoding="utf-8"?>
<pivotTableDefinition xmlns="http://schemas.openxmlformats.org/spreadsheetml/2006/main" name="QUESTION 18" cacheId="0" dataCaption="" compact="0" compactData="0">
  <location ref="A1:P12" firstHeaderRow="0" firstDataRow="1" firstDataCol="1"/>
  <pivotFields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Country" axis="axisRow" compact="0" outline="0" multipleItemSelectionAllowed="1" showAll="0" sortType="ascending">
      <items>
        <item x="8"/>
        <item x="0"/>
        <item x="4"/>
        <item x="6"/>
        <item x="5"/>
        <item x="2"/>
        <item x="7"/>
        <item x="1"/>
        <item x="3"/>
        <item t="default"/>
      </items>
    </pivotField>
    <pivotField name="C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Category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Cos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name="Category-2ND Q" axis="axisCol" compact="0" outline="0" multipleItemSelectionAllowed="1" showAll="0" sortType="ascending">
      <items>
        <item x="13"/>
        <item x="0"/>
        <item x="5"/>
        <item x="6"/>
        <item x="10"/>
        <item x="11"/>
        <item x="1"/>
        <item x="3"/>
        <item x="7"/>
        <item x="9"/>
        <item x="12"/>
        <item x="2"/>
        <item x="8"/>
        <item x="4"/>
        <item t="default"/>
      </items>
    </pivotField>
    <pivotField name="PRICE(QUESTION 7)" compact="0" outline="0" multipleItemSelectionAllowed="1" showAll="0">
      <items>
        <item x="0"/>
        <item x="1"/>
        <item x="2"/>
        <item t="default"/>
      </items>
    </pivotField>
  </pivotFields>
  <rowFields>
    <field x="1"/>
  </rowFields>
  <colFields>
    <field x="5"/>
  </colFields>
  <dataFields>
    <dataField name="SUM of Cost" fld="4" baseField="0"/>
  </dataFields>
</pivotTableDefinition>
</file>

<file path=xl/pivotTables/pivotTable4.xml><?xml version="1.0" encoding="utf-8"?>
<pivotTableDefinition xmlns="http://schemas.openxmlformats.org/spreadsheetml/2006/main" name="QUESTION 21" cacheId="0" dataCaption="" compact="0" compactData="0">
  <location ref="A3:B11" firstHeaderRow="0" firstDataRow="1" firstDataCol="0" rowPageCount="1" colPageCount="1"/>
  <pivotFields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Country" axis="axisRow" compact="0" outline="0" multipleItemSelectionAllowed="1" showAll="0" sortType="ascending">
      <items>
        <item x="8"/>
        <item x="0"/>
        <item x="4"/>
        <item x="6"/>
        <item x="5"/>
        <item x="2"/>
        <item x="7"/>
        <item x="1"/>
        <item x="3"/>
        <item t="default"/>
      </items>
    </pivotField>
    <pivotField name="C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Category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Cos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name="Category-2ND Q" axis="axisPage" compact="0" outline="0" multipleItemSelectionAllowed="1" showAll="0">
      <items>
        <item h="1" x="0"/>
        <item h="1" x="1"/>
        <item h="1" x="2"/>
        <item h="1" x="3"/>
        <item x="4"/>
        <item h="1" x="5"/>
        <item h="1" x="6"/>
        <item h="1" x="7"/>
        <item h="1" x="8"/>
        <item h="1" x="9"/>
        <item h="1" x="10"/>
        <item h="1" x="11"/>
        <item h="1" x="12"/>
        <item h="1" x="13"/>
        <item t="default"/>
      </items>
    </pivotField>
    <pivotField name="PRICE(QUESTION 7)" compact="0" outline="0" multipleItemSelectionAllowed="1" showAll="0">
      <items>
        <item x="0"/>
        <item x="1"/>
        <item x="2"/>
        <item t="default"/>
      </items>
    </pivotField>
  </pivotFields>
  <rowFields>
    <field x="1"/>
  </rowFields>
  <pageFields>
    <pageField fld="5"/>
  </pageFields>
  <dataFields>
    <dataField name="SUM of Cost" fld="4" baseField="0"/>
  </dataFields>
</pivotTableDefinition>
</file>

<file path=xl/pivotTables/pivotTable5.xml><?xml version="1.0" encoding="utf-8"?>
<pivotTableDefinition xmlns="http://schemas.openxmlformats.org/spreadsheetml/2006/main" name="QUESTION 22" cacheId="0" dataCaption="" compact="0" compactData="0">
  <location ref="A1:B16" firstHeaderRow="0" firstDataRow="1" firstDataCol="0"/>
  <pivotFields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Coun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C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Category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Cos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name="Category-2ND Q" axis="axisRow" compact="0" outline="0" multipleItemSelectionAllowed="1" showAll="0" sortType="ascending">
      <items>
        <item x="13"/>
        <item x="0"/>
        <item x="5"/>
        <item x="6"/>
        <item x="10"/>
        <item x="11"/>
        <item x="1"/>
        <item x="3"/>
        <item x="7"/>
        <item x="9"/>
        <item x="12"/>
        <item x="2"/>
        <item x="8"/>
        <item x="4"/>
        <item t="default"/>
      </items>
    </pivotField>
    <pivotField name="PRICE(QUESTION 7)" compact="0" outline="0" multipleItemSelectionAllowed="1" showAll="0">
      <items>
        <item x="0"/>
        <item x="1"/>
        <item x="2"/>
        <item t="default"/>
      </items>
    </pivotField>
  </pivotFields>
  <rowFields>
    <field x="5"/>
  </rowFields>
  <dataFields>
    <dataField name="SUM of Cost" fld="4" baseField="0"/>
  </dataFields>
</pivotTableDefinition>
</file>

<file path=xl/pivotTables/pivotTable6.xml><?xml version="1.0" encoding="utf-8"?>
<pivotTableDefinition xmlns="http://schemas.openxmlformats.org/spreadsheetml/2006/main" name="QUESTION 24" cacheId="1" dataCaption="" compact="0" compactData="0">
  <location ref="A1:B7" firstHeaderRow="0" firstDataRow="1" firstDataCol="0"/>
  <pivotFields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Coun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C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Category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Cos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name="Category-2ND Q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PRICE(QUESTION 7)" compact="0" outline="0" multipleItemSelectionAllowed="1" showAll="0">
      <items>
        <item x="0"/>
        <item x="1"/>
        <item x="2"/>
        <item t="default"/>
      </items>
    </pivotField>
    <pivotField name="MONTH (QUESTION 6)" axis="axisRow" compact="0" numFmtId="49" outline="0" multipleItemSelectionAllowed="1" showAll="0" sortType="ascending">
      <items>
        <item x="4"/>
        <item x="1"/>
        <item x="2"/>
        <item x="3"/>
        <item x="0"/>
        <item t="default"/>
      </items>
    </pivotField>
  </pivotFields>
  <rowFields>
    <field x="7"/>
  </rowFields>
  <dataFields>
    <dataField name="SUM of Cost" fld="4" showDataAs="percentOfCol" baseField="0" numFmtId="1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6.xm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4.13"/>
    <col customWidth="1" min="7" max="7" width="16.38"/>
    <col customWidth="1" min="8" max="8" width="19.63"/>
    <col customWidth="1" min="10" max="10" width="33.75"/>
    <col customWidth="1" min="11" max="12" width="16.38"/>
    <col customWidth="1" min="14" max="14" width="19.75"/>
    <col customWidth="1" min="15" max="15" width="15.88"/>
    <col customWidth="1" min="17" max="17" width="15.75"/>
    <col customWidth="1" min="18" max="18" width="17.13"/>
    <col customWidth="1" min="19" max="19" width="17.38"/>
    <col customWidth="1" min="27" max="27" width="7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2" t="s">
        <v>7</v>
      </c>
      <c r="I1" s="1"/>
      <c r="J1" s="3" t="s">
        <v>8</v>
      </c>
      <c r="K1" s="4" t="s">
        <v>9</v>
      </c>
      <c r="L1" s="5">
        <f>SUMIF(F2:F128,F2,E2:E128)</f>
        <v>400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6" t="s">
        <v>17</v>
      </c>
      <c r="U1" s="7"/>
      <c r="V1" s="7"/>
      <c r="W1" s="7"/>
      <c r="X1" s="7"/>
      <c r="Y1" s="7"/>
      <c r="Z1" s="8"/>
      <c r="AA1" s="9" t="s">
        <v>18</v>
      </c>
      <c r="AC1" s="2" t="s">
        <v>19</v>
      </c>
      <c r="AD1" s="10"/>
      <c r="AE1" s="11" t="s">
        <v>20</v>
      </c>
      <c r="AF1" s="12"/>
      <c r="AG1" s="13"/>
      <c r="AH1" s="13"/>
      <c r="AI1" s="14"/>
      <c r="AJ1" s="14"/>
      <c r="AK1" s="15"/>
    </row>
    <row r="2">
      <c r="A2" s="16">
        <v>44919.0</v>
      </c>
      <c r="B2" s="1" t="s">
        <v>21</v>
      </c>
      <c r="C2" s="1" t="s">
        <v>22</v>
      </c>
      <c r="D2" s="1">
        <v>1.0</v>
      </c>
      <c r="E2" s="1">
        <v>20.0</v>
      </c>
      <c r="F2" s="17" t="str">
        <f>VLOOKUP(D2,category!$A$2:$B$14,2,false)</f>
        <v>Breakfast</v>
      </c>
      <c r="G2" s="17" t="str">
        <f t="shared" ref="G2:G128" si="1">IF(E2&gt;100,"expensive","cheap")</f>
        <v>cheap</v>
      </c>
      <c r="H2" s="18">
        <f t="shared" ref="H2:H128" si="2">MONTH(A2)</f>
        <v>12</v>
      </c>
      <c r="I2" s="1"/>
      <c r="J2" s="19" t="s">
        <v>23</v>
      </c>
      <c r="K2" s="2" t="s">
        <v>24</v>
      </c>
      <c r="L2" s="5">
        <f>SUMIFS(E2:E128,B2:B128,B15,F2:F128,F8)</f>
        <v>768</v>
      </c>
      <c r="M2" s="20" t="str">
        <f>IFERROR(__xludf.DUMMYFUNCTION("UNIQUE(B2:B128)"),"Austria")</f>
        <v>Austria</v>
      </c>
      <c r="N2" s="20" t="str">
        <f t="shared" ref="N2:N9" si="3">LEFT(M2,2)</f>
        <v>Au</v>
      </c>
      <c r="O2" s="21" t="str">
        <f t="shared" ref="O2:O128" si="4">IF(ISNUMBER(SEARCH("v", C2)),"Yes","No")</f>
        <v>Yes</v>
      </c>
      <c r="P2" s="21" t="str">
        <f t="shared" ref="P2:P128" si="5">MID(F2,2,3)</f>
        <v>rea</v>
      </c>
      <c r="Q2" s="21">
        <f>MAX(E2:E128)</f>
        <v>2600</v>
      </c>
      <c r="R2" s="22" t="s">
        <v>25</v>
      </c>
      <c r="S2" s="23">
        <f>IFERROR(__xludf.DUMMYFUNCTION("COUNTUNIQUE(H2:H128)"),4.0)</f>
        <v>4</v>
      </c>
      <c r="T2" s="24">
        <f>IFERROR(__xludf.DUMMYFUNCTION("FILTER(A2:G128,B2:B128=""Colombia"")"),45275.0)</f>
        <v>45275</v>
      </c>
      <c r="U2" s="25" t="str">
        <f>IFERROR(__xludf.DUMMYFUNCTION("""COMPUTED_VALUE"""),"Colombia")</f>
        <v>Colombia</v>
      </c>
      <c r="V2" s="25" t="str">
        <f>IFERROR(__xludf.DUMMYFUNCTION("""COMPUTED_VALUE"""),"Bogota")</f>
        <v>Bogota</v>
      </c>
      <c r="W2" s="25">
        <f>IFERROR(__xludf.DUMMYFUNCTION("""COMPUTED_VALUE"""),5.0)</f>
        <v>5</v>
      </c>
      <c r="X2" s="25">
        <f>IFERROR(__xludf.DUMMYFUNCTION("""COMPUTED_VALUE"""),2600.0)</f>
        <v>2600</v>
      </c>
      <c r="Y2" s="21" t="str">
        <f>IFERROR(__xludf.DUMMYFUNCTION("""COMPUTED_VALUE"""),"Travel")</f>
        <v>Travel</v>
      </c>
      <c r="Z2" s="21" t="str">
        <f>IFERROR(__xludf.DUMMYFUNCTION("""COMPUTED_VALUE"""),"expensive")</f>
        <v>expensive</v>
      </c>
      <c r="AA2" s="26" t="str">
        <f>IFERROR(__xludf.DUMMYFUNCTION("TEXTJOIN(""-"",,filter(C79:C92,B79:B92=""Peru""))"),"Lima-Lima-Lima-Lima-Lima-Lima-Lima-Lima-Lima-Lima-Lima-Lima-Cusco-Cusco")</f>
        <v>Lima-Lima-Lima-Lima-Lima-Lima-Lima-Lima-Lima-Lima-Lima-Lima-Cusco-Cusco</v>
      </c>
      <c r="AC2" s="21" t="str">
        <f>IFERROR(__xludf.DUMMYFUNCTION("GOOGLETRANSLATE(""travel"",""EN"",""ES"")"),"viajar")</f>
        <v>viajar</v>
      </c>
      <c r="AD2" s="10"/>
      <c r="AE2" s="11" t="s">
        <v>21</v>
      </c>
      <c r="AF2" s="12"/>
      <c r="AG2" s="13"/>
      <c r="AH2" s="13"/>
      <c r="AI2" s="14"/>
      <c r="AJ2" s="14"/>
      <c r="AK2" s="15"/>
    </row>
    <row r="3">
      <c r="A3" s="16">
        <v>44919.0</v>
      </c>
      <c r="B3" s="1" t="s">
        <v>21</v>
      </c>
      <c r="C3" s="1" t="s">
        <v>22</v>
      </c>
      <c r="D3" s="1">
        <v>2.0</v>
      </c>
      <c r="E3" s="1">
        <v>40.0</v>
      </c>
      <c r="F3" s="17" t="str">
        <f>VLOOKUP(D3,category!$A$2:$B$14,2,false)</f>
        <v>Lunch</v>
      </c>
      <c r="G3" s="17" t="str">
        <f t="shared" si="1"/>
        <v>cheap</v>
      </c>
      <c r="H3" s="18">
        <f t="shared" si="2"/>
        <v>12</v>
      </c>
      <c r="I3" s="1"/>
      <c r="J3" s="27">
        <f>IFERROR(__xludf.DUMMYFUNCTION("UNIQUE(A2:A128)"),44919.0)</f>
        <v>44919</v>
      </c>
      <c r="K3" s="2" t="s">
        <v>26</v>
      </c>
      <c r="L3" s="5">
        <f>COUNTIF(F2:F128,F34)</f>
        <v>11</v>
      </c>
      <c r="M3" s="20" t="str">
        <f>IFERROR(__xludf.DUMMYFUNCTION("""COMPUTED_VALUE"""),"Slovakia")</f>
        <v>Slovakia</v>
      </c>
      <c r="N3" s="20" t="str">
        <f t="shared" si="3"/>
        <v>Sl</v>
      </c>
      <c r="O3" s="21" t="str">
        <f t="shared" si="4"/>
        <v>Yes</v>
      </c>
      <c r="P3" s="21" t="str">
        <f t="shared" si="5"/>
        <v>unc</v>
      </c>
      <c r="R3" s="28">
        <f>SUMIF(C2:C128,R2,E2:E128)</f>
        <v>621</v>
      </c>
      <c r="S3" s="29"/>
      <c r="T3" s="30">
        <f>IFERROR(__xludf.DUMMYFUNCTION("""COMPUTED_VALUE"""),45275.0)</f>
        <v>45275</v>
      </c>
      <c r="U3" s="25" t="str">
        <f>IFERROR(__xludf.DUMMYFUNCTION("""COMPUTED_VALUE"""),"Colombia")</f>
        <v>Colombia</v>
      </c>
      <c r="V3" s="25" t="str">
        <f>IFERROR(__xludf.DUMMYFUNCTION("""COMPUTED_VALUE"""),"Bogota")</f>
        <v>Bogota</v>
      </c>
      <c r="W3" s="25">
        <f>IFERROR(__xludf.DUMMYFUNCTION("""COMPUTED_VALUE"""),4.0)</f>
        <v>4</v>
      </c>
      <c r="X3" s="25">
        <f>IFERROR(__xludf.DUMMYFUNCTION("""COMPUTED_VALUE"""),18.0)</f>
        <v>18</v>
      </c>
      <c r="Y3" s="21" t="str">
        <f>IFERROR(__xludf.DUMMYFUNCTION("""COMPUTED_VALUE"""),"Metro")</f>
        <v>Metro</v>
      </c>
      <c r="Z3" s="21" t="str">
        <f>IFERROR(__xludf.DUMMYFUNCTION("""COMPUTED_VALUE"""),"cheap")</f>
        <v>cheap</v>
      </c>
      <c r="AD3" s="10"/>
      <c r="AE3" s="11" t="s">
        <v>27</v>
      </c>
      <c r="AF3" s="12"/>
      <c r="AG3" s="13"/>
      <c r="AH3" s="13"/>
      <c r="AI3" s="14"/>
      <c r="AJ3" s="14"/>
      <c r="AK3" s="15"/>
    </row>
    <row r="4">
      <c r="A4" s="16">
        <v>44919.0</v>
      </c>
      <c r="B4" s="1" t="s">
        <v>21</v>
      </c>
      <c r="C4" s="1" t="s">
        <v>22</v>
      </c>
      <c r="D4" s="1">
        <v>3.0</v>
      </c>
      <c r="E4" s="1">
        <v>230.0</v>
      </c>
      <c r="F4" s="17" t="str">
        <f>VLOOKUP(D4,category!$A$2:$B$14,2,false)</f>
        <v>Stay</v>
      </c>
      <c r="G4" s="17" t="str">
        <f t="shared" si="1"/>
        <v>expensive</v>
      </c>
      <c r="H4" s="18">
        <f t="shared" si="2"/>
        <v>12</v>
      </c>
      <c r="I4" s="1"/>
      <c r="J4" s="27">
        <f>IFERROR(__xludf.DUMMYFUNCTION("""COMPUTED_VALUE"""),44920.0)</f>
        <v>44920</v>
      </c>
      <c r="K4" s="31"/>
      <c r="L4" s="31"/>
      <c r="M4" s="20" t="str">
        <f>IFERROR(__xludf.DUMMYFUNCTION("""COMPUTED_VALUE"""),"Germany")</f>
        <v>Germany</v>
      </c>
      <c r="N4" s="20" t="str">
        <f t="shared" si="3"/>
        <v>Ge</v>
      </c>
      <c r="O4" s="21" t="str">
        <f t="shared" si="4"/>
        <v>Yes</v>
      </c>
      <c r="P4" s="21" t="str">
        <f t="shared" si="5"/>
        <v>tay</v>
      </c>
      <c r="S4" s="29"/>
      <c r="T4" s="24">
        <f>IFERROR(__xludf.DUMMYFUNCTION("""COMPUTED_VALUE"""),45275.0)</f>
        <v>45275</v>
      </c>
      <c r="U4" s="25" t="str">
        <f>IFERROR(__xludf.DUMMYFUNCTION("""COMPUTED_VALUE"""),"Colombia")</f>
        <v>Colombia</v>
      </c>
      <c r="V4" s="25" t="str">
        <f>IFERROR(__xludf.DUMMYFUNCTION("""COMPUTED_VALUE"""),"Bogota")</f>
        <v>Bogota</v>
      </c>
      <c r="W4" s="25">
        <f>IFERROR(__xludf.DUMMYFUNCTION("""COMPUTED_VALUE"""),3.0)</f>
        <v>3</v>
      </c>
      <c r="X4" s="25">
        <f>IFERROR(__xludf.DUMMYFUNCTION("""COMPUTED_VALUE"""),208.0)</f>
        <v>208</v>
      </c>
      <c r="Y4" s="21" t="str">
        <f>IFERROR(__xludf.DUMMYFUNCTION("""COMPUTED_VALUE"""),"Stay")</f>
        <v>Stay</v>
      </c>
      <c r="Z4" s="21" t="str">
        <f>IFERROR(__xludf.DUMMYFUNCTION("""COMPUTED_VALUE"""),"expensive")</f>
        <v>expensive</v>
      </c>
      <c r="AD4" s="10"/>
      <c r="AE4" s="11" t="s">
        <v>28</v>
      </c>
      <c r="AF4" s="12"/>
      <c r="AG4" s="13"/>
      <c r="AH4" s="13"/>
      <c r="AI4" s="14"/>
      <c r="AJ4" s="14"/>
      <c r="AK4" s="15"/>
    </row>
    <row r="5">
      <c r="A5" s="16">
        <v>44919.0</v>
      </c>
      <c r="B5" s="1" t="s">
        <v>21</v>
      </c>
      <c r="C5" s="1" t="s">
        <v>22</v>
      </c>
      <c r="D5" s="1">
        <v>4.0</v>
      </c>
      <c r="E5" s="1">
        <v>16.0</v>
      </c>
      <c r="F5" s="17" t="str">
        <f>VLOOKUP(D5,category!$A$2:$B$14,2,false)</f>
        <v>Metro</v>
      </c>
      <c r="G5" s="17" t="str">
        <f t="shared" si="1"/>
        <v>cheap</v>
      </c>
      <c r="H5" s="18">
        <f t="shared" si="2"/>
        <v>12</v>
      </c>
      <c r="I5" s="1"/>
      <c r="J5" s="27">
        <f>IFERROR(__xludf.DUMMYFUNCTION("""COMPUTED_VALUE"""),44941.0)</f>
        <v>44941</v>
      </c>
      <c r="K5" s="31"/>
      <c r="L5" s="31"/>
      <c r="M5" s="20" t="str">
        <f>IFERROR(__xludf.DUMMYFUNCTION("""COMPUTED_VALUE"""),"Spain")</f>
        <v>Spain</v>
      </c>
      <c r="N5" s="20" t="str">
        <f t="shared" si="3"/>
        <v>Sp</v>
      </c>
      <c r="O5" s="21" t="str">
        <f t="shared" si="4"/>
        <v>Yes</v>
      </c>
      <c r="P5" s="21" t="str">
        <f t="shared" si="5"/>
        <v>etr</v>
      </c>
      <c r="S5" s="29"/>
      <c r="T5" s="24">
        <f>IFERROR(__xludf.DUMMYFUNCTION("""COMPUTED_VALUE"""),45275.0)</f>
        <v>45275</v>
      </c>
      <c r="U5" s="25" t="str">
        <f>IFERROR(__xludf.DUMMYFUNCTION("""COMPUTED_VALUE"""),"Colombia")</f>
        <v>Colombia</v>
      </c>
      <c r="V5" s="25" t="str">
        <f>IFERROR(__xludf.DUMMYFUNCTION("""COMPUTED_VALUE"""),"Bogota")</f>
        <v>Bogota</v>
      </c>
      <c r="W5" s="25">
        <f>IFERROR(__xludf.DUMMYFUNCTION("""COMPUTED_VALUE"""),12.0)</f>
        <v>12</v>
      </c>
      <c r="X5" s="25">
        <f>IFERROR(__xludf.DUMMYFUNCTION("""COMPUTED_VALUE"""),2.0)</f>
        <v>2</v>
      </c>
      <c r="Y5" s="21" t="str">
        <f>IFERROR(__xludf.DUMMYFUNCTION("""COMPUTED_VALUE"""),"Grocery")</f>
        <v>Grocery</v>
      </c>
      <c r="Z5" s="21" t="str">
        <f>IFERROR(__xludf.DUMMYFUNCTION("""COMPUTED_VALUE"""),"cheap")</f>
        <v>cheap</v>
      </c>
      <c r="AD5" s="10"/>
      <c r="AE5" s="11" t="s">
        <v>29</v>
      </c>
      <c r="AF5" s="12"/>
      <c r="AG5" s="13"/>
      <c r="AH5" s="13"/>
      <c r="AI5" s="14"/>
      <c r="AJ5" s="14"/>
      <c r="AK5" s="15"/>
    </row>
    <row r="6">
      <c r="A6" s="16">
        <v>44919.0</v>
      </c>
      <c r="B6" s="1" t="s">
        <v>21</v>
      </c>
      <c r="C6" s="1" t="s">
        <v>22</v>
      </c>
      <c r="D6" s="1">
        <v>5.0</v>
      </c>
      <c r="E6" s="1">
        <v>240.0</v>
      </c>
      <c r="F6" s="17" t="str">
        <f>VLOOKUP(D6,category!$A$2:$B$14,2,false)</f>
        <v>Travel</v>
      </c>
      <c r="G6" s="17" t="str">
        <f t="shared" si="1"/>
        <v>expensive</v>
      </c>
      <c r="H6" s="18">
        <f t="shared" si="2"/>
        <v>12</v>
      </c>
      <c r="I6" s="1"/>
      <c r="J6" s="27">
        <f>IFERROR(__xludf.DUMMYFUNCTION("""COMPUTED_VALUE"""),45086.0)</f>
        <v>45086</v>
      </c>
      <c r="K6" s="31"/>
      <c r="L6" s="31"/>
      <c r="M6" s="20" t="str">
        <f>IFERROR(__xludf.DUMMYFUNCTION("""COMPUTED_VALUE"""),"Bosnia")</f>
        <v>Bosnia</v>
      </c>
      <c r="N6" s="20" t="str">
        <f t="shared" si="3"/>
        <v>Bo</v>
      </c>
      <c r="O6" s="21" t="str">
        <f t="shared" si="4"/>
        <v>Yes</v>
      </c>
      <c r="P6" s="21" t="str">
        <f t="shared" si="5"/>
        <v>rav</v>
      </c>
      <c r="S6" s="29"/>
      <c r="T6" s="24">
        <f>IFERROR(__xludf.DUMMYFUNCTION("""COMPUTED_VALUE"""),45276.0)</f>
        <v>45276</v>
      </c>
      <c r="U6" s="25" t="str">
        <f>IFERROR(__xludf.DUMMYFUNCTION("""COMPUTED_VALUE"""),"Colombia")</f>
        <v>Colombia</v>
      </c>
      <c r="V6" s="25" t="str">
        <f>IFERROR(__xludf.DUMMYFUNCTION("""COMPUTED_VALUE"""),"Bogota")</f>
        <v>Bogota</v>
      </c>
      <c r="W6" s="25">
        <f>IFERROR(__xludf.DUMMYFUNCTION("""COMPUTED_VALUE"""),1.0)</f>
        <v>1</v>
      </c>
      <c r="X6" s="25">
        <f>IFERROR(__xludf.DUMMYFUNCTION("""COMPUTED_VALUE"""),16.0)</f>
        <v>16</v>
      </c>
      <c r="Y6" s="21" t="str">
        <f>IFERROR(__xludf.DUMMYFUNCTION("""COMPUTED_VALUE"""),"Breakfast")</f>
        <v>Breakfast</v>
      </c>
      <c r="Z6" s="21" t="str">
        <f>IFERROR(__xludf.DUMMYFUNCTION("""COMPUTED_VALUE"""),"cheap")</f>
        <v>cheap</v>
      </c>
      <c r="AD6" s="10"/>
      <c r="AE6" s="11" t="s">
        <v>30</v>
      </c>
      <c r="AF6" s="12"/>
      <c r="AG6" s="13"/>
      <c r="AH6" s="13"/>
      <c r="AI6" s="14"/>
      <c r="AJ6" s="14"/>
      <c r="AK6" s="15"/>
    </row>
    <row r="7">
      <c r="A7" s="16">
        <v>44919.0</v>
      </c>
      <c r="B7" s="1" t="s">
        <v>21</v>
      </c>
      <c r="C7" s="1" t="s">
        <v>22</v>
      </c>
      <c r="D7" s="1">
        <v>6.0</v>
      </c>
      <c r="E7" s="1">
        <v>12.0</v>
      </c>
      <c r="F7" s="17" t="str">
        <f>VLOOKUP(D7,category!$A$2:$B$14,2,false)</f>
        <v>Dinner</v>
      </c>
      <c r="G7" s="17" t="str">
        <f t="shared" si="1"/>
        <v>cheap</v>
      </c>
      <c r="H7" s="18">
        <f t="shared" si="2"/>
        <v>12</v>
      </c>
      <c r="I7" s="1"/>
      <c r="J7" s="27">
        <f>IFERROR(__xludf.DUMMYFUNCTION("""COMPUTED_VALUE"""),45087.0)</f>
        <v>45087</v>
      </c>
      <c r="K7" s="31"/>
      <c r="L7" s="31"/>
      <c r="M7" s="20" t="str">
        <f>IFERROR(__xludf.DUMMYFUNCTION("""COMPUTED_VALUE"""),"Croatia")</f>
        <v>Croatia</v>
      </c>
      <c r="N7" s="20" t="str">
        <f t="shared" si="3"/>
        <v>Cr</v>
      </c>
      <c r="O7" s="21" t="str">
        <f t="shared" si="4"/>
        <v>Yes</v>
      </c>
      <c r="P7" s="21" t="str">
        <f t="shared" si="5"/>
        <v>inn</v>
      </c>
      <c r="T7" s="24">
        <f>IFERROR(__xludf.DUMMYFUNCTION("""COMPUTED_VALUE"""),45276.0)</f>
        <v>45276</v>
      </c>
      <c r="U7" s="25" t="str">
        <f>IFERROR(__xludf.DUMMYFUNCTION("""COMPUTED_VALUE"""),"Colombia")</f>
        <v>Colombia</v>
      </c>
      <c r="V7" s="25" t="str">
        <f>IFERROR(__xludf.DUMMYFUNCTION("""COMPUTED_VALUE"""),"Bogota")</f>
        <v>Bogota</v>
      </c>
      <c r="W7" s="25">
        <f>IFERROR(__xludf.DUMMYFUNCTION("""COMPUTED_VALUE"""),2.0)</f>
        <v>2</v>
      </c>
      <c r="X7" s="25">
        <f>IFERROR(__xludf.DUMMYFUNCTION("""COMPUTED_VALUE"""),5.0)</f>
        <v>5</v>
      </c>
      <c r="Y7" s="21" t="str">
        <f>IFERROR(__xludf.DUMMYFUNCTION("""COMPUTED_VALUE"""),"Lunch")</f>
        <v>Lunch</v>
      </c>
      <c r="Z7" s="21" t="str">
        <f>IFERROR(__xludf.DUMMYFUNCTION("""COMPUTED_VALUE"""),"cheap")</f>
        <v>cheap</v>
      </c>
      <c r="AD7" s="10"/>
      <c r="AE7" s="11" t="s">
        <v>31</v>
      </c>
      <c r="AF7" s="12"/>
      <c r="AG7" s="13"/>
      <c r="AH7" s="13"/>
      <c r="AI7" s="14"/>
      <c r="AJ7" s="14"/>
      <c r="AK7" s="15"/>
    </row>
    <row r="8">
      <c r="A8" s="16">
        <v>44920.0</v>
      </c>
      <c r="B8" s="1" t="s">
        <v>27</v>
      </c>
      <c r="C8" s="1" t="s">
        <v>32</v>
      </c>
      <c r="D8" s="1">
        <v>5.0</v>
      </c>
      <c r="E8" s="1">
        <v>60.0</v>
      </c>
      <c r="F8" s="17" t="str">
        <f>VLOOKUP(D8,category!$A$2:$B$14,2,false)</f>
        <v>Travel</v>
      </c>
      <c r="G8" s="17" t="str">
        <f t="shared" si="1"/>
        <v>cheap</v>
      </c>
      <c r="H8" s="18">
        <f t="shared" si="2"/>
        <v>12</v>
      </c>
      <c r="I8" s="1"/>
      <c r="J8" s="27">
        <f>IFERROR(__xludf.DUMMYFUNCTION("""COMPUTED_VALUE"""),45088.0)</f>
        <v>45088</v>
      </c>
      <c r="K8" s="31"/>
      <c r="L8" s="31"/>
      <c r="M8" s="20" t="str">
        <f>IFERROR(__xludf.DUMMYFUNCTION("""COMPUTED_VALUE"""),"Colombia")</f>
        <v>Colombia</v>
      </c>
      <c r="N8" s="20" t="str">
        <f t="shared" si="3"/>
        <v>Co</v>
      </c>
      <c r="O8" s="21" t="str">
        <f t="shared" si="4"/>
        <v>Yes</v>
      </c>
      <c r="P8" s="21" t="str">
        <f t="shared" si="5"/>
        <v>rav</v>
      </c>
      <c r="T8" s="24">
        <f>IFERROR(__xludf.DUMMYFUNCTION("""COMPUTED_VALUE"""),45276.0)</f>
        <v>45276</v>
      </c>
      <c r="U8" s="25" t="str">
        <f>IFERROR(__xludf.DUMMYFUNCTION("""COMPUTED_VALUE"""),"Colombia")</f>
        <v>Colombia</v>
      </c>
      <c r="V8" s="25" t="str">
        <f>IFERROR(__xludf.DUMMYFUNCTION("""COMPUTED_VALUE"""),"Bogota")</f>
        <v>Bogota</v>
      </c>
      <c r="W8" s="25">
        <f>IFERROR(__xludf.DUMMYFUNCTION("""COMPUTED_VALUE"""),6.0)</f>
        <v>6</v>
      </c>
      <c r="X8" s="25">
        <f>IFERROR(__xludf.DUMMYFUNCTION("""COMPUTED_VALUE"""),8.0)</f>
        <v>8</v>
      </c>
      <c r="Y8" s="21" t="str">
        <f>IFERROR(__xludf.DUMMYFUNCTION("""COMPUTED_VALUE"""),"Dinner")</f>
        <v>Dinner</v>
      </c>
      <c r="Z8" s="21" t="str">
        <f>IFERROR(__xludf.DUMMYFUNCTION("""COMPUTED_VALUE"""),"cheap")</f>
        <v>cheap</v>
      </c>
      <c r="AD8" s="10"/>
      <c r="AE8" s="11" t="s">
        <v>33</v>
      </c>
      <c r="AF8" s="12"/>
      <c r="AG8" s="13"/>
      <c r="AH8" s="13"/>
      <c r="AI8" s="14"/>
      <c r="AJ8" s="14"/>
      <c r="AK8" s="15"/>
    </row>
    <row r="9">
      <c r="A9" s="16">
        <v>44920.0</v>
      </c>
      <c r="B9" s="1" t="s">
        <v>27</v>
      </c>
      <c r="C9" s="1" t="s">
        <v>32</v>
      </c>
      <c r="D9" s="1">
        <v>7.0</v>
      </c>
      <c r="E9" s="1">
        <v>25.0</v>
      </c>
      <c r="F9" s="17" t="str">
        <f>VLOOKUP(D9,category!$A$2:$B$14,2,false)</f>
        <v>Entrance</v>
      </c>
      <c r="G9" s="17" t="str">
        <f t="shared" si="1"/>
        <v>cheap</v>
      </c>
      <c r="H9" s="18">
        <f t="shared" si="2"/>
        <v>12</v>
      </c>
      <c r="I9" s="1"/>
      <c r="J9" s="27">
        <f>IFERROR(__xludf.DUMMYFUNCTION("""COMPUTED_VALUE"""),45089.0)</f>
        <v>45089</v>
      </c>
      <c r="K9" s="31"/>
      <c r="L9" s="31"/>
      <c r="M9" s="20" t="str">
        <f>IFERROR(__xludf.DUMMYFUNCTION("""COMPUTED_VALUE"""),"Peru")</f>
        <v>Peru</v>
      </c>
      <c r="N9" s="20" t="str">
        <f t="shared" si="3"/>
        <v>Pe</v>
      </c>
      <c r="O9" s="21" t="str">
        <f t="shared" si="4"/>
        <v>Yes</v>
      </c>
      <c r="P9" s="21" t="str">
        <f t="shared" si="5"/>
        <v>ntr</v>
      </c>
      <c r="T9" s="24">
        <f>IFERROR(__xludf.DUMMYFUNCTION("""COMPUTED_VALUE"""),45277.0)</f>
        <v>45277</v>
      </c>
      <c r="U9" s="25" t="str">
        <f>IFERROR(__xludf.DUMMYFUNCTION("""COMPUTED_VALUE"""),"Colombia")</f>
        <v>Colombia</v>
      </c>
      <c r="V9" s="25" t="str">
        <f>IFERROR(__xludf.DUMMYFUNCTION("""COMPUTED_VALUE"""),"Bogota")</f>
        <v>Bogota</v>
      </c>
      <c r="W9" s="25">
        <f>IFERROR(__xludf.DUMMYFUNCTION("""COMPUTED_VALUE"""),1.0)</f>
        <v>1</v>
      </c>
      <c r="X9" s="25">
        <f>IFERROR(__xludf.DUMMYFUNCTION("""COMPUTED_VALUE"""),16.0)</f>
        <v>16</v>
      </c>
      <c r="Y9" s="21" t="str">
        <f>IFERROR(__xludf.DUMMYFUNCTION("""COMPUTED_VALUE"""),"Breakfast")</f>
        <v>Breakfast</v>
      </c>
      <c r="Z9" s="21" t="str">
        <f>IFERROR(__xludf.DUMMYFUNCTION("""COMPUTED_VALUE"""),"cheap")</f>
        <v>cheap</v>
      </c>
      <c r="AD9" s="10"/>
      <c r="AE9" s="11" t="s">
        <v>34</v>
      </c>
      <c r="AF9" s="12"/>
      <c r="AG9" s="13"/>
      <c r="AH9" s="13"/>
      <c r="AI9" s="14"/>
      <c r="AJ9" s="14"/>
      <c r="AK9" s="15"/>
    </row>
    <row r="10">
      <c r="A10" s="16">
        <v>44920.0</v>
      </c>
      <c r="B10" s="1" t="s">
        <v>27</v>
      </c>
      <c r="C10" s="1" t="s">
        <v>32</v>
      </c>
      <c r="D10" s="1">
        <v>2.0</v>
      </c>
      <c r="E10" s="1">
        <v>26.0</v>
      </c>
      <c r="F10" s="17" t="str">
        <f>VLOOKUP(D10,category!$A$2:$B$14,2,false)</f>
        <v>Lunch</v>
      </c>
      <c r="G10" s="17" t="str">
        <f t="shared" si="1"/>
        <v>cheap</v>
      </c>
      <c r="H10" s="18">
        <f t="shared" si="2"/>
        <v>12</v>
      </c>
      <c r="I10" s="1"/>
      <c r="J10" s="27">
        <f>IFERROR(__xludf.DUMMYFUNCTION("""COMPUTED_VALUE"""),45108.0)</f>
        <v>45108</v>
      </c>
      <c r="K10" s="31"/>
      <c r="L10" s="31"/>
      <c r="M10" s="32"/>
      <c r="N10" s="33"/>
      <c r="O10" s="21" t="str">
        <f t="shared" si="4"/>
        <v>Yes</v>
      </c>
      <c r="P10" s="21" t="str">
        <f t="shared" si="5"/>
        <v>unc</v>
      </c>
      <c r="T10" s="24">
        <f>IFERROR(__xludf.DUMMYFUNCTION("""COMPUTED_VALUE"""),45277.0)</f>
        <v>45277</v>
      </c>
      <c r="U10" s="25" t="str">
        <f>IFERROR(__xludf.DUMMYFUNCTION("""COMPUTED_VALUE"""),"Colombia")</f>
        <v>Colombia</v>
      </c>
      <c r="V10" s="25" t="str">
        <f>IFERROR(__xludf.DUMMYFUNCTION("""COMPUTED_VALUE"""),"Bogota")</f>
        <v>Bogota</v>
      </c>
      <c r="W10" s="25">
        <f>IFERROR(__xludf.DUMMYFUNCTION("""COMPUTED_VALUE"""),2.0)</f>
        <v>2</v>
      </c>
      <c r="X10" s="25">
        <f>IFERROR(__xludf.DUMMYFUNCTION("""COMPUTED_VALUE"""),21.0)</f>
        <v>21</v>
      </c>
      <c r="Y10" s="21" t="str">
        <f>IFERROR(__xludf.DUMMYFUNCTION("""COMPUTED_VALUE"""),"Lunch")</f>
        <v>Lunch</v>
      </c>
      <c r="Z10" s="21" t="str">
        <f>IFERROR(__xludf.DUMMYFUNCTION("""COMPUTED_VALUE"""),"cheap")</f>
        <v>cheap</v>
      </c>
      <c r="AD10" s="10"/>
      <c r="AF10" s="12"/>
      <c r="AG10" s="13"/>
      <c r="AH10" s="13"/>
      <c r="AI10" s="14"/>
      <c r="AJ10" s="14"/>
      <c r="AK10" s="15"/>
    </row>
    <row r="11">
      <c r="A11" s="16">
        <v>44920.0</v>
      </c>
      <c r="B11" s="1" t="s">
        <v>27</v>
      </c>
      <c r="C11" s="1" t="s">
        <v>32</v>
      </c>
      <c r="D11" s="1">
        <v>1.0</v>
      </c>
      <c r="E11" s="1">
        <v>20.0</v>
      </c>
      <c r="F11" s="17" t="str">
        <f>VLOOKUP(D11,category!$A$2:$B$14,2,false)</f>
        <v>Breakfast</v>
      </c>
      <c r="G11" s="17" t="str">
        <f t="shared" si="1"/>
        <v>cheap</v>
      </c>
      <c r="H11" s="18">
        <f t="shared" si="2"/>
        <v>12</v>
      </c>
      <c r="I11" s="1"/>
      <c r="J11" s="27">
        <f>IFERROR(__xludf.DUMMYFUNCTION("""COMPUTED_VALUE"""),45114.0)</f>
        <v>45114</v>
      </c>
      <c r="K11" s="31"/>
      <c r="L11" s="31"/>
      <c r="N11" s="34"/>
      <c r="O11" s="21" t="str">
        <f t="shared" si="4"/>
        <v>Yes</v>
      </c>
      <c r="P11" s="21" t="str">
        <f t="shared" si="5"/>
        <v>rea</v>
      </c>
      <c r="T11" s="24">
        <f>IFERROR(__xludf.DUMMYFUNCTION("""COMPUTED_VALUE"""),45277.0)</f>
        <v>45277</v>
      </c>
      <c r="U11" s="25" t="str">
        <f>IFERROR(__xludf.DUMMYFUNCTION("""COMPUTED_VALUE"""),"Colombia")</f>
        <v>Colombia</v>
      </c>
      <c r="V11" s="25" t="str">
        <f>IFERROR(__xludf.DUMMYFUNCTION("""COMPUTED_VALUE"""),"Bogota")</f>
        <v>Bogota</v>
      </c>
      <c r="W11" s="25">
        <f>IFERROR(__xludf.DUMMYFUNCTION("""COMPUTED_VALUE"""),7.0)</f>
        <v>7</v>
      </c>
      <c r="X11" s="25">
        <f>IFERROR(__xludf.DUMMYFUNCTION("""COMPUTED_VALUE"""),9.0)</f>
        <v>9</v>
      </c>
      <c r="Y11" s="21" t="str">
        <f>IFERROR(__xludf.DUMMYFUNCTION("""COMPUTED_VALUE"""),"Entrance")</f>
        <v>Entrance</v>
      </c>
      <c r="Z11" s="21" t="str">
        <f>IFERROR(__xludf.DUMMYFUNCTION("""COMPUTED_VALUE"""),"cheap")</f>
        <v>cheap</v>
      </c>
      <c r="AD11" s="10"/>
      <c r="AF11" s="12"/>
      <c r="AG11" s="13"/>
      <c r="AH11" s="13"/>
      <c r="AI11" s="14"/>
      <c r="AJ11" s="14"/>
      <c r="AK11" s="15"/>
    </row>
    <row r="12">
      <c r="A12" s="16">
        <v>44920.0</v>
      </c>
      <c r="B12" s="1" t="s">
        <v>27</v>
      </c>
      <c r="C12" s="1" t="s">
        <v>32</v>
      </c>
      <c r="D12" s="1">
        <v>4.0</v>
      </c>
      <c r="E12" s="1">
        <v>12.0</v>
      </c>
      <c r="F12" s="17" t="str">
        <f>VLOOKUP(D12,category!$A$2:$B$14,2,false)</f>
        <v>Metro</v>
      </c>
      <c r="G12" s="17" t="str">
        <f t="shared" si="1"/>
        <v>cheap</v>
      </c>
      <c r="H12" s="18">
        <f t="shared" si="2"/>
        <v>12</v>
      </c>
      <c r="I12" s="1"/>
      <c r="J12" s="27">
        <f>IFERROR(__xludf.DUMMYFUNCTION("""COMPUTED_VALUE"""),45115.0)</f>
        <v>45115</v>
      </c>
      <c r="K12" s="31"/>
      <c r="L12" s="31"/>
      <c r="N12" s="34"/>
      <c r="O12" s="21" t="str">
        <f t="shared" si="4"/>
        <v>Yes</v>
      </c>
      <c r="P12" s="21" t="str">
        <f t="shared" si="5"/>
        <v>etr</v>
      </c>
      <c r="T12" s="24">
        <f>IFERROR(__xludf.DUMMYFUNCTION("""COMPUTED_VALUE"""),45277.0)</f>
        <v>45277</v>
      </c>
      <c r="U12" s="25" t="str">
        <f>IFERROR(__xludf.DUMMYFUNCTION("""COMPUTED_VALUE"""),"Colombia")</f>
        <v>Colombia</v>
      </c>
      <c r="V12" s="25" t="str">
        <f>IFERROR(__xludf.DUMMYFUNCTION("""COMPUTED_VALUE"""),"Bogota")</f>
        <v>Bogota</v>
      </c>
      <c r="W12" s="25">
        <f>IFERROR(__xludf.DUMMYFUNCTION("""COMPUTED_VALUE"""),6.0)</f>
        <v>6</v>
      </c>
      <c r="X12" s="25">
        <f>IFERROR(__xludf.DUMMYFUNCTION("""COMPUTED_VALUE"""),4.0)</f>
        <v>4</v>
      </c>
      <c r="Y12" s="21" t="str">
        <f>IFERROR(__xludf.DUMMYFUNCTION("""COMPUTED_VALUE"""),"Dinner")</f>
        <v>Dinner</v>
      </c>
      <c r="Z12" s="21" t="str">
        <f>IFERROR(__xludf.DUMMYFUNCTION("""COMPUTED_VALUE"""),"cheap")</f>
        <v>cheap</v>
      </c>
      <c r="AD12" s="10"/>
      <c r="AF12" s="12"/>
      <c r="AG12" s="13"/>
      <c r="AH12" s="13"/>
      <c r="AI12" s="14"/>
      <c r="AJ12" s="14"/>
      <c r="AK12" s="15"/>
    </row>
    <row r="13">
      <c r="A13" s="16">
        <v>44941.0</v>
      </c>
      <c r="B13" s="1" t="s">
        <v>28</v>
      </c>
      <c r="C13" s="1" t="s">
        <v>35</v>
      </c>
      <c r="D13" s="1">
        <v>2.0</v>
      </c>
      <c r="E13" s="1">
        <v>40.0</v>
      </c>
      <c r="F13" s="17" t="str">
        <f>VLOOKUP(D13,category!$A$2:$B$14,2,false)</f>
        <v>Lunch</v>
      </c>
      <c r="G13" s="17" t="str">
        <f t="shared" si="1"/>
        <v>cheap</v>
      </c>
      <c r="H13" s="18">
        <f t="shared" si="2"/>
        <v>1</v>
      </c>
      <c r="I13" s="1"/>
      <c r="J13" s="27">
        <f>IFERROR(__xludf.DUMMYFUNCTION("""COMPUTED_VALUE"""),45116.0)</f>
        <v>45116</v>
      </c>
      <c r="K13" s="31"/>
      <c r="L13" s="31"/>
      <c r="N13" s="34"/>
      <c r="O13" s="21" t="str">
        <f t="shared" si="4"/>
        <v>No</v>
      </c>
      <c r="P13" s="21" t="str">
        <f t="shared" si="5"/>
        <v>unc</v>
      </c>
      <c r="T13" s="24">
        <f>IFERROR(__xludf.DUMMYFUNCTION("""COMPUTED_VALUE"""),45278.0)</f>
        <v>45278</v>
      </c>
      <c r="U13" s="25" t="str">
        <f>IFERROR(__xludf.DUMMYFUNCTION("""COMPUTED_VALUE"""),"Colombia")</f>
        <v>Colombia</v>
      </c>
      <c r="V13" s="25" t="str">
        <f>IFERROR(__xludf.DUMMYFUNCTION("""COMPUTED_VALUE"""),"Bogota")</f>
        <v>Bogota</v>
      </c>
      <c r="W13" s="25">
        <f>IFERROR(__xludf.DUMMYFUNCTION("""COMPUTED_VALUE"""),1.0)</f>
        <v>1</v>
      </c>
      <c r="X13" s="25">
        <f>IFERROR(__xludf.DUMMYFUNCTION("""COMPUTED_VALUE"""),16.0)</f>
        <v>16</v>
      </c>
      <c r="Y13" s="21" t="str">
        <f>IFERROR(__xludf.DUMMYFUNCTION("""COMPUTED_VALUE"""),"Breakfast")</f>
        <v>Breakfast</v>
      </c>
      <c r="Z13" s="21" t="str">
        <f>IFERROR(__xludf.DUMMYFUNCTION("""COMPUTED_VALUE"""),"cheap")</f>
        <v>cheap</v>
      </c>
      <c r="AD13" s="10"/>
      <c r="AF13" s="12"/>
      <c r="AG13" s="13"/>
      <c r="AH13" s="13"/>
      <c r="AI13" s="14"/>
      <c r="AJ13" s="14"/>
      <c r="AK13" s="15"/>
    </row>
    <row r="14">
      <c r="A14" s="16">
        <v>44941.0</v>
      </c>
      <c r="B14" s="1" t="s">
        <v>28</v>
      </c>
      <c r="C14" s="1" t="s">
        <v>35</v>
      </c>
      <c r="D14" s="1">
        <v>8.0</v>
      </c>
      <c r="E14" s="1">
        <v>36.0</v>
      </c>
      <c r="F14" s="17" t="str">
        <f>VLOOKUP(D14,category!$A$2:$B$14,2,false)</f>
        <v>Movie</v>
      </c>
      <c r="G14" s="17" t="str">
        <f t="shared" si="1"/>
        <v>cheap</v>
      </c>
      <c r="H14" s="18">
        <f t="shared" si="2"/>
        <v>1</v>
      </c>
      <c r="I14" s="1"/>
      <c r="J14" s="27">
        <f>IFERROR(__xludf.DUMMYFUNCTION("""COMPUTED_VALUE"""),45117.0)</f>
        <v>45117</v>
      </c>
      <c r="K14" s="31"/>
      <c r="L14" s="31"/>
      <c r="N14" s="34"/>
      <c r="O14" s="21" t="str">
        <f t="shared" si="4"/>
        <v>No</v>
      </c>
      <c r="P14" s="21" t="str">
        <f t="shared" si="5"/>
        <v>ovi</v>
      </c>
      <c r="T14" s="24">
        <f>IFERROR(__xludf.DUMMYFUNCTION("""COMPUTED_VALUE"""),45278.0)</f>
        <v>45278</v>
      </c>
      <c r="U14" s="25" t="str">
        <f>IFERROR(__xludf.DUMMYFUNCTION("""COMPUTED_VALUE"""),"Colombia")</f>
        <v>Colombia</v>
      </c>
      <c r="V14" s="25" t="str">
        <f>IFERROR(__xludf.DUMMYFUNCTION("""COMPUTED_VALUE"""),"Bogota")</f>
        <v>Bogota</v>
      </c>
      <c r="W14" s="25">
        <f>IFERROR(__xludf.DUMMYFUNCTION("""COMPUTED_VALUE"""),2.0)</f>
        <v>2</v>
      </c>
      <c r="X14" s="25">
        <f>IFERROR(__xludf.DUMMYFUNCTION("""COMPUTED_VALUE"""),3.0)</f>
        <v>3</v>
      </c>
      <c r="Y14" s="21" t="str">
        <f>IFERROR(__xludf.DUMMYFUNCTION("""COMPUTED_VALUE"""),"Lunch")</f>
        <v>Lunch</v>
      </c>
      <c r="Z14" s="21" t="str">
        <f>IFERROR(__xludf.DUMMYFUNCTION("""COMPUTED_VALUE"""),"cheap")</f>
        <v>cheap</v>
      </c>
      <c r="AD14" s="10"/>
      <c r="AF14" s="12"/>
      <c r="AG14" s="13"/>
      <c r="AH14" s="13"/>
      <c r="AI14" s="14"/>
      <c r="AJ14" s="14"/>
      <c r="AK14" s="15"/>
    </row>
    <row r="15">
      <c r="A15" s="16">
        <v>45086.0</v>
      </c>
      <c r="B15" s="1" t="s">
        <v>29</v>
      </c>
      <c r="C15" s="1" t="s">
        <v>36</v>
      </c>
      <c r="D15" s="1">
        <v>5.0</v>
      </c>
      <c r="E15" s="1">
        <v>280.0</v>
      </c>
      <c r="F15" s="17" t="str">
        <f>VLOOKUP(D15,category!$A$2:$B$14,2,false)</f>
        <v>Travel</v>
      </c>
      <c r="G15" s="17" t="str">
        <f t="shared" si="1"/>
        <v>expensive</v>
      </c>
      <c r="H15" s="18">
        <f t="shared" si="2"/>
        <v>6</v>
      </c>
      <c r="I15" s="1"/>
      <c r="J15" s="27">
        <f>IFERROR(__xludf.DUMMYFUNCTION("""COMPUTED_VALUE"""),45273.0)</f>
        <v>45273</v>
      </c>
      <c r="K15" s="31"/>
      <c r="L15" s="31"/>
      <c r="N15" s="34"/>
      <c r="O15" s="21" t="str">
        <f t="shared" si="4"/>
        <v>No</v>
      </c>
      <c r="P15" s="21" t="str">
        <f t="shared" si="5"/>
        <v>rav</v>
      </c>
      <c r="T15" s="24">
        <f>IFERROR(__xludf.DUMMYFUNCTION("""COMPUTED_VALUE"""),45278.0)</f>
        <v>45278</v>
      </c>
      <c r="U15" s="25" t="str">
        <f>IFERROR(__xludf.DUMMYFUNCTION("""COMPUTED_VALUE"""),"Colombia")</f>
        <v>Colombia</v>
      </c>
      <c r="V15" s="25" t="str">
        <f>IFERROR(__xludf.DUMMYFUNCTION("""COMPUTED_VALUE"""),"Bogota")</f>
        <v>Bogota</v>
      </c>
      <c r="W15" s="25">
        <f>IFERROR(__xludf.DUMMYFUNCTION("""COMPUTED_VALUE"""),12.0)</f>
        <v>12</v>
      </c>
      <c r="X15" s="25">
        <f>IFERROR(__xludf.DUMMYFUNCTION("""COMPUTED_VALUE"""),6.0)</f>
        <v>6</v>
      </c>
      <c r="Y15" s="21" t="str">
        <f>IFERROR(__xludf.DUMMYFUNCTION("""COMPUTED_VALUE"""),"Grocery")</f>
        <v>Grocery</v>
      </c>
      <c r="Z15" s="21" t="str">
        <f>IFERROR(__xludf.DUMMYFUNCTION("""COMPUTED_VALUE"""),"cheap")</f>
        <v>cheap</v>
      </c>
      <c r="AD15" s="10"/>
      <c r="AF15" s="12"/>
      <c r="AG15" s="13"/>
      <c r="AH15" s="13"/>
      <c r="AI15" s="14"/>
      <c r="AJ15" s="14"/>
      <c r="AK15" s="15"/>
    </row>
    <row r="16">
      <c r="A16" s="16">
        <v>45086.0</v>
      </c>
      <c r="B16" s="1" t="s">
        <v>29</v>
      </c>
      <c r="C16" s="1" t="s">
        <v>36</v>
      </c>
      <c r="D16" s="1">
        <v>3.0</v>
      </c>
      <c r="E16" s="1">
        <v>400.0</v>
      </c>
      <c r="F16" s="17" t="str">
        <f>VLOOKUP(D16,category!$A$2:$B$14,2,false)</f>
        <v>Stay</v>
      </c>
      <c r="G16" s="17" t="str">
        <f t="shared" si="1"/>
        <v>expensive</v>
      </c>
      <c r="H16" s="18">
        <f t="shared" si="2"/>
        <v>6</v>
      </c>
      <c r="I16" s="1"/>
      <c r="J16" s="27">
        <f>IFERROR(__xludf.DUMMYFUNCTION("""COMPUTED_VALUE"""),45274.0)</f>
        <v>45274</v>
      </c>
      <c r="K16" s="31"/>
      <c r="L16" s="31"/>
      <c r="N16" s="34"/>
      <c r="O16" s="21" t="str">
        <f t="shared" si="4"/>
        <v>No</v>
      </c>
      <c r="P16" s="21" t="str">
        <f t="shared" si="5"/>
        <v>tay</v>
      </c>
      <c r="T16" s="24">
        <f>IFERROR(__xludf.DUMMYFUNCTION("""COMPUTED_VALUE"""),45278.0)</f>
        <v>45278</v>
      </c>
      <c r="U16" s="25" t="str">
        <f>IFERROR(__xludf.DUMMYFUNCTION("""COMPUTED_VALUE"""),"Colombia")</f>
        <v>Colombia</v>
      </c>
      <c r="V16" s="25" t="str">
        <f>IFERROR(__xludf.DUMMYFUNCTION("""COMPUTED_VALUE"""),"Bogota")</f>
        <v>Bogota</v>
      </c>
      <c r="W16" s="25">
        <f>IFERROR(__xludf.DUMMYFUNCTION("""COMPUTED_VALUE"""),6.0)</f>
        <v>6</v>
      </c>
      <c r="X16" s="25">
        <f>IFERROR(__xludf.DUMMYFUNCTION("""COMPUTED_VALUE"""),7.0)</f>
        <v>7</v>
      </c>
      <c r="Y16" s="21" t="str">
        <f>IFERROR(__xludf.DUMMYFUNCTION("""COMPUTED_VALUE"""),"Dinner")</f>
        <v>Dinner</v>
      </c>
      <c r="Z16" s="21" t="str">
        <f>IFERROR(__xludf.DUMMYFUNCTION("""COMPUTED_VALUE"""),"cheap")</f>
        <v>cheap</v>
      </c>
      <c r="AD16" s="10"/>
      <c r="AF16" s="12"/>
      <c r="AG16" s="13"/>
      <c r="AH16" s="13"/>
      <c r="AI16" s="14"/>
      <c r="AJ16" s="14"/>
      <c r="AK16" s="15"/>
    </row>
    <row r="17">
      <c r="A17" s="16">
        <v>45086.0</v>
      </c>
      <c r="B17" s="1" t="s">
        <v>29</v>
      </c>
      <c r="C17" s="1" t="s">
        <v>36</v>
      </c>
      <c r="D17" s="1">
        <v>9.0</v>
      </c>
      <c r="E17" s="1">
        <v>13.0</v>
      </c>
      <c r="F17" s="17" t="str">
        <f>VLOOKUP(D17,category!$A$2:$B$14,2,false)</f>
        <v>Taxi</v>
      </c>
      <c r="G17" s="17" t="str">
        <f t="shared" si="1"/>
        <v>cheap</v>
      </c>
      <c r="H17" s="18">
        <f t="shared" si="2"/>
        <v>6</v>
      </c>
      <c r="I17" s="1"/>
      <c r="J17" s="27">
        <f>IFERROR(__xludf.DUMMYFUNCTION("""COMPUTED_VALUE"""),45275.0)</f>
        <v>45275</v>
      </c>
      <c r="K17" s="31"/>
      <c r="L17" s="31"/>
      <c r="N17" s="34"/>
      <c r="O17" s="21" t="str">
        <f t="shared" si="4"/>
        <v>No</v>
      </c>
      <c r="P17" s="21" t="str">
        <f t="shared" si="5"/>
        <v>axi</v>
      </c>
      <c r="T17" s="24">
        <f>IFERROR(__xludf.DUMMYFUNCTION("""COMPUTED_VALUE"""),45279.0)</f>
        <v>45279</v>
      </c>
      <c r="U17" s="25" t="str">
        <f>IFERROR(__xludf.DUMMYFUNCTION("""COMPUTED_VALUE"""),"Colombia")</f>
        <v>Colombia</v>
      </c>
      <c r="V17" s="25" t="str">
        <f>IFERROR(__xludf.DUMMYFUNCTION("""COMPUTED_VALUE"""),"Bogota")</f>
        <v>Bogota</v>
      </c>
      <c r="W17" s="25">
        <f>IFERROR(__xludf.DUMMYFUNCTION("""COMPUTED_VALUE"""),1.0)</f>
        <v>1</v>
      </c>
      <c r="X17" s="25">
        <f>IFERROR(__xludf.DUMMYFUNCTION("""COMPUTED_VALUE"""),16.0)</f>
        <v>16</v>
      </c>
      <c r="Y17" s="21" t="str">
        <f>IFERROR(__xludf.DUMMYFUNCTION("""COMPUTED_VALUE"""),"Breakfast")</f>
        <v>Breakfast</v>
      </c>
      <c r="Z17" s="21" t="str">
        <f>IFERROR(__xludf.DUMMYFUNCTION("""COMPUTED_VALUE"""),"cheap")</f>
        <v>cheap</v>
      </c>
      <c r="AD17" s="10"/>
      <c r="AF17" s="12"/>
      <c r="AG17" s="13"/>
      <c r="AH17" s="13"/>
      <c r="AI17" s="14"/>
      <c r="AJ17" s="14"/>
      <c r="AK17" s="15"/>
    </row>
    <row r="18">
      <c r="A18" s="16">
        <v>45087.0</v>
      </c>
      <c r="B18" s="1" t="s">
        <v>29</v>
      </c>
      <c r="C18" s="1" t="s">
        <v>36</v>
      </c>
      <c r="D18" s="1">
        <v>1.0</v>
      </c>
      <c r="E18" s="1">
        <v>11.0</v>
      </c>
      <c r="F18" s="17" t="str">
        <f>VLOOKUP(D18,category!$A$2:$B$14,2,false)</f>
        <v>Breakfast</v>
      </c>
      <c r="G18" s="17" t="str">
        <f t="shared" si="1"/>
        <v>cheap</v>
      </c>
      <c r="H18" s="18">
        <f t="shared" si="2"/>
        <v>6</v>
      </c>
      <c r="I18" s="1"/>
      <c r="J18" s="27">
        <f>IFERROR(__xludf.DUMMYFUNCTION("""COMPUTED_VALUE"""),45276.0)</f>
        <v>45276</v>
      </c>
      <c r="K18" s="31"/>
      <c r="L18" s="31"/>
      <c r="N18" s="34"/>
      <c r="O18" s="21" t="str">
        <f t="shared" si="4"/>
        <v>No</v>
      </c>
      <c r="P18" s="21" t="str">
        <f t="shared" si="5"/>
        <v>rea</v>
      </c>
      <c r="T18" s="24">
        <f>IFERROR(__xludf.DUMMYFUNCTION("""COMPUTED_VALUE"""),45279.0)</f>
        <v>45279</v>
      </c>
      <c r="U18" s="25" t="str">
        <f>IFERROR(__xludf.DUMMYFUNCTION("""COMPUTED_VALUE"""),"Colombia")</f>
        <v>Colombia</v>
      </c>
      <c r="V18" s="25" t="str">
        <f>IFERROR(__xludf.DUMMYFUNCTION("""COMPUTED_VALUE"""),"Bogota")</f>
        <v>Bogota</v>
      </c>
      <c r="W18" s="25">
        <f>IFERROR(__xludf.DUMMYFUNCTION("""COMPUTED_VALUE"""),2.0)</f>
        <v>2</v>
      </c>
      <c r="X18" s="25">
        <f>IFERROR(__xludf.DUMMYFUNCTION("""COMPUTED_VALUE"""),9.0)</f>
        <v>9</v>
      </c>
      <c r="Y18" s="21" t="str">
        <f>IFERROR(__xludf.DUMMYFUNCTION("""COMPUTED_VALUE"""),"Lunch")</f>
        <v>Lunch</v>
      </c>
      <c r="Z18" s="21" t="str">
        <f>IFERROR(__xludf.DUMMYFUNCTION("""COMPUTED_VALUE"""),"cheap")</f>
        <v>cheap</v>
      </c>
      <c r="AD18" s="10"/>
      <c r="AF18" s="12"/>
      <c r="AG18" s="13"/>
      <c r="AH18" s="13"/>
      <c r="AI18" s="14"/>
      <c r="AJ18" s="14"/>
      <c r="AK18" s="15"/>
    </row>
    <row r="19">
      <c r="A19" s="16">
        <v>45087.0</v>
      </c>
      <c r="B19" s="1" t="s">
        <v>29</v>
      </c>
      <c r="C19" s="1" t="s">
        <v>36</v>
      </c>
      <c r="D19" s="1">
        <v>2.0</v>
      </c>
      <c r="E19" s="1">
        <v>30.0</v>
      </c>
      <c r="F19" s="17" t="str">
        <f>VLOOKUP(D19,category!$A$2:$B$14,2,false)</f>
        <v>Lunch</v>
      </c>
      <c r="G19" s="17" t="str">
        <f t="shared" si="1"/>
        <v>cheap</v>
      </c>
      <c r="H19" s="18">
        <f t="shared" si="2"/>
        <v>6</v>
      </c>
      <c r="I19" s="1"/>
      <c r="J19" s="27">
        <f>IFERROR(__xludf.DUMMYFUNCTION("""COMPUTED_VALUE"""),45277.0)</f>
        <v>45277</v>
      </c>
      <c r="K19" s="31"/>
      <c r="L19" s="31"/>
      <c r="M19" s="35"/>
      <c r="N19" s="34"/>
      <c r="O19" s="21" t="str">
        <f t="shared" si="4"/>
        <v>No</v>
      </c>
      <c r="P19" s="21" t="str">
        <f t="shared" si="5"/>
        <v>unc</v>
      </c>
      <c r="T19" s="36">
        <f>IFERROR(__xludf.DUMMYFUNCTION("""COMPUTED_VALUE"""),45279.0)</f>
        <v>45279</v>
      </c>
      <c r="U19" s="37" t="str">
        <f>IFERROR(__xludf.DUMMYFUNCTION("""COMPUTED_VALUE"""),"Colombia")</f>
        <v>Colombia</v>
      </c>
      <c r="V19" s="37" t="str">
        <f>IFERROR(__xludf.DUMMYFUNCTION("""COMPUTED_VALUE"""),"Bogota")</f>
        <v>Bogota</v>
      </c>
      <c r="W19" s="37">
        <f>IFERROR(__xludf.DUMMYFUNCTION("""COMPUTED_VALUE"""),6.0)</f>
        <v>6</v>
      </c>
      <c r="X19" s="37">
        <f>IFERROR(__xludf.DUMMYFUNCTION("""COMPUTED_VALUE"""),5.0)</f>
        <v>5</v>
      </c>
      <c r="Y19" s="21" t="str">
        <f>IFERROR(__xludf.DUMMYFUNCTION("""COMPUTED_VALUE"""),"Dinner")</f>
        <v>Dinner</v>
      </c>
      <c r="Z19" s="21" t="str">
        <f>IFERROR(__xludf.DUMMYFUNCTION("""COMPUTED_VALUE"""),"cheap")</f>
        <v>cheap</v>
      </c>
      <c r="AD19" s="10"/>
      <c r="AF19" s="12"/>
      <c r="AG19" s="13"/>
      <c r="AH19" s="13"/>
      <c r="AI19" s="14"/>
      <c r="AJ19" s="14"/>
      <c r="AK19" s="15"/>
    </row>
    <row r="20">
      <c r="A20" s="16">
        <v>45087.0</v>
      </c>
      <c r="B20" s="1" t="s">
        <v>29</v>
      </c>
      <c r="C20" s="1" t="s">
        <v>36</v>
      </c>
      <c r="D20" s="1">
        <v>10.0</v>
      </c>
      <c r="E20" s="1">
        <v>12.0</v>
      </c>
      <c r="F20" s="17" t="str">
        <f>VLOOKUP(D20,category!$A$2:$B$14,2,false)</f>
        <v>Shopping</v>
      </c>
      <c r="G20" s="17" t="str">
        <f t="shared" si="1"/>
        <v>cheap</v>
      </c>
      <c r="H20" s="18">
        <f t="shared" si="2"/>
        <v>6</v>
      </c>
      <c r="I20" s="1"/>
      <c r="J20" s="27">
        <f>IFERROR(__xludf.DUMMYFUNCTION("""COMPUTED_VALUE"""),45278.0)</f>
        <v>45278</v>
      </c>
      <c r="K20" s="31"/>
      <c r="L20" s="31"/>
      <c r="N20" s="34"/>
      <c r="O20" s="21" t="str">
        <f t="shared" si="4"/>
        <v>No</v>
      </c>
      <c r="P20" s="21" t="str">
        <f t="shared" si="5"/>
        <v>hop</v>
      </c>
      <c r="T20" s="38"/>
      <c r="U20" s="38"/>
      <c r="V20" s="38"/>
      <c r="W20" s="38"/>
      <c r="X20" s="38"/>
      <c r="Y20" s="32"/>
      <c r="Z20" s="32"/>
      <c r="AD20" s="10"/>
      <c r="AF20" s="12"/>
      <c r="AG20" s="13"/>
      <c r="AH20" s="13"/>
      <c r="AI20" s="14"/>
      <c r="AJ20" s="14"/>
      <c r="AK20" s="15"/>
    </row>
    <row r="21">
      <c r="A21" s="16">
        <v>45087.0</v>
      </c>
      <c r="B21" s="1" t="s">
        <v>29</v>
      </c>
      <c r="C21" s="1" t="s">
        <v>36</v>
      </c>
      <c r="D21" s="1">
        <v>6.0</v>
      </c>
      <c r="E21" s="1">
        <v>23.0</v>
      </c>
      <c r="F21" s="17" t="str">
        <f>VLOOKUP(D21,category!$A$2:$B$14,2,false)</f>
        <v>Dinner</v>
      </c>
      <c r="G21" s="17" t="str">
        <f t="shared" si="1"/>
        <v>cheap</v>
      </c>
      <c r="H21" s="18">
        <f t="shared" si="2"/>
        <v>6</v>
      </c>
      <c r="I21" s="1"/>
      <c r="J21" s="27">
        <f>IFERROR(__xludf.DUMMYFUNCTION("""COMPUTED_VALUE"""),45279.0)</f>
        <v>45279</v>
      </c>
      <c r="K21" s="31"/>
      <c r="L21" s="31"/>
      <c r="N21" s="34"/>
      <c r="O21" s="21" t="str">
        <f t="shared" si="4"/>
        <v>No</v>
      </c>
      <c r="P21" s="21" t="str">
        <f t="shared" si="5"/>
        <v>inn</v>
      </c>
      <c r="T21" s="38"/>
      <c r="U21" s="38"/>
      <c r="V21" s="38"/>
      <c r="W21" s="38"/>
      <c r="X21" s="38"/>
      <c r="Y21" s="32"/>
      <c r="Z21" s="32"/>
      <c r="AD21" s="10"/>
      <c r="AF21" s="12"/>
      <c r="AG21" s="13"/>
      <c r="AH21" s="13"/>
      <c r="AI21" s="14"/>
      <c r="AJ21" s="14"/>
      <c r="AK21" s="15"/>
    </row>
    <row r="22">
      <c r="A22" s="16">
        <v>45087.0</v>
      </c>
      <c r="B22" s="1" t="s">
        <v>29</v>
      </c>
      <c r="C22" s="1" t="s">
        <v>36</v>
      </c>
      <c r="D22" s="1">
        <v>4.0</v>
      </c>
      <c r="E22" s="1">
        <v>10.0</v>
      </c>
      <c r="F22" s="17" t="str">
        <f>VLOOKUP(D22,category!$A$2:$B$14,2,false)</f>
        <v>Metro</v>
      </c>
      <c r="G22" s="17" t="str">
        <f t="shared" si="1"/>
        <v>cheap</v>
      </c>
      <c r="H22" s="18">
        <f t="shared" si="2"/>
        <v>6</v>
      </c>
      <c r="I22" s="1"/>
      <c r="J22" s="27">
        <f>IFERROR(__xludf.DUMMYFUNCTION("""COMPUTED_VALUE"""),45280.0)</f>
        <v>45280</v>
      </c>
      <c r="K22" s="31"/>
      <c r="L22" s="31"/>
      <c r="N22" s="34"/>
      <c r="O22" s="21" t="str">
        <f t="shared" si="4"/>
        <v>No</v>
      </c>
      <c r="P22" s="21" t="str">
        <f t="shared" si="5"/>
        <v>etr</v>
      </c>
      <c r="T22" s="38"/>
      <c r="U22" s="38"/>
      <c r="V22" s="38"/>
      <c r="W22" s="38"/>
      <c r="X22" s="38"/>
      <c r="Y22" s="32"/>
      <c r="Z22" s="32"/>
      <c r="AD22" s="10"/>
      <c r="AF22" s="12"/>
      <c r="AG22" s="13"/>
      <c r="AH22" s="13"/>
      <c r="AI22" s="14"/>
      <c r="AJ22" s="14"/>
      <c r="AK22" s="15"/>
    </row>
    <row r="23">
      <c r="A23" s="16">
        <v>45088.0</v>
      </c>
      <c r="B23" s="1" t="s">
        <v>29</v>
      </c>
      <c r="C23" s="1" t="s">
        <v>36</v>
      </c>
      <c r="D23" s="1">
        <v>1.0</v>
      </c>
      <c r="E23" s="1">
        <v>16.0</v>
      </c>
      <c r="F23" s="17" t="str">
        <f>VLOOKUP(D23,category!$A$2:$B$14,2,false)</f>
        <v>Breakfast</v>
      </c>
      <c r="G23" s="17" t="str">
        <f t="shared" si="1"/>
        <v>cheap</v>
      </c>
      <c r="H23" s="18">
        <f t="shared" si="2"/>
        <v>6</v>
      </c>
      <c r="I23" s="1"/>
      <c r="J23" s="27">
        <f>IFERROR(__xludf.DUMMYFUNCTION("""COMPUTED_VALUE"""),45281.0)</f>
        <v>45281</v>
      </c>
      <c r="K23" s="31"/>
      <c r="L23" s="31"/>
      <c r="N23" s="34"/>
      <c r="O23" s="21" t="str">
        <f t="shared" si="4"/>
        <v>No</v>
      </c>
      <c r="P23" s="21" t="str">
        <f t="shared" si="5"/>
        <v>rea</v>
      </c>
      <c r="T23" s="38"/>
      <c r="U23" s="38"/>
      <c r="V23" s="38"/>
      <c r="W23" s="38"/>
      <c r="X23" s="38"/>
      <c r="Y23" s="32"/>
      <c r="Z23" s="32"/>
      <c r="AD23" s="10"/>
      <c r="AF23" s="12"/>
      <c r="AG23" s="13"/>
      <c r="AH23" s="13"/>
      <c r="AI23" s="14"/>
      <c r="AJ23" s="14"/>
      <c r="AK23" s="15"/>
    </row>
    <row r="24">
      <c r="A24" s="16">
        <v>45088.0</v>
      </c>
      <c r="B24" s="1" t="s">
        <v>29</v>
      </c>
      <c r="C24" s="1" t="s">
        <v>36</v>
      </c>
      <c r="D24" s="1">
        <v>2.0</v>
      </c>
      <c r="E24" s="1">
        <v>28.0</v>
      </c>
      <c r="F24" s="17" t="str">
        <f>VLOOKUP(D24,category!$A$2:$B$14,2,false)</f>
        <v>Lunch</v>
      </c>
      <c r="G24" s="17" t="str">
        <f t="shared" si="1"/>
        <v>cheap</v>
      </c>
      <c r="H24" s="18">
        <f t="shared" si="2"/>
        <v>6</v>
      </c>
      <c r="I24" s="1"/>
      <c r="J24" s="27">
        <f>IFERROR(__xludf.DUMMYFUNCTION("""COMPUTED_VALUE"""),45282.0)</f>
        <v>45282</v>
      </c>
      <c r="K24" s="31"/>
      <c r="L24" s="31"/>
      <c r="N24" s="34"/>
      <c r="O24" s="21" t="str">
        <f t="shared" si="4"/>
        <v>No</v>
      </c>
      <c r="P24" s="21" t="str">
        <f t="shared" si="5"/>
        <v>unc</v>
      </c>
      <c r="T24" s="38"/>
      <c r="U24" s="38"/>
      <c r="V24" s="38"/>
      <c r="W24" s="38"/>
      <c r="X24" s="38"/>
      <c r="Y24" s="32"/>
      <c r="Z24" s="32"/>
      <c r="AD24" s="10"/>
      <c r="AF24" s="12"/>
      <c r="AG24" s="13"/>
      <c r="AH24" s="13"/>
      <c r="AI24" s="14"/>
      <c r="AJ24" s="14"/>
      <c r="AK24" s="15"/>
    </row>
    <row r="25">
      <c r="A25" s="16">
        <v>45088.0</v>
      </c>
      <c r="B25" s="1" t="s">
        <v>29</v>
      </c>
      <c r="C25" s="1" t="s">
        <v>36</v>
      </c>
      <c r="D25" s="1">
        <v>6.0</v>
      </c>
      <c r="E25" s="1">
        <v>14.0</v>
      </c>
      <c r="F25" s="17" t="str">
        <f>VLOOKUP(D25,category!$A$2:$B$14,2,false)</f>
        <v>Dinner</v>
      </c>
      <c r="G25" s="17" t="str">
        <f t="shared" si="1"/>
        <v>cheap</v>
      </c>
      <c r="H25" s="18">
        <f t="shared" si="2"/>
        <v>6</v>
      </c>
      <c r="I25" s="1"/>
      <c r="J25" s="27">
        <f>IFERROR(__xludf.DUMMYFUNCTION("""COMPUTED_VALUE"""),45283.0)</f>
        <v>45283</v>
      </c>
      <c r="K25" s="31"/>
      <c r="L25" s="31"/>
      <c r="N25" s="34"/>
      <c r="O25" s="21" t="str">
        <f t="shared" si="4"/>
        <v>No</v>
      </c>
      <c r="P25" s="21" t="str">
        <f t="shared" si="5"/>
        <v>inn</v>
      </c>
      <c r="T25" s="38"/>
      <c r="U25" s="38"/>
      <c r="V25" s="38"/>
      <c r="W25" s="38"/>
      <c r="X25" s="38"/>
      <c r="Y25" s="32"/>
      <c r="Z25" s="32"/>
      <c r="AD25" s="10"/>
      <c r="AF25" s="12"/>
      <c r="AG25" s="13"/>
      <c r="AH25" s="13"/>
      <c r="AI25" s="14"/>
      <c r="AJ25" s="14"/>
      <c r="AK25" s="15"/>
    </row>
    <row r="26">
      <c r="A26" s="16">
        <v>45088.0</v>
      </c>
      <c r="B26" s="1" t="s">
        <v>29</v>
      </c>
      <c r="C26" s="1" t="s">
        <v>36</v>
      </c>
      <c r="D26" s="1">
        <v>11.0</v>
      </c>
      <c r="E26" s="1">
        <v>20.0</v>
      </c>
      <c r="F26" s="17" t="str">
        <f>VLOOKUP(D26,category!$A$2:$B$14,2,false)</f>
        <v>Game</v>
      </c>
      <c r="G26" s="17" t="str">
        <f t="shared" si="1"/>
        <v>cheap</v>
      </c>
      <c r="H26" s="18">
        <f t="shared" si="2"/>
        <v>6</v>
      </c>
      <c r="I26" s="1"/>
      <c r="J26" s="27">
        <f>IFERROR(__xludf.DUMMYFUNCTION("""COMPUTED_VALUE"""),45284.0)</f>
        <v>45284</v>
      </c>
      <c r="K26" s="31"/>
      <c r="L26" s="31"/>
      <c r="N26" s="34"/>
      <c r="O26" s="21" t="str">
        <f t="shared" si="4"/>
        <v>No</v>
      </c>
      <c r="P26" s="21" t="str">
        <f t="shared" si="5"/>
        <v>ame</v>
      </c>
      <c r="T26" s="38"/>
      <c r="U26" s="38"/>
      <c r="V26" s="38"/>
      <c r="W26" s="38"/>
      <c r="X26" s="38"/>
      <c r="Y26" s="32"/>
      <c r="Z26" s="32"/>
      <c r="AD26" s="10"/>
      <c r="AF26" s="12"/>
      <c r="AG26" s="13"/>
      <c r="AH26" s="13"/>
      <c r="AI26" s="14"/>
      <c r="AJ26" s="14"/>
      <c r="AK26" s="15"/>
    </row>
    <row r="27">
      <c r="A27" s="16">
        <v>45089.0</v>
      </c>
      <c r="B27" s="1" t="s">
        <v>29</v>
      </c>
      <c r="C27" s="1" t="s">
        <v>36</v>
      </c>
      <c r="D27" s="1">
        <v>1.0</v>
      </c>
      <c r="E27" s="1">
        <v>16.0</v>
      </c>
      <c r="F27" s="17" t="str">
        <f>VLOOKUP(D27,category!$A$2:$B$14,2,false)</f>
        <v>Breakfast</v>
      </c>
      <c r="G27" s="17" t="str">
        <f t="shared" si="1"/>
        <v>cheap</v>
      </c>
      <c r="H27" s="18">
        <f t="shared" si="2"/>
        <v>6</v>
      </c>
      <c r="I27" s="1"/>
      <c r="J27" s="27">
        <f>IFERROR(__xludf.DUMMYFUNCTION("""COMPUTED_VALUE"""),45285.0)</f>
        <v>45285</v>
      </c>
      <c r="K27" s="31"/>
      <c r="L27" s="31"/>
      <c r="N27" s="34"/>
      <c r="O27" s="21" t="str">
        <f t="shared" si="4"/>
        <v>No</v>
      </c>
      <c r="P27" s="21" t="str">
        <f t="shared" si="5"/>
        <v>rea</v>
      </c>
      <c r="T27" s="38"/>
      <c r="U27" s="38"/>
      <c r="V27" s="38"/>
      <c r="W27" s="38"/>
      <c r="X27" s="38"/>
      <c r="Y27" s="32"/>
      <c r="Z27" s="32"/>
      <c r="AD27" s="10"/>
      <c r="AF27" s="12"/>
      <c r="AG27" s="13"/>
      <c r="AH27" s="13"/>
      <c r="AI27" s="14"/>
      <c r="AJ27" s="14"/>
      <c r="AK27" s="15"/>
    </row>
    <row r="28">
      <c r="A28" s="16">
        <v>45089.0</v>
      </c>
      <c r="B28" s="1" t="s">
        <v>29</v>
      </c>
      <c r="C28" s="1" t="s">
        <v>36</v>
      </c>
      <c r="D28" s="1">
        <v>2.0</v>
      </c>
      <c r="E28" s="1">
        <v>18.0</v>
      </c>
      <c r="F28" s="17" t="str">
        <f>VLOOKUP(D28,category!$A$2:$B$14,2,false)</f>
        <v>Lunch</v>
      </c>
      <c r="G28" s="17" t="str">
        <f t="shared" si="1"/>
        <v>cheap</v>
      </c>
      <c r="H28" s="18">
        <f t="shared" si="2"/>
        <v>6</v>
      </c>
      <c r="I28" s="1"/>
      <c r="J28" s="27">
        <f>IFERROR(__xludf.DUMMYFUNCTION("""COMPUTED_VALUE"""),45286.0)</f>
        <v>45286</v>
      </c>
      <c r="K28" s="31"/>
      <c r="L28" s="31"/>
      <c r="N28" s="34"/>
      <c r="O28" s="21" t="str">
        <f t="shared" si="4"/>
        <v>No</v>
      </c>
      <c r="P28" s="21" t="str">
        <f t="shared" si="5"/>
        <v>unc</v>
      </c>
      <c r="T28" s="38"/>
      <c r="U28" s="38"/>
      <c r="V28" s="38"/>
      <c r="W28" s="38"/>
      <c r="X28" s="38"/>
      <c r="Y28" s="32"/>
      <c r="Z28" s="32"/>
      <c r="AD28" s="10"/>
      <c r="AF28" s="12"/>
      <c r="AG28" s="13"/>
      <c r="AH28" s="13"/>
      <c r="AI28" s="14"/>
      <c r="AJ28" s="14"/>
      <c r="AK28" s="15"/>
    </row>
    <row r="29">
      <c r="A29" s="16">
        <v>45089.0</v>
      </c>
      <c r="B29" s="1" t="s">
        <v>29</v>
      </c>
      <c r="C29" s="1" t="s">
        <v>36</v>
      </c>
      <c r="D29" s="1">
        <v>6.0</v>
      </c>
      <c r="E29" s="1">
        <v>22.0</v>
      </c>
      <c r="F29" s="17" t="str">
        <f>VLOOKUP(D29,category!$A$2:$B$14,2,false)</f>
        <v>Dinner</v>
      </c>
      <c r="G29" s="17" t="str">
        <f t="shared" si="1"/>
        <v>cheap</v>
      </c>
      <c r="H29" s="18">
        <f t="shared" si="2"/>
        <v>6</v>
      </c>
      <c r="I29" s="1"/>
      <c r="J29" s="27">
        <f>IFERROR(__xludf.DUMMYFUNCTION("""COMPUTED_VALUE"""),45287.0)</f>
        <v>45287</v>
      </c>
      <c r="K29" s="31"/>
      <c r="L29" s="31"/>
      <c r="N29" s="34"/>
      <c r="O29" s="21" t="str">
        <f t="shared" si="4"/>
        <v>No</v>
      </c>
      <c r="P29" s="21" t="str">
        <f t="shared" si="5"/>
        <v>inn</v>
      </c>
      <c r="T29" s="38"/>
      <c r="U29" s="38"/>
      <c r="V29" s="38"/>
      <c r="W29" s="38"/>
      <c r="X29" s="38"/>
      <c r="Y29" s="32"/>
      <c r="Z29" s="32"/>
      <c r="AD29" s="10"/>
      <c r="AF29" s="12"/>
      <c r="AG29" s="13"/>
      <c r="AH29" s="13"/>
      <c r="AI29" s="14"/>
      <c r="AJ29" s="14"/>
      <c r="AK29" s="15"/>
    </row>
    <row r="30">
      <c r="A30" s="16">
        <v>45089.0</v>
      </c>
      <c r="B30" s="1" t="s">
        <v>29</v>
      </c>
      <c r="C30" s="1" t="s">
        <v>36</v>
      </c>
      <c r="D30" s="1">
        <v>10.0</v>
      </c>
      <c r="E30" s="1">
        <v>20.0</v>
      </c>
      <c r="F30" s="17" t="str">
        <f>VLOOKUP(D30,category!$A$2:$B$14,2,false)</f>
        <v>Shopping</v>
      </c>
      <c r="G30" s="17" t="str">
        <f t="shared" si="1"/>
        <v>cheap</v>
      </c>
      <c r="H30" s="18">
        <f t="shared" si="2"/>
        <v>6</v>
      </c>
      <c r="I30" s="1"/>
      <c r="J30" s="27">
        <f>IFERROR(__xludf.DUMMYFUNCTION("""COMPUTED_VALUE"""),45288.0)</f>
        <v>45288</v>
      </c>
      <c r="K30" s="31"/>
      <c r="L30" s="31"/>
      <c r="N30" s="34"/>
      <c r="O30" s="21" t="str">
        <f t="shared" si="4"/>
        <v>No</v>
      </c>
      <c r="P30" s="21" t="str">
        <f t="shared" si="5"/>
        <v>hop</v>
      </c>
      <c r="T30" s="38"/>
      <c r="U30" s="38"/>
      <c r="V30" s="38"/>
      <c r="W30" s="38"/>
      <c r="X30" s="38"/>
      <c r="Y30" s="32"/>
      <c r="Z30" s="32"/>
      <c r="AD30" s="10"/>
      <c r="AF30" s="12"/>
      <c r="AG30" s="13"/>
      <c r="AH30" s="13"/>
      <c r="AI30" s="14"/>
      <c r="AJ30" s="14"/>
      <c r="AK30" s="15"/>
    </row>
    <row r="31">
      <c r="A31" s="16">
        <v>45089.0</v>
      </c>
      <c r="B31" s="1" t="s">
        <v>29</v>
      </c>
      <c r="C31" s="1" t="s">
        <v>36</v>
      </c>
      <c r="D31" s="1">
        <v>9.0</v>
      </c>
      <c r="E31" s="1">
        <v>15.0</v>
      </c>
      <c r="F31" s="17" t="str">
        <f>VLOOKUP(D31,category!$A$2:$B$14,2,false)</f>
        <v>Taxi</v>
      </c>
      <c r="G31" s="17" t="str">
        <f t="shared" si="1"/>
        <v>cheap</v>
      </c>
      <c r="H31" s="18">
        <f t="shared" si="2"/>
        <v>6</v>
      </c>
      <c r="I31" s="1"/>
      <c r="J31" s="27">
        <f>IFERROR(__xludf.DUMMYFUNCTION("""COMPUTED_VALUE"""),45289.0)</f>
        <v>45289</v>
      </c>
      <c r="K31" s="31"/>
      <c r="L31" s="31"/>
      <c r="N31" s="34"/>
      <c r="O31" s="21" t="str">
        <f t="shared" si="4"/>
        <v>No</v>
      </c>
      <c r="P31" s="21" t="str">
        <f t="shared" si="5"/>
        <v>axi</v>
      </c>
      <c r="T31" s="38"/>
      <c r="U31" s="38"/>
      <c r="V31" s="38"/>
      <c r="W31" s="38"/>
      <c r="X31" s="38"/>
      <c r="Y31" s="32"/>
      <c r="Z31" s="32"/>
      <c r="AD31" s="10"/>
      <c r="AF31" s="12"/>
      <c r="AG31" s="13"/>
      <c r="AH31" s="13"/>
      <c r="AI31" s="14"/>
      <c r="AJ31" s="14"/>
      <c r="AK31" s="15"/>
    </row>
    <row r="32">
      <c r="A32" s="16">
        <v>45108.0</v>
      </c>
      <c r="B32" s="1" t="s">
        <v>28</v>
      </c>
      <c r="C32" s="1" t="s">
        <v>35</v>
      </c>
      <c r="D32" s="1">
        <v>8.0</v>
      </c>
      <c r="E32" s="1">
        <v>26.0</v>
      </c>
      <c r="F32" s="17" t="str">
        <f>VLOOKUP(D32,category!$A$2:$B$14,2,false)</f>
        <v>Movie</v>
      </c>
      <c r="G32" s="17" t="str">
        <f t="shared" si="1"/>
        <v>cheap</v>
      </c>
      <c r="H32" s="18">
        <f t="shared" si="2"/>
        <v>7</v>
      </c>
      <c r="I32" s="1"/>
      <c r="J32" s="27">
        <f>IFERROR(__xludf.DUMMYFUNCTION("""COMPUTED_VALUE"""),45290.0)</f>
        <v>45290</v>
      </c>
      <c r="K32" s="31"/>
      <c r="L32" s="31"/>
      <c r="N32" s="34"/>
      <c r="O32" s="21" t="str">
        <f t="shared" si="4"/>
        <v>No</v>
      </c>
      <c r="P32" s="21" t="str">
        <f t="shared" si="5"/>
        <v>ovi</v>
      </c>
      <c r="T32" s="38"/>
      <c r="U32" s="38"/>
      <c r="V32" s="38"/>
      <c r="W32" s="38"/>
      <c r="X32" s="38"/>
      <c r="Y32" s="32"/>
      <c r="Z32" s="32"/>
      <c r="AD32" s="10"/>
      <c r="AF32" s="12"/>
      <c r="AG32" s="13"/>
      <c r="AH32" s="13"/>
      <c r="AI32" s="14"/>
      <c r="AJ32" s="14"/>
      <c r="AK32" s="15"/>
    </row>
    <row r="33">
      <c r="A33" s="16">
        <v>45108.0</v>
      </c>
      <c r="B33" s="1" t="s">
        <v>28</v>
      </c>
      <c r="C33" s="1" t="s">
        <v>35</v>
      </c>
      <c r="D33" s="1">
        <v>2.0</v>
      </c>
      <c r="E33" s="1">
        <v>42.0</v>
      </c>
      <c r="F33" s="17" t="str">
        <f>VLOOKUP(D33,category!$A$2:$B$14,2,false)</f>
        <v>Lunch</v>
      </c>
      <c r="G33" s="17" t="str">
        <f t="shared" si="1"/>
        <v>cheap</v>
      </c>
      <c r="H33" s="18">
        <f t="shared" si="2"/>
        <v>7</v>
      </c>
      <c r="I33" s="1"/>
      <c r="J33" s="19" t="s">
        <v>37</v>
      </c>
      <c r="K33" s="31"/>
      <c r="L33" s="31"/>
      <c r="N33" s="34"/>
      <c r="O33" s="21" t="str">
        <f t="shared" si="4"/>
        <v>No</v>
      </c>
      <c r="P33" s="21" t="str">
        <f t="shared" si="5"/>
        <v>unc</v>
      </c>
      <c r="T33" s="38"/>
      <c r="U33" s="38"/>
      <c r="V33" s="38"/>
      <c r="W33" s="38"/>
      <c r="X33" s="38"/>
      <c r="Y33" s="32"/>
      <c r="Z33" s="32"/>
      <c r="AD33" s="10"/>
      <c r="AF33" s="12"/>
      <c r="AG33" s="13"/>
      <c r="AH33" s="13"/>
      <c r="AI33" s="14"/>
      <c r="AJ33" s="14"/>
      <c r="AK33" s="15"/>
    </row>
    <row r="34">
      <c r="A34" s="16">
        <v>45114.0</v>
      </c>
      <c r="B34" s="1" t="s">
        <v>30</v>
      </c>
      <c r="C34" s="1" t="s">
        <v>38</v>
      </c>
      <c r="D34" s="1">
        <v>5.0</v>
      </c>
      <c r="E34" s="1">
        <v>116.0</v>
      </c>
      <c r="F34" s="17" t="str">
        <f>VLOOKUP(D34,category!$A$2:$B$14,2,false)</f>
        <v>Travel</v>
      </c>
      <c r="G34" s="17" t="str">
        <f t="shared" si="1"/>
        <v>expensive</v>
      </c>
      <c r="H34" s="18">
        <f t="shared" si="2"/>
        <v>7</v>
      </c>
      <c r="I34" s="1"/>
      <c r="J34" s="27" t="str">
        <f>IFERROR(__xludf.DUMMYFUNCTION("UNIQUE(B2:B128)"),"Austria")</f>
        <v>Austria</v>
      </c>
      <c r="K34" s="31"/>
      <c r="L34" s="31"/>
      <c r="N34" s="34"/>
      <c r="O34" s="21" t="str">
        <f t="shared" si="4"/>
        <v>No</v>
      </c>
      <c r="P34" s="21" t="str">
        <f t="shared" si="5"/>
        <v>rav</v>
      </c>
      <c r="T34" s="38"/>
      <c r="U34" s="38"/>
      <c r="V34" s="38"/>
      <c r="W34" s="38"/>
      <c r="X34" s="38"/>
      <c r="Y34" s="32"/>
      <c r="Z34" s="32"/>
      <c r="AD34" s="10"/>
      <c r="AF34" s="12"/>
      <c r="AG34" s="13"/>
      <c r="AH34" s="13"/>
      <c r="AI34" s="14"/>
      <c r="AJ34" s="14"/>
      <c r="AK34" s="15"/>
    </row>
    <row r="35">
      <c r="A35" s="16">
        <v>45114.0</v>
      </c>
      <c r="B35" s="1" t="s">
        <v>30</v>
      </c>
      <c r="C35" s="1" t="s">
        <v>38</v>
      </c>
      <c r="D35" s="1">
        <v>1.0</v>
      </c>
      <c r="E35" s="1">
        <v>14.0</v>
      </c>
      <c r="F35" s="17" t="str">
        <f>VLOOKUP(D35,category!$A$2:$B$14,2,false)</f>
        <v>Breakfast</v>
      </c>
      <c r="G35" s="17" t="str">
        <f t="shared" si="1"/>
        <v>cheap</v>
      </c>
      <c r="H35" s="18">
        <f t="shared" si="2"/>
        <v>7</v>
      </c>
      <c r="I35" s="1"/>
      <c r="J35" s="39" t="str">
        <f>IFERROR(__xludf.DUMMYFUNCTION("""COMPUTED_VALUE"""),"Slovakia")</f>
        <v>Slovakia</v>
      </c>
      <c r="K35" s="31"/>
      <c r="L35" s="31"/>
      <c r="N35" s="34"/>
      <c r="O35" s="21" t="str">
        <f t="shared" si="4"/>
        <v>No</v>
      </c>
      <c r="P35" s="21" t="str">
        <f t="shared" si="5"/>
        <v>rea</v>
      </c>
      <c r="T35" s="38"/>
      <c r="U35" s="38"/>
      <c r="V35" s="38"/>
      <c r="W35" s="38"/>
      <c r="X35" s="38"/>
      <c r="Y35" s="32"/>
      <c r="Z35" s="32"/>
      <c r="AD35" s="10"/>
      <c r="AF35" s="12"/>
      <c r="AG35" s="13"/>
      <c r="AH35" s="13"/>
      <c r="AI35" s="14"/>
      <c r="AJ35" s="14"/>
      <c r="AK35" s="15"/>
    </row>
    <row r="36">
      <c r="A36" s="16">
        <v>45114.0</v>
      </c>
      <c r="B36" s="1" t="s">
        <v>30</v>
      </c>
      <c r="C36" s="1" t="s">
        <v>38</v>
      </c>
      <c r="D36" s="1">
        <v>2.0</v>
      </c>
      <c r="E36" s="1">
        <v>16.0</v>
      </c>
      <c r="F36" s="17" t="str">
        <f>VLOOKUP(D36,category!$A$2:$B$14,2,false)</f>
        <v>Lunch</v>
      </c>
      <c r="G36" s="17" t="str">
        <f t="shared" si="1"/>
        <v>cheap</v>
      </c>
      <c r="H36" s="18">
        <f t="shared" si="2"/>
        <v>7</v>
      </c>
      <c r="I36" s="1"/>
      <c r="J36" s="39" t="str">
        <f>IFERROR(__xludf.DUMMYFUNCTION("""COMPUTED_VALUE"""),"Germany")</f>
        <v>Germany</v>
      </c>
      <c r="K36" s="31"/>
      <c r="L36" s="31"/>
      <c r="N36" s="34"/>
      <c r="O36" s="21" t="str">
        <f t="shared" si="4"/>
        <v>No</v>
      </c>
      <c r="P36" s="21" t="str">
        <f t="shared" si="5"/>
        <v>unc</v>
      </c>
      <c r="T36" s="38"/>
      <c r="U36" s="38"/>
      <c r="V36" s="38"/>
      <c r="W36" s="38"/>
      <c r="X36" s="38"/>
      <c r="Y36" s="32"/>
      <c r="Z36" s="32"/>
      <c r="AD36" s="10"/>
      <c r="AF36" s="12"/>
      <c r="AG36" s="13"/>
      <c r="AH36" s="13"/>
      <c r="AI36" s="14"/>
      <c r="AJ36" s="14"/>
      <c r="AK36" s="15"/>
    </row>
    <row r="37">
      <c r="A37" s="16">
        <v>45114.0</v>
      </c>
      <c r="B37" s="1" t="s">
        <v>31</v>
      </c>
      <c r="C37" s="1" t="s">
        <v>39</v>
      </c>
      <c r="D37" s="1">
        <v>5.0</v>
      </c>
      <c r="E37" s="1">
        <v>50.0</v>
      </c>
      <c r="F37" s="17" t="str">
        <f>VLOOKUP(D37,category!$A$2:$B$14,2,false)</f>
        <v>Travel</v>
      </c>
      <c r="G37" s="17" t="str">
        <f t="shared" si="1"/>
        <v>cheap</v>
      </c>
      <c r="H37" s="18">
        <f t="shared" si="2"/>
        <v>7</v>
      </c>
      <c r="I37" s="1"/>
      <c r="J37" s="39" t="str">
        <f>IFERROR(__xludf.DUMMYFUNCTION("""COMPUTED_VALUE"""),"Spain")</f>
        <v>Spain</v>
      </c>
      <c r="K37" s="31"/>
      <c r="L37" s="31"/>
      <c r="N37" s="34"/>
      <c r="O37" s="21" t="str">
        <f t="shared" si="4"/>
        <v>No</v>
      </c>
      <c r="P37" s="21" t="str">
        <f t="shared" si="5"/>
        <v>rav</v>
      </c>
      <c r="T37" s="38"/>
      <c r="U37" s="38"/>
      <c r="V37" s="38"/>
      <c r="W37" s="38"/>
      <c r="X37" s="38"/>
      <c r="Y37" s="32"/>
      <c r="Z37" s="32"/>
      <c r="AD37" s="10"/>
      <c r="AF37" s="12"/>
      <c r="AG37" s="13"/>
      <c r="AH37" s="13"/>
      <c r="AI37" s="14"/>
      <c r="AJ37" s="14"/>
      <c r="AK37" s="15"/>
    </row>
    <row r="38">
      <c r="A38" s="16">
        <v>45114.0</v>
      </c>
      <c r="B38" s="1" t="s">
        <v>31</v>
      </c>
      <c r="C38" s="1" t="s">
        <v>39</v>
      </c>
      <c r="D38" s="1">
        <v>6.0</v>
      </c>
      <c r="E38" s="1">
        <v>12.0</v>
      </c>
      <c r="F38" s="17" t="str">
        <f>VLOOKUP(D38,category!$A$2:$B$14,2,false)</f>
        <v>Dinner</v>
      </c>
      <c r="G38" s="17" t="str">
        <f t="shared" si="1"/>
        <v>cheap</v>
      </c>
      <c r="H38" s="18">
        <f t="shared" si="2"/>
        <v>7</v>
      </c>
      <c r="I38" s="1"/>
      <c r="J38" s="39" t="str">
        <f>IFERROR(__xludf.DUMMYFUNCTION("""COMPUTED_VALUE"""),"Bosnia")</f>
        <v>Bosnia</v>
      </c>
      <c r="K38" s="31"/>
      <c r="L38" s="31"/>
      <c r="N38" s="34"/>
      <c r="O38" s="21" t="str">
        <f t="shared" si="4"/>
        <v>No</v>
      </c>
      <c r="P38" s="21" t="str">
        <f t="shared" si="5"/>
        <v>inn</v>
      </c>
      <c r="T38" s="38"/>
      <c r="U38" s="38"/>
      <c r="V38" s="38"/>
      <c r="W38" s="38"/>
      <c r="X38" s="38"/>
      <c r="Y38" s="32"/>
      <c r="Z38" s="32"/>
      <c r="AD38" s="10"/>
      <c r="AF38" s="12"/>
      <c r="AG38" s="13"/>
      <c r="AH38" s="13"/>
      <c r="AI38" s="14"/>
      <c r="AJ38" s="14"/>
      <c r="AK38" s="15"/>
    </row>
    <row r="39">
      <c r="A39" s="16">
        <v>45114.0</v>
      </c>
      <c r="B39" s="1" t="s">
        <v>30</v>
      </c>
      <c r="C39" s="1" t="s">
        <v>38</v>
      </c>
      <c r="D39" s="1">
        <v>3.0</v>
      </c>
      <c r="E39" s="1">
        <v>30.0</v>
      </c>
      <c r="F39" s="17" t="str">
        <f>VLOOKUP(D39,category!$A$2:$B$14,2,false)</f>
        <v>Stay</v>
      </c>
      <c r="G39" s="17" t="str">
        <f t="shared" si="1"/>
        <v>cheap</v>
      </c>
      <c r="H39" s="18">
        <f t="shared" si="2"/>
        <v>7</v>
      </c>
      <c r="I39" s="1"/>
      <c r="J39" s="39" t="str">
        <f>IFERROR(__xludf.DUMMYFUNCTION("""COMPUTED_VALUE"""),"Croatia")</f>
        <v>Croatia</v>
      </c>
      <c r="K39" s="31"/>
      <c r="L39" s="31"/>
      <c r="N39" s="34"/>
      <c r="O39" s="21" t="str">
        <f t="shared" si="4"/>
        <v>No</v>
      </c>
      <c r="P39" s="21" t="str">
        <f t="shared" si="5"/>
        <v>tay</v>
      </c>
      <c r="T39" s="38"/>
      <c r="U39" s="38"/>
      <c r="V39" s="38"/>
      <c r="W39" s="38"/>
      <c r="X39" s="38"/>
      <c r="Y39" s="32"/>
      <c r="Z39" s="32"/>
      <c r="AD39" s="10"/>
      <c r="AF39" s="12"/>
      <c r="AG39" s="13"/>
      <c r="AH39" s="13"/>
      <c r="AI39" s="14"/>
      <c r="AJ39" s="14"/>
      <c r="AK39" s="15"/>
    </row>
    <row r="40">
      <c r="A40" s="16">
        <v>45114.0</v>
      </c>
      <c r="B40" s="1" t="s">
        <v>31</v>
      </c>
      <c r="C40" s="1" t="s">
        <v>39</v>
      </c>
      <c r="D40" s="1">
        <v>3.0</v>
      </c>
      <c r="E40" s="1">
        <v>56.0</v>
      </c>
      <c r="F40" s="17" t="str">
        <f>VLOOKUP(D40,category!$A$2:$B$14,2,false)</f>
        <v>Stay</v>
      </c>
      <c r="G40" s="17" t="str">
        <f t="shared" si="1"/>
        <v>cheap</v>
      </c>
      <c r="H40" s="18">
        <f t="shared" si="2"/>
        <v>7</v>
      </c>
      <c r="I40" s="1"/>
      <c r="J40" s="39" t="str">
        <f>IFERROR(__xludf.DUMMYFUNCTION("""COMPUTED_VALUE"""),"Colombia")</f>
        <v>Colombia</v>
      </c>
      <c r="K40" s="31"/>
      <c r="L40" s="31"/>
      <c r="N40" s="34"/>
      <c r="O40" s="21" t="str">
        <f t="shared" si="4"/>
        <v>No</v>
      </c>
      <c r="P40" s="21" t="str">
        <f t="shared" si="5"/>
        <v>tay</v>
      </c>
      <c r="T40" s="38"/>
      <c r="U40" s="38"/>
      <c r="V40" s="38"/>
      <c r="W40" s="38"/>
      <c r="X40" s="38"/>
      <c r="Y40" s="32"/>
      <c r="Z40" s="32"/>
      <c r="AD40" s="10"/>
      <c r="AF40" s="12"/>
      <c r="AG40" s="13"/>
      <c r="AH40" s="13"/>
      <c r="AI40" s="14"/>
      <c r="AJ40" s="14"/>
      <c r="AK40" s="15"/>
    </row>
    <row r="41">
      <c r="A41" s="16">
        <v>45115.0</v>
      </c>
      <c r="B41" s="1" t="s">
        <v>31</v>
      </c>
      <c r="C41" s="1" t="s">
        <v>40</v>
      </c>
      <c r="D41" s="1">
        <v>5.0</v>
      </c>
      <c r="E41" s="1">
        <v>30.0</v>
      </c>
      <c r="F41" s="17" t="str">
        <f>VLOOKUP(D41,category!$A$2:$B$14,2,false)</f>
        <v>Travel</v>
      </c>
      <c r="G41" s="17" t="str">
        <f t="shared" si="1"/>
        <v>cheap</v>
      </c>
      <c r="H41" s="18">
        <f t="shared" si="2"/>
        <v>7</v>
      </c>
      <c r="I41" s="1"/>
      <c r="J41" s="39" t="str">
        <f>IFERROR(__xludf.DUMMYFUNCTION("""COMPUTED_VALUE"""),"Peru")</f>
        <v>Peru</v>
      </c>
      <c r="K41" s="31"/>
      <c r="L41" s="31"/>
      <c r="N41" s="34"/>
      <c r="O41" s="21" t="str">
        <f t="shared" si="4"/>
        <v>Yes</v>
      </c>
      <c r="P41" s="21" t="str">
        <f t="shared" si="5"/>
        <v>rav</v>
      </c>
      <c r="T41" s="38"/>
      <c r="U41" s="38"/>
      <c r="V41" s="38"/>
      <c r="W41" s="38"/>
      <c r="X41" s="38"/>
      <c r="Y41" s="32"/>
      <c r="Z41" s="32"/>
      <c r="AD41" s="10"/>
      <c r="AF41" s="12"/>
      <c r="AG41" s="13"/>
      <c r="AH41" s="13"/>
      <c r="AI41" s="14"/>
      <c r="AJ41" s="14"/>
      <c r="AK41" s="15"/>
    </row>
    <row r="42">
      <c r="A42" s="16">
        <v>45115.0</v>
      </c>
      <c r="B42" s="1" t="s">
        <v>31</v>
      </c>
      <c r="C42" s="1" t="s">
        <v>40</v>
      </c>
      <c r="D42" s="1">
        <v>1.0</v>
      </c>
      <c r="E42" s="1">
        <v>20.0</v>
      </c>
      <c r="F42" s="17" t="str">
        <f>VLOOKUP(D42,category!$A$2:$B$14,2,false)</f>
        <v>Breakfast</v>
      </c>
      <c r="G42" s="17" t="str">
        <f t="shared" si="1"/>
        <v>cheap</v>
      </c>
      <c r="H42" s="18">
        <f t="shared" si="2"/>
        <v>7</v>
      </c>
      <c r="I42" s="1"/>
      <c r="J42" s="40" t="s">
        <v>41</v>
      </c>
      <c r="K42" s="31"/>
      <c r="L42" s="31"/>
      <c r="N42" s="34"/>
      <c r="O42" s="21" t="str">
        <f t="shared" si="4"/>
        <v>Yes</v>
      </c>
      <c r="P42" s="21" t="str">
        <f t="shared" si="5"/>
        <v>rea</v>
      </c>
      <c r="T42" s="38"/>
      <c r="U42" s="38"/>
      <c r="V42" s="38"/>
      <c r="W42" s="38"/>
      <c r="X42" s="38"/>
      <c r="Y42" s="32"/>
      <c r="Z42" s="32"/>
      <c r="AD42" s="10"/>
      <c r="AF42" s="12"/>
      <c r="AG42" s="13"/>
      <c r="AH42" s="13"/>
      <c r="AI42" s="14"/>
      <c r="AJ42" s="14"/>
      <c r="AK42" s="15"/>
    </row>
    <row r="43">
      <c r="A43" s="16">
        <v>45115.0</v>
      </c>
      <c r="B43" s="1" t="s">
        <v>31</v>
      </c>
      <c r="C43" s="1" t="s">
        <v>40</v>
      </c>
      <c r="D43" s="1">
        <v>7.0</v>
      </c>
      <c r="E43" s="1">
        <v>100.0</v>
      </c>
      <c r="F43" s="17" t="str">
        <f>VLOOKUP(D43,category!$A$2:$B$14,2,false)</f>
        <v>Entrance</v>
      </c>
      <c r="G43" s="17" t="str">
        <f t="shared" si="1"/>
        <v>cheap</v>
      </c>
      <c r="H43" s="18">
        <f t="shared" si="2"/>
        <v>7</v>
      </c>
      <c r="I43" s="1"/>
      <c r="J43" s="39" t="str">
        <f>IFERROR(__xludf.DUMMYFUNCTION("UNIQUE(C2:C128)"),"Vienna")</f>
        <v>Vienna</v>
      </c>
      <c r="K43" s="31"/>
      <c r="L43" s="31"/>
      <c r="N43" s="34"/>
      <c r="O43" s="21" t="str">
        <f t="shared" si="4"/>
        <v>Yes</v>
      </c>
      <c r="P43" s="21" t="str">
        <f t="shared" si="5"/>
        <v>ntr</v>
      </c>
      <c r="T43" s="38"/>
      <c r="U43" s="38"/>
      <c r="V43" s="38"/>
      <c r="W43" s="38"/>
      <c r="X43" s="38"/>
      <c r="Y43" s="32"/>
      <c r="Z43" s="32"/>
      <c r="AD43" s="10"/>
      <c r="AF43" s="12"/>
      <c r="AG43" s="13"/>
      <c r="AH43" s="13"/>
      <c r="AI43" s="14"/>
      <c r="AJ43" s="14"/>
      <c r="AK43" s="15"/>
    </row>
    <row r="44">
      <c r="A44" s="16">
        <v>45115.0</v>
      </c>
      <c r="B44" s="1" t="s">
        <v>31</v>
      </c>
      <c r="C44" s="1" t="s">
        <v>40</v>
      </c>
      <c r="D44" s="1">
        <v>3.0</v>
      </c>
      <c r="E44" s="1">
        <v>40.0</v>
      </c>
      <c r="F44" s="17" t="str">
        <f>VLOOKUP(D44,category!$A$2:$B$14,2,false)</f>
        <v>Stay</v>
      </c>
      <c r="G44" s="17" t="str">
        <f t="shared" si="1"/>
        <v>cheap</v>
      </c>
      <c r="H44" s="18">
        <f t="shared" si="2"/>
        <v>7</v>
      </c>
      <c r="I44" s="1"/>
      <c r="J44" s="39" t="str">
        <f>IFERROR(__xludf.DUMMYFUNCTION("""COMPUTED_VALUE"""),"Bratislava")</f>
        <v>Bratislava</v>
      </c>
      <c r="K44" s="31"/>
      <c r="L44" s="31"/>
      <c r="N44" s="34"/>
      <c r="O44" s="21" t="str">
        <f t="shared" si="4"/>
        <v>Yes</v>
      </c>
      <c r="P44" s="21" t="str">
        <f t="shared" si="5"/>
        <v>tay</v>
      </c>
      <c r="T44" s="38"/>
      <c r="U44" s="38"/>
      <c r="V44" s="38"/>
      <c r="W44" s="38"/>
      <c r="X44" s="38"/>
      <c r="Y44" s="32"/>
      <c r="Z44" s="32"/>
      <c r="AD44" s="10"/>
      <c r="AF44" s="12"/>
      <c r="AG44" s="13"/>
      <c r="AH44" s="13"/>
      <c r="AI44" s="14"/>
      <c r="AJ44" s="14"/>
      <c r="AK44" s="15"/>
    </row>
    <row r="45">
      <c r="A45" s="16">
        <v>45115.0</v>
      </c>
      <c r="B45" s="1" t="s">
        <v>31</v>
      </c>
      <c r="C45" s="1" t="s">
        <v>40</v>
      </c>
      <c r="D45" s="1">
        <v>2.0</v>
      </c>
      <c r="E45" s="1">
        <v>23.0</v>
      </c>
      <c r="F45" s="17" t="str">
        <f>VLOOKUP(D45,category!$A$2:$B$14,2,false)</f>
        <v>Lunch</v>
      </c>
      <c r="G45" s="17" t="str">
        <f t="shared" si="1"/>
        <v>cheap</v>
      </c>
      <c r="H45" s="18">
        <f t="shared" si="2"/>
        <v>7</v>
      </c>
      <c r="I45" s="1"/>
      <c r="J45" s="39" t="str">
        <f>IFERROR(__xludf.DUMMYFUNCTION("""COMPUTED_VALUE"""),"Berlin")</f>
        <v>Berlin</v>
      </c>
      <c r="K45" s="31"/>
      <c r="L45" s="31"/>
      <c r="N45" s="34"/>
      <c r="O45" s="21" t="str">
        <f t="shared" si="4"/>
        <v>Yes</v>
      </c>
      <c r="P45" s="21" t="str">
        <f t="shared" si="5"/>
        <v>unc</v>
      </c>
      <c r="T45" s="38"/>
      <c r="U45" s="38"/>
      <c r="V45" s="38"/>
      <c r="W45" s="38"/>
      <c r="X45" s="38"/>
      <c r="Y45" s="32"/>
      <c r="Z45" s="32"/>
      <c r="AD45" s="10"/>
      <c r="AF45" s="12"/>
      <c r="AG45" s="13"/>
      <c r="AH45" s="13"/>
      <c r="AI45" s="14"/>
      <c r="AJ45" s="14"/>
      <c r="AK45" s="15"/>
    </row>
    <row r="46">
      <c r="A46" s="16">
        <v>45115.0</v>
      </c>
      <c r="B46" s="1" t="s">
        <v>31</v>
      </c>
      <c r="C46" s="1" t="s">
        <v>40</v>
      </c>
      <c r="D46" s="1">
        <v>6.0</v>
      </c>
      <c r="E46" s="1">
        <v>9.0</v>
      </c>
      <c r="F46" s="17" t="str">
        <f>VLOOKUP(D46,category!$A$2:$B$14,2,false)</f>
        <v>Dinner</v>
      </c>
      <c r="G46" s="17" t="str">
        <f t="shared" si="1"/>
        <v>cheap</v>
      </c>
      <c r="H46" s="18">
        <f t="shared" si="2"/>
        <v>7</v>
      </c>
      <c r="I46" s="1"/>
      <c r="J46" s="39" t="str">
        <f>IFERROR(__xludf.DUMMYFUNCTION("""COMPUTED_VALUE"""),"Mallorca")</f>
        <v>Mallorca</v>
      </c>
      <c r="K46" s="31"/>
      <c r="L46" s="31"/>
      <c r="N46" s="34"/>
      <c r="O46" s="21" t="str">
        <f t="shared" si="4"/>
        <v>Yes</v>
      </c>
      <c r="P46" s="21" t="str">
        <f t="shared" si="5"/>
        <v>inn</v>
      </c>
      <c r="T46" s="38"/>
      <c r="U46" s="38"/>
      <c r="V46" s="38"/>
      <c r="W46" s="38"/>
      <c r="X46" s="38"/>
      <c r="Y46" s="32"/>
      <c r="Z46" s="32"/>
      <c r="AD46" s="10"/>
      <c r="AF46" s="12"/>
      <c r="AG46" s="13"/>
      <c r="AH46" s="13"/>
      <c r="AI46" s="14"/>
      <c r="AJ46" s="14"/>
      <c r="AK46" s="15"/>
    </row>
    <row r="47">
      <c r="A47" s="16">
        <v>45116.0</v>
      </c>
      <c r="B47" s="1" t="s">
        <v>31</v>
      </c>
      <c r="C47" s="1" t="s">
        <v>40</v>
      </c>
      <c r="D47" s="1">
        <v>1.0</v>
      </c>
      <c r="E47" s="1">
        <v>11.0</v>
      </c>
      <c r="F47" s="17" t="str">
        <f>VLOOKUP(D47,category!$A$2:$B$14,2,false)</f>
        <v>Breakfast</v>
      </c>
      <c r="G47" s="17" t="str">
        <f t="shared" si="1"/>
        <v>cheap</v>
      </c>
      <c r="H47" s="18">
        <f t="shared" si="2"/>
        <v>7</v>
      </c>
      <c r="I47" s="1"/>
      <c r="J47" s="39" t="str">
        <f>IFERROR(__xludf.DUMMYFUNCTION("""COMPUTED_VALUE"""),"Banja Luka")</f>
        <v>Banja Luka</v>
      </c>
      <c r="K47" s="31"/>
      <c r="L47" s="31"/>
      <c r="N47" s="34"/>
      <c r="O47" s="21" t="str">
        <f t="shared" si="4"/>
        <v>Yes</v>
      </c>
      <c r="P47" s="21" t="str">
        <f t="shared" si="5"/>
        <v>rea</v>
      </c>
      <c r="T47" s="38"/>
      <c r="U47" s="38"/>
      <c r="V47" s="38"/>
      <c r="W47" s="38"/>
      <c r="X47" s="38"/>
      <c r="Y47" s="32"/>
      <c r="Z47" s="32"/>
      <c r="AD47" s="10"/>
      <c r="AF47" s="12"/>
      <c r="AG47" s="13"/>
      <c r="AH47" s="13"/>
      <c r="AI47" s="14"/>
      <c r="AJ47" s="14"/>
      <c r="AK47" s="15"/>
    </row>
    <row r="48">
      <c r="A48" s="16">
        <v>45116.0</v>
      </c>
      <c r="B48" s="1" t="s">
        <v>31</v>
      </c>
      <c r="C48" s="1" t="s">
        <v>40</v>
      </c>
      <c r="D48" s="1">
        <v>2.0</v>
      </c>
      <c r="E48" s="1">
        <v>19.0</v>
      </c>
      <c r="F48" s="17" t="str">
        <f>VLOOKUP(D48,category!$A$2:$B$14,2,false)</f>
        <v>Lunch</v>
      </c>
      <c r="G48" s="17" t="str">
        <f t="shared" si="1"/>
        <v>cheap</v>
      </c>
      <c r="H48" s="18">
        <f t="shared" si="2"/>
        <v>7</v>
      </c>
      <c r="I48" s="1"/>
      <c r="J48" s="39" t="str">
        <f>IFERROR(__xludf.DUMMYFUNCTION("""COMPUTED_VALUE"""),"Zagreb")</f>
        <v>Zagreb</v>
      </c>
      <c r="K48" s="31"/>
      <c r="L48" s="31"/>
      <c r="N48" s="34"/>
      <c r="O48" s="21" t="str">
        <f t="shared" si="4"/>
        <v>Yes</v>
      </c>
      <c r="P48" s="21" t="str">
        <f t="shared" si="5"/>
        <v>unc</v>
      </c>
      <c r="T48" s="38"/>
      <c r="U48" s="38"/>
      <c r="V48" s="38"/>
      <c r="W48" s="38"/>
      <c r="X48" s="38"/>
      <c r="Y48" s="32"/>
      <c r="Z48" s="32"/>
      <c r="AD48" s="10"/>
      <c r="AF48" s="12"/>
      <c r="AG48" s="13"/>
      <c r="AH48" s="13"/>
      <c r="AI48" s="14"/>
      <c r="AJ48" s="14"/>
      <c r="AK48" s="15"/>
    </row>
    <row r="49">
      <c r="A49" s="16">
        <v>45117.0</v>
      </c>
      <c r="B49" s="1" t="s">
        <v>30</v>
      </c>
      <c r="C49" s="1" t="s">
        <v>38</v>
      </c>
      <c r="D49" s="1">
        <v>1.0</v>
      </c>
      <c r="E49" s="1">
        <v>14.0</v>
      </c>
      <c r="F49" s="17" t="str">
        <f>VLOOKUP(D49,category!$A$2:$B$14,2,false)</f>
        <v>Breakfast</v>
      </c>
      <c r="G49" s="17" t="str">
        <f t="shared" si="1"/>
        <v>cheap</v>
      </c>
      <c r="H49" s="18">
        <f t="shared" si="2"/>
        <v>7</v>
      </c>
      <c r="I49" s="1"/>
      <c r="J49" s="39" t="str">
        <f>IFERROR(__xludf.DUMMYFUNCTION("""COMPUTED_VALUE"""),"Plitvic")</f>
        <v>Plitvic</v>
      </c>
      <c r="K49" s="31"/>
      <c r="L49" s="31"/>
      <c r="N49" s="34"/>
      <c r="O49" s="21" t="str">
        <f t="shared" si="4"/>
        <v>No</v>
      </c>
      <c r="P49" s="21" t="str">
        <f t="shared" si="5"/>
        <v>rea</v>
      </c>
      <c r="T49" s="38"/>
      <c r="U49" s="38"/>
      <c r="V49" s="38"/>
      <c r="W49" s="38"/>
      <c r="X49" s="38"/>
      <c r="Y49" s="32"/>
      <c r="Z49" s="32"/>
      <c r="AD49" s="10"/>
      <c r="AF49" s="12"/>
      <c r="AG49" s="13"/>
      <c r="AH49" s="13"/>
      <c r="AI49" s="14"/>
      <c r="AJ49" s="14"/>
      <c r="AK49" s="15"/>
    </row>
    <row r="50">
      <c r="A50" s="16">
        <v>45117.0</v>
      </c>
      <c r="B50" s="1" t="s">
        <v>30</v>
      </c>
      <c r="C50" s="1" t="s">
        <v>38</v>
      </c>
      <c r="D50" s="1">
        <v>3.0</v>
      </c>
      <c r="E50" s="1">
        <v>30.0</v>
      </c>
      <c r="F50" s="17" t="str">
        <f>VLOOKUP(D50,category!$A$2:$B$14,2,false)</f>
        <v>Stay</v>
      </c>
      <c r="G50" s="17" t="str">
        <f t="shared" si="1"/>
        <v>cheap</v>
      </c>
      <c r="H50" s="18">
        <f t="shared" si="2"/>
        <v>7</v>
      </c>
      <c r="I50" s="1"/>
      <c r="J50" s="39" t="str">
        <f>IFERROR(__xludf.DUMMYFUNCTION("""COMPUTED_VALUE"""),"Madrid")</f>
        <v>Madrid</v>
      </c>
      <c r="K50" s="31"/>
      <c r="L50" s="31"/>
      <c r="N50" s="34"/>
      <c r="O50" s="21" t="str">
        <f t="shared" si="4"/>
        <v>No</v>
      </c>
      <c r="P50" s="21" t="str">
        <f t="shared" si="5"/>
        <v>tay</v>
      </c>
      <c r="T50" s="38"/>
      <c r="U50" s="38"/>
      <c r="V50" s="38"/>
      <c r="W50" s="38"/>
      <c r="X50" s="38"/>
      <c r="Y50" s="32"/>
      <c r="Z50" s="32"/>
      <c r="AD50" s="10"/>
      <c r="AF50" s="12"/>
      <c r="AG50" s="13"/>
      <c r="AH50" s="13"/>
      <c r="AI50" s="14"/>
      <c r="AJ50" s="14"/>
      <c r="AK50" s="15"/>
    </row>
    <row r="51">
      <c r="A51" s="16">
        <v>45117.0</v>
      </c>
      <c r="B51" s="1" t="s">
        <v>30</v>
      </c>
      <c r="C51" s="1" t="s">
        <v>38</v>
      </c>
      <c r="D51" s="1">
        <v>2.0</v>
      </c>
      <c r="E51" s="1">
        <v>21.0</v>
      </c>
      <c r="F51" s="17" t="str">
        <f>VLOOKUP(D51,category!$A$2:$B$14,2,false)</f>
        <v>Lunch</v>
      </c>
      <c r="G51" s="17" t="str">
        <f t="shared" si="1"/>
        <v>cheap</v>
      </c>
      <c r="H51" s="18">
        <f t="shared" si="2"/>
        <v>7</v>
      </c>
      <c r="I51" s="1"/>
      <c r="J51" s="39" t="str">
        <f>IFERROR(__xludf.DUMMYFUNCTION("""COMPUTED_VALUE"""),"Bogota")</f>
        <v>Bogota</v>
      </c>
      <c r="K51" s="31"/>
      <c r="L51" s="31"/>
      <c r="N51" s="34"/>
      <c r="O51" s="21" t="str">
        <f t="shared" si="4"/>
        <v>No</v>
      </c>
      <c r="P51" s="21" t="str">
        <f t="shared" si="5"/>
        <v>unc</v>
      </c>
      <c r="T51" s="38"/>
      <c r="U51" s="38"/>
      <c r="V51" s="38"/>
      <c r="W51" s="38"/>
      <c r="X51" s="38"/>
      <c r="Y51" s="32"/>
      <c r="Z51" s="32"/>
      <c r="AD51" s="10"/>
      <c r="AF51" s="12"/>
      <c r="AG51" s="13"/>
      <c r="AH51" s="13"/>
      <c r="AI51" s="14"/>
      <c r="AJ51" s="14"/>
      <c r="AK51" s="15"/>
    </row>
    <row r="52">
      <c r="A52" s="41">
        <v>45117.0</v>
      </c>
      <c r="B52" s="1" t="s">
        <v>30</v>
      </c>
      <c r="C52" s="1" t="s">
        <v>38</v>
      </c>
      <c r="D52" s="1">
        <v>6.0</v>
      </c>
      <c r="E52" s="1">
        <v>40.0</v>
      </c>
      <c r="F52" s="17" t="str">
        <f>VLOOKUP(D52,category!$A$2:$B$14,2,false)</f>
        <v>Dinner</v>
      </c>
      <c r="G52" s="17" t="str">
        <f t="shared" si="1"/>
        <v>cheap</v>
      </c>
      <c r="H52" s="18">
        <f t="shared" si="2"/>
        <v>7</v>
      </c>
      <c r="I52" s="1"/>
      <c r="J52" s="39" t="str">
        <f>IFERROR(__xludf.DUMMYFUNCTION("""COMPUTED_VALUE"""),"Lima")</f>
        <v>Lima</v>
      </c>
      <c r="K52" s="31"/>
      <c r="L52" s="31"/>
      <c r="N52" s="34"/>
      <c r="O52" s="21" t="str">
        <f t="shared" si="4"/>
        <v>No</v>
      </c>
      <c r="P52" s="21" t="str">
        <f t="shared" si="5"/>
        <v>inn</v>
      </c>
      <c r="T52" s="38"/>
      <c r="U52" s="38"/>
      <c r="V52" s="38"/>
      <c r="W52" s="38"/>
      <c r="X52" s="38"/>
      <c r="Y52" s="32"/>
      <c r="Z52" s="32"/>
      <c r="AD52" s="10"/>
      <c r="AF52" s="12"/>
      <c r="AG52" s="13"/>
      <c r="AH52" s="13"/>
      <c r="AI52" s="14"/>
      <c r="AJ52" s="14"/>
      <c r="AK52" s="15"/>
    </row>
    <row r="53">
      <c r="A53" s="16">
        <v>45273.0</v>
      </c>
      <c r="B53" s="1" t="s">
        <v>29</v>
      </c>
      <c r="C53" s="1" t="s">
        <v>42</v>
      </c>
      <c r="D53" s="1">
        <v>5.0</v>
      </c>
      <c r="E53" s="1">
        <v>488.0</v>
      </c>
      <c r="F53" s="17" t="str">
        <f>VLOOKUP(D53,category!$A$2:$B$14,2,false)</f>
        <v>Travel</v>
      </c>
      <c r="G53" s="17" t="str">
        <f t="shared" si="1"/>
        <v>expensive</v>
      </c>
      <c r="H53" s="18">
        <f t="shared" si="2"/>
        <v>12</v>
      </c>
      <c r="I53" s="1"/>
      <c r="J53" s="39" t="str">
        <f>IFERROR(__xludf.DUMMYFUNCTION("""COMPUTED_VALUE"""),"Cusco")</f>
        <v>Cusco</v>
      </c>
      <c r="K53" s="31"/>
      <c r="L53" s="31"/>
      <c r="O53" s="21" t="str">
        <f t="shared" si="4"/>
        <v>No</v>
      </c>
      <c r="P53" s="21" t="str">
        <f t="shared" si="5"/>
        <v>rav</v>
      </c>
      <c r="T53" s="38"/>
      <c r="U53" s="38"/>
      <c r="V53" s="38"/>
      <c r="W53" s="38"/>
      <c r="X53" s="38"/>
      <c r="Y53" s="32"/>
      <c r="Z53" s="32"/>
      <c r="AD53" s="10"/>
      <c r="AF53" s="12"/>
      <c r="AG53" s="13"/>
      <c r="AH53" s="13"/>
      <c r="AI53" s="14"/>
      <c r="AJ53" s="14"/>
      <c r="AK53" s="15"/>
    </row>
    <row r="54">
      <c r="A54" s="16">
        <v>45273.0</v>
      </c>
      <c r="B54" s="1" t="s">
        <v>29</v>
      </c>
      <c r="C54" s="1" t="s">
        <v>42</v>
      </c>
      <c r="D54" s="1">
        <v>3.0</v>
      </c>
      <c r="E54" s="1">
        <v>200.0</v>
      </c>
      <c r="F54" s="17" t="str">
        <f>VLOOKUP(D54,category!$A$2:$B$14,2,false)</f>
        <v>Stay</v>
      </c>
      <c r="G54" s="17" t="str">
        <f t="shared" si="1"/>
        <v>expensive</v>
      </c>
      <c r="H54" s="18">
        <f t="shared" si="2"/>
        <v>12</v>
      </c>
      <c r="I54" s="1"/>
      <c r="J54" s="39" t="str">
        <f>IFERROR(__xludf.DUMMYFUNCTION("""COMPUTED_VALUE"""),"Machu Picchu")</f>
        <v>Machu Picchu</v>
      </c>
      <c r="K54" s="31"/>
      <c r="L54" s="31"/>
      <c r="O54" s="21" t="str">
        <f t="shared" si="4"/>
        <v>No</v>
      </c>
      <c r="P54" s="21" t="str">
        <f t="shared" si="5"/>
        <v>tay</v>
      </c>
      <c r="T54" s="38"/>
      <c r="U54" s="38"/>
      <c r="V54" s="38"/>
      <c r="W54" s="38"/>
      <c r="X54" s="38"/>
      <c r="Y54" s="32"/>
      <c r="Z54" s="32"/>
      <c r="AD54" s="10"/>
      <c r="AF54" s="12"/>
      <c r="AG54" s="13"/>
      <c r="AH54" s="13"/>
      <c r="AI54" s="14"/>
      <c r="AJ54" s="14"/>
      <c r="AK54" s="15"/>
    </row>
    <row r="55">
      <c r="A55" s="16">
        <v>45273.0</v>
      </c>
      <c r="B55" s="1" t="s">
        <v>29</v>
      </c>
      <c r="C55" s="1" t="s">
        <v>42</v>
      </c>
      <c r="D55" s="1">
        <v>6.0</v>
      </c>
      <c r="E55" s="1">
        <v>16.0</v>
      </c>
      <c r="F55" s="17" t="str">
        <f>VLOOKUP(D55,category!$A$2:$B$14,2,false)</f>
        <v>Dinner</v>
      </c>
      <c r="G55" s="17" t="str">
        <f t="shared" si="1"/>
        <v>cheap</v>
      </c>
      <c r="H55" s="18">
        <f t="shared" si="2"/>
        <v>12</v>
      </c>
      <c r="I55" s="1"/>
      <c r="J55" s="19" t="s">
        <v>43</v>
      </c>
      <c r="K55" s="31"/>
      <c r="L55" s="31"/>
      <c r="O55" s="21" t="str">
        <f t="shared" si="4"/>
        <v>No</v>
      </c>
      <c r="P55" s="21" t="str">
        <f t="shared" si="5"/>
        <v>inn</v>
      </c>
      <c r="T55" s="38"/>
      <c r="U55" s="38"/>
      <c r="V55" s="38"/>
      <c r="W55" s="38"/>
      <c r="X55" s="38"/>
      <c r="Y55" s="32"/>
      <c r="Z55" s="32"/>
      <c r="AD55" s="10"/>
      <c r="AF55" s="12"/>
      <c r="AG55" s="13"/>
      <c r="AH55" s="13"/>
      <c r="AI55" s="14"/>
      <c r="AJ55" s="14"/>
      <c r="AK55" s="15"/>
    </row>
    <row r="56">
      <c r="A56" s="16">
        <v>45274.0</v>
      </c>
      <c r="B56" s="1" t="s">
        <v>29</v>
      </c>
      <c r="C56" s="1" t="s">
        <v>42</v>
      </c>
      <c r="D56" s="1">
        <v>1.0</v>
      </c>
      <c r="E56" s="1">
        <v>36.0</v>
      </c>
      <c r="F56" s="17" t="str">
        <f>VLOOKUP(D56,category!$A$2:$B$14,2,false)</f>
        <v>Breakfast</v>
      </c>
      <c r="G56" s="17" t="str">
        <f t="shared" si="1"/>
        <v>cheap</v>
      </c>
      <c r="H56" s="18">
        <f t="shared" si="2"/>
        <v>12</v>
      </c>
      <c r="I56" s="1"/>
      <c r="J56" s="39">
        <f>IFERROR(__xludf.DUMMYFUNCTION("UNIQUE(D2:D128)"),1.0)</f>
        <v>1</v>
      </c>
      <c r="K56" s="31"/>
      <c r="L56" s="31"/>
      <c r="O56" s="21" t="str">
        <f t="shared" si="4"/>
        <v>No</v>
      </c>
      <c r="P56" s="21" t="str">
        <f t="shared" si="5"/>
        <v>rea</v>
      </c>
      <c r="T56" s="38"/>
      <c r="U56" s="38"/>
      <c r="V56" s="38"/>
      <c r="W56" s="38"/>
      <c r="X56" s="38"/>
      <c r="Y56" s="32"/>
      <c r="Z56" s="32"/>
      <c r="AD56" s="10"/>
      <c r="AF56" s="12"/>
      <c r="AG56" s="13"/>
      <c r="AH56" s="13"/>
      <c r="AI56" s="14"/>
      <c r="AJ56" s="14"/>
      <c r="AK56" s="15"/>
    </row>
    <row r="57">
      <c r="A57" s="16">
        <v>45274.0</v>
      </c>
      <c r="B57" s="1" t="s">
        <v>29</v>
      </c>
      <c r="C57" s="1" t="s">
        <v>42</v>
      </c>
      <c r="D57" s="1">
        <v>4.0</v>
      </c>
      <c r="E57" s="1">
        <v>6.0</v>
      </c>
      <c r="F57" s="17" t="str">
        <f>VLOOKUP(D57,category!$A$2:$B$14,2,false)</f>
        <v>Metro</v>
      </c>
      <c r="G57" s="17" t="str">
        <f t="shared" si="1"/>
        <v>cheap</v>
      </c>
      <c r="H57" s="18">
        <f t="shared" si="2"/>
        <v>12</v>
      </c>
      <c r="I57" s="1"/>
      <c r="J57" s="39">
        <f>IFERROR(__xludf.DUMMYFUNCTION("""COMPUTED_VALUE"""),2.0)</f>
        <v>2</v>
      </c>
      <c r="K57" s="31"/>
      <c r="L57" s="31"/>
      <c r="O57" s="21" t="str">
        <f t="shared" si="4"/>
        <v>No</v>
      </c>
      <c r="P57" s="21" t="str">
        <f t="shared" si="5"/>
        <v>etr</v>
      </c>
      <c r="T57" s="38"/>
      <c r="U57" s="38"/>
      <c r="V57" s="38"/>
      <c r="W57" s="38"/>
      <c r="X57" s="38"/>
      <c r="Y57" s="32"/>
      <c r="Z57" s="32"/>
      <c r="AD57" s="10"/>
      <c r="AF57" s="12"/>
      <c r="AG57" s="13"/>
      <c r="AH57" s="13"/>
      <c r="AI57" s="14"/>
      <c r="AJ57" s="14"/>
      <c r="AK57" s="15"/>
    </row>
    <row r="58">
      <c r="A58" s="16">
        <v>45274.0</v>
      </c>
      <c r="B58" s="1" t="s">
        <v>29</v>
      </c>
      <c r="C58" s="1" t="s">
        <v>42</v>
      </c>
      <c r="D58" s="1">
        <v>2.0</v>
      </c>
      <c r="E58" s="1">
        <v>21.0</v>
      </c>
      <c r="F58" s="17" t="str">
        <f>VLOOKUP(D58,category!$A$2:$B$14,2,false)</f>
        <v>Lunch</v>
      </c>
      <c r="G58" s="17" t="str">
        <f t="shared" si="1"/>
        <v>cheap</v>
      </c>
      <c r="H58" s="18">
        <f t="shared" si="2"/>
        <v>12</v>
      </c>
      <c r="I58" s="1"/>
      <c r="J58" s="39">
        <f>IFERROR(__xludf.DUMMYFUNCTION("""COMPUTED_VALUE"""),3.0)</f>
        <v>3</v>
      </c>
      <c r="K58" s="31"/>
      <c r="L58" s="31"/>
      <c r="M58" s="42"/>
      <c r="O58" s="21" t="str">
        <f t="shared" si="4"/>
        <v>No</v>
      </c>
      <c r="P58" s="21" t="str">
        <f t="shared" si="5"/>
        <v>unc</v>
      </c>
      <c r="T58" s="38"/>
      <c r="U58" s="38"/>
      <c r="V58" s="38"/>
      <c r="W58" s="38"/>
      <c r="X58" s="38"/>
      <c r="Y58" s="32"/>
      <c r="Z58" s="32"/>
      <c r="AD58" s="10"/>
      <c r="AF58" s="12"/>
      <c r="AG58" s="13"/>
      <c r="AH58" s="13"/>
      <c r="AI58" s="14"/>
      <c r="AJ58" s="14"/>
      <c r="AK58" s="15"/>
    </row>
    <row r="59">
      <c r="A59" s="16">
        <v>45274.0</v>
      </c>
      <c r="B59" s="1" t="s">
        <v>29</v>
      </c>
      <c r="C59" s="1" t="s">
        <v>42</v>
      </c>
      <c r="D59" s="1">
        <v>6.0</v>
      </c>
      <c r="E59" s="1">
        <v>29.0</v>
      </c>
      <c r="F59" s="17" t="str">
        <f>VLOOKUP(D59,category!$A$2:$B$14,2,false)</f>
        <v>Dinner</v>
      </c>
      <c r="G59" s="17" t="str">
        <f t="shared" si="1"/>
        <v>cheap</v>
      </c>
      <c r="H59" s="18">
        <f t="shared" si="2"/>
        <v>12</v>
      </c>
      <c r="I59" s="1"/>
      <c r="J59" s="39">
        <f>IFERROR(__xludf.DUMMYFUNCTION("""COMPUTED_VALUE"""),4.0)</f>
        <v>4</v>
      </c>
      <c r="K59" s="31"/>
      <c r="L59" s="31"/>
      <c r="O59" s="21" t="str">
        <f t="shared" si="4"/>
        <v>No</v>
      </c>
      <c r="P59" s="21" t="str">
        <f t="shared" si="5"/>
        <v>inn</v>
      </c>
      <c r="T59" s="38"/>
      <c r="U59" s="38"/>
      <c r="V59" s="38"/>
      <c r="W59" s="38"/>
      <c r="X59" s="38"/>
      <c r="Y59" s="32"/>
      <c r="Z59" s="32"/>
      <c r="AD59" s="10"/>
      <c r="AF59" s="12"/>
      <c r="AG59" s="13"/>
      <c r="AH59" s="13"/>
      <c r="AI59" s="14"/>
      <c r="AJ59" s="14"/>
      <c r="AK59" s="15"/>
    </row>
    <row r="60">
      <c r="A60" s="16">
        <v>45274.0</v>
      </c>
      <c r="B60" s="1" t="s">
        <v>29</v>
      </c>
      <c r="C60" s="1" t="s">
        <v>42</v>
      </c>
      <c r="D60" s="1">
        <v>12.0</v>
      </c>
      <c r="E60" s="1">
        <v>3.0</v>
      </c>
      <c r="F60" s="17" t="str">
        <f>VLOOKUP(D60,category!$A$2:$B$14,2,false)</f>
        <v>Grocery</v>
      </c>
      <c r="G60" s="17" t="str">
        <f t="shared" si="1"/>
        <v>cheap</v>
      </c>
      <c r="H60" s="18">
        <f t="shared" si="2"/>
        <v>12</v>
      </c>
      <c r="I60" s="1"/>
      <c r="J60" s="39">
        <f>IFERROR(__xludf.DUMMYFUNCTION("""COMPUTED_VALUE"""),5.0)</f>
        <v>5</v>
      </c>
      <c r="K60" s="31"/>
      <c r="L60" s="31"/>
      <c r="O60" s="21" t="str">
        <f t="shared" si="4"/>
        <v>No</v>
      </c>
      <c r="P60" s="21" t="str">
        <f t="shared" si="5"/>
        <v>roc</v>
      </c>
      <c r="T60" s="38"/>
      <c r="U60" s="38"/>
      <c r="V60" s="38"/>
      <c r="W60" s="38"/>
      <c r="X60" s="38"/>
      <c r="Y60" s="32"/>
      <c r="Z60" s="32"/>
      <c r="AD60" s="10"/>
      <c r="AF60" s="12"/>
      <c r="AG60" s="13"/>
      <c r="AH60" s="13"/>
      <c r="AI60" s="14"/>
      <c r="AJ60" s="14"/>
      <c r="AK60" s="15"/>
    </row>
    <row r="61">
      <c r="A61" s="16">
        <v>45275.0</v>
      </c>
      <c r="B61" s="1" t="s">
        <v>33</v>
      </c>
      <c r="C61" s="1" t="s">
        <v>44</v>
      </c>
      <c r="D61" s="1">
        <v>5.0</v>
      </c>
      <c r="E61" s="1">
        <v>2600.0</v>
      </c>
      <c r="F61" s="17" t="str">
        <f>VLOOKUP(D61,category!$A$2:$B$14,2,false)</f>
        <v>Travel</v>
      </c>
      <c r="G61" s="17" t="str">
        <f t="shared" si="1"/>
        <v>expensive</v>
      </c>
      <c r="H61" s="18">
        <f t="shared" si="2"/>
        <v>12</v>
      </c>
      <c r="I61" s="1"/>
      <c r="J61" s="39">
        <f>IFERROR(__xludf.DUMMYFUNCTION("""COMPUTED_VALUE"""),6.0)</f>
        <v>6</v>
      </c>
      <c r="K61" s="31"/>
      <c r="L61" s="31"/>
      <c r="O61" s="21" t="str">
        <f t="shared" si="4"/>
        <v>No</v>
      </c>
      <c r="P61" s="21" t="str">
        <f t="shared" si="5"/>
        <v>rav</v>
      </c>
      <c r="T61" s="38"/>
      <c r="U61" s="38"/>
      <c r="V61" s="38"/>
      <c r="W61" s="38"/>
      <c r="X61" s="38"/>
      <c r="Y61" s="32"/>
      <c r="Z61" s="32"/>
      <c r="AD61" s="10"/>
      <c r="AF61" s="12"/>
      <c r="AG61" s="13"/>
      <c r="AH61" s="13"/>
      <c r="AI61" s="14"/>
      <c r="AJ61" s="14"/>
      <c r="AK61" s="15"/>
    </row>
    <row r="62">
      <c r="A62" s="16">
        <v>45275.0</v>
      </c>
      <c r="B62" s="1" t="s">
        <v>33</v>
      </c>
      <c r="C62" s="1" t="s">
        <v>44</v>
      </c>
      <c r="D62" s="1">
        <v>4.0</v>
      </c>
      <c r="E62" s="1">
        <v>18.0</v>
      </c>
      <c r="F62" s="17" t="str">
        <f>VLOOKUP(D62,category!$A$2:$B$14,2,false)</f>
        <v>Metro</v>
      </c>
      <c r="G62" s="17" t="str">
        <f t="shared" si="1"/>
        <v>cheap</v>
      </c>
      <c r="H62" s="18">
        <f t="shared" si="2"/>
        <v>12</v>
      </c>
      <c r="I62" s="1"/>
      <c r="J62" s="39">
        <f>IFERROR(__xludf.DUMMYFUNCTION("""COMPUTED_VALUE"""),7.0)</f>
        <v>7</v>
      </c>
      <c r="K62" s="31"/>
      <c r="L62" s="31"/>
      <c r="O62" s="21" t="str">
        <f t="shared" si="4"/>
        <v>No</v>
      </c>
      <c r="P62" s="21" t="str">
        <f t="shared" si="5"/>
        <v>etr</v>
      </c>
      <c r="T62" s="38"/>
      <c r="U62" s="38"/>
      <c r="V62" s="38"/>
      <c r="W62" s="38"/>
      <c r="X62" s="38"/>
      <c r="Y62" s="32"/>
      <c r="Z62" s="32"/>
      <c r="AD62" s="10"/>
      <c r="AF62" s="12"/>
      <c r="AG62" s="13"/>
      <c r="AH62" s="13"/>
      <c r="AI62" s="14"/>
      <c r="AJ62" s="14"/>
      <c r="AK62" s="15"/>
    </row>
    <row r="63">
      <c r="A63" s="16">
        <v>45275.0</v>
      </c>
      <c r="B63" s="1" t="s">
        <v>33</v>
      </c>
      <c r="C63" s="1" t="s">
        <v>44</v>
      </c>
      <c r="D63" s="1">
        <v>3.0</v>
      </c>
      <c r="E63" s="1">
        <v>208.0</v>
      </c>
      <c r="F63" s="17" t="str">
        <f>VLOOKUP(D63,category!$A$2:$B$14,2,false)</f>
        <v>Stay</v>
      </c>
      <c r="G63" s="17" t="str">
        <f t="shared" si="1"/>
        <v>expensive</v>
      </c>
      <c r="H63" s="18">
        <f t="shared" si="2"/>
        <v>12</v>
      </c>
      <c r="I63" s="1"/>
      <c r="J63" s="39">
        <f>IFERROR(__xludf.DUMMYFUNCTION("""COMPUTED_VALUE"""),8.0)</f>
        <v>8</v>
      </c>
      <c r="K63" s="31"/>
      <c r="L63" s="31"/>
      <c r="O63" s="21" t="str">
        <f t="shared" si="4"/>
        <v>No</v>
      </c>
      <c r="P63" s="21" t="str">
        <f t="shared" si="5"/>
        <v>tay</v>
      </c>
      <c r="T63" s="38"/>
      <c r="U63" s="38"/>
      <c r="V63" s="38"/>
      <c r="W63" s="38"/>
      <c r="X63" s="38"/>
      <c r="Y63" s="32"/>
      <c r="Z63" s="32"/>
      <c r="AD63" s="10"/>
      <c r="AF63" s="12"/>
      <c r="AG63" s="13"/>
      <c r="AH63" s="13"/>
      <c r="AI63" s="14"/>
      <c r="AJ63" s="14"/>
      <c r="AK63" s="15"/>
    </row>
    <row r="64">
      <c r="A64" s="16">
        <v>45275.0</v>
      </c>
      <c r="B64" s="1" t="s">
        <v>33</v>
      </c>
      <c r="C64" s="1" t="s">
        <v>44</v>
      </c>
      <c r="D64" s="1">
        <v>12.0</v>
      </c>
      <c r="E64" s="1">
        <v>2.0</v>
      </c>
      <c r="F64" s="17" t="str">
        <f>VLOOKUP(D64,category!$A$2:$B$14,2,false)</f>
        <v>Grocery</v>
      </c>
      <c r="G64" s="17" t="str">
        <f t="shared" si="1"/>
        <v>cheap</v>
      </c>
      <c r="H64" s="18">
        <f t="shared" si="2"/>
        <v>12</v>
      </c>
      <c r="I64" s="1"/>
      <c r="J64" s="39">
        <f>IFERROR(__xludf.DUMMYFUNCTION("""COMPUTED_VALUE"""),9.0)</f>
        <v>9</v>
      </c>
      <c r="K64" s="31"/>
      <c r="L64" s="31"/>
      <c r="O64" s="21" t="str">
        <f t="shared" si="4"/>
        <v>No</v>
      </c>
      <c r="P64" s="21" t="str">
        <f t="shared" si="5"/>
        <v>roc</v>
      </c>
      <c r="T64" s="38"/>
      <c r="U64" s="38"/>
      <c r="V64" s="38"/>
      <c r="W64" s="38"/>
      <c r="X64" s="38"/>
      <c r="Y64" s="32"/>
      <c r="Z64" s="32"/>
      <c r="AD64" s="10"/>
      <c r="AF64" s="12"/>
      <c r="AG64" s="13"/>
      <c r="AH64" s="13"/>
      <c r="AI64" s="14"/>
      <c r="AJ64" s="14"/>
      <c r="AK64" s="15"/>
    </row>
    <row r="65">
      <c r="A65" s="16">
        <v>45276.0</v>
      </c>
      <c r="B65" s="1" t="s">
        <v>33</v>
      </c>
      <c r="C65" s="1" t="s">
        <v>44</v>
      </c>
      <c r="D65" s="1">
        <v>1.0</v>
      </c>
      <c r="E65" s="1">
        <v>16.0</v>
      </c>
      <c r="F65" s="17" t="str">
        <f>VLOOKUP(D65,category!$A$2:$B$14,2,false)</f>
        <v>Breakfast</v>
      </c>
      <c r="G65" s="17" t="str">
        <f t="shared" si="1"/>
        <v>cheap</v>
      </c>
      <c r="H65" s="18">
        <f t="shared" si="2"/>
        <v>12</v>
      </c>
      <c r="I65" s="1"/>
      <c r="J65" s="39">
        <f>IFERROR(__xludf.DUMMYFUNCTION("""COMPUTED_VALUE"""),10.0)</f>
        <v>10</v>
      </c>
      <c r="K65" s="31"/>
      <c r="L65" s="31"/>
      <c r="O65" s="21" t="str">
        <f t="shared" si="4"/>
        <v>No</v>
      </c>
      <c r="P65" s="21" t="str">
        <f t="shared" si="5"/>
        <v>rea</v>
      </c>
      <c r="T65" s="38"/>
      <c r="U65" s="38"/>
      <c r="V65" s="38"/>
      <c r="W65" s="38"/>
      <c r="X65" s="38"/>
      <c r="Y65" s="32"/>
      <c r="Z65" s="32"/>
      <c r="AD65" s="10"/>
      <c r="AF65" s="12"/>
      <c r="AG65" s="13"/>
      <c r="AH65" s="13"/>
      <c r="AI65" s="14"/>
      <c r="AJ65" s="14"/>
      <c r="AK65" s="15"/>
    </row>
    <row r="66">
      <c r="A66" s="16">
        <v>45276.0</v>
      </c>
      <c r="B66" s="1" t="s">
        <v>33</v>
      </c>
      <c r="C66" s="1" t="s">
        <v>44</v>
      </c>
      <c r="D66" s="1">
        <v>2.0</v>
      </c>
      <c r="E66" s="1">
        <v>5.0</v>
      </c>
      <c r="F66" s="17" t="str">
        <f>VLOOKUP(D66,category!$A$2:$B$14,2,false)</f>
        <v>Lunch</v>
      </c>
      <c r="G66" s="17" t="str">
        <f t="shared" si="1"/>
        <v>cheap</v>
      </c>
      <c r="H66" s="18">
        <f t="shared" si="2"/>
        <v>12</v>
      </c>
      <c r="I66" s="1"/>
      <c r="J66" s="39">
        <f>IFERROR(__xludf.DUMMYFUNCTION("""COMPUTED_VALUE"""),11.0)</f>
        <v>11</v>
      </c>
      <c r="K66" s="31"/>
      <c r="L66" s="31"/>
      <c r="O66" s="21" t="str">
        <f t="shared" si="4"/>
        <v>No</v>
      </c>
      <c r="P66" s="21" t="str">
        <f t="shared" si="5"/>
        <v>unc</v>
      </c>
      <c r="T66" s="38"/>
      <c r="U66" s="38"/>
      <c r="V66" s="38"/>
      <c r="W66" s="38"/>
      <c r="X66" s="38"/>
      <c r="Y66" s="32"/>
      <c r="Z66" s="32"/>
      <c r="AD66" s="10"/>
      <c r="AF66" s="12"/>
      <c r="AG66" s="13"/>
      <c r="AH66" s="13"/>
      <c r="AI66" s="14"/>
      <c r="AJ66" s="14"/>
      <c r="AK66" s="15"/>
    </row>
    <row r="67">
      <c r="A67" s="16">
        <v>45276.0</v>
      </c>
      <c r="B67" s="1" t="s">
        <v>33</v>
      </c>
      <c r="C67" s="1" t="s">
        <v>44</v>
      </c>
      <c r="D67" s="1">
        <v>6.0</v>
      </c>
      <c r="E67" s="1">
        <v>8.0</v>
      </c>
      <c r="F67" s="17" t="str">
        <f>VLOOKUP(D67,category!$A$2:$B$14,2,false)</f>
        <v>Dinner</v>
      </c>
      <c r="G67" s="17" t="str">
        <f t="shared" si="1"/>
        <v>cheap</v>
      </c>
      <c r="H67" s="18">
        <f t="shared" si="2"/>
        <v>12</v>
      </c>
      <c r="I67" s="1"/>
      <c r="J67" s="39">
        <f>IFERROR(__xludf.DUMMYFUNCTION("""COMPUTED_VALUE"""),12.0)</f>
        <v>12</v>
      </c>
      <c r="K67" s="31"/>
      <c r="L67" s="31"/>
      <c r="O67" s="21" t="str">
        <f t="shared" si="4"/>
        <v>No</v>
      </c>
      <c r="P67" s="21" t="str">
        <f t="shared" si="5"/>
        <v>inn</v>
      </c>
      <c r="T67" s="38"/>
      <c r="U67" s="38"/>
      <c r="V67" s="38"/>
      <c r="W67" s="38"/>
      <c r="X67" s="38"/>
      <c r="Y67" s="32"/>
      <c r="Z67" s="32"/>
      <c r="AD67" s="10"/>
      <c r="AF67" s="12"/>
      <c r="AG67" s="13"/>
      <c r="AH67" s="13"/>
      <c r="AI67" s="14"/>
      <c r="AJ67" s="14"/>
      <c r="AK67" s="15"/>
    </row>
    <row r="68">
      <c r="A68" s="16">
        <v>45277.0</v>
      </c>
      <c r="B68" s="1" t="s">
        <v>33</v>
      </c>
      <c r="C68" s="1" t="s">
        <v>44</v>
      </c>
      <c r="D68" s="1">
        <v>1.0</v>
      </c>
      <c r="E68" s="1">
        <v>16.0</v>
      </c>
      <c r="F68" s="17" t="str">
        <f>VLOOKUP(D68,category!$A$2:$B$14,2,false)</f>
        <v>Breakfast</v>
      </c>
      <c r="G68" s="17" t="str">
        <f t="shared" si="1"/>
        <v>cheap</v>
      </c>
      <c r="H68" s="18">
        <f t="shared" si="2"/>
        <v>12</v>
      </c>
      <c r="I68" s="1"/>
      <c r="J68" s="39">
        <f>IFERROR(__xludf.DUMMYFUNCTION("""COMPUTED_VALUE"""),13.0)</f>
        <v>13</v>
      </c>
      <c r="K68" s="31"/>
      <c r="L68" s="31"/>
      <c r="O68" s="21" t="str">
        <f t="shared" si="4"/>
        <v>No</v>
      </c>
      <c r="P68" s="21" t="str">
        <f t="shared" si="5"/>
        <v>rea</v>
      </c>
      <c r="T68" s="38"/>
      <c r="U68" s="38"/>
      <c r="V68" s="38"/>
      <c r="W68" s="38"/>
      <c r="X68" s="38"/>
      <c r="Y68" s="32"/>
      <c r="Z68" s="32"/>
      <c r="AD68" s="10"/>
      <c r="AF68" s="12"/>
      <c r="AG68" s="13"/>
      <c r="AH68" s="13"/>
      <c r="AI68" s="14"/>
      <c r="AJ68" s="14"/>
      <c r="AK68" s="15"/>
    </row>
    <row r="69">
      <c r="A69" s="16">
        <v>45277.0</v>
      </c>
      <c r="B69" s="1" t="s">
        <v>33</v>
      </c>
      <c r="C69" s="1" t="s">
        <v>44</v>
      </c>
      <c r="D69" s="1">
        <v>2.0</v>
      </c>
      <c r="E69" s="1">
        <v>21.0</v>
      </c>
      <c r="F69" s="17" t="str">
        <f>VLOOKUP(D69,category!$A$2:$B$14,2,false)</f>
        <v>Lunch</v>
      </c>
      <c r="G69" s="17" t="str">
        <f t="shared" si="1"/>
        <v>cheap</v>
      </c>
      <c r="H69" s="18">
        <f t="shared" si="2"/>
        <v>12</v>
      </c>
      <c r="I69" s="1"/>
      <c r="J69" s="19" t="s">
        <v>45</v>
      </c>
      <c r="K69" s="31"/>
      <c r="L69" s="31"/>
      <c r="O69" s="21" t="str">
        <f t="shared" si="4"/>
        <v>No</v>
      </c>
      <c r="P69" s="21" t="str">
        <f t="shared" si="5"/>
        <v>unc</v>
      </c>
      <c r="T69" s="38"/>
      <c r="U69" s="38"/>
      <c r="V69" s="38"/>
      <c r="W69" s="38"/>
      <c r="X69" s="38"/>
      <c r="Y69" s="32"/>
      <c r="Z69" s="32"/>
      <c r="AD69" s="10"/>
      <c r="AF69" s="12"/>
      <c r="AG69" s="13"/>
      <c r="AH69" s="13"/>
      <c r="AI69" s="14"/>
      <c r="AJ69" s="14"/>
      <c r="AK69" s="15"/>
    </row>
    <row r="70">
      <c r="A70" s="16">
        <v>45277.0</v>
      </c>
      <c r="B70" s="1" t="s">
        <v>33</v>
      </c>
      <c r="C70" s="1" t="s">
        <v>44</v>
      </c>
      <c r="D70" s="1">
        <v>7.0</v>
      </c>
      <c r="E70" s="1">
        <v>9.0</v>
      </c>
      <c r="F70" s="17" t="str">
        <f>VLOOKUP(D70,category!$A$2:$B$14,2,false)</f>
        <v>Entrance</v>
      </c>
      <c r="G70" s="17" t="str">
        <f t="shared" si="1"/>
        <v>cheap</v>
      </c>
      <c r="H70" s="18">
        <f t="shared" si="2"/>
        <v>12</v>
      </c>
      <c r="I70" s="1"/>
      <c r="J70" s="43">
        <f>IFERROR(__xludf.DUMMYFUNCTION("UNIQUE(E2:E128)"),20.0)</f>
        <v>20</v>
      </c>
      <c r="K70" s="31"/>
      <c r="L70" s="31"/>
      <c r="O70" s="21" t="str">
        <f t="shared" si="4"/>
        <v>No</v>
      </c>
      <c r="P70" s="21" t="str">
        <f t="shared" si="5"/>
        <v>ntr</v>
      </c>
      <c r="T70" s="38"/>
      <c r="U70" s="38"/>
      <c r="V70" s="38"/>
      <c r="W70" s="38"/>
      <c r="X70" s="38"/>
      <c r="Y70" s="32"/>
      <c r="Z70" s="32"/>
      <c r="AD70" s="10"/>
      <c r="AF70" s="12"/>
      <c r="AG70" s="13"/>
      <c r="AH70" s="13"/>
      <c r="AI70" s="14"/>
      <c r="AJ70" s="14"/>
      <c r="AK70" s="15"/>
    </row>
    <row r="71">
      <c r="A71" s="16">
        <v>45277.0</v>
      </c>
      <c r="B71" s="1" t="s">
        <v>33</v>
      </c>
      <c r="C71" s="1" t="s">
        <v>44</v>
      </c>
      <c r="D71" s="1">
        <v>6.0</v>
      </c>
      <c r="E71" s="1">
        <v>4.0</v>
      </c>
      <c r="F71" s="17" t="str">
        <f>VLOOKUP(D71,category!$A$2:$B$14,2,false)</f>
        <v>Dinner</v>
      </c>
      <c r="G71" s="17" t="str">
        <f t="shared" si="1"/>
        <v>cheap</v>
      </c>
      <c r="H71" s="18">
        <f t="shared" si="2"/>
        <v>12</v>
      </c>
      <c r="I71" s="1"/>
      <c r="J71" s="39">
        <f>IFERROR(__xludf.DUMMYFUNCTION("""COMPUTED_VALUE"""),40.0)</f>
        <v>40</v>
      </c>
      <c r="K71" s="31"/>
      <c r="L71" s="31"/>
      <c r="O71" s="21" t="str">
        <f t="shared" si="4"/>
        <v>No</v>
      </c>
      <c r="P71" s="21" t="str">
        <f t="shared" si="5"/>
        <v>inn</v>
      </c>
      <c r="T71" s="38"/>
      <c r="U71" s="38"/>
      <c r="V71" s="38"/>
      <c r="W71" s="38"/>
      <c r="X71" s="38"/>
      <c r="Y71" s="32"/>
      <c r="Z71" s="32"/>
      <c r="AD71" s="10"/>
      <c r="AF71" s="12"/>
      <c r="AG71" s="13"/>
      <c r="AH71" s="13"/>
      <c r="AI71" s="14"/>
      <c r="AJ71" s="14"/>
      <c r="AK71" s="15"/>
    </row>
    <row r="72">
      <c r="A72" s="16">
        <v>45278.0</v>
      </c>
      <c r="B72" s="1" t="s">
        <v>33</v>
      </c>
      <c r="C72" s="1" t="s">
        <v>44</v>
      </c>
      <c r="D72" s="1">
        <v>1.0</v>
      </c>
      <c r="E72" s="1">
        <v>16.0</v>
      </c>
      <c r="F72" s="17" t="str">
        <f>VLOOKUP(D72,category!$A$2:$B$14,2,false)</f>
        <v>Breakfast</v>
      </c>
      <c r="G72" s="17" t="str">
        <f t="shared" si="1"/>
        <v>cheap</v>
      </c>
      <c r="H72" s="18">
        <f t="shared" si="2"/>
        <v>12</v>
      </c>
      <c r="I72" s="1"/>
      <c r="J72" s="39">
        <f>IFERROR(__xludf.DUMMYFUNCTION("""COMPUTED_VALUE"""),230.0)</f>
        <v>230</v>
      </c>
      <c r="K72" s="31"/>
      <c r="L72" s="31"/>
      <c r="O72" s="21" t="str">
        <f t="shared" si="4"/>
        <v>No</v>
      </c>
      <c r="P72" s="21" t="str">
        <f t="shared" si="5"/>
        <v>rea</v>
      </c>
      <c r="T72" s="38"/>
      <c r="U72" s="38"/>
      <c r="V72" s="38"/>
      <c r="W72" s="38"/>
      <c r="X72" s="38"/>
      <c r="Y72" s="32"/>
      <c r="Z72" s="32"/>
      <c r="AD72" s="10"/>
      <c r="AF72" s="12"/>
      <c r="AG72" s="13"/>
      <c r="AH72" s="13"/>
      <c r="AI72" s="14"/>
      <c r="AJ72" s="14"/>
      <c r="AK72" s="15"/>
    </row>
    <row r="73">
      <c r="A73" s="16">
        <v>45278.0</v>
      </c>
      <c r="B73" s="1" t="s">
        <v>33</v>
      </c>
      <c r="C73" s="1" t="s">
        <v>44</v>
      </c>
      <c r="D73" s="1">
        <v>2.0</v>
      </c>
      <c r="E73" s="1">
        <v>3.0</v>
      </c>
      <c r="F73" s="17" t="str">
        <f>VLOOKUP(D73,category!$A$2:$B$14,2,false)</f>
        <v>Lunch</v>
      </c>
      <c r="G73" s="17" t="str">
        <f t="shared" si="1"/>
        <v>cheap</v>
      </c>
      <c r="H73" s="18">
        <f t="shared" si="2"/>
        <v>12</v>
      </c>
      <c r="I73" s="1"/>
      <c r="J73" s="39">
        <f>IFERROR(__xludf.DUMMYFUNCTION("""COMPUTED_VALUE"""),16.0)</f>
        <v>16</v>
      </c>
      <c r="K73" s="31"/>
      <c r="L73" s="31"/>
      <c r="O73" s="21" t="str">
        <f t="shared" si="4"/>
        <v>No</v>
      </c>
      <c r="P73" s="21" t="str">
        <f t="shared" si="5"/>
        <v>unc</v>
      </c>
      <c r="T73" s="38"/>
      <c r="U73" s="38"/>
      <c r="V73" s="38"/>
      <c r="W73" s="38"/>
      <c r="X73" s="38"/>
      <c r="Y73" s="32"/>
      <c r="Z73" s="32"/>
      <c r="AD73" s="10"/>
      <c r="AF73" s="12"/>
      <c r="AG73" s="13"/>
      <c r="AH73" s="13"/>
      <c r="AI73" s="14"/>
      <c r="AJ73" s="14"/>
      <c r="AK73" s="15"/>
    </row>
    <row r="74">
      <c r="A74" s="16">
        <v>45278.0</v>
      </c>
      <c r="B74" s="1" t="s">
        <v>33</v>
      </c>
      <c r="C74" s="1" t="s">
        <v>44</v>
      </c>
      <c r="D74" s="1">
        <v>12.0</v>
      </c>
      <c r="E74" s="1">
        <v>6.0</v>
      </c>
      <c r="F74" s="17" t="str">
        <f>VLOOKUP(D74,category!$A$2:$B$14,2,false)</f>
        <v>Grocery</v>
      </c>
      <c r="G74" s="17" t="str">
        <f t="shared" si="1"/>
        <v>cheap</v>
      </c>
      <c r="H74" s="18">
        <f t="shared" si="2"/>
        <v>12</v>
      </c>
      <c r="I74" s="1"/>
      <c r="J74" s="39">
        <f>IFERROR(__xludf.DUMMYFUNCTION("""COMPUTED_VALUE"""),240.0)</f>
        <v>240</v>
      </c>
      <c r="K74" s="31"/>
      <c r="L74" s="31"/>
      <c r="O74" s="21" t="str">
        <f t="shared" si="4"/>
        <v>No</v>
      </c>
      <c r="P74" s="21" t="str">
        <f t="shared" si="5"/>
        <v>roc</v>
      </c>
      <c r="T74" s="38"/>
      <c r="U74" s="38"/>
      <c r="V74" s="38"/>
      <c r="W74" s="38"/>
      <c r="X74" s="38"/>
      <c r="Y74" s="32"/>
      <c r="Z74" s="32"/>
      <c r="AD74" s="10"/>
      <c r="AF74" s="12"/>
      <c r="AG74" s="13"/>
      <c r="AH74" s="13"/>
      <c r="AI74" s="14"/>
      <c r="AJ74" s="14"/>
      <c r="AK74" s="15"/>
    </row>
    <row r="75">
      <c r="A75" s="16">
        <v>45278.0</v>
      </c>
      <c r="B75" s="1" t="s">
        <v>33</v>
      </c>
      <c r="C75" s="1" t="s">
        <v>44</v>
      </c>
      <c r="D75" s="1">
        <v>6.0</v>
      </c>
      <c r="E75" s="1">
        <v>7.0</v>
      </c>
      <c r="F75" s="17" t="str">
        <f>VLOOKUP(D75,category!$A$2:$B$14,2,false)</f>
        <v>Dinner</v>
      </c>
      <c r="G75" s="17" t="str">
        <f t="shared" si="1"/>
        <v>cheap</v>
      </c>
      <c r="H75" s="18">
        <f t="shared" si="2"/>
        <v>12</v>
      </c>
      <c r="I75" s="1"/>
      <c r="J75" s="39">
        <f>IFERROR(__xludf.DUMMYFUNCTION("""COMPUTED_VALUE"""),12.0)</f>
        <v>12</v>
      </c>
      <c r="K75" s="44"/>
      <c r="L75" s="31"/>
      <c r="O75" s="21" t="str">
        <f t="shared" si="4"/>
        <v>No</v>
      </c>
      <c r="P75" s="21" t="str">
        <f t="shared" si="5"/>
        <v>inn</v>
      </c>
      <c r="T75" s="38"/>
      <c r="U75" s="38"/>
      <c r="V75" s="38"/>
      <c r="W75" s="38"/>
      <c r="X75" s="38"/>
      <c r="Y75" s="32"/>
      <c r="Z75" s="32"/>
      <c r="AD75" s="10"/>
      <c r="AF75" s="12"/>
      <c r="AG75" s="13"/>
      <c r="AH75" s="13"/>
      <c r="AI75" s="14"/>
      <c r="AJ75" s="14"/>
      <c r="AK75" s="15"/>
    </row>
    <row r="76">
      <c r="A76" s="16">
        <v>45279.0</v>
      </c>
      <c r="B76" s="1" t="s">
        <v>33</v>
      </c>
      <c r="C76" s="1" t="s">
        <v>44</v>
      </c>
      <c r="D76" s="1">
        <v>1.0</v>
      </c>
      <c r="E76" s="1">
        <v>16.0</v>
      </c>
      <c r="F76" s="17" t="str">
        <f>VLOOKUP(D76,category!$A$2:$B$14,2,false)</f>
        <v>Breakfast</v>
      </c>
      <c r="G76" s="17" t="str">
        <f t="shared" si="1"/>
        <v>cheap</v>
      </c>
      <c r="H76" s="18">
        <f t="shared" si="2"/>
        <v>12</v>
      </c>
      <c r="I76" s="1"/>
      <c r="J76" s="39">
        <f>IFERROR(__xludf.DUMMYFUNCTION("""COMPUTED_VALUE"""),60.0)</f>
        <v>60</v>
      </c>
      <c r="K76" s="31"/>
      <c r="L76" s="31"/>
      <c r="O76" s="21" t="str">
        <f t="shared" si="4"/>
        <v>No</v>
      </c>
      <c r="P76" s="21" t="str">
        <f t="shared" si="5"/>
        <v>rea</v>
      </c>
      <c r="T76" s="38"/>
      <c r="U76" s="38"/>
      <c r="V76" s="38"/>
      <c r="W76" s="38"/>
      <c r="X76" s="38"/>
      <c r="Y76" s="32"/>
      <c r="Z76" s="32"/>
      <c r="AD76" s="10"/>
      <c r="AF76" s="12"/>
      <c r="AG76" s="13"/>
      <c r="AH76" s="13"/>
      <c r="AI76" s="14"/>
      <c r="AJ76" s="14"/>
      <c r="AK76" s="15"/>
    </row>
    <row r="77">
      <c r="A77" s="16">
        <v>45279.0</v>
      </c>
      <c r="B77" s="1" t="s">
        <v>33</v>
      </c>
      <c r="C77" s="1" t="s">
        <v>44</v>
      </c>
      <c r="D77" s="1">
        <v>2.0</v>
      </c>
      <c r="E77" s="1">
        <v>9.0</v>
      </c>
      <c r="F77" s="17" t="str">
        <f>VLOOKUP(D77,category!$A$2:$B$14,2,false)</f>
        <v>Lunch</v>
      </c>
      <c r="G77" s="17" t="str">
        <f t="shared" si="1"/>
        <v>cheap</v>
      </c>
      <c r="H77" s="18">
        <f t="shared" si="2"/>
        <v>12</v>
      </c>
      <c r="I77" s="1"/>
      <c r="J77" s="39">
        <f>IFERROR(__xludf.DUMMYFUNCTION("""COMPUTED_VALUE"""),25.0)</f>
        <v>25</v>
      </c>
      <c r="K77" s="31"/>
      <c r="L77" s="31"/>
      <c r="O77" s="21" t="str">
        <f t="shared" si="4"/>
        <v>No</v>
      </c>
      <c r="P77" s="21" t="str">
        <f t="shared" si="5"/>
        <v>unc</v>
      </c>
      <c r="T77" s="38"/>
      <c r="U77" s="38"/>
      <c r="V77" s="38"/>
      <c r="W77" s="38"/>
      <c r="X77" s="38"/>
      <c r="Y77" s="32"/>
      <c r="Z77" s="32"/>
      <c r="AD77" s="10"/>
      <c r="AF77" s="12"/>
      <c r="AG77" s="13"/>
      <c r="AH77" s="13"/>
      <c r="AI77" s="14"/>
      <c r="AJ77" s="14"/>
      <c r="AK77" s="15"/>
    </row>
    <row r="78">
      <c r="A78" s="16">
        <v>45279.0</v>
      </c>
      <c r="B78" s="1" t="s">
        <v>33</v>
      </c>
      <c r="C78" s="1" t="s">
        <v>44</v>
      </c>
      <c r="D78" s="1">
        <v>6.0</v>
      </c>
      <c r="E78" s="1">
        <v>5.0</v>
      </c>
      <c r="F78" s="17" t="str">
        <f>VLOOKUP(D78,category!$A$2:$B$14,2,false)</f>
        <v>Dinner</v>
      </c>
      <c r="G78" s="17" t="str">
        <f t="shared" si="1"/>
        <v>cheap</v>
      </c>
      <c r="H78" s="18">
        <f t="shared" si="2"/>
        <v>12</v>
      </c>
      <c r="I78" s="1"/>
      <c r="J78" s="39">
        <f>IFERROR(__xludf.DUMMYFUNCTION("""COMPUTED_VALUE"""),26.0)</f>
        <v>26</v>
      </c>
      <c r="K78" s="31"/>
      <c r="L78" s="31"/>
      <c r="O78" s="21" t="str">
        <f t="shared" si="4"/>
        <v>No</v>
      </c>
      <c r="P78" s="21" t="str">
        <f t="shared" si="5"/>
        <v>inn</v>
      </c>
      <c r="T78" s="38"/>
      <c r="U78" s="38"/>
      <c r="V78" s="38"/>
      <c r="W78" s="38"/>
      <c r="X78" s="38"/>
      <c r="Y78" s="32"/>
      <c r="Z78" s="32"/>
      <c r="AD78" s="10"/>
      <c r="AF78" s="12"/>
      <c r="AG78" s="13"/>
      <c r="AH78" s="13"/>
      <c r="AI78" s="14"/>
      <c r="AJ78" s="14"/>
      <c r="AK78" s="15"/>
    </row>
    <row r="79">
      <c r="A79" s="16">
        <v>45280.0</v>
      </c>
      <c r="B79" s="1" t="s">
        <v>34</v>
      </c>
      <c r="C79" s="1" t="s">
        <v>46</v>
      </c>
      <c r="D79" s="1">
        <v>1.0</v>
      </c>
      <c r="E79" s="1">
        <v>7.0</v>
      </c>
      <c r="F79" s="17" t="str">
        <f>VLOOKUP(D79,category!$A$2:$B$14,2,false)</f>
        <v>Breakfast</v>
      </c>
      <c r="G79" s="17" t="str">
        <f t="shared" si="1"/>
        <v>cheap</v>
      </c>
      <c r="H79" s="18">
        <f t="shared" si="2"/>
        <v>12</v>
      </c>
      <c r="I79" s="1"/>
      <c r="J79" s="39">
        <f>IFERROR(__xludf.DUMMYFUNCTION("""COMPUTED_VALUE"""),36.0)</f>
        <v>36</v>
      </c>
      <c r="K79" s="31"/>
      <c r="L79" s="31"/>
      <c r="O79" s="21" t="str">
        <f t="shared" si="4"/>
        <v>No</v>
      </c>
      <c r="P79" s="21" t="str">
        <f t="shared" si="5"/>
        <v>rea</v>
      </c>
      <c r="T79" s="38"/>
      <c r="U79" s="38"/>
      <c r="V79" s="38"/>
      <c r="W79" s="38"/>
      <c r="X79" s="38"/>
      <c r="Y79" s="32"/>
      <c r="Z79" s="32"/>
      <c r="AD79" s="10"/>
      <c r="AF79" s="12"/>
      <c r="AG79" s="13"/>
      <c r="AH79" s="13"/>
      <c r="AI79" s="14"/>
      <c r="AJ79" s="14"/>
      <c r="AK79" s="15"/>
    </row>
    <row r="80">
      <c r="A80" s="16">
        <v>45280.0</v>
      </c>
      <c r="B80" s="1" t="s">
        <v>34</v>
      </c>
      <c r="C80" s="1" t="s">
        <v>46</v>
      </c>
      <c r="D80" s="1">
        <v>2.0</v>
      </c>
      <c r="E80" s="1">
        <v>14.0</v>
      </c>
      <c r="F80" s="17" t="str">
        <f>VLOOKUP(D80,category!$A$2:$B$14,2,false)</f>
        <v>Lunch</v>
      </c>
      <c r="G80" s="17" t="str">
        <f t="shared" si="1"/>
        <v>cheap</v>
      </c>
      <c r="H80" s="18">
        <f t="shared" si="2"/>
        <v>12</v>
      </c>
      <c r="I80" s="1"/>
      <c r="J80" s="39">
        <f>IFERROR(__xludf.DUMMYFUNCTION("""COMPUTED_VALUE"""),280.0)</f>
        <v>280</v>
      </c>
      <c r="K80" s="31"/>
      <c r="L80" s="31"/>
      <c r="O80" s="21" t="str">
        <f t="shared" si="4"/>
        <v>No</v>
      </c>
      <c r="P80" s="21" t="str">
        <f t="shared" si="5"/>
        <v>unc</v>
      </c>
      <c r="T80" s="38"/>
      <c r="U80" s="38"/>
      <c r="V80" s="38"/>
      <c r="W80" s="38"/>
      <c r="X80" s="38"/>
      <c r="Y80" s="32"/>
      <c r="Z80" s="32"/>
      <c r="AD80" s="10"/>
      <c r="AF80" s="12"/>
      <c r="AG80" s="13"/>
      <c r="AH80" s="13"/>
      <c r="AI80" s="14"/>
      <c r="AJ80" s="14"/>
      <c r="AK80" s="15"/>
    </row>
    <row r="81">
      <c r="A81" s="16">
        <v>45280.0</v>
      </c>
      <c r="B81" s="1" t="s">
        <v>34</v>
      </c>
      <c r="C81" s="1" t="s">
        <v>46</v>
      </c>
      <c r="D81" s="1">
        <v>3.0</v>
      </c>
      <c r="E81" s="1">
        <v>92.0</v>
      </c>
      <c r="F81" s="17" t="str">
        <f>VLOOKUP(D81,category!$A$2:$B$14,2,false)</f>
        <v>Stay</v>
      </c>
      <c r="G81" s="17" t="str">
        <f t="shared" si="1"/>
        <v>cheap</v>
      </c>
      <c r="H81" s="18">
        <f t="shared" si="2"/>
        <v>12</v>
      </c>
      <c r="I81" s="1"/>
      <c r="J81" s="39">
        <f>IFERROR(__xludf.DUMMYFUNCTION("""COMPUTED_VALUE"""),400.0)</f>
        <v>400</v>
      </c>
      <c r="K81" s="31"/>
      <c r="L81" s="31"/>
      <c r="O81" s="21" t="str">
        <f t="shared" si="4"/>
        <v>No</v>
      </c>
      <c r="P81" s="21" t="str">
        <f t="shared" si="5"/>
        <v>tay</v>
      </c>
      <c r="T81" s="38"/>
      <c r="U81" s="38"/>
      <c r="V81" s="38"/>
      <c r="W81" s="38"/>
      <c r="X81" s="38"/>
      <c r="Y81" s="32"/>
      <c r="Z81" s="32"/>
      <c r="AD81" s="10"/>
      <c r="AF81" s="12"/>
      <c r="AG81" s="13"/>
      <c r="AH81" s="13"/>
      <c r="AI81" s="14"/>
      <c r="AJ81" s="14"/>
      <c r="AK81" s="15"/>
    </row>
    <row r="82">
      <c r="A82" s="16">
        <v>45280.0</v>
      </c>
      <c r="B82" s="1" t="s">
        <v>34</v>
      </c>
      <c r="C82" s="1" t="s">
        <v>46</v>
      </c>
      <c r="D82" s="1">
        <v>6.0</v>
      </c>
      <c r="E82" s="1">
        <v>14.0</v>
      </c>
      <c r="F82" s="17" t="str">
        <f>VLOOKUP(D82,category!$A$2:$B$14,2,false)</f>
        <v>Dinner</v>
      </c>
      <c r="G82" s="17" t="str">
        <f t="shared" si="1"/>
        <v>cheap</v>
      </c>
      <c r="H82" s="18">
        <f t="shared" si="2"/>
        <v>12</v>
      </c>
      <c r="I82" s="1"/>
      <c r="J82" s="39">
        <f>IFERROR(__xludf.DUMMYFUNCTION("""COMPUTED_VALUE"""),13.0)</f>
        <v>13</v>
      </c>
      <c r="K82" s="31"/>
      <c r="L82" s="31"/>
      <c r="O82" s="21" t="str">
        <f t="shared" si="4"/>
        <v>No</v>
      </c>
      <c r="P82" s="21" t="str">
        <f t="shared" si="5"/>
        <v>inn</v>
      </c>
      <c r="T82" s="38"/>
      <c r="U82" s="38"/>
      <c r="V82" s="38"/>
      <c r="W82" s="38"/>
      <c r="X82" s="38"/>
      <c r="Y82" s="32"/>
      <c r="Z82" s="32"/>
      <c r="AD82" s="10"/>
      <c r="AF82" s="12"/>
      <c r="AG82" s="13"/>
      <c r="AH82" s="13"/>
      <c r="AI82" s="14"/>
      <c r="AJ82" s="14"/>
      <c r="AK82" s="15"/>
    </row>
    <row r="83">
      <c r="A83" s="16">
        <v>45280.0</v>
      </c>
      <c r="B83" s="1" t="s">
        <v>34</v>
      </c>
      <c r="C83" s="1" t="s">
        <v>46</v>
      </c>
      <c r="D83" s="1">
        <v>12.0</v>
      </c>
      <c r="E83" s="1">
        <v>2.0</v>
      </c>
      <c r="F83" s="17" t="str">
        <f>VLOOKUP(D83,category!$A$2:$B$14,2,false)</f>
        <v>Grocery</v>
      </c>
      <c r="G83" s="17" t="str">
        <f t="shared" si="1"/>
        <v>cheap</v>
      </c>
      <c r="H83" s="18">
        <f t="shared" si="2"/>
        <v>12</v>
      </c>
      <c r="I83" s="1"/>
      <c r="J83" s="39">
        <f>IFERROR(__xludf.DUMMYFUNCTION("""COMPUTED_VALUE"""),11.0)</f>
        <v>11</v>
      </c>
      <c r="K83" s="31"/>
      <c r="L83" s="31"/>
      <c r="O83" s="21" t="str">
        <f t="shared" si="4"/>
        <v>No</v>
      </c>
      <c r="P83" s="21" t="str">
        <f t="shared" si="5"/>
        <v>roc</v>
      </c>
      <c r="T83" s="38"/>
      <c r="U83" s="38"/>
      <c r="V83" s="38"/>
      <c r="W83" s="38"/>
      <c r="X83" s="38"/>
      <c r="Y83" s="32"/>
      <c r="Z83" s="32"/>
      <c r="AD83" s="10"/>
      <c r="AF83" s="12"/>
      <c r="AG83" s="13"/>
      <c r="AH83" s="13"/>
      <c r="AI83" s="14"/>
      <c r="AJ83" s="14"/>
      <c r="AK83" s="15"/>
    </row>
    <row r="84">
      <c r="A84" s="16">
        <v>45281.0</v>
      </c>
      <c r="B84" s="1" t="s">
        <v>34</v>
      </c>
      <c r="C84" s="1" t="s">
        <v>46</v>
      </c>
      <c r="D84" s="1">
        <v>1.0</v>
      </c>
      <c r="E84" s="1">
        <v>24.0</v>
      </c>
      <c r="F84" s="17" t="str">
        <f>VLOOKUP(D84,category!$A$2:$B$14,2,false)</f>
        <v>Breakfast</v>
      </c>
      <c r="G84" s="17" t="str">
        <f t="shared" si="1"/>
        <v>cheap</v>
      </c>
      <c r="H84" s="18">
        <f t="shared" si="2"/>
        <v>12</v>
      </c>
      <c r="I84" s="1"/>
      <c r="J84" s="39">
        <f>IFERROR(__xludf.DUMMYFUNCTION("""COMPUTED_VALUE"""),30.0)</f>
        <v>30</v>
      </c>
      <c r="K84" s="31"/>
      <c r="L84" s="31"/>
      <c r="O84" s="21" t="str">
        <f t="shared" si="4"/>
        <v>No</v>
      </c>
      <c r="P84" s="21" t="str">
        <f t="shared" si="5"/>
        <v>rea</v>
      </c>
      <c r="T84" s="38"/>
      <c r="U84" s="38"/>
      <c r="V84" s="38"/>
      <c r="W84" s="38"/>
      <c r="X84" s="38"/>
      <c r="Y84" s="32"/>
      <c r="Z84" s="32"/>
      <c r="AD84" s="10"/>
      <c r="AF84" s="12"/>
      <c r="AG84" s="13"/>
      <c r="AH84" s="13"/>
      <c r="AI84" s="14"/>
      <c r="AJ84" s="14"/>
      <c r="AK84" s="15"/>
    </row>
    <row r="85">
      <c r="A85" s="16">
        <v>45281.0</v>
      </c>
      <c r="B85" s="1" t="s">
        <v>34</v>
      </c>
      <c r="C85" s="1" t="s">
        <v>46</v>
      </c>
      <c r="D85" s="1">
        <v>2.0</v>
      </c>
      <c r="E85" s="1">
        <v>6.0</v>
      </c>
      <c r="F85" s="17" t="str">
        <f>VLOOKUP(D85,category!$A$2:$B$14,2,false)</f>
        <v>Lunch</v>
      </c>
      <c r="G85" s="17" t="str">
        <f t="shared" si="1"/>
        <v>cheap</v>
      </c>
      <c r="H85" s="18">
        <f t="shared" si="2"/>
        <v>12</v>
      </c>
      <c r="I85" s="1"/>
      <c r="J85" s="39">
        <f>IFERROR(__xludf.DUMMYFUNCTION("""COMPUTED_VALUE"""),23.0)</f>
        <v>23</v>
      </c>
      <c r="K85" s="31"/>
      <c r="L85" s="31"/>
      <c r="O85" s="21" t="str">
        <f t="shared" si="4"/>
        <v>No</v>
      </c>
      <c r="P85" s="21" t="str">
        <f t="shared" si="5"/>
        <v>unc</v>
      </c>
      <c r="T85" s="38"/>
      <c r="U85" s="38"/>
      <c r="V85" s="38"/>
      <c r="W85" s="38"/>
      <c r="X85" s="38"/>
      <c r="Y85" s="32"/>
      <c r="Z85" s="32"/>
      <c r="AD85" s="10"/>
      <c r="AF85" s="12"/>
      <c r="AG85" s="13"/>
      <c r="AH85" s="13"/>
      <c r="AI85" s="14"/>
      <c r="AJ85" s="14"/>
      <c r="AK85" s="15"/>
    </row>
    <row r="86">
      <c r="A86" s="16">
        <v>45281.0</v>
      </c>
      <c r="B86" s="1" t="s">
        <v>34</v>
      </c>
      <c r="C86" s="1" t="s">
        <v>46</v>
      </c>
      <c r="D86" s="1">
        <v>12.0</v>
      </c>
      <c r="E86" s="1">
        <v>4.0</v>
      </c>
      <c r="F86" s="17" t="str">
        <f>VLOOKUP(D86,category!$A$2:$B$14,2,false)</f>
        <v>Grocery</v>
      </c>
      <c r="G86" s="17" t="str">
        <f t="shared" si="1"/>
        <v>cheap</v>
      </c>
      <c r="H86" s="18">
        <f t="shared" si="2"/>
        <v>12</v>
      </c>
      <c r="I86" s="1"/>
      <c r="J86" s="39">
        <f>IFERROR(__xludf.DUMMYFUNCTION("""COMPUTED_VALUE"""),10.0)</f>
        <v>10</v>
      </c>
      <c r="K86" s="31"/>
      <c r="L86" s="31"/>
      <c r="O86" s="21" t="str">
        <f t="shared" si="4"/>
        <v>No</v>
      </c>
      <c r="P86" s="21" t="str">
        <f t="shared" si="5"/>
        <v>roc</v>
      </c>
      <c r="T86" s="38"/>
      <c r="U86" s="38"/>
      <c r="V86" s="38"/>
      <c r="W86" s="38"/>
      <c r="X86" s="38"/>
      <c r="Y86" s="32"/>
      <c r="Z86" s="32"/>
      <c r="AD86" s="10"/>
      <c r="AF86" s="12"/>
      <c r="AG86" s="13"/>
      <c r="AH86" s="13"/>
      <c r="AI86" s="14"/>
      <c r="AJ86" s="14"/>
      <c r="AK86" s="15"/>
    </row>
    <row r="87">
      <c r="A87" s="16">
        <v>45281.0</v>
      </c>
      <c r="B87" s="1" t="s">
        <v>34</v>
      </c>
      <c r="C87" s="1" t="s">
        <v>46</v>
      </c>
      <c r="D87" s="1">
        <v>6.0</v>
      </c>
      <c r="E87" s="1">
        <v>20.0</v>
      </c>
      <c r="F87" s="17" t="str">
        <f>VLOOKUP(D87,category!$A$2:$B$14,2,false)</f>
        <v>Dinner</v>
      </c>
      <c r="G87" s="17" t="str">
        <f t="shared" si="1"/>
        <v>cheap</v>
      </c>
      <c r="H87" s="18">
        <f t="shared" si="2"/>
        <v>12</v>
      </c>
      <c r="I87" s="1"/>
      <c r="J87" s="39">
        <f>IFERROR(__xludf.DUMMYFUNCTION("""COMPUTED_VALUE"""),28.0)</f>
        <v>28</v>
      </c>
      <c r="K87" s="31"/>
      <c r="L87" s="31"/>
      <c r="O87" s="21" t="str">
        <f t="shared" si="4"/>
        <v>No</v>
      </c>
      <c r="P87" s="21" t="str">
        <f t="shared" si="5"/>
        <v>inn</v>
      </c>
      <c r="T87" s="38"/>
      <c r="U87" s="38"/>
      <c r="V87" s="38"/>
      <c r="W87" s="38"/>
      <c r="X87" s="38"/>
      <c r="Y87" s="32"/>
      <c r="Z87" s="32"/>
      <c r="AD87" s="10"/>
      <c r="AF87" s="12"/>
      <c r="AG87" s="13"/>
      <c r="AH87" s="13"/>
      <c r="AI87" s="14"/>
      <c r="AJ87" s="14"/>
      <c r="AK87" s="15"/>
    </row>
    <row r="88">
      <c r="A88" s="16">
        <v>45281.0</v>
      </c>
      <c r="B88" s="1" t="s">
        <v>34</v>
      </c>
      <c r="C88" s="1" t="s">
        <v>46</v>
      </c>
      <c r="D88" s="1">
        <v>4.0</v>
      </c>
      <c r="E88" s="1">
        <v>5.0</v>
      </c>
      <c r="F88" s="17" t="str">
        <f>VLOOKUP(D88,category!$A$2:$B$14,2,false)</f>
        <v>Metro</v>
      </c>
      <c r="G88" s="17" t="str">
        <f t="shared" si="1"/>
        <v>cheap</v>
      </c>
      <c r="H88" s="18">
        <f t="shared" si="2"/>
        <v>12</v>
      </c>
      <c r="I88" s="1"/>
      <c r="J88" s="39">
        <f>IFERROR(__xludf.DUMMYFUNCTION("""COMPUTED_VALUE"""),14.0)</f>
        <v>14</v>
      </c>
      <c r="K88" s="31"/>
      <c r="L88" s="31"/>
      <c r="O88" s="21" t="str">
        <f t="shared" si="4"/>
        <v>No</v>
      </c>
      <c r="P88" s="21" t="str">
        <f t="shared" si="5"/>
        <v>etr</v>
      </c>
      <c r="T88" s="38"/>
      <c r="U88" s="38"/>
      <c r="V88" s="38"/>
      <c r="W88" s="38"/>
      <c r="X88" s="38"/>
      <c r="Y88" s="32"/>
      <c r="Z88" s="32"/>
      <c r="AD88" s="10"/>
      <c r="AF88" s="12"/>
      <c r="AG88" s="13"/>
      <c r="AH88" s="13"/>
      <c r="AI88" s="14"/>
      <c r="AJ88" s="14"/>
      <c r="AK88" s="15"/>
    </row>
    <row r="89">
      <c r="A89" s="16">
        <v>45281.0</v>
      </c>
      <c r="B89" s="1" t="s">
        <v>34</v>
      </c>
      <c r="C89" s="1" t="s">
        <v>46</v>
      </c>
      <c r="D89" s="1">
        <v>13.0</v>
      </c>
      <c r="E89" s="1">
        <v>8.0</v>
      </c>
      <c r="F89" s="17" t="str">
        <f>VLOOKUP(D89,category!$A$2:$B$14,2,false)</f>
        <v>Shuttle</v>
      </c>
      <c r="G89" s="17" t="str">
        <f t="shared" si="1"/>
        <v>cheap</v>
      </c>
      <c r="H89" s="18">
        <f t="shared" si="2"/>
        <v>12</v>
      </c>
      <c r="I89" s="1"/>
      <c r="J89" s="39">
        <f>IFERROR(__xludf.DUMMYFUNCTION("""COMPUTED_VALUE"""),18.0)</f>
        <v>18</v>
      </c>
      <c r="K89" s="31"/>
      <c r="L89" s="31"/>
      <c r="O89" s="21" t="str">
        <f t="shared" si="4"/>
        <v>No</v>
      </c>
      <c r="P89" s="21" t="str">
        <f t="shared" si="5"/>
        <v>hut</v>
      </c>
      <c r="T89" s="38"/>
      <c r="U89" s="38"/>
      <c r="V89" s="38"/>
      <c r="W89" s="38"/>
      <c r="X89" s="38"/>
      <c r="Y89" s="32"/>
      <c r="Z89" s="32"/>
      <c r="AD89" s="10"/>
      <c r="AF89" s="12"/>
      <c r="AG89" s="13"/>
      <c r="AH89" s="13"/>
      <c r="AI89" s="14"/>
      <c r="AJ89" s="14"/>
      <c r="AK89" s="15"/>
    </row>
    <row r="90">
      <c r="A90" s="16">
        <v>45279.0</v>
      </c>
      <c r="B90" s="1" t="s">
        <v>34</v>
      </c>
      <c r="C90" s="1" t="s">
        <v>46</v>
      </c>
      <c r="D90" s="1">
        <v>5.0</v>
      </c>
      <c r="E90" s="1">
        <v>520.0</v>
      </c>
      <c r="F90" s="17" t="str">
        <f>VLOOKUP(D90,category!$A$2:$B$14,2,false)</f>
        <v>Travel</v>
      </c>
      <c r="G90" s="17" t="str">
        <f t="shared" si="1"/>
        <v>expensive</v>
      </c>
      <c r="H90" s="18">
        <f t="shared" si="2"/>
        <v>12</v>
      </c>
      <c r="I90" s="1"/>
      <c r="J90" s="39">
        <f>IFERROR(__xludf.DUMMYFUNCTION("""COMPUTED_VALUE"""),22.0)</f>
        <v>22</v>
      </c>
      <c r="K90" s="31"/>
      <c r="L90" s="31"/>
      <c r="O90" s="21" t="str">
        <f t="shared" si="4"/>
        <v>No</v>
      </c>
      <c r="P90" s="21" t="str">
        <f t="shared" si="5"/>
        <v>rav</v>
      </c>
      <c r="T90" s="38"/>
      <c r="U90" s="38"/>
      <c r="V90" s="38"/>
      <c r="W90" s="38"/>
      <c r="X90" s="38"/>
      <c r="Y90" s="32"/>
      <c r="Z90" s="32"/>
      <c r="AD90" s="10"/>
      <c r="AF90" s="12"/>
      <c r="AG90" s="13"/>
      <c r="AH90" s="13"/>
      <c r="AI90" s="14"/>
      <c r="AJ90" s="14"/>
      <c r="AK90" s="15"/>
    </row>
    <row r="91">
      <c r="A91" s="16">
        <v>45282.0</v>
      </c>
      <c r="B91" s="1" t="s">
        <v>34</v>
      </c>
      <c r="C91" s="1" t="s">
        <v>47</v>
      </c>
      <c r="D91" s="1">
        <v>5.0</v>
      </c>
      <c r="E91" s="1">
        <v>210.0</v>
      </c>
      <c r="F91" s="17" t="str">
        <f>VLOOKUP(D91,category!$A$2:$B$14,2,false)</f>
        <v>Travel</v>
      </c>
      <c r="G91" s="17" t="str">
        <f t="shared" si="1"/>
        <v>expensive</v>
      </c>
      <c r="H91" s="18">
        <f t="shared" si="2"/>
        <v>12</v>
      </c>
      <c r="I91" s="1"/>
      <c r="J91" s="39">
        <f>IFERROR(__xludf.DUMMYFUNCTION("""COMPUTED_VALUE"""),15.0)</f>
        <v>15</v>
      </c>
      <c r="K91" s="31"/>
      <c r="L91" s="31"/>
      <c r="O91" s="21" t="str">
        <f t="shared" si="4"/>
        <v>No</v>
      </c>
      <c r="P91" s="21" t="str">
        <f t="shared" si="5"/>
        <v>rav</v>
      </c>
      <c r="T91" s="38"/>
      <c r="U91" s="38"/>
      <c r="V91" s="38"/>
      <c r="W91" s="38"/>
      <c r="X91" s="38"/>
      <c r="Y91" s="32"/>
      <c r="Z91" s="32"/>
      <c r="AD91" s="10"/>
      <c r="AF91" s="12"/>
      <c r="AG91" s="13"/>
      <c r="AH91" s="13"/>
      <c r="AI91" s="14"/>
      <c r="AJ91" s="14"/>
      <c r="AK91" s="15"/>
    </row>
    <row r="92">
      <c r="A92" s="16">
        <v>45282.0</v>
      </c>
      <c r="B92" s="1" t="s">
        <v>34</v>
      </c>
      <c r="C92" s="1" t="s">
        <v>47</v>
      </c>
      <c r="D92" s="1">
        <v>1.0</v>
      </c>
      <c r="E92" s="1">
        <v>24.0</v>
      </c>
      <c r="F92" s="17" t="str">
        <f>VLOOKUP(D92,category!$A$2:$B$14,2,false)</f>
        <v>Breakfast</v>
      </c>
      <c r="G92" s="17" t="str">
        <f t="shared" si="1"/>
        <v>cheap</v>
      </c>
      <c r="H92" s="18">
        <f t="shared" si="2"/>
        <v>12</v>
      </c>
      <c r="I92" s="1"/>
      <c r="J92" s="39">
        <f>IFERROR(__xludf.DUMMYFUNCTION("""COMPUTED_VALUE"""),42.0)</f>
        <v>42</v>
      </c>
      <c r="K92" s="31"/>
      <c r="L92" s="31"/>
      <c r="O92" s="21" t="str">
        <f t="shared" si="4"/>
        <v>No</v>
      </c>
      <c r="P92" s="21" t="str">
        <f t="shared" si="5"/>
        <v>rea</v>
      </c>
      <c r="T92" s="38"/>
      <c r="U92" s="38"/>
      <c r="V92" s="38"/>
      <c r="W92" s="38"/>
      <c r="X92" s="38"/>
      <c r="Y92" s="32"/>
      <c r="Z92" s="32"/>
      <c r="AD92" s="10"/>
      <c r="AF92" s="12"/>
      <c r="AG92" s="13"/>
      <c r="AH92" s="13"/>
      <c r="AI92" s="14"/>
      <c r="AJ92" s="14"/>
      <c r="AK92" s="15"/>
    </row>
    <row r="93">
      <c r="A93" s="16">
        <v>45282.0</v>
      </c>
      <c r="B93" s="1" t="s">
        <v>34</v>
      </c>
      <c r="C93" s="1" t="s">
        <v>47</v>
      </c>
      <c r="D93" s="1">
        <v>2.0</v>
      </c>
      <c r="E93" s="1">
        <v>12.0</v>
      </c>
      <c r="F93" s="17" t="str">
        <f>VLOOKUP(D93,category!$A$2:$B$14,2,false)</f>
        <v>Lunch</v>
      </c>
      <c r="G93" s="17" t="str">
        <f t="shared" si="1"/>
        <v>cheap</v>
      </c>
      <c r="H93" s="18">
        <f t="shared" si="2"/>
        <v>12</v>
      </c>
      <c r="I93" s="1"/>
      <c r="J93" s="39">
        <f>IFERROR(__xludf.DUMMYFUNCTION("""COMPUTED_VALUE"""),116.0)</f>
        <v>116</v>
      </c>
      <c r="K93" s="31"/>
      <c r="L93" s="31"/>
      <c r="O93" s="21" t="str">
        <f t="shared" si="4"/>
        <v>No</v>
      </c>
      <c r="P93" s="21" t="str">
        <f t="shared" si="5"/>
        <v>unc</v>
      </c>
      <c r="T93" s="38"/>
      <c r="U93" s="38"/>
      <c r="V93" s="38"/>
      <c r="W93" s="38"/>
      <c r="X93" s="38"/>
      <c r="Y93" s="32"/>
      <c r="Z93" s="32"/>
      <c r="AD93" s="10"/>
      <c r="AF93" s="12"/>
      <c r="AG93" s="13"/>
      <c r="AH93" s="13"/>
      <c r="AI93" s="14"/>
      <c r="AJ93" s="14"/>
      <c r="AK93" s="15"/>
    </row>
    <row r="94">
      <c r="A94" s="16">
        <v>45282.0</v>
      </c>
      <c r="B94" s="1" t="s">
        <v>34</v>
      </c>
      <c r="C94" s="1" t="s">
        <v>47</v>
      </c>
      <c r="D94" s="1">
        <v>9.0</v>
      </c>
      <c r="E94" s="1">
        <v>10.0</v>
      </c>
      <c r="F94" s="17" t="str">
        <f>VLOOKUP(D94,category!$A$2:$B$14,2,false)</f>
        <v>Taxi</v>
      </c>
      <c r="G94" s="17" t="str">
        <f t="shared" si="1"/>
        <v>cheap</v>
      </c>
      <c r="H94" s="18">
        <f t="shared" si="2"/>
        <v>12</v>
      </c>
      <c r="I94" s="1"/>
      <c r="J94" s="39">
        <f>IFERROR(__xludf.DUMMYFUNCTION("""COMPUTED_VALUE"""),50.0)</f>
        <v>50</v>
      </c>
      <c r="K94" s="31"/>
      <c r="L94" s="31"/>
      <c r="O94" s="21" t="str">
        <f t="shared" si="4"/>
        <v>No</v>
      </c>
      <c r="P94" s="21" t="str">
        <f t="shared" si="5"/>
        <v>axi</v>
      </c>
      <c r="T94" s="38"/>
      <c r="U94" s="38"/>
      <c r="V94" s="38"/>
      <c r="W94" s="38"/>
      <c r="X94" s="38"/>
      <c r="Y94" s="32"/>
      <c r="Z94" s="32"/>
    </row>
    <row r="95">
      <c r="A95" s="16">
        <v>45282.0</v>
      </c>
      <c r="B95" s="1" t="s">
        <v>34</v>
      </c>
      <c r="C95" s="1" t="s">
        <v>47</v>
      </c>
      <c r="D95" s="1">
        <v>6.0</v>
      </c>
      <c r="E95" s="1">
        <v>18.0</v>
      </c>
      <c r="F95" s="17" t="str">
        <f>VLOOKUP(D95,category!$A$2:$B$14,2,false)</f>
        <v>Dinner</v>
      </c>
      <c r="G95" s="17" t="str">
        <f t="shared" si="1"/>
        <v>cheap</v>
      </c>
      <c r="H95" s="18">
        <f t="shared" si="2"/>
        <v>12</v>
      </c>
      <c r="I95" s="1"/>
      <c r="J95" s="39">
        <f>IFERROR(__xludf.DUMMYFUNCTION("""COMPUTED_VALUE"""),56.0)</f>
        <v>56</v>
      </c>
      <c r="K95" s="31"/>
      <c r="L95" s="31"/>
      <c r="O95" s="21" t="str">
        <f t="shared" si="4"/>
        <v>No</v>
      </c>
      <c r="P95" s="21" t="str">
        <f t="shared" si="5"/>
        <v>inn</v>
      </c>
      <c r="T95" s="38"/>
      <c r="U95" s="38"/>
      <c r="V95" s="38"/>
      <c r="W95" s="38"/>
      <c r="X95" s="38"/>
      <c r="Y95" s="32"/>
      <c r="Z95" s="32"/>
    </row>
    <row r="96">
      <c r="A96" s="16">
        <v>45283.0</v>
      </c>
      <c r="B96" s="1" t="s">
        <v>34</v>
      </c>
      <c r="C96" s="1" t="s">
        <v>25</v>
      </c>
      <c r="D96" s="1">
        <v>5.0</v>
      </c>
      <c r="E96" s="1">
        <v>230.0</v>
      </c>
      <c r="F96" s="17" t="str">
        <f>VLOOKUP(D96,category!$A$2:$B$14,2,false)</f>
        <v>Travel</v>
      </c>
      <c r="G96" s="17" t="str">
        <f t="shared" si="1"/>
        <v>expensive</v>
      </c>
      <c r="H96" s="18">
        <f t="shared" si="2"/>
        <v>12</v>
      </c>
      <c r="I96" s="1"/>
      <c r="J96" s="39">
        <f>IFERROR(__xludf.DUMMYFUNCTION("""COMPUTED_VALUE"""),100.0)</f>
        <v>100</v>
      </c>
      <c r="K96" s="31"/>
      <c r="L96" s="31"/>
      <c r="O96" s="21" t="str">
        <f t="shared" si="4"/>
        <v>No</v>
      </c>
      <c r="P96" s="21" t="str">
        <f t="shared" si="5"/>
        <v>rav</v>
      </c>
      <c r="T96" s="38"/>
      <c r="U96" s="38"/>
      <c r="V96" s="38"/>
      <c r="W96" s="38"/>
      <c r="X96" s="38"/>
      <c r="Y96" s="32"/>
      <c r="Z96" s="32"/>
    </row>
    <row r="97">
      <c r="A97" s="16">
        <v>45283.0</v>
      </c>
      <c r="B97" s="1" t="s">
        <v>34</v>
      </c>
      <c r="C97" s="1" t="s">
        <v>25</v>
      </c>
      <c r="D97" s="1">
        <v>1.0</v>
      </c>
      <c r="E97" s="1">
        <v>8.0</v>
      </c>
      <c r="F97" s="17" t="str">
        <f>VLOOKUP(D97,category!$A$2:$B$14,2,false)</f>
        <v>Breakfast</v>
      </c>
      <c r="G97" s="17" t="str">
        <f t="shared" si="1"/>
        <v>cheap</v>
      </c>
      <c r="H97" s="18">
        <f t="shared" si="2"/>
        <v>12</v>
      </c>
      <c r="I97" s="1"/>
      <c r="J97" s="39">
        <f>IFERROR(__xludf.DUMMYFUNCTION("""COMPUTED_VALUE"""),9.0)</f>
        <v>9</v>
      </c>
      <c r="K97" s="31"/>
      <c r="L97" s="31"/>
      <c r="O97" s="21" t="str">
        <f t="shared" si="4"/>
        <v>No</v>
      </c>
      <c r="P97" s="21" t="str">
        <f t="shared" si="5"/>
        <v>rea</v>
      </c>
      <c r="T97" s="38"/>
      <c r="U97" s="38"/>
      <c r="V97" s="38"/>
      <c r="W97" s="38"/>
      <c r="X97" s="38"/>
      <c r="Y97" s="32"/>
      <c r="Z97" s="32"/>
    </row>
    <row r="98">
      <c r="A98" s="16">
        <v>45283.0</v>
      </c>
      <c r="B98" s="1" t="s">
        <v>34</v>
      </c>
      <c r="C98" s="1" t="s">
        <v>25</v>
      </c>
      <c r="D98" s="1">
        <v>2.0</v>
      </c>
      <c r="E98" s="1">
        <v>23.0</v>
      </c>
      <c r="F98" s="17" t="str">
        <f>VLOOKUP(D98,category!$A$2:$B$14,2,false)</f>
        <v>Lunch</v>
      </c>
      <c r="G98" s="17" t="str">
        <f t="shared" si="1"/>
        <v>cheap</v>
      </c>
      <c r="H98" s="18">
        <f t="shared" si="2"/>
        <v>12</v>
      </c>
      <c r="I98" s="1"/>
      <c r="J98" s="39">
        <f>IFERROR(__xludf.DUMMYFUNCTION("""COMPUTED_VALUE"""),19.0)</f>
        <v>19</v>
      </c>
      <c r="K98" s="31"/>
      <c r="L98" s="31"/>
      <c r="O98" s="21" t="str">
        <f t="shared" si="4"/>
        <v>No</v>
      </c>
      <c r="P98" s="21" t="str">
        <f t="shared" si="5"/>
        <v>unc</v>
      </c>
      <c r="T98" s="38"/>
      <c r="U98" s="38"/>
      <c r="V98" s="38"/>
      <c r="W98" s="38"/>
      <c r="X98" s="38"/>
      <c r="Y98" s="32"/>
      <c r="Z98" s="32"/>
    </row>
    <row r="99">
      <c r="A99" s="16">
        <v>45283.0</v>
      </c>
      <c r="B99" s="1" t="s">
        <v>34</v>
      </c>
      <c r="C99" s="1" t="s">
        <v>25</v>
      </c>
      <c r="D99" s="1">
        <v>6.0</v>
      </c>
      <c r="E99" s="1">
        <v>25.0</v>
      </c>
      <c r="F99" s="17" t="str">
        <f>VLOOKUP(D99,category!$A$2:$B$14,2,false)</f>
        <v>Dinner</v>
      </c>
      <c r="G99" s="17" t="str">
        <f t="shared" si="1"/>
        <v>cheap</v>
      </c>
      <c r="H99" s="18">
        <f t="shared" si="2"/>
        <v>12</v>
      </c>
      <c r="I99" s="1"/>
      <c r="J99" s="39">
        <f>IFERROR(__xludf.DUMMYFUNCTION("""COMPUTED_VALUE"""),21.0)</f>
        <v>21</v>
      </c>
      <c r="K99" s="31"/>
      <c r="L99" s="31"/>
      <c r="O99" s="21" t="str">
        <f t="shared" si="4"/>
        <v>No</v>
      </c>
      <c r="P99" s="21" t="str">
        <f t="shared" si="5"/>
        <v>inn</v>
      </c>
      <c r="T99" s="38"/>
      <c r="U99" s="38"/>
      <c r="V99" s="38"/>
      <c r="W99" s="38"/>
      <c r="X99" s="38"/>
      <c r="Y99" s="32"/>
      <c r="Z99" s="32"/>
    </row>
    <row r="100">
      <c r="A100" s="16">
        <v>45282.0</v>
      </c>
      <c r="B100" s="1" t="s">
        <v>34</v>
      </c>
      <c r="C100" s="1" t="s">
        <v>47</v>
      </c>
      <c r="D100" s="1">
        <v>3.0</v>
      </c>
      <c r="E100" s="1">
        <v>45.0</v>
      </c>
      <c r="F100" s="17" t="str">
        <f>VLOOKUP(D100,category!$A$2:$B$14,2,false)</f>
        <v>Stay</v>
      </c>
      <c r="G100" s="17" t="str">
        <f t="shared" si="1"/>
        <v>cheap</v>
      </c>
      <c r="H100" s="18">
        <f t="shared" si="2"/>
        <v>12</v>
      </c>
      <c r="I100" s="1"/>
      <c r="J100" s="39">
        <f>IFERROR(__xludf.DUMMYFUNCTION("""COMPUTED_VALUE"""),488.0)</f>
        <v>488</v>
      </c>
      <c r="K100" s="31"/>
      <c r="L100" s="31"/>
      <c r="O100" s="21" t="str">
        <f t="shared" si="4"/>
        <v>No</v>
      </c>
      <c r="P100" s="21" t="str">
        <f t="shared" si="5"/>
        <v>tay</v>
      </c>
      <c r="T100" s="38"/>
      <c r="U100" s="38"/>
      <c r="V100" s="38"/>
      <c r="W100" s="38"/>
      <c r="X100" s="38"/>
      <c r="Y100" s="32"/>
      <c r="Z100" s="32"/>
    </row>
    <row r="101">
      <c r="A101" s="16">
        <v>45283.0</v>
      </c>
      <c r="B101" s="1" t="s">
        <v>34</v>
      </c>
      <c r="C101" s="1" t="s">
        <v>25</v>
      </c>
      <c r="D101" s="1">
        <v>3.0</v>
      </c>
      <c r="E101" s="1">
        <v>90.0</v>
      </c>
      <c r="F101" s="17" t="str">
        <f>VLOOKUP(D101,category!$A$2:$B$14,2,false)</f>
        <v>Stay</v>
      </c>
      <c r="G101" s="17" t="str">
        <f t="shared" si="1"/>
        <v>cheap</v>
      </c>
      <c r="H101" s="18">
        <f t="shared" si="2"/>
        <v>12</v>
      </c>
      <c r="I101" s="1"/>
      <c r="J101" s="39">
        <f>IFERROR(__xludf.DUMMYFUNCTION("""COMPUTED_VALUE"""),200.0)</f>
        <v>200</v>
      </c>
      <c r="K101" s="31"/>
      <c r="L101" s="31"/>
      <c r="O101" s="21" t="str">
        <f t="shared" si="4"/>
        <v>No</v>
      </c>
      <c r="P101" s="21" t="str">
        <f t="shared" si="5"/>
        <v>tay</v>
      </c>
      <c r="T101" s="38"/>
      <c r="U101" s="38"/>
      <c r="V101" s="38"/>
      <c r="W101" s="38"/>
      <c r="X101" s="38"/>
      <c r="Y101" s="32"/>
      <c r="Z101" s="32"/>
    </row>
    <row r="102">
      <c r="A102" s="16">
        <v>45284.0</v>
      </c>
      <c r="B102" s="1" t="s">
        <v>34</v>
      </c>
      <c r="C102" s="1" t="s">
        <v>25</v>
      </c>
      <c r="D102" s="1">
        <v>7.0</v>
      </c>
      <c r="E102" s="1">
        <v>200.0</v>
      </c>
      <c r="F102" s="17" t="str">
        <f>VLOOKUP(D102,category!$A$2:$B$14,2,false)</f>
        <v>Entrance</v>
      </c>
      <c r="G102" s="17" t="str">
        <f t="shared" si="1"/>
        <v>expensive</v>
      </c>
      <c r="H102" s="18">
        <f t="shared" si="2"/>
        <v>12</v>
      </c>
      <c r="I102" s="1"/>
      <c r="J102" s="39">
        <f>IFERROR(__xludf.DUMMYFUNCTION("""COMPUTED_VALUE"""),6.0)</f>
        <v>6</v>
      </c>
      <c r="K102" s="31"/>
      <c r="L102" s="31"/>
      <c r="O102" s="21" t="str">
        <f t="shared" si="4"/>
        <v>No</v>
      </c>
      <c r="P102" s="21" t="str">
        <f t="shared" si="5"/>
        <v>ntr</v>
      </c>
      <c r="T102" s="38"/>
      <c r="U102" s="38"/>
      <c r="V102" s="38"/>
      <c r="W102" s="38"/>
      <c r="X102" s="38"/>
      <c r="Y102" s="32"/>
      <c r="Z102" s="32"/>
    </row>
    <row r="103">
      <c r="A103" s="16">
        <v>45284.0</v>
      </c>
      <c r="B103" s="1" t="s">
        <v>34</v>
      </c>
      <c r="C103" s="1" t="s">
        <v>25</v>
      </c>
      <c r="D103" s="1">
        <v>1.0</v>
      </c>
      <c r="E103" s="1">
        <v>2.0</v>
      </c>
      <c r="F103" s="17" t="str">
        <f>VLOOKUP(D103,category!$A$2:$B$14,2,false)</f>
        <v>Breakfast</v>
      </c>
      <c r="G103" s="17" t="str">
        <f t="shared" si="1"/>
        <v>cheap</v>
      </c>
      <c r="H103" s="18">
        <f t="shared" si="2"/>
        <v>12</v>
      </c>
      <c r="I103" s="1"/>
      <c r="J103" s="39">
        <f>IFERROR(__xludf.DUMMYFUNCTION("""COMPUTED_VALUE"""),29.0)</f>
        <v>29</v>
      </c>
      <c r="K103" s="31"/>
      <c r="L103" s="31"/>
      <c r="O103" s="21" t="str">
        <f t="shared" si="4"/>
        <v>No</v>
      </c>
      <c r="P103" s="21" t="str">
        <f t="shared" si="5"/>
        <v>rea</v>
      </c>
      <c r="T103" s="38"/>
      <c r="U103" s="38"/>
      <c r="V103" s="38"/>
      <c r="W103" s="38"/>
      <c r="X103" s="38"/>
      <c r="Y103" s="32"/>
      <c r="Z103" s="32"/>
    </row>
    <row r="104">
      <c r="A104" s="16">
        <v>45284.0</v>
      </c>
      <c r="B104" s="1" t="s">
        <v>34</v>
      </c>
      <c r="C104" s="1" t="s">
        <v>25</v>
      </c>
      <c r="D104" s="1">
        <v>2.0</v>
      </c>
      <c r="E104" s="1">
        <v>16.0</v>
      </c>
      <c r="F104" s="17" t="str">
        <f>VLOOKUP(D104,category!$A$2:$B$14,2,false)</f>
        <v>Lunch</v>
      </c>
      <c r="G104" s="17" t="str">
        <f t="shared" si="1"/>
        <v>cheap</v>
      </c>
      <c r="H104" s="18">
        <f t="shared" si="2"/>
        <v>12</v>
      </c>
      <c r="I104" s="1"/>
      <c r="J104" s="39">
        <f>IFERROR(__xludf.DUMMYFUNCTION("""COMPUTED_VALUE"""),3.0)</f>
        <v>3</v>
      </c>
      <c r="K104" s="31"/>
      <c r="L104" s="31"/>
      <c r="O104" s="21" t="str">
        <f t="shared" si="4"/>
        <v>No</v>
      </c>
      <c r="P104" s="21" t="str">
        <f t="shared" si="5"/>
        <v>unc</v>
      </c>
      <c r="T104" s="38"/>
      <c r="U104" s="38"/>
      <c r="V104" s="38"/>
      <c r="W104" s="38"/>
      <c r="X104" s="38"/>
      <c r="Y104" s="32"/>
      <c r="Z104" s="32"/>
    </row>
    <row r="105">
      <c r="A105" s="16">
        <v>45284.0</v>
      </c>
      <c r="B105" s="1" t="s">
        <v>34</v>
      </c>
      <c r="C105" s="1" t="s">
        <v>25</v>
      </c>
      <c r="D105" s="1">
        <v>10.0</v>
      </c>
      <c r="E105" s="1">
        <v>12.0</v>
      </c>
      <c r="F105" s="17" t="str">
        <f>VLOOKUP(D105,category!$A$2:$B$14,2,false)</f>
        <v>Shopping</v>
      </c>
      <c r="G105" s="17" t="str">
        <f t="shared" si="1"/>
        <v>cheap</v>
      </c>
      <c r="H105" s="18">
        <f t="shared" si="2"/>
        <v>12</v>
      </c>
      <c r="I105" s="1"/>
      <c r="J105" s="39">
        <f>IFERROR(__xludf.DUMMYFUNCTION("""COMPUTED_VALUE"""),2600.0)</f>
        <v>2600</v>
      </c>
      <c r="K105" s="31"/>
      <c r="L105" s="31"/>
      <c r="O105" s="21" t="str">
        <f t="shared" si="4"/>
        <v>No</v>
      </c>
      <c r="P105" s="21" t="str">
        <f t="shared" si="5"/>
        <v>hop</v>
      </c>
      <c r="T105" s="38"/>
      <c r="U105" s="38"/>
      <c r="V105" s="38"/>
      <c r="W105" s="38"/>
      <c r="X105" s="38"/>
      <c r="Y105" s="32"/>
      <c r="Z105" s="32"/>
    </row>
    <row r="106">
      <c r="A106" s="16">
        <v>45284.0</v>
      </c>
      <c r="B106" s="1" t="s">
        <v>34</v>
      </c>
      <c r="C106" s="1" t="s">
        <v>25</v>
      </c>
      <c r="D106" s="1">
        <v>6.0</v>
      </c>
      <c r="E106" s="1">
        <v>15.0</v>
      </c>
      <c r="F106" s="17" t="str">
        <f>VLOOKUP(D106,category!$A$2:$B$14,2,false)</f>
        <v>Dinner</v>
      </c>
      <c r="G106" s="17" t="str">
        <f t="shared" si="1"/>
        <v>cheap</v>
      </c>
      <c r="H106" s="18">
        <f t="shared" si="2"/>
        <v>12</v>
      </c>
      <c r="I106" s="1"/>
      <c r="J106" s="39">
        <f>IFERROR(__xludf.DUMMYFUNCTION("""COMPUTED_VALUE"""),208.0)</f>
        <v>208</v>
      </c>
      <c r="K106" s="31"/>
      <c r="L106" s="31"/>
      <c r="O106" s="21" t="str">
        <f t="shared" si="4"/>
        <v>No</v>
      </c>
      <c r="P106" s="21" t="str">
        <f t="shared" si="5"/>
        <v>inn</v>
      </c>
      <c r="T106" s="38"/>
      <c r="U106" s="38"/>
      <c r="V106" s="38"/>
      <c r="W106" s="38"/>
      <c r="X106" s="38"/>
      <c r="Y106" s="32"/>
      <c r="Z106" s="32"/>
    </row>
    <row r="107">
      <c r="A107" s="16">
        <v>45285.0</v>
      </c>
      <c r="B107" s="1" t="s">
        <v>34</v>
      </c>
      <c r="C107" s="1" t="s">
        <v>47</v>
      </c>
      <c r="D107" s="1">
        <v>3.0</v>
      </c>
      <c r="E107" s="1">
        <v>47.0</v>
      </c>
      <c r="F107" s="17" t="str">
        <f>VLOOKUP(D107,category!$A$2:$B$14,2,false)</f>
        <v>Stay</v>
      </c>
      <c r="G107" s="17" t="str">
        <f t="shared" si="1"/>
        <v>cheap</v>
      </c>
      <c r="H107" s="18">
        <f t="shared" si="2"/>
        <v>12</v>
      </c>
      <c r="I107" s="1"/>
      <c r="J107" s="39">
        <f>IFERROR(__xludf.DUMMYFUNCTION("""COMPUTED_VALUE"""),2.0)</f>
        <v>2</v>
      </c>
      <c r="K107" s="31"/>
      <c r="L107" s="31"/>
      <c r="O107" s="21" t="str">
        <f t="shared" si="4"/>
        <v>No</v>
      </c>
      <c r="P107" s="21" t="str">
        <f t="shared" si="5"/>
        <v>tay</v>
      </c>
      <c r="T107" s="38"/>
      <c r="U107" s="38"/>
      <c r="V107" s="38"/>
      <c r="W107" s="38"/>
      <c r="X107" s="38"/>
      <c r="Y107" s="32"/>
      <c r="Z107" s="32"/>
    </row>
    <row r="108">
      <c r="A108" s="16">
        <v>45285.0</v>
      </c>
      <c r="B108" s="1" t="s">
        <v>34</v>
      </c>
      <c r="C108" s="1" t="s">
        <v>47</v>
      </c>
      <c r="D108" s="1">
        <v>2.0</v>
      </c>
      <c r="E108" s="1">
        <v>20.0</v>
      </c>
      <c r="F108" s="17" t="str">
        <f>VLOOKUP(D108,category!$A$2:$B$14,2,false)</f>
        <v>Lunch</v>
      </c>
      <c r="G108" s="17" t="str">
        <f t="shared" si="1"/>
        <v>cheap</v>
      </c>
      <c r="H108" s="18">
        <f t="shared" si="2"/>
        <v>12</v>
      </c>
      <c r="I108" s="1"/>
      <c r="J108" s="39">
        <f>IFERROR(__xludf.DUMMYFUNCTION("""COMPUTED_VALUE"""),5.0)</f>
        <v>5</v>
      </c>
      <c r="K108" s="31"/>
      <c r="L108" s="31"/>
      <c r="O108" s="21" t="str">
        <f t="shared" si="4"/>
        <v>No</v>
      </c>
      <c r="P108" s="21" t="str">
        <f t="shared" si="5"/>
        <v>unc</v>
      </c>
      <c r="T108" s="38"/>
      <c r="U108" s="38"/>
      <c r="V108" s="38"/>
      <c r="W108" s="38"/>
      <c r="X108" s="38"/>
      <c r="Y108" s="32"/>
      <c r="Z108" s="32"/>
    </row>
    <row r="109">
      <c r="A109" s="16">
        <v>45285.0</v>
      </c>
      <c r="B109" s="1" t="s">
        <v>34</v>
      </c>
      <c r="C109" s="1" t="s">
        <v>47</v>
      </c>
      <c r="D109" s="1">
        <v>6.0</v>
      </c>
      <c r="E109" s="1">
        <v>10.0</v>
      </c>
      <c r="F109" s="17" t="str">
        <f>VLOOKUP(D109,category!$A$2:$B$14,2,false)</f>
        <v>Dinner</v>
      </c>
      <c r="G109" s="17" t="str">
        <f t="shared" si="1"/>
        <v>cheap</v>
      </c>
      <c r="H109" s="18">
        <f t="shared" si="2"/>
        <v>12</v>
      </c>
      <c r="I109" s="1"/>
      <c r="J109" s="39">
        <f>IFERROR(__xludf.DUMMYFUNCTION("""COMPUTED_VALUE"""),8.0)</f>
        <v>8</v>
      </c>
      <c r="K109" s="31"/>
      <c r="L109" s="31"/>
      <c r="O109" s="21" t="str">
        <f t="shared" si="4"/>
        <v>No</v>
      </c>
      <c r="P109" s="21" t="str">
        <f t="shared" si="5"/>
        <v>inn</v>
      </c>
      <c r="T109" s="38"/>
      <c r="U109" s="38"/>
      <c r="V109" s="38"/>
      <c r="W109" s="38"/>
      <c r="X109" s="38"/>
      <c r="Y109" s="32"/>
      <c r="Z109" s="32"/>
    </row>
    <row r="110">
      <c r="A110" s="16">
        <v>45286.0</v>
      </c>
      <c r="B110" s="1" t="s">
        <v>34</v>
      </c>
      <c r="C110" s="1" t="s">
        <v>46</v>
      </c>
      <c r="D110" s="1">
        <v>3.0</v>
      </c>
      <c r="E110" s="1">
        <v>190.0</v>
      </c>
      <c r="F110" s="17" t="str">
        <f>VLOOKUP(D110,category!$A$2:$B$14,2,false)</f>
        <v>Stay</v>
      </c>
      <c r="G110" s="17" t="str">
        <f t="shared" si="1"/>
        <v>expensive</v>
      </c>
      <c r="H110" s="18">
        <f t="shared" si="2"/>
        <v>12</v>
      </c>
      <c r="I110" s="1"/>
      <c r="J110" s="39">
        <f>IFERROR(__xludf.DUMMYFUNCTION("""COMPUTED_VALUE"""),4.0)</f>
        <v>4</v>
      </c>
      <c r="K110" s="31"/>
      <c r="L110" s="31"/>
      <c r="O110" s="21" t="str">
        <f t="shared" si="4"/>
        <v>No</v>
      </c>
      <c r="P110" s="21" t="str">
        <f t="shared" si="5"/>
        <v>tay</v>
      </c>
      <c r="T110" s="38"/>
      <c r="U110" s="38"/>
      <c r="V110" s="38"/>
      <c r="W110" s="38"/>
      <c r="X110" s="38"/>
      <c r="Y110" s="32"/>
      <c r="Z110" s="32"/>
    </row>
    <row r="111">
      <c r="A111" s="16">
        <v>45286.0</v>
      </c>
      <c r="B111" s="1" t="s">
        <v>34</v>
      </c>
      <c r="C111" s="1" t="s">
        <v>46</v>
      </c>
      <c r="D111" s="1">
        <v>1.0</v>
      </c>
      <c r="E111" s="1">
        <v>9.0</v>
      </c>
      <c r="F111" s="17" t="str">
        <f>VLOOKUP(D111,category!$A$2:$B$14,2,false)</f>
        <v>Breakfast</v>
      </c>
      <c r="G111" s="17" t="str">
        <f t="shared" si="1"/>
        <v>cheap</v>
      </c>
      <c r="H111" s="18">
        <f t="shared" si="2"/>
        <v>12</v>
      </c>
      <c r="I111" s="1"/>
      <c r="J111" s="39">
        <f>IFERROR(__xludf.DUMMYFUNCTION("""COMPUTED_VALUE"""),7.0)</f>
        <v>7</v>
      </c>
      <c r="K111" s="31"/>
      <c r="L111" s="31"/>
      <c r="O111" s="21" t="str">
        <f t="shared" si="4"/>
        <v>No</v>
      </c>
      <c r="P111" s="21" t="str">
        <f t="shared" si="5"/>
        <v>rea</v>
      </c>
      <c r="T111" s="38"/>
      <c r="U111" s="38"/>
      <c r="V111" s="38"/>
      <c r="W111" s="38"/>
      <c r="X111" s="38"/>
      <c r="Y111" s="32"/>
      <c r="Z111" s="32"/>
    </row>
    <row r="112">
      <c r="A112" s="16">
        <v>45286.0</v>
      </c>
      <c r="B112" s="1" t="s">
        <v>34</v>
      </c>
      <c r="C112" s="1" t="s">
        <v>46</v>
      </c>
      <c r="D112" s="1">
        <v>2.0</v>
      </c>
      <c r="E112" s="1">
        <v>12.0</v>
      </c>
      <c r="F112" s="17" t="str">
        <f>VLOOKUP(D112,category!$A$2:$B$14,2,false)</f>
        <v>Lunch</v>
      </c>
      <c r="G112" s="17" t="str">
        <f t="shared" si="1"/>
        <v>cheap</v>
      </c>
      <c r="H112" s="18">
        <f t="shared" si="2"/>
        <v>12</v>
      </c>
      <c r="I112" s="1"/>
      <c r="J112" s="39">
        <f>IFERROR(__xludf.DUMMYFUNCTION("""COMPUTED_VALUE"""),92.0)</f>
        <v>92</v>
      </c>
      <c r="K112" s="31"/>
      <c r="L112" s="31"/>
      <c r="O112" s="21" t="str">
        <f t="shared" si="4"/>
        <v>No</v>
      </c>
      <c r="P112" s="21" t="str">
        <f t="shared" si="5"/>
        <v>unc</v>
      </c>
      <c r="T112" s="38"/>
      <c r="U112" s="38"/>
      <c r="V112" s="38"/>
      <c r="W112" s="38"/>
      <c r="X112" s="38"/>
      <c r="Y112" s="32"/>
      <c r="Z112" s="32"/>
    </row>
    <row r="113">
      <c r="A113" s="16">
        <v>45286.0</v>
      </c>
      <c r="B113" s="1" t="s">
        <v>34</v>
      </c>
      <c r="C113" s="1" t="s">
        <v>46</v>
      </c>
      <c r="D113" s="1">
        <v>6.0</v>
      </c>
      <c r="E113" s="1">
        <v>26.0</v>
      </c>
      <c r="F113" s="17" t="str">
        <f>VLOOKUP(D113,category!$A$2:$B$14,2,false)</f>
        <v>Dinner</v>
      </c>
      <c r="G113" s="17" t="str">
        <f t="shared" si="1"/>
        <v>cheap</v>
      </c>
      <c r="H113" s="18">
        <f t="shared" si="2"/>
        <v>12</v>
      </c>
      <c r="I113" s="1"/>
      <c r="J113" s="39">
        <f>IFERROR(__xludf.DUMMYFUNCTION("""COMPUTED_VALUE"""),24.0)</f>
        <v>24</v>
      </c>
      <c r="K113" s="31"/>
      <c r="L113" s="31"/>
      <c r="O113" s="21" t="str">
        <f t="shared" si="4"/>
        <v>No</v>
      </c>
      <c r="P113" s="21" t="str">
        <f t="shared" si="5"/>
        <v>inn</v>
      </c>
      <c r="T113" s="38"/>
      <c r="U113" s="38"/>
      <c r="V113" s="38"/>
      <c r="W113" s="38"/>
      <c r="X113" s="38"/>
      <c r="Y113" s="32"/>
      <c r="Z113" s="32"/>
    </row>
    <row r="114">
      <c r="A114" s="16">
        <v>45287.0</v>
      </c>
      <c r="B114" s="1" t="s">
        <v>34</v>
      </c>
      <c r="C114" s="1" t="s">
        <v>46</v>
      </c>
      <c r="D114" s="1">
        <v>1.0</v>
      </c>
      <c r="E114" s="1">
        <v>24.0</v>
      </c>
      <c r="F114" s="17" t="str">
        <f>VLOOKUP(D114,category!$A$2:$B$14,2,false)</f>
        <v>Breakfast</v>
      </c>
      <c r="G114" s="17" t="str">
        <f t="shared" si="1"/>
        <v>cheap</v>
      </c>
      <c r="H114" s="18">
        <f t="shared" si="2"/>
        <v>12</v>
      </c>
      <c r="I114" s="1"/>
      <c r="J114" s="39">
        <f>IFERROR(__xludf.DUMMYFUNCTION("""COMPUTED_VALUE"""),520.0)</f>
        <v>520</v>
      </c>
      <c r="K114" s="31"/>
      <c r="L114" s="31"/>
      <c r="O114" s="21" t="str">
        <f t="shared" si="4"/>
        <v>No</v>
      </c>
      <c r="P114" s="21" t="str">
        <f t="shared" si="5"/>
        <v>rea</v>
      </c>
      <c r="T114" s="38"/>
      <c r="U114" s="38"/>
      <c r="V114" s="38"/>
      <c r="W114" s="38"/>
      <c r="X114" s="38"/>
      <c r="Y114" s="32"/>
      <c r="Z114" s="32"/>
    </row>
    <row r="115">
      <c r="A115" s="16">
        <v>45287.0</v>
      </c>
      <c r="B115" s="1" t="s">
        <v>34</v>
      </c>
      <c r="C115" s="1" t="s">
        <v>46</v>
      </c>
      <c r="D115" s="1">
        <v>2.0</v>
      </c>
      <c r="E115" s="1">
        <v>7.0</v>
      </c>
      <c r="F115" s="17" t="str">
        <f>VLOOKUP(D115,category!$A$2:$B$14,2,false)</f>
        <v>Lunch</v>
      </c>
      <c r="G115" s="17" t="str">
        <f t="shared" si="1"/>
        <v>cheap</v>
      </c>
      <c r="H115" s="18">
        <f t="shared" si="2"/>
        <v>12</v>
      </c>
      <c r="I115" s="1"/>
      <c r="J115" s="39">
        <f>IFERROR(__xludf.DUMMYFUNCTION("""COMPUTED_VALUE"""),210.0)</f>
        <v>210</v>
      </c>
      <c r="K115" s="31"/>
      <c r="L115" s="31"/>
      <c r="O115" s="21" t="str">
        <f t="shared" si="4"/>
        <v>No</v>
      </c>
      <c r="P115" s="21" t="str">
        <f t="shared" si="5"/>
        <v>unc</v>
      </c>
      <c r="T115" s="38"/>
      <c r="U115" s="38"/>
      <c r="V115" s="38"/>
      <c r="W115" s="38"/>
      <c r="X115" s="38"/>
      <c r="Y115" s="32"/>
      <c r="Z115" s="32"/>
    </row>
    <row r="116">
      <c r="A116" s="16">
        <v>45287.0</v>
      </c>
      <c r="B116" s="1" t="s">
        <v>34</v>
      </c>
      <c r="C116" s="1" t="s">
        <v>46</v>
      </c>
      <c r="D116" s="1">
        <v>12.0</v>
      </c>
      <c r="E116" s="1">
        <v>3.0</v>
      </c>
      <c r="F116" s="17" t="str">
        <f>VLOOKUP(D116,category!$A$2:$B$14,2,false)</f>
        <v>Grocery</v>
      </c>
      <c r="G116" s="17" t="str">
        <f t="shared" si="1"/>
        <v>cheap</v>
      </c>
      <c r="H116" s="18">
        <f t="shared" si="2"/>
        <v>12</v>
      </c>
      <c r="I116" s="1"/>
      <c r="J116" s="39">
        <f>IFERROR(__xludf.DUMMYFUNCTION("""COMPUTED_VALUE"""),45.0)</f>
        <v>45</v>
      </c>
      <c r="K116" s="31"/>
      <c r="L116" s="31"/>
      <c r="O116" s="21" t="str">
        <f t="shared" si="4"/>
        <v>No</v>
      </c>
      <c r="P116" s="21" t="str">
        <f t="shared" si="5"/>
        <v>roc</v>
      </c>
      <c r="T116" s="38"/>
      <c r="U116" s="38"/>
      <c r="V116" s="38"/>
      <c r="W116" s="38"/>
      <c r="X116" s="38"/>
      <c r="Y116" s="32"/>
      <c r="Z116" s="32"/>
    </row>
    <row r="117">
      <c r="A117" s="16">
        <v>45287.0</v>
      </c>
      <c r="B117" s="1" t="s">
        <v>34</v>
      </c>
      <c r="C117" s="1" t="s">
        <v>46</v>
      </c>
      <c r="D117" s="1">
        <v>6.0</v>
      </c>
      <c r="E117" s="1">
        <v>17.0</v>
      </c>
      <c r="F117" s="17" t="str">
        <f>VLOOKUP(D117,category!$A$2:$B$14,2,false)</f>
        <v>Dinner</v>
      </c>
      <c r="G117" s="17" t="str">
        <f t="shared" si="1"/>
        <v>cheap</v>
      </c>
      <c r="H117" s="18">
        <f t="shared" si="2"/>
        <v>12</v>
      </c>
      <c r="I117" s="1"/>
      <c r="J117" s="39">
        <f>IFERROR(__xludf.DUMMYFUNCTION("""COMPUTED_VALUE"""),90.0)</f>
        <v>90</v>
      </c>
      <c r="K117" s="31"/>
      <c r="L117" s="31"/>
      <c r="O117" s="21" t="str">
        <f t="shared" si="4"/>
        <v>No</v>
      </c>
      <c r="P117" s="21" t="str">
        <f t="shared" si="5"/>
        <v>inn</v>
      </c>
      <c r="T117" s="38"/>
      <c r="U117" s="38"/>
      <c r="V117" s="38"/>
      <c r="W117" s="38"/>
      <c r="X117" s="38"/>
      <c r="Y117" s="32"/>
      <c r="Z117" s="32"/>
    </row>
    <row r="118">
      <c r="A118" s="16">
        <v>45288.0</v>
      </c>
      <c r="B118" s="1" t="s">
        <v>34</v>
      </c>
      <c r="C118" s="1" t="s">
        <v>46</v>
      </c>
      <c r="D118" s="1">
        <v>4.0</v>
      </c>
      <c r="E118" s="1">
        <v>8.0</v>
      </c>
      <c r="F118" s="17" t="str">
        <f>VLOOKUP(D118,category!$A$2:$B$14,2,false)</f>
        <v>Metro</v>
      </c>
      <c r="G118" s="17" t="str">
        <f t="shared" si="1"/>
        <v>cheap</v>
      </c>
      <c r="H118" s="18">
        <f t="shared" si="2"/>
        <v>12</v>
      </c>
      <c r="I118" s="1"/>
      <c r="J118" s="39">
        <f>IFERROR(__xludf.DUMMYFUNCTION("""COMPUTED_VALUE"""),47.0)</f>
        <v>47</v>
      </c>
      <c r="K118" s="31"/>
      <c r="L118" s="31"/>
      <c r="O118" s="21" t="str">
        <f t="shared" si="4"/>
        <v>No</v>
      </c>
      <c r="P118" s="21" t="str">
        <f t="shared" si="5"/>
        <v>etr</v>
      </c>
      <c r="T118" s="38"/>
      <c r="U118" s="38"/>
      <c r="V118" s="38"/>
      <c r="W118" s="38"/>
      <c r="X118" s="38"/>
      <c r="Y118" s="32"/>
      <c r="Z118" s="32"/>
    </row>
    <row r="119">
      <c r="A119" s="16">
        <v>45288.0</v>
      </c>
      <c r="B119" s="1" t="s">
        <v>34</v>
      </c>
      <c r="C119" s="1" t="s">
        <v>46</v>
      </c>
      <c r="D119" s="1">
        <v>1.0</v>
      </c>
      <c r="E119" s="1">
        <v>24.0</v>
      </c>
      <c r="F119" s="17" t="str">
        <f>VLOOKUP(D119,category!$A$2:$B$14,2,false)</f>
        <v>Breakfast</v>
      </c>
      <c r="G119" s="17" t="str">
        <f t="shared" si="1"/>
        <v>cheap</v>
      </c>
      <c r="H119" s="18">
        <f t="shared" si="2"/>
        <v>12</v>
      </c>
      <c r="I119" s="1"/>
      <c r="J119" s="39">
        <f>IFERROR(__xludf.DUMMYFUNCTION("""COMPUTED_VALUE"""),190.0)</f>
        <v>190</v>
      </c>
      <c r="K119" s="31"/>
      <c r="L119" s="31"/>
      <c r="O119" s="21" t="str">
        <f t="shared" si="4"/>
        <v>No</v>
      </c>
      <c r="P119" s="21" t="str">
        <f t="shared" si="5"/>
        <v>rea</v>
      </c>
      <c r="T119" s="38"/>
      <c r="U119" s="38"/>
      <c r="V119" s="38"/>
      <c r="W119" s="38"/>
      <c r="X119" s="38"/>
      <c r="Y119" s="32"/>
      <c r="Z119" s="32"/>
    </row>
    <row r="120">
      <c r="A120" s="16">
        <v>45288.0</v>
      </c>
      <c r="B120" s="1" t="s">
        <v>34</v>
      </c>
      <c r="C120" s="1" t="s">
        <v>46</v>
      </c>
      <c r="D120" s="1">
        <v>2.0</v>
      </c>
      <c r="E120" s="1">
        <v>8.0</v>
      </c>
      <c r="F120" s="17" t="str">
        <f>VLOOKUP(D120,category!$A$2:$B$14,2,false)</f>
        <v>Lunch</v>
      </c>
      <c r="G120" s="17" t="str">
        <f t="shared" si="1"/>
        <v>cheap</v>
      </c>
      <c r="H120" s="18">
        <f t="shared" si="2"/>
        <v>12</v>
      </c>
      <c r="I120" s="1"/>
      <c r="J120" s="39">
        <f>IFERROR(__xludf.DUMMYFUNCTION("""COMPUTED_VALUE"""),17.0)</f>
        <v>17</v>
      </c>
      <c r="K120" s="31"/>
      <c r="L120" s="31"/>
      <c r="O120" s="21" t="str">
        <f t="shared" si="4"/>
        <v>No</v>
      </c>
      <c r="P120" s="21" t="str">
        <f t="shared" si="5"/>
        <v>unc</v>
      </c>
      <c r="T120" s="38"/>
      <c r="U120" s="38"/>
      <c r="V120" s="38"/>
      <c r="W120" s="38"/>
      <c r="X120" s="38"/>
      <c r="Y120" s="32"/>
      <c r="Z120" s="32"/>
    </row>
    <row r="121">
      <c r="A121" s="16">
        <v>45288.0</v>
      </c>
      <c r="B121" s="1" t="s">
        <v>34</v>
      </c>
      <c r="C121" s="1" t="s">
        <v>46</v>
      </c>
      <c r="D121" s="1">
        <v>6.0</v>
      </c>
      <c r="E121" s="1">
        <v>30.0</v>
      </c>
      <c r="F121" s="17" t="str">
        <f>VLOOKUP(D121,category!$A$2:$B$14,2,false)</f>
        <v>Dinner</v>
      </c>
      <c r="G121" s="17" t="str">
        <f t="shared" si="1"/>
        <v>cheap</v>
      </c>
      <c r="H121" s="18">
        <f t="shared" si="2"/>
        <v>12</v>
      </c>
      <c r="I121" s="1"/>
      <c r="J121" s="45" t="s">
        <v>48</v>
      </c>
      <c r="K121" s="32"/>
      <c r="L121" s="31"/>
      <c r="O121" s="21" t="str">
        <f t="shared" si="4"/>
        <v>No</v>
      </c>
      <c r="P121" s="21" t="str">
        <f t="shared" si="5"/>
        <v>inn</v>
      </c>
      <c r="T121" s="38"/>
      <c r="U121" s="38"/>
      <c r="V121" s="38"/>
      <c r="W121" s="38"/>
      <c r="X121" s="38"/>
      <c r="Y121" s="32"/>
      <c r="Z121" s="32"/>
    </row>
    <row r="122">
      <c r="A122" s="16">
        <v>45289.0</v>
      </c>
      <c r="B122" s="1" t="s">
        <v>34</v>
      </c>
      <c r="C122" s="1" t="s">
        <v>46</v>
      </c>
      <c r="D122" s="1">
        <v>1.0</v>
      </c>
      <c r="E122" s="1">
        <v>24.0</v>
      </c>
      <c r="F122" s="17" t="str">
        <f>VLOOKUP(D122,category!$A$2:$B$14,2,false)</f>
        <v>Breakfast</v>
      </c>
      <c r="G122" s="17" t="str">
        <f t="shared" si="1"/>
        <v>cheap</v>
      </c>
      <c r="H122" s="18">
        <f t="shared" si="2"/>
        <v>12</v>
      </c>
      <c r="I122" s="1"/>
      <c r="J122" s="46">
        <f>IFERROR(__xludf.DUMMYFUNCTION("COUNTUNIQUE(A2:A128)"),30.0)</f>
        <v>30</v>
      </c>
      <c r="K122" s="32"/>
      <c r="L122" s="31"/>
      <c r="O122" s="21" t="str">
        <f t="shared" si="4"/>
        <v>No</v>
      </c>
      <c r="P122" s="21" t="str">
        <f t="shared" si="5"/>
        <v>rea</v>
      </c>
      <c r="T122" s="38"/>
      <c r="U122" s="38"/>
      <c r="V122" s="38"/>
      <c r="W122" s="38"/>
      <c r="X122" s="38"/>
      <c r="Y122" s="32"/>
      <c r="Z122" s="32"/>
    </row>
    <row r="123">
      <c r="A123" s="16">
        <v>45289.0</v>
      </c>
      <c r="B123" s="1" t="s">
        <v>34</v>
      </c>
      <c r="C123" s="1" t="s">
        <v>46</v>
      </c>
      <c r="D123" s="1">
        <v>2.0</v>
      </c>
      <c r="E123" s="1">
        <v>6.0</v>
      </c>
      <c r="F123" s="17" t="str">
        <f>VLOOKUP(D123,category!$A$2:$B$14,2,false)</f>
        <v>Lunch</v>
      </c>
      <c r="G123" s="17" t="str">
        <f t="shared" si="1"/>
        <v>cheap</v>
      </c>
      <c r="H123" s="18">
        <f t="shared" si="2"/>
        <v>12</v>
      </c>
      <c r="I123" s="1"/>
      <c r="J123" s="46">
        <f>IFERROR(__xludf.DUMMYFUNCTION("COUNTUNIQUE(B2:B128)"),8.0)</f>
        <v>8</v>
      </c>
      <c r="K123" s="32"/>
      <c r="L123" s="31"/>
      <c r="O123" s="21" t="str">
        <f t="shared" si="4"/>
        <v>No</v>
      </c>
      <c r="P123" s="21" t="str">
        <f t="shared" si="5"/>
        <v>unc</v>
      </c>
      <c r="T123" s="38"/>
      <c r="U123" s="38"/>
      <c r="V123" s="38"/>
      <c r="W123" s="38"/>
      <c r="X123" s="38"/>
      <c r="Y123" s="32"/>
      <c r="Z123" s="32"/>
    </row>
    <row r="124">
      <c r="A124" s="16">
        <v>45289.0</v>
      </c>
      <c r="B124" s="1" t="s">
        <v>34</v>
      </c>
      <c r="C124" s="1" t="s">
        <v>46</v>
      </c>
      <c r="D124" s="1">
        <v>6.0</v>
      </c>
      <c r="E124" s="1">
        <v>14.0</v>
      </c>
      <c r="F124" s="17" t="str">
        <f>VLOOKUP(D124,category!$A$2:$B$14,2,false)</f>
        <v>Dinner</v>
      </c>
      <c r="G124" s="17" t="str">
        <f t="shared" si="1"/>
        <v>cheap</v>
      </c>
      <c r="H124" s="18">
        <f t="shared" si="2"/>
        <v>12</v>
      </c>
      <c r="I124" s="1"/>
      <c r="J124" s="46">
        <f>IFERROR(__xludf.DUMMYFUNCTION("COUNTUNIQUE(C2:C128)"),12.0)</f>
        <v>12</v>
      </c>
      <c r="K124" s="31"/>
      <c r="L124" s="31"/>
      <c r="O124" s="21" t="str">
        <f t="shared" si="4"/>
        <v>No</v>
      </c>
      <c r="P124" s="21" t="str">
        <f t="shared" si="5"/>
        <v>inn</v>
      </c>
      <c r="T124" s="38"/>
      <c r="U124" s="38"/>
      <c r="V124" s="38"/>
      <c r="W124" s="38"/>
      <c r="X124" s="38"/>
      <c r="Y124" s="32"/>
      <c r="Z124" s="32"/>
    </row>
    <row r="125">
      <c r="A125" s="16">
        <v>45290.0</v>
      </c>
      <c r="B125" s="1" t="s">
        <v>34</v>
      </c>
      <c r="C125" s="1" t="s">
        <v>46</v>
      </c>
      <c r="D125" s="1">
        <v>1.0</v>
      </c>
      <c r="E125" s="1">
        <v>12.0</v>
      </c>
      <c r="F125" s="17" t="str">
        <f>VLOOKUP(D125,category!$A$2:$B$14,2,false)</f>
        <v>Breakfast</v>
      </c>
      <c r="G125" s="17" t="str">
        <f t="shared" si="1"/>
        <v>cheap</v>
      </c>
      <c r="H125" s="18">
        <f t="shared" si="2"/>
        <v>12</v>
      </c>
      <c r="I125" s="1"/>
      <c r="J125" s="46">
        <f>IFERROR(__xludf.DUMMYFUNCTION("COUNTUNIQUE(D2:D128)"),13.0)</f>
        <v>13</v>
      </c>
      <c r="K125" s="31"/>
      <c r="L125" s="31"/>
      <c r="O125" s="21" t="str">
        <f t="shared" si="4"/>
        <v>No</v>
      </c>
      <c r="P125" s="21" t="str">
        <f t="shared" si="5"/>
        <v>rea</v>
      </c>
      <c r="T125" s="38"/>
      <c r="U125" s="38"/>
      <c r="V125" s="38"/>
      <c r="W125" s="38"/>
      <c r="X125" s="38"/>
      <c r="Y125" s="32"/>
      <c r="Z125" s="32"/>
    </row>
    <row r="126">
      <c r="A126" s="16">
        <v>45290.0</v>
      </c>
      <c r="B126" s="1" t="s">
        <v>34</v>
      </c>
      <c r="C126" s="1" t="s">
        <v>46</v>
      </c>
      <c r="D126" s="1">
        <v>13.0</v>
      </c>
      <c r="E126" s="1">
        <v>8.0</v>
      </c>
      <c r="F126" s="17" t="str">
        <f>VLOOKUP(D126,category!$A$2:$B$14,2,false)</f>
        <v>Shuttle</v>
      </c>
      <c r="G126" s="17" t="str">
        <f t="shared" si="1"/>
        <v>cheap</v>
      </c>
      <c r="H126" s="18">
        <f t="shared" si="2"/>
        <v>12</v>
      </c>
      <c r="I126" s="1"/>
      <c r="J126" s="46">
        <f>IFERROR(__xludf.DUMMYFUNCTION("COUNTUNIQUE(E2:E128)"),51.0)</f>
        <v>51</v>
      </c>
      <c r="K126" s="31"/>
      <c r="L126" s="31"/>
      <c r="O126" s="21" t="str">
        <f t="shared" si="4"/>
        <v>No</v>
      </c>
      <c r="P126" s="21" t="str">
        <f t="shared" si="5"/>
        <v>hut</v>
      </c>
      <c r="T126" s="38"/>
      <c r="U126" s="38"/>
      <c r="V126" s="38"/>
      <c r="W126" s="38"/>
      <c r="X126" s="38"/>
      <c r="Y126" s="32"/>
      <c r="Z126" s="32"/>
    </row>
    <row r="127">
      <c r="A127" s="16">
        <v>45290.0</v>
      </c>
      <c r="B127" s="1" t="s">
        <v>34</v>
      </c>
      <c r="C127" s="1" t="s">
        <v>46</v>
      </c>
      <c r="D127" s="1">
        <v>2.0</v>
      </c>
      <c r="E127" s="1">
        <v>17.0</v>
      </c>
      <c r="F127" s="17" t="str">
        <f>VLOOKUP(D127,category!$A$2:$B$14,2,false)</f>
        <v>Lunch</v>
      </c>
      <c r="G127" s="17" t="str">
        <f t="shared" si="1"/>
        <v>cheap</v>
      </c>
      <c r="H127" s="18">
        <f t="shared" si="2"/>
        <v>12</v>
      </c>
      <c r="I127" s="1"/>
      <c r="J127" s="31"/>
      <c r="K127" s="31"/>
      <c r="L127" s="31"/>
      <c r="O127" s="21" t="str">
        <f t="shared" si="4"/>
        <v>No</v>
      </c>
      <c r="P127" s="21" t="str">
        <f t="shared" si="5"/>
        <v>unc</v>
      </c>
      <c r="T127" s="38"/>
      <c r="U127" s="38"/>
      <c r="V127" s="38"/>
      <c r="W127" s="38"/>
      <c r="X127" s="38"/>
      <c r="Y127" s="32"/>
      <c r="Z127" s="32"/>
    </row>
    <row r="128">
      <c r="A128" s="16">
        <v>45290.0</v>
      </c>
      <c r="B128" s="1" t="s">
        <v>34</v>
      </c>
      <c r="C128" s="1" t="s">
        <v>46</v>
      </c>
      <c r="D128" s="1">
        <v>10.0</v>
      </c>
      <c r="E128" s="1">
        <v>14.0</v>
      </c>
      <c r="F128" s="17" t="str">
        <f>VLOOKUP(D128,category!$A$2:$B$14,2,false)</f>
        <v>Shopping</v>
      </c>
      <c r="G128" s="17" t="str">
        <f t="shared" si="1"/>
        <v>cheap</v>
      </c>
      <c r="H128" s="18">
        <f t="shared" si="2"/>
        <v>12</v>
      </c>
      <c r="I128" s="1"/>
      <c r="J128" s="31"/>
      <c r="K128" s="31"/>
      <c r="L128" s="31"/>
      <c r="O128" s="21" t="str">
        <f t="shared" si="4"/>
        <v>No</v>
      </c>
      <c r="P128" s="21" t="str">
        <f t="shared" si="5"/>
        <v>hop</v>
      </c>
      <c r="T128" s="38"/>
      <c r="U128" s="38"/>
      <c r="V128" s="38"/>
      <c r="W128" s="38"/>
      <c r="X128" s="38"/>
      <c r="Y128" s="32"/>
      <c r="Z128" s="32"/>
    </row>
  </sheetData>
  <mergeCells count="1">
    <mergeCell ref="T1:Z1"/>
  </mergeCells>
  <conditionalFormatting sqref="B1:B1000">
    <cfRule type="expression" dxfId="0" priority="1">
      <formula>$B2="Spain"</formula>
    </cfRule>
  </conditionalFormatting>
  <conditionalFormatting sqref="A2:A128">
    <cfRule type="expression" dxfId="1" priority="2">
      <formula>A2&lt;DATE(2023,7,12)</formula>
    </cfRule>
  </conditionalFormatting>
  <dataValidations>
    <dataValidation type="list" allowBlank="1" showErrorMessage="1" sqref="R2">
      <formula1>dataset!$J$43:$J$54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49</v>
      </c>
    </row>
    <row r="2">
      <c r="A2" s="1" t="s">
        <v>50</v>
      </c>
    </row>
    <row r="3">
      <c r="A3" s="1" t="s">
        <v>51</v>
      </c>
    </row>
    <row r="4">
      <c r="A4" s="1" t="s">
        <v>52</v>
      </c>
    </row>
    <row r="5">
      <c r="A5" s="1" t="s">
        <v>53</v>
      </c>
    </row>
    <row r="6">
      <c r="A6" s="1" t="s">
        <v>54</v>
      </c>
    </row>
    <row r="7">
      <c r="A7" s="1" t="s">
        <v>55</v>
      </c>
    </row>
    <row r="8">
      <c r="A8" s="1" t="s">
        <v>56</v>
      </c>
    </row>
    <row r="9">
      <c r="A9" s="1" t="s">
        <v>57</v>
      </c>
    </row>
    <row r="10">
      <c r="A10" s="1" t="s">
        <v>58</v>
      </c>
    </row>
    <row r="11">
      <c r="A11" s="1" t="s">
        <v>59</v>
      </c>
    </row>
    <row r="12">
      <c r="A12" s="1" t="s">
        <v>60</v>
      </c>
    </row>
    <row r="13">
      <c r="A13" s="1" t="s">
        <v>61</v>
      </c>
    </row>
    <row r="14">
      <c r="A14" s="1" t="s">
        <v>62</v>
      </c>
    </row>
    <row r="15">
      <c r="A15" s="1" t="s">
        <v>63</v>
      </c>
    </row>
    <row r="16">
      <c r="A16" s="1" t="s">
        <v>64</v>
      </c>
    </row>
    <row r="17">
      <c r="A17" s="1" t="s">
        <v>65</v>
      </c>
    </row>
    <row r="18">
      <c r="A18" s="1" t="s">
        <v>66</v>
      </c>
    </row>
    <row r="19">
      <c r="A19" s="1" t="s">
        <v>67</v>
      </c>
    </row>
    <row r="20">
      <c r="A20" s="1" t="s">
        <v>68</v>
      </c>
    </row>
    <row r="21">
      <c r="A21" s="1" t="s">
        <v>69</v>
      </c>
    </row>
    <row r="22">
      <c r="A22" s="1" t="s">
        <v>70</v>
      </c>
    </row>
    <row r="23">
      <c r="A23" s="1" t="s">
        <v>71</v>
      </c>
    </row>
    <row r="24">
      <c r="A24" s="1" t="s">
        <v>72</v>
      </c>
    </row>
    <row r="25">
      <c r="A25" s="1" t="s">
        <v>73</v>
      </c>
    </row>
    <row r="26">
      <c r="A26" s="1" t="s">
        <v>74</v>
      </c>
    </row>
    <row r="27">
      <c r="A27" s="1" t="s">
        <v>75</v>
      </c>
    </row>
    <row r="29">
      <c r="A29" s="1" t="s">
        <v>76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77</v>
      </c>
      <c r="B1" s="1" t="s">
        <v>78</v>
      </c>
    </row>
    <row r="2">
      <c r="A2" s="1">
        <v>1.0</v>
      </c>
      <c r="B2" s="1" t="s">
        <v>79</v>
      </c>
    </row>
    <row r="3">
      <c r="A3" s="1">
        <v>2.0</v>
      </c>
      <c r="B3" s="1" t="s">
        <v>80</v>
      </c>
    </row>
    <row r="4">
      <c r="A4" s="1">
        <v>3.0</v>
      </c>
      <c r="B4" s="1" t="s">
        <v>81</v>
      </c>
    </row>
    <row r="5">
      <c r="A5" s="1">
        <v>4.0</v>
      </c>
      <c r="B5" s="1" t="s">
        <v>82</v>
      </c>
    </row>
    <row r="6">
      <c r="A6" s="1">
        <v>5.0</v>
      </c>
      <c r="B6" s="1" t="s">
        <v>83</v>
      </c>
    </row>
    <row r="7">
      <c r="A7" s="1">
        <v>6.0</v>
      </c>
      <c r="B7" s="1" t="s">
        <v>84</v>
      </c>
    </row>
    <row r="8">
      <c r="A8" s="1">
        <v>7.0</v>
      </c>
      <c r="B8" s="1" t="s">
        <v>85</v>
      </c>
    </row>
    <row r="9">
      <c r="A9" s="1">
        <v>8.0</v>
      </c>
      <c r="B9" s="1" t="s">
        <v>86</v>
      </c>
    </row>
    <row r="10">
      <c r="A10" s="1">
        <v>9.0</v>
      </c>
      <c r="B10" s="1" t="s">
        <v>87</v>
      </c>
    </row>
    <row r="11">
      <c r="A11" s="1">
        <v>10.0</v>
      </c>
      <c r="B11" s="1" t="s">
        <v>88</v>
      </c>
    </row>
    <row r="12">
      <c r="A12" s="1">
        <v>11.0</v>
      </c>
      <c r="B12" s="1" t="s">
        <v>89</v>
      </c>
    </row>
    <row r="13">
      <c r="A13" s="1">
        <v>12.0</v>
      </c>
      <c r="B13" s="1" t="s">
        <v>90</v>
      </c>
    </row>
    <row r="14">
      <c r="A14" s="1">
        <v>13.0</v>
      </c>
      <c r="B14" s="1" t="s">
        <v>91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B1" s="47" t="s">
        <v>1</v>
      </c>
      <c r="C1" s="47" t="s">
        <v>92</v>
      </c>
    </row>
    <row r="2">
      <c r="B2" s="47"/>
      <c r="C2" s="47" t="e">
        <v>#DIV/0!</v>
      </c>
    </row>
    <row r="3">
      <c r="B3" s="47" t="s">
        <v>21</v>
      </c>
      <c r="C3" s="47">
        <v>93.0</v>
      </c>
    </row>
    <row r="4">
      <c r="B4" s="47" t="s">
        <v>30</v>
      </c>
      <c r="C4" s="47">
        <v>35.125</v>
      </c>
    </row>
    <row r="5">
      <c r="B5" s="47" t="s">
        <v>33</v>
      </c>
      <c r="C5" s="47">
        <v>164.94444444444446</v>
      </c>
    </row>
    <row r="6">
      <c r="A6" s="2" t="s">
        <v>93</v>
      </c>
      <c r="B6" s="47" t="s">
        <v>31</v>
      </c>
      <c r="C6" s="47">
        <v>33.63636363636363</v>
      </c>
    </row>
    <row r="7">
      <c r="B7" s="47" t="s">
        <v>28</v>
      </c>
      <c r="C7" s="47">
        <v>36.0</v>
      </c>
    </row>
    <row r="8">
      <c r="B8" s="47" t="s">
        <v>34</v>
      </c>
      <c r="C8" s="47">
        <v>43.72</v>
      </c>
    </row>
    <row r="9">
      <c r="B9" s="47" t="s">
        <v>27</v>
      </c>
      <c r="C9" s="47">
        <v>28.6</v>
      </c>
    </row>
    <row r="10">
      <c r="B10" s="47" t="s">
        <v>29</v>
      </c>
      <c r="C10" s="47">
        <v>69.88</v>
      </c>
    </row>
    <row r="11">
      <c r="B11" s="47" t="s">
        <v>94</v>
      </c>
      <c r="C11" s="47">
        <v>66.1259842519685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5.13"/>
  </cols>
  <sheetData>
    <row r="1"/>
    <row r="2"/>
    <row r="3"/>
    <row r="4"/>
    <row r="5"/>
    <row r="6">
      <c r="A6" s="48" t="s">
        <v>96</v>
      </c>
    </row>
    <row r="7"/>
    <row r="8"/>
    <row r="9"/>
    <row r="10"/>
    <row r="11"/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</sheetData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4">
      <c r="B14" s="1" t="s">
        <v>97</v>
      </c>
      <c r="C14" s="1" t="s">
        <v>98</v>
      </c>
    </row>
    <row r="16">
      <c r="B16" s="47">
        <f>match(B14,A4:A11)</f>
        <v>6</v>
      </c>
      <c r="C16" s="47">
        <f>MATCH(C14,C2:O2)</f>
        <v>13</v>
      </c>
    </row>
    <row r="18">
      <c r="B18" s="47">
        <f t="array" ref="B18">INDEX(C4:O11,B16,C16)</f>
        <v>960</v>
      </c>
    </row>
  </sheetData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</sheetData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</sheetData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</sheetData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26.38"/>
  </cols>
  <sheetData>
    <row r="1">
      <c r="A1" s="51">
        <v>45086.0</v>
      </c>
      <c r="B1" s="47" t="s">
        <v>29</v>
      </c>
      <c r="C1" s="47" t="s">
        <v>36</v>
      </c>
      <c r="D1" s="47">
        <v>5.0</v>
      </c>
      <c r="E1" s="47">
        <v>280.0</v>
      </c>
      <c r="F1" s="47" t="s">
        <v>83</v>
      </c>
      <c r="G1" s="47" t="s">
        <v>99</v>
      </c>
      <c r="H1" s="50">
        <v>6.0</v>
      </c>
      <c r="I1" s="9" t="s">
        <v>100</v>
      </c>
    </row>
    <row r="2">
      <c r="A2" s="51">
        <v>45086.0</v>
      </c>
      <c r="B2" s="47" t="s">
        <v>29</v>
      </c>
      <c r="C2" s="47" t="s">
        <v>36</v>
      </c>
      <c r="D2" s="47">
        <v>3.0</v>
      </c>
      <c r="E2" s="47">
        <v>400.0</v>
      </c>
      <c r="F2" s="47" t="s">
        <v>81</v>
      </c>
      <c r="G2" s="47" t="s">
        <v>99</v>
      </c>
      <c r="H2" s="50">
        <v>6.0</v>
      </c>
      <c r="I2" s="26">
        <f>IFERROR(__xludf.DUMMYFUNCTION("COUNTUNIQUE(A1:A93)"),22.0)</f>
        <v>22</v>
      </c>
    </row>
    <row r="3">
      <c r="A3" s="51">
        <v>45086.0</v>
      </c>
      <c r="B3" s="47" t="s">
        <v>29</v>
      </c>
      <c r="C3" s="47" t="s">
        <v>36</v>
      </c>
      <c r="D3" s="47">
        <v>9.0</v>
      </c>
      <c r="E3" s="47">
        <v>13.0</v>
      </c>
      <c r="F3" s="47" t="s">
        <v>87</v>
      </c>
      <c r="G3" s="47" t="s">
        <v>101</v>
      </c>
      <c r="H3" s="50">
        <v>6.0</v>
      </c>
    </row>
    <row r="4">
      <c r="A4" s="51">
        <v>45087.0</v>
      </c>
      <c r="B4" s="47" t="s">
        <v>29</v>
      </c>
      <c r="C4" s="47" t="s">
        <v>36</v>
      </c>
      <c r="D4" s="47">
        <v>1.0</v>
      </c>
      <c r="E4" s="47">
        <v>11.0</v>
      </c>
      <c r="F4" s="47" t="s">
        <v>79</v>
      </c>
      <c r="G4" s="47" t="s">
        <v>101</v>
      </c>
      <c r="H4" s="50">
        <v>6.0</v>
      </c>
    </row>
    <row r="5">
      <c r="A5" s="51">
        <v>45087.0</v>
      </c>
      <c r="B5" s="47" t="s">
        <v>29</v>
      </c>
      <c r="C5" s="47" t="s">
        <v>36</v>
      </c>
      <c r="D5" s="47">
        <v>2.0</v>
      </c>
      <c r="E5" s="47">
        <v>30.0</v>
      </c>
      <c r="F5" s="47" t="s">
        <v>80</v>
      </c>
      <c r="G5" s="47" t="s">
        <v>101</v>
      </c>
      <c r="H5" s="50">
        <v>6.0</v>
      </c>
    </row>
    <row r="6">
      <c r="A6" s="51">
        <v>45087.0</v>
      </c>
      <c r="B6" s="47" t="s">
        <v>29</v>
      </c>
      <c r="C6" s="47" t="s">
        <v>36</v>
      </c>
      <c r="D6" s="47">
        <v>10.0</v>
      </c>
      <c r="E6" s="47">
        <v>12.0</v>
      </c>
      <c r="F6" s="47" t="s">
        <v>88</v>
      </c>
      <c r="G6" s="47" t="s">
        <v>101</v>
      </c>
      <c r="H6" s="50">
        <v>6.0</v>
      </c>
    </row>
    <row r="7">
      <c r="A7" s="51">
        <v>45087.0</v>
      </c>
      <c r="B7" s="47" t="s">
        <v>29</v>
      </c>
      <c r="C7" s="47" t="s">
        <v>36</v>
      </c>
      <c r="D7" s="47">
        <v>6.0</v>
      </c>
      <c r="E7" s="47">
        <v>23.0</v>
      </c>
      <c r="F7" s="47" t="s">
        <v>84</v>
      </c>
      <c r="G7" s="47" t="s">
        <v>101</v>
      </c>
      <c r="H7" s="50">
        <v>6.0</v>
      </c>
    </row>
    <row r="8">
      <c r="A8" s="51">
        <v>45087.0</v>
      </c>
      <c r="B8" s="47" t="s">
        <v>29</v>
      </c>
      <c r="C8" s="47" t="s">
        <v>36</v>
      </c>
      <c r="D8" s="47">
        <v>4.0</v>
      </c>
      <c r="E8" s="47">
        <v>10.0</v>
      </c>
      <c r="F8" s="47" t="s">
        <v>82</v>
      </c>
      <c r="G8" s="47" t="s">
        <v>101</v>
      </c>
      <c r="H8" s="50">
        <v>6.0</v>
      </c>
    </row>
    <row r="9">
      <c r="A9" s="51">
        <v>45088.0</v>
      </c>
      <c r="B9" s="47" t="s">
        <v>29</v>
      </c>
      <c r="C9" s="47" t="s">
        <v>36</v>
      </c>
      <c r="D9" s="47">
        <v>1.0</v>
      </c>
      <c r="E9" s="47">
        <v>16.0</v>
      </c>
      <c r="F9" s="47" t="s">
        <v>79</v>
      </c>
      <c r="G9" s="47" t="s">
        <v>101</v>
      </c>
      <c r="H9" s="50">
        <v>6.0</v>
      </c>
    </row>
    <row r="10">
      <c r="A10" s="51">
        <v>45088.0</v>
      </c>
      <c r="B10" s="47" t="s">
        <v>29</v>
      </c>
      <c r="C10" s="47" t="s">
        <v>36</v>
      </c>
      <c r="D10" s="47">
        <v>2.0</v>
      </c>
      <c r="E10" s="47">
        <v>28.0</v>
      </c>
      <c r="F10" s="47" t="s">
        <v>80</v>
      </c>
      <c r="G10" s="47" t="s">
        <v>101</v>
      </c>
      <c r="H10" s="50">
        <v>6.0</v>
      </c>
    </row>
    <row r="11">
      <c r="A11" s="51">
        <v>45088.0</v>
      </c>
      <c r="B11" s="47" t="s">
        <v>29</v>
      </c>
      <c r="C11" s="47" t="s">
        <v>36</v>
      </c>
      <c r="D11" s="47">
        <v>6.0</v>
      </c>
      <c r="E11" s="47">
        <v>14.0</v>
      </c>
      <c r="F11" s="47" t="s">
        <v>84</v>
      </c>
      <c r="G11" s="47" t="s">
        <v>101</v>
      </c>
      <c r="H11" s="50">
        <v>6.0</v>
      </c>
    </row>
    <row r="12">
      <c r="A12" s="51">
        <v>45088.0</v>
      </c>
      <c r="B12" s="47" t="s">
        <v>29</v>
      </c>
      <c r="C12" s="47" t="s">
        <v>36</v>
      </c>
      <c r="D12" s="47">
        <v>11.0</v>
      </c>
      <c r="E12" s="47">
        <v>20.0</v>
      </c>
      <c r="F12" s="47" t="s">
        <v>89</v>
      </c>
      <c r="G12" s="47" t="s">
        <v>101</v>
      </c>
      <c r="H12" s="50">
        <v>6.0</v>
      </c>
    </row>
    <row r="13">
      <c r="A13" s="51">
        <v>45089.0</v>
      </c>
      <c r="B13" s="47" t="s">
        <v>29</v>
      </c>
      <c r="C13" s="47" t="s">
        <v>36</v>
      </c>
      <c r="D13" s="47">
        <v>1.0</v>
      </c>
      <c r="E13" s="47">
        <v>16.0</v>
      </c>
      <c r="F13" s="47" t="s">
        <v>79</v>
      </c>
      <c r="G13" s="47" t="s">
        <v>101</v>
      </c>
      <c r="H13" s="50">
        <v>6.0</v>
      </c>
    </row>
    <row r="14">
      <c r="A14" s="51">
        <v>45089.0</v>
      </c>
      <c r="B14" s="47" t="s">
        <v>29</v>
      </c>
      <c r="C14" s="47" t="s">
        <v>36</v>
      </c>
      <c r="D14" s="47">
        <v>2.0</v>
      </c>
      <c r="E14" s="47">
        <v>18.0</v>
      </c>
      <c r="F14" s="47" t="s">
        <v>80</v>
      </c>
      <c r="G14" s="47" t="s">
        <v>101</v>
      </c>
      <c r="H14" s="50">
        <v>6.0</v>
      </c>
    </row>
    <row r="15">
      <c r="A15" s="51">
        <v>45089.0</v>
      </c>
      <c r="B15" s="47" t="s">
        <v>29</v>
      </c>
      <c r="C15" s="47" t="s">
        <v>36</v>
      </c>
      <c r="D15" s="47">
        <v>6.0</v>
      </c>
      <c r="E15" s="47">
        <v>22.0</v>
      </c>
      <c r="F15" s="47" t="s">
        <v>84</v>
      </c>
      <c r="G15" s="47" t="s">
        <v>101</v>
      </c>
      <c r="H15" s="50">
        <v>6.0</v>
      </c>
    </row>
    <row r="16">
      <c r="A16" s="51">
        <v>45089.0</v>
      </c>
      <c r="B16" s="47" t="s">
        <v>29</v>
      </c>
      <c r="C16" s="47" t="s">
        <v>36</v>
      </c>
      <c r="D16" s="47">
        <v>10.0</v>
      </c>
      <c r="E16" s="47">
        <v>20.0</v>
      </c>
      <c r="F16" s="47" t="s">
        <v>88</v>
      </c>
      <c r="G16" s="47" t="s">
        <v>101</v>
      </c>
      <c r="H16" s="50">
        <v>6.0</v>
      </c>
    </row>
    <row r="17">
      <c r="A17" s="51">
        <v>45089.0</v>
      </c>
      <c r="B17" s="47" t="s">
        <v>29</v>
      </c>
      <c r="C17" s="47" t="s">
        <v>36</v>
      </c>
      <c r="D17" s="47">
        <v>9.0</v>
      </c>
      <c r="E17" s="47">
        <v>15.0</v>
      </c>
      <c r="F17" s="47" t="s">
        <v>87</v>
      </c>
      <c r="G17" s="47" t="s">
        <v>101</v>
      </c>
      <c r="H17" s="50">
        <v>6.0</v>
      </c>
    </row>
    <row r="18">
      <c r="A18" s="51">
        <v>45273.0</v>
      </c>
      <c r="B18" s="47" t="s">
        <v>29</v>
      </c>
      <c r="C18" s="47" t="s">
        <v>42</v>
      </c>
      <c r="D18" s="47">
        <v>5.0</v>
      </c>
      <c r="E18" s="47">
        <v>488.0</v>
      </c>
      <c r="F18" s="47" t="s">
        <v>83</v>
      </c>
      <c r="G18" s="47" t="s">
        <v>99</v>
      </c>
      <c r="H18" s="50">
        <v>12.0</v>
      </c>
    </row>
    <row r="19">
      <c r="A19" s="51">
        <v>45273.0</v>
      </c>
      <c r="B19" s="47" t="s">
        <v>29</v>
      </c>
      <c r="C19" s="47" t="s">
        <v>42</v>
      </c>
      <c r="D19" s="47">
        <v>3.0</v>
      </c>
      <c r="E19" s="47">
        <v>200.0</v>
      </c>
      <c r="F19" s="47" t="s">
        <v>81</v>
      </c>
      <c r="G19" s="47" t="s">
        <v>99</v>
      </c>
      <c r="H19" s="50">
        <v>12.0</v>
      </c>
    </row>
    <row r="20">
      <c r="A20" s="51">
        <v>45273.0</v>
      </c>
      <c r="B20" s="47" t="s">
        <v>29</v>
      </c>
      <c r="C20" s="47" t="s">
        <v>42</v>
      </c>
      <c r="D20" s="47">
        <v>6.0</v>
      </c>
      <c r="E20" s="47">
        <v>16.0</v>
      </c>
      <c r="F20" s="47" t="s">
        <v>84</v>
      </c>
      <c r="G20" s="47" t="s">
        <v>101</v>
      </c>
      <c r="H20" s="50">
        <v>12.0</v>
      </c>
    </row>
    <row r="21">
      <c r="A21" s="51">
        <v>45274.0</v>
      </c>
      <c r="B21" s="47" t="s">
        <v>29</v>
      </c>
      <c r="C21" s="47" t="s">
        <v>42</v>
      </c>
      <c r="D21" s="47">
        <v>1.0</v>
      </c>
      <c r="E21" s="47">
        <v>36.0</v>
      </c>
      <c r="F21" s="47" t="s">
        <v>79</v>
      </c>
      <c r="G21" s="47" t="s">
        <v>101</v>
      </c>
      <c r="H21" s="50">
        <v>12.0</v>
      </c>
    </row>
    <row r="22">
      <c r="A22" s="51">
        <v>45274.0</v>
      </c>
      <c r="B22" s="47" t="s">
        <v>29</v>
      </c>
      <c r="C22" s="47" t="s">
        <v>42</v>
      </c>
      <c r="D22" s="47">
        <v>4.0</v>
      </c>
      <c r="E22" s="47">
        <v>6.0</v>
      </c>
      <c r="F22" s="47" t="s">
        <v>82</v>
      </c>
      <c r="G22" s="47" t="s">
        <v>101</v>
      </c>
      <c r="H22" s="50">
        <v>12.0</v>
      </c>
    </row>
    <row r="23">
      <c r="A23" s="51">
        <v>45274.0</v>
      </c>
      <c r="B23" s="47" t="s">
        <v>29</v>
      </c>
      <c r="C23" s="47" t="s">
        <v>42</v>
      </c>
      <c r="D23" s="47">
        <v>2.0</v>
      </c>
      <c r="E23" s="47">
        <v>21.0</v>
      </c>
      <c r="F23" s="47" t="s">
        <v>80</v>
      </c>
      <c r="G23" s="47" t="s">
        <v>101</v>
      </c>
      <c r="H23" s="50">
        <v>12.0</v>
      </c>
    </row>
    <row r="24">
      <c r="A24" s="51">
        <v>45274.0</v>
      </c>
      <c r="B24" s="47" t="s">
        <v>29</v>
      </c>
      <c r="C24" s="47" t="s">
        <v>42</v>
      </c>
      <c r="D24" s="47">
        <v>6.0</v>
      </c>
      <c r="E24" s="47">
        <v>29.0</v>
      </c>
      <c r="F24" s="47" t="s">
        <v>84</v>
      </c>
      <c r="G24" s="47" t="s">
        <v>101</v>
      </c>
      <c r="H24" s="50">
        <v>12.0</v>
      </c>
    </row>
    <row r="25">
      <c r="A25" s="51">
        <v>45274.0</v>
      </c>
      <c r="B25" s="47" t="s">
        <v>29</v>
      </c>
      <c r="C25" s="47" t="s">
        <v>42</v>
      </c>
      <c r="D25" s="47">
        <v>12.0</v>
      </c>
      <c r="E25" s="47">
        <v>3.0</v>
      </c>
      <c r="F25" s="47" t="s">
        <v>90</v>
      </c>
      <c r="G25" s="47" t="s">
        <v>101</v>
      </c>
      <c r="H25" s="50">
        <v>12.0</v>
      </c>
    </row>
    <row r="26">
      <c r="A26" s="51">
        <v>45275.0</v>
      </c>
      <c r="B26" s="47" t="s">
        <v>33</v>
      </c>
      <c r="C26" s="47" t="s">
        <v>44</v>
      </c>
      <c r="D26" s="47">
        <v>5.0</v>
      </c>
      <c r="E26" s="47">
        <v>2600.0</v>
      </c>
      <c r="F26" s="47" t="s">
        <v>83</v>
      </c>
      <c r="G26" s="47" t="s">
        <v>99</v>
      </c>
      <c r="H26" s="50">
        <v>12.0</v>
      </c>
    </row>
    <row r="27">
      <c r="A27" s="51">
        <v>45275.0</v>
      </c>
      <c r="B27" s="47" t="s">
        <v>33</v>
      </c>
      <c r="C27" s="47" t="s">
        <v>44</v>
      </c>
      <c r="D27" s="47">
        <v>4.0</v>
      </c>
      <c r="E27" s="47">
        <v>18.0</v>
      </c>
      <c r="F27" s="47" t="s">
        <v>82</v>
      </c>
      <c r="G27" s="47" t="s">
        <v>101</v>
      </c>
      <c r="H27" s="50">
        <v>12.0</v>
      </c>
    </row>
    <row r="28">
      <c r="A28" s="51">
        <v>45275.0</v>
      </c>
      <c r="B28" s="47" t="s">
        <v>33</v>
      </c>
      <c r="C28" s="47" t="s">
        <v>44</v>
      </c>
      <c r="D28" s="47">
        <v>3.0</v>
      </c>
      <c r="E28" s="47">
        <v>208.0</v>
      </c>
      <c r="F28" s="47" t="s">
        <v>81</v>
      </c>
      <c r="G28" s="47" t="s">
        <v>99</v>
      </c>
      <c r="H28" s="50">
        <v>12.0</v>
      </c>
    </row>
    <row r="29">
      <c r="A29" s="51">
        <v>45275.0</v>
      </c>
      <c r="B29" s="47" t="s">
        <v>33</v>
      </c>
      <c r="C29" s="47" t="s">
        <v>44</v>
      </c>
      <c r="D29" s="47">
        <v>12.0</v>
      </c>
      <c r="E29" s="47">
        <v>2.0</v>
      </c>
      <c r="F29" s="47" t="s">
        <v>90</v>
      </c>
      <c r="G29" s="47" t="s">
        <v>101</v>
      </c>
      <c r="H29" s="50">
        <v>12.0</v>
      </c>
    </row>
    <row r="30">
      <c r="A30" s="51">
        <v>45276.0</v>
      </c>
      <c r="B30" s="47" t="s">
        <v>33</v>
      </c>
      <c r="C30" s="47" t="s">
        <v>44</v>
      </c>
      <c r="D30" s="47">
        <v>1.0</v>
      </c>
      <c r="E30" s="47">
        <v>16.0</v>
      </c>
      <c r="F30" s="47" t="s">
        <v>79</v>
      </c>
      <c r="G30" s="47" t="s">
        <v>101</v>
      </c>
      <c r="H30" s="50">
        <v>12.0</v>
      </c>
    </row>
    <row r="31">
      <c r="A31" s="51">
        <v>45276.0</v>
      </c>
      <c r="B31" s="47" t="s">
        <v>33</v>
      </c>
      <c r="C31" s="47" t="s">
        <v>44</v>
      </c>
      <c r="D31" s="47">
        <v>2.0</v>
      </c>
      <c r="E31" s="47">
        <v>5.0</v>
      </c>
      <c r="F31" s="47" t="s">
        <v>80</v>
      </c>
      <c r="G31" s="47" t="s">
        <v>101</v>
      </c>
      <c r="H31" s="50">
        <v>12.0</v>
      </c>
    </row>
    <row r="32">
      <c r="A32" s="51">
        <v>45276.0</v>
      </c>
      <c r="B32" s="47" t="s">
        <v>33</v>
      </c>
      <c r="C32" s="47" t="s">
        <v>44</v>
      </c>
      <c r="D32" s="47">
        <v>6.0</v>
      </c>
      <c r="E32" s="47">
        <v>8.0</v>
      </c>
      <c r="F32" s="47" t="s">
        <v>84</v>
      </c>
      <c r="G32" s="47" t="s">
        <v>101</v>
      </c>
      <c r="H32" s="50">
        <v>12.0</v>
      </c>
    </row>
    <row r="33">
      <c r="A33" s="51">
        <v>45277.0</v>
      </c>
      <c r="B33" s="47" t="s">
        <v>33</v>
      </c>
      <c r="C33" s="47" t="s">
        <v>44</v>
      </c>
      <c r="D33" s="47">
        <v>1.0</v>
      </c>
      <c r="E33" s="47">
        <v>16.0</v>
      </c>
      <c r="F33" s="47" t="s">
        <v>79</v>
      </c>
      <c r="G33" s="47" t="s">
        <v>101</v>
      </c>
      <c r="H33" s="50">
        <v>12.0</v>
      </c>
    </row>
    <row r="34">
      <c r="A34" s="51">
        <v>45277.0</v>
      </c>
      <c r="B34" s="47" t="s">
        <v>33</v>
      </c>
      <c r="C34" s="47" t="s">
        <v>44</v>
      </c>
      <c r="D34" s="47">
        <v>2.0</v>
      </c>
      <c r="E34" s="47">
        <v>21.0</v>
      </c>
      <c r="F34" s="47" t="s">
        <v>80</v>
      </c>
      <c r="G34" s="47" t="s">
        <v>101</v>
      </c>
      <c r="H34" s="50">
        <v>12.0</v>
      </c>
    </row>
    <row r="35">
      <c r="A35" s="51">
        <v>45277.0</v>
      </c>
      <c r="B35" s="47" t="s">
        <v>33</v>
      </c>
      <c r="C35" s="47" t="s">
        <v>44</v>
      </c>
      <c r="D35" s="47">
        <v>7.0</v>
      </c>
      <c r="E35" s="47">
        <v>9.0</v>
      </c>
      <c r="F35" s="47" t="s">
        <v>85</v>
      </c>
      <c r="G35" s="47" t="s">
        <v>101</v>
      </c>
      <c r="H35" s="50">
        <v>12.0</v>
      </c>
    </row>
    <row r="36">
      <c r="A36" s="51">
        <v>45277.0</v>
      </c>
      <c r="B36" s="47" t="s">
        <v>33</v>
      </c>
      <c r="C36" s="47" t="s">
        <v>44</v>
      </c>
      <c r="D36" s="47">
        <v>6.0</v>
      </c>
      <c r="E36" s="47">
        <v>4.0</v>
      </c>
      <c r="F36" s="47" t="s">
        <v>84</v>
      </c>
      <c r="G36" s="47" t="s">
        <v>101</v>
      </c>
      <c r="H36" s="50">
        <v>12.0</v>
      </c>
    </row>
    <row r="37">
      <c r="A37" s="51">
        <v>45278.0</v>
      </c>
      <c r="B37" s="47" t="s">
        <v>33</v>
      </c>
      <c r="C37" s="47" t="s">
        <v>44</v>
      </c>
      <c r="D37" s="47">
        <v>1.0</v>
      </c>
      <c r="E37" s="47">
        <v>16.0</v>
      </c>
      <c r="F37" s="47" t="s">
        <v>79</v>
      </c>
      <c r="G37" s="47" t="s">
        <v>101</v>
      </c>
      <c r="H37" s="50">
        <v>12.0</v>
      </c>
    </row>
    <row r="38">
      <c r="A38" s="51">
        <v>45278.0</v>
      </c>
      <c r="B38" s="47" t="s">
        <v>33</v>
      </c>
      <c r="C38" s="47" t="s">
        <v>44</v>
      </c>
      <c r="D38" s="47">
        <v>2.0</v>
      </c>
      <c r="E38" s="47">
        <v>3.0</v>
      </c>
      <c r="F38" s="47" t="s">
        <v>80</v>
      </c>
      <c r="G38" s="47" t="s">
        <v>101</v>
      </c>
      <c r="H38" s="50">
        <v>12.0</v>
      </c>
    </row>
    <row r="39">
      <c r="A39" s="51">
        <v>45278.0</v>
      </c>
      <c r="B39" s="47" t="s">
        <v>33</v>
      </c>
      <c r="C39" s="47" t="s">
        <v>44</v>
      </c>
      <c r="D39" s="47">
        <v>12.0</v>
      </c>
      <c r="E39" s="47">
        <v>6.0</v>
      </c>
      <c r="F39" s="47" t="s">
        <v>90</v>
      </c>
      <c r="G39" s="47" t="s">
        <v>101</v>
      </c>
      <c r="H39" s="50">
        <v>12.0</v>
      </c>
    </row>
    <row r="40">
      <c r="A40" s="51">
        <v>45278.0</v>
      </c>
      <c r="B40" s="47" t="s">
        <v>33</v>
      </c>
      <c r="C40" s="47" t="s">
        <v>44</v>
      </c>
      <c r="D40" s="47">
        <v>6.0</v>
      </c>
      <c r="E40" s="47">
        <v>7.0</v>
      </c>
      <c r="F40" s="47" t="s">
        <v>84</v>
      </c>
      <c r="G40" s="47" t="s">
        <v>101</v>
      </c>
      <c r="H40" s="50">
        <v>12.0</v>
      </c>
    </row>
    <row r="41">
      <c r="A41" s="51">
        <v>45279.0</v>
      </c>
      <c r="B41" s="47" t="s">
        <v>33</v>
      </c>
      <c r="C41" s="47" t="s">
        <v>44</v>
      </c>
      <c r="D41" s="47">
        <v>1.0</v>
      </c>
      <c r="E41" s="47">
        <v>16.0</v>
      </c>
      <c r="F41" s="47" t="s">
        <v>79</v>
      </c>
      <c r="G41" s="47" t="s">
        <v>101</v>
      </c>
      <c r="H41" s="50">
        <v>12.0</v>
      </c>
    </row>
    <row r="42">
      <c r="A42" s="51">
        <v>45279.0</v>
      </c>
      <c r="B42" s="47" t="s">
        <v>33</v>
      </c>
      <c r="C42" s="47" t="s">
        <v>44</v>
      </c>
      <c r="D42" s="47">
        <v>2.0</v>
      </c>
      <c r="E42" s="47">
        <v>9.0</v>
      </c>
      <c r="F42" s="47" t="s">
        <v>80</v>
      </c>
      <c r="G42" s="47" t="s">
        <v>101</v>
      </c>
      <c r="H42" s="50">
        <v>12.0</v>
      </c>
    </row>
    <row r="43">
      <c r="A43" s="51">
        <v>45279.0</v>
      </c>
      <c r="B43" s="47" t="s">
        <v>33</v>
      </c>
      <c r="C43" s="47" t="s">
        <v>44</v>
      </c>
      <c r="D43" s="47">
        <v>6.0</v>
      </c>
      <c r="E43" s="47">
        <v>5.0</v>
      </c>
      <c r="F43" s="47" t="s">
        <v>84</v>
      </c>
      <c r="G43" s="47" t="s">
        <v>101</v>
      </c>
      <c r="H43" s="50">
        <v>12.0</v>
      </c>
    </row>
    <row r="44">
      <c r="A44" s="51">
        <v>45280.0</v>
      </c>
      <c r="B44" s="47" t="s">
        <v>34</v>
      </c>
      <c r="C44" s="47" t="s">
        <v>46</v>
      </c>
      <c r="D44" s="47">
        <v>1.0</v>
      </c>
      <c r="E44" s="47">
        <v>7.0</v>
      </c>
      <c r="F44" s="47" t="s">
        <v>79</v>
      </c>
      <c r="G44" s="47" t="s">
        <v>101</v>
      </c>
      <c r="H44" s="50">
        <v>12.0</v>
      </c>
    </row>
    <row r="45">
      <c r="A45" s="51">
        <v>45280.0</v>
      </c>
      <c r="B45" s="47" t="s">
        <v>34</v>
      </c>
      <c r="C45" s="47" t="s">
        <v>46</v>
      </c>
      <c r="D45" s="47">
        <v>2.0</v>
      </c>
      <c r="E45" s="47">
        <v>14.0</v>
      </c>
      <c r="F45" s="47" t="s">
        <v>80</v>
      </c>
      <c r="G45" s="47" t="s">
        <v>101</v>
      </c>
      <c r="H45" s="50">
        <v>12.0</v>
      </c>
    </row>
    <row r="46">
      <c r="A46" s="51">
        <v>45280.0</v>
      </c>
      <c r="B46" s="47" t="s">
        <v>34</v>
      </c>
      <c r="C46" s="47" t="s">
        <v>46</v>
      </c>
      <c r="D46" s="47">
        <v>3.0</v>
      </c>
      <c r="E46" s="47">
        <v>92.0</v>
      </c>
      <c r="F46" s="47" t="s">
        <v>81</v>
      </c>
      <c r="G46" s="47" t="s">
        <v>101</v>
      </c>
      <c r="H46" s="50">
        <v>12.0</v>
      </c>
    </row>
    <row r="47">
      <c r="A47" s="51">
        <v>45280.0</v>
      </c>
      <c r="B47" s="47" t="s">
        <v>34</v>
      </c>
      <c r="C47" s="47" t="s">
        <v>46</v>
      </c>
      <c r="D47" s="47">
        <v>6.0</v>
      </c>
      <c r="E47" s="47">
        <v>14.0</v>
      </c>
      <c r="F47" s="47" t="s">
        <v>84</v>
      </c>
      <c r="G47" s="47" t="s">
        <v>101</v>
      </c>
      <c r="H47" s="50">
        <v>12.0</v>
      </c>
    </row>
    <row r="48">
      <c r="A48" s="51">
        <v>45280.0</v>
      </c>
      <c r="B48" s="47" t="s">
        <v>34</v>
      </c>
      <c r="C48" s="47" t="s">
        <v>46</v>
      </c>
      <c r="D48" s="47">
        <v>12.0</v>
      </c>
      <c r="E48" s="47">
        <v>2.0</v>
      </c>
      <c r="F48" s="47" t="s">
        <v>90</v>
      </c>
      <c r="G48" s="47" t="s">
        <v>101</v>
      </c>
      <c r="H48" s="50">
        <v>12.0</v>
      </c>
    </row>
    <row r="49">
      <c r="A49" s="51">
        <v>45281.0</v>
      </c>
      <c r="B49" s="47" t="s">
        <v>34</v>
      </c>
      <c r="C49" s="47" t="s">
        <v>46</v>
      </c>
      <c r="D49" s="47">
        <v>1.0</v>
      </c>
      <c r="E49" s="47">
        <v>24.0</v>
      </c>
      <c r="F49" s="47" t="s">
        <v>79</v>
      </c>
      <c r="G49" s="47" t="s">
        <v>101</v>
      </c>
      <c r="H49" s="50">
        <v>12.0</v>
      </c>
    </row>
    <row r="50">
      <c r="A50" s="51">
        <v>45281.0</v>
      </c>
      <c r="B50" s="47" t="s">
        <v>34</v>
      </c>
      <c r="C50" s="47" t="s">
        <v>46</v>
      </c>
      <c r="D50" s="47">
        <v>2.0</v>
      </c>
      <c r="E50" s="47">
        <v>6.0</v>
      </c>
      <c r="F50" s="47" t="s">
        <v>80</v>
      </c>
      <c r="G50" s="47" t="s">
        <v>101</v>
      </c>
      <c r="H50" s="50">
        <v>12.0</v>
      </c>
    </row>
    <row r="51">
      <c r="A51" s="51">
        <v>45281.0</v>
      </c>
      <c r="B51" s="47" t="s">
        <v>34</v>
      </c>
      <c r="C51" s="47" t="s">
        <v>46</v>
      </c>
      <c r="D51" s="47">
        <v>12.0</v>
      </c>
      <c r="E51" s="47">
        <v>4.0</v>
      </c>
      <c r="F51" s="47" t="s">
        <v>90</v>
      </c>
      <c r="G51" s="47" t="s">
        <v>101</v>
      </c>
      <c r="H51" s="50">
        <v>12.0</v>
      </c>
    </row>
    <row r="52">
      <c r="A52" s="51">
        <v>45281.0</v>
      </c>
      <c r="B52" s="47" t="s">
        <v>34</v>
      </c>
      <c r="C52" s="47" t="s">
        <v>46</v>
      </c>
      <c r="D52" s="47">
        <v>6.0</v>
      </c>
      <c r="E52" s="47">
        <v>20.0</v>
      </c>
      <c r="F52" s="47" t="s">
        <v>84</v>
      </c>
      <c r="G52" s="47" t="s">
        <v>101</v>
      </c>
      <c r="H52" s="50">
        <v>12.0</v>
      </c>
    </row>
    <row r="53">
      <c r="A53" s="51">
        <v>45281.0</v>
      </c>
      <c r="B53" s="47" t="s">
        <v>34</v>
      </c>
      <c r="C53" s="47" t="s">
        <v>46</v>
      </c>
      <c r="D53" s="47">
        <v>4.0</v>
      </c>
      <c r="E53" s="47">
        <v>5.0</v>
      </c>
      <c r="F53" s="47" t="s">
        <v>82</v>
      </c>
      <c r="G53" s="47" t="s">
        <v>101</v>
      </c>
      <c r="H53" s="50">
        <v>12.0</v>
      </c>
    </row>
    <row r="54">
      <c r="A54" s="51">
        <v>45281.0</v>
      </c>
      <c r="B54" s="47" t="s">
        <v>34</v>
      </c>
      <c r="C54" s="47" t="s">
        <v>46</v>
      </c>
      <c r="D54" s="47">
        <v>13.0</v>
      </c>
      <c r="E54" s="47">
        <v>8.0</v>
      </c>
      <c r="F54" s="47" t="s">
        <v>91</v>
      </c>
      <c r="G54" s="47" t="s">
        <v>101</v>
      </c>
      <c r="H54" s="50">
        <v>12.0</v>
      </c>
    </row>
    <row r="55">
      <c r="A55" s="51">
        <v>45279.0</v>
      </c>
      <c r="B55" s="47" t="s">
        <v>34</v>
      </c>
      <c r="C55" s="47" t="s">
        <v>46</v>
      </c>
      <c r="D55" s="47">
        <v>5.0</v>
      </c>
      <c r="E55" s="47">
        <v>520.0</v>
      </c>
      <c r="F55" s="47" t="s">
        <v>83</v>
      </c>
      <c r="G55" s="47" t="s">
        <v>99</v>
      </c>
      <c r="H55" s="50">
        <v>12.0</v>
      </c>
    </row>
    <row r="56">
      <c r="A56" s="51">
        <v>45282.0</v>
      </c>
      <c r="B56" s="47" t="s">
        <v>34</v>
      </c>
      <c r="C56" s="47" t="s">
        <v>47</v>
      </c>
      <c r="D56" s="47">
        <v>5.0</v>
      </c>
      <c r="E56" s="47">
        <v>210.0</v>
      </c>
      <c r="F56" s="47" t="s">
        <v>83</v>
      </c>
      <c r="G56" s="47" t="s">
        <v>99</v>
      </c>
      <c r="H56" s="50">
        <v>12.0</v>
      </c>
    </row>
    <row r="57">
      <c r="A57" s="51">
        <v>45282.0</v>
      </c>
      <c r="B57" s="47" t="s">
        <v>34</v>
      </c>
      <c r="C57" s="47" t="s">
        <v>47</v>
      </c>
      <c r="D57" s="47">
        <v>1.0</v>
      </c>
      <c r="E57" s="47">
        <v>24.0</v>
      </c>
      <c r="F57" s="47" t="s">
        <v>79</v>
      </c>
      <c r="G57" s="47" t="s">
        <v>101</v>
      </c>
      <c r="H57" s="50">
        <v>12.0</v>
      </c>
    </row>
    <row r="58">
      <c r="A58" s="51">
        <v>45282.0</v>
      </c>
      <c r="B58" s="47" t="s">
        <v>34</v>
      </c>
      <c r="C58" s="47" t="s">
        <v>47</v>
      </c>
      <c r="D58" s="47">
        <v>2.0</v>
      </c>
      <c r="E58" s="47">
        <v>12.0</v>
      </c>
      <c r="F58" s="47" t="s">
        <v>80</v>
      </c>
      <c r="G58" s="47" t="s">
        <v>101</v>
      </c>
      <c r="H58" s="50">
        <v>12.0</v>
      </c>
    </row>
    <row r="59">
      <c r="A59" s="51">
        <v>45282.0</v>
      </c>
      <c r="B59" s="47" t="s">
        <v>34</v>
      </c>
      <c r="C59" s="47" t="s">
        <v>47</v>
      </c>
      <c r="D59" s="47">
        <v>9.0</v>
      </c>
      <c r="E59" s="47">
        <v>10.0</v>
      </c>
      <c r="F59" s="47" t="s">
        <v>87</v>
      </c>
      <c r="G59" s="47" t="s">
        <v>101</v>
      </c>
      <c r="H59" s="50">
        <v>12.0</v>
      </c>
    </row>
    <row r="60">
      <c r="A60" s="51">
        <v>45282.0</v>
      </c>
      <c r="B60" s="47" t="s">
        <v>34</v>
      </c>
      <c r="C60" s="47" t="s">
        <v>47</v>
      </c>
      <c r="D60" s="47">
        <v>6.0</v>
      </c>
      <c r="E60" s="47">
        <v>18.0</v>
      </c>
      <c r="F60" s="47" t="s">
        <v>84</v>
      </c>
      <c r="G60" s="47" t="s">
        <v>101</v>
      </c>
      <c r="H60" s="50">
        <v>12.0</v>
      </c>
    </row>
    <row r="61">
      <c r="A61" s="51">
        <v>45283.0</v>
      </c>
      <c r="B61" s="47" t="s">
        <v>34</v>
      </c>
      <c r="C61" s="47" t="s">
        <v>25</v>
      </c>
      <c r="D61" s="47">
        <v>5.0</v>
      </c>
      <c r="E61" s="47">
        <v>230.0</v>
      </c>
      <c r="F61" s="47" t="s">
        <v>83</v>
      </c>
      <c r="G61" s="47" t="s">
        <v>99</v>
      </c>
      <c r="H61" s="50">
        <v>12.0</v>
      </c>
    </row>
    <row r="62">
      <c r="A62" s="51">
        <v>45283.0</v>
      </c>
      <c r="B62" s="47" t="s">
        <v>34</v>
      </c>
      <c r="C62" s="47" t="s">
        <v>25</v>
      </c>
      <c r="D62" s="47">
        <v>1.0</v>
      </c>
      <c r="E62" s="47">
        <v>8.0</v>
      </c>
      <c r="F62" s="47" t="s">
        <v>79</v>
      </c>
      <c r="G62" s="47" t="s">
        <v>101</v>
      </c>
      <c r="H62" s="50">
        <v>12.0</v>
      </c>
    </row>
    <row r="63">
      <c r="A63" s="51">
        <v>45283.0</v>
      </c>
      <c r="B63" s="47" t="s">
        <v>34</v>
      </c>
      <c r="C63" s="47" t="s">
        <v>25</v>
      </c>
      <c r="D63" s="47">
        <v>2.0</v>
      </c>
      <c r="E63" s="47">
        <v>23.0</v>
      </c>
      <c r="F63" s="47" t="s">
        <v>80</v>
      </c>
      <c r="G63" s="47" t="s">
        <v>101</v>
      </c>
      <c r="H63" s="50">
        <v>12.0</v>
      </c>
    </row>
    <row r="64">
      <c r="A64" s="51">
        <v>45283.0</v>
      </c>
      <c r="B64" s="47" t="s">
        <v>34</v>
      </c>
      <c r="C64" s="47" t="s">
        <v>25</v>
      </c>
      <c r="D64" s="47">
        <v>6.0</v>
      </c>
      <c r="E64" s="47">
        <v>25.0</v>
      </c>
      <c r="F64" s="47" t="s">
        <v>84</v>
      </c>
      <c r="G64" s="47" t="s">
        <v>101</v>
      </c>
      <c r="H64" s="50">
        <v>12.0</v>
      </c>
    </row>
    <row r="65">
      <c r="A65" s="51">
        <v>45282.0</v>
      </c>
      <c r="B65" s="47" t="s">
        <v>34</v>
      </c>
      <c r="C65" s="47" t="s">
        <v>47</v>
      </c>
      <c r="D65" s="47">
        <v>3.0</v>
      </c>
      <c r="E65" s="47">
        <v>45.0</v>
      </c>
      <c r="F65" s="47" t="s">
        <v>81</v>
      </c>
      <c r="G65" s="47" t="s">
        <v>101</v>
      </c>
      <c r="H65" s="50">
        <v>12.0</v>
      </c>
    </row>
    <row r="66">
      <c r="A66" s="51">
        <v>45283.0</v>
      </c>
      <c r="B66" s="47" t="s">
        <v>34</v>
      </c>
      <c r="C66" s="47" t="s">
        <v>25</v>
      </c>
      <c r="D66" s="47">
        <v>3.0</v>
      </c>
      <c r="E66" s="47">
        <v>90.0</v>
      </c>
      <c r="F66" s="47" t="s">
        <v>81</v>
      </c>
      <c r="G66" s="47" t="s">
        <v>101</v>
      </c>
      <c r="H66" s="50">
        <v>12.0</v>
      </c>
    </row>
    <row r="67">
      <c r="A67" s="51">
        <v>45284.0</v>
      </c>
      <c r="B67" s="47" t="s">
        <v>34</v>
      </c>
      <c r="C67" s="47" t="s">
        <v>25</v>
      </c>
      <c r="D67" s="47">
        <v>7.0</v>
      </c>
      <c r="E67" s="47">
        <v>200.0</v>
      </c>
      <c r="F67" s="47" t="s">
        <v>85</v>
      </c>
      <c r="G67" s="47" t="s">
        <v>99</v>
      </c>
      <c r="H67" s="50">
        <v>12.0</v>
      </c>
    </row>
    <row r="68">
      <c r="A68" s="51">
        <v>45284.0</v>
      </c>
      <c r="B68" s="47" t="s">
        <v>34</v>
      </c>
      <c r="C68" s="47" t="s">
        <v>25</v>
      </c>
      <c r="D68" s="47">
        <v>1.0</v>
      </c>
      <c r="E68" s="47">
        <v>2.0</v>
      </c>
      <c r="F68" s="47" t="s">
        <v>79</v>
      </c>
      <c r="G68" s="47" t="s">
        <v>101</v>
      </c>
      <c r="H68" s="50">
        <v>12.0</v>
      </c>
    </row>
    <row r="69">
      <c r="A69" s="51">
        <v>45284.0</v>
      </c>
      <c r="B69" s="47" t="s">
        <v>34</v>
      </c>
      <c r="C69" s="47" t="s">
        <v>25</v>
      </c>
      <c r="D69" s="47">
        <v>2.0</v>
      </c>
      <c r="E69" s="47">
        <v>16.0</v>
      </c>
      <c r="F69" s="47" t="s">
        <v>80</v>
      </c>
      <c r="G69" s="47" t="s">
        <v>101</v>
      </c>
      <c r="H69" s="50">
        <v>12.0</v>
      </c>
    </row>
    <row r="70">
      <c r="A70" s="51">
        <v>45284.0</v>
      </c>
      <c r="B70" s="47" t="s">
        <v>34</v>
      </c>
      <c r="C70" s="47" t="s">
        <v>25</v>
      </c>
      <c r="D70" s="47">
        <v>10.0</v>
      </c>
      <c r="E70" s="47">
        <v>12.0</v>
      </c>
      <c r="F70" s="47" t="s">
        <v>88</v>
      </c>
      <c r="G70" s="47" t="s">
        <v>101</v>
      </c>
      <c r="H70" s="50">
        <v>12.0</v>
      </c>
    </row>
    <row r="71">
      <c r="A71" s="51">
        <v>45284.0</v>
      </c>
      <c r="B71" s="47" t="s">
        <v>34</v>
      </c>
      <c r="C71" s="47" t="s">
        <v>25</v>
      </c>
      <c r="D71" s="47">
        <v>6.0</v>
      </c>
      <c r="E71" s="47">
        <v>15.0</v>
      </c>
      <c r="F71" s="47" t="s">
        <v>84</v>
      </c>
      <c r="G71" s="47" t="s">
        <v>101</v>
      </c>
      <c r="H71" s="50">
        <v>12.0</v>
      </c>
    </row>
    <row r="72">
      <c r="A72" s="51">
        <v>45285.0</v>
      </c>
      <c r="B72" s="47" t="s">
        <v>34</v>
      </c>
      <c r="C72" s="47" t="s">
        <v>47</v>
      </c>
      <c r="D72" s="47">
        <v>3.0</v>
      </c>
      <c r="E72" s="47">
        <v>47.0</v>
      </c>
      <c r="F72" s="47" t="s">
        <v>81</v>
      </c>
      <c r="G72" s="47" t="s">
        <v>101</v>
      </c>
      <c r="H72" s="50">
        <v>12.0</v>
      </c>
    </row>
    <row r="73">
      <c r="A73" s="51">
        <v>45285.0</v>
      </c>
      <c r="B73" s="47" t="s">
        <v>34</v>
      </c>
      <c r="C73" s="47" t="s">
        <v>47</v>
      </c>
      <c r="D73" s="47">
        <v>2.0</v>
      </c>
      <c r="E73" s="47">
        <v>20.0</v>
      </c>
      <c r="F73" s="47" t="s">
        <v>80</v>
      </c>
      <c r="G73" s="47" t="s">
        <v>101</v>
      </c>
      <c r="H73" s="50">
        <v>12.0</v>
      </c>
    </row>
    <row r="74">
      <c r="A74" s="51">
        <v>45285.0</v>
      </c>
      <c r="B74" s="47" t="s">
        <v>34</v>
      </c>
      <c r="C74" s="47" t="s">
        <v>47</v>
      </c>
      <c r="D74" s="47">
        <v>6.0</v>
      </c>
      <c r="E74" s="47">
        <v>10.0</v>
      </c>
      <c r="F74" s="47" t="s">
        <v>84</v>
      </c>
      <c r="G74" s="47" t="s">
        <v>101</v>
      </c>
      <c r="H74" s="50">
        <v>12.0</v>
      </c>
    </row>
    <row r="75">
      <c r="A75" s="51">
        <v>45286.0</v>
      </c>
      <c r="B75" s="47" t="s">
        <v>34</v>
      </c>
      <c r="C75" s="47" t="s">
        <v>46</v>
      </c>
      <c r="D75" s="47">
        <v>3.0</v>
      </c>
      <c r="E75" s="47">
        <v>190.0</v>
      </c>
      <c r="F75" s="47" t="s">
        <v>81</v>
      </c>
      <c r="G75" s="47" t="s">
        <v>99</v>
      </c>
      <c r="H75" s="50">
        <v>12.0</v>
      </c>
    </row>
    <row r="76">
      <c r="A76" s="51">
        <v>45286.0</v>
      </c>
      <c r="B76" s="47" t="s">
        <v>34</v>
      </c>
      <c r="C76" s="47" t="s">
        <v>46</v>
      </c>
      <c r="D76" s="47">
        <v>1.0</v>
      </c>
      <c r="E76" s="47">
        <v>9.0</v>
      </c>
      <c r="F76" s="47" t="s">
        <v>79</v>
      </c>
      <c r="G76" s="47" t="s">
        <v>101</v>
      </c>
      <c r="H76" s="50">
        <v>12.0</v>
      </c>
    </row>
    <row r="77">
      <c r="A77" s="51">
        <v>45286.0</v>
      </c>
      <c r="B77" s="47" t="s">
        <v>34</v>
      </c>
      <c r="C77" s="47" t="s">
        <v>46</v>
      </c>
      <c r="D77" s="47">
        <v>2.0</v>
      </c>
      <c r="E77" s="47">
        <v>12.0</v>
      </c>
      <c r="F77" s="47" t="s">
        <v>80</v>
      </c>
      <c r="G77" s="47" t="s">
        <v>101</v>
      </c>
      <c r="H77" s="50">
        <v>12.0</v>
      </c>
    </row>
    <row r="78">
      <c r="A78" s="51">
        <v>45286.0</v>
      </c>
      <c r="B78" s="47" t="s">
        <v>34</v>
      </c>
      <c r="C78" s="47" t="s">
        <v>46</v>
      </c>
      <c r="D78" s="47">
        <v>6.0</v>
      </c>
      <c r="E78" s="47">
        <v>26.0</v>
      </c>
      <c r="F78" s="47" t="s">
        <v>84</v>
      </c>
      <c r="G78" s="47" t="s">
        <v>101</v>
      </c>
      <c r="H78" s="50">
        <v>12.0</v>
      </c>
    </row>
    <row r="79">
      <c r="A79" s="51">
        <v>45287.0</v>
      </c>
      <c r="B79" s="47" t="s">
        <v>34</v>
      </c>
      <c r="C79" s="47" t="s">
        <v>46</v>
      </c>
      <c r="D79" s="47">
        <v>1.0</v>
      </c>
      <c r="E79" s="47">
        <v>24.0</v>
      </c>
      <c r="F79" s="47" t="s">
        <v>79</v>
      </c>
      <c r="G79" s="47" t="s">
        <v>101</v>
      </c>
      <c r="H79" s="50">
        <v>12.0</v>
      </c>
    </row>
    <row r="80">
      <c r="A80" s="51">
        <v>45287.0</v>
      </c>
      <c r="B80" s="47" t="s">
        <v>34</v>
      </c>
      <c r="C80" s="47" t="s">
        <v>46</v>
      </c>
      <c r="D80" s="47">
        <v>2.0</v>
      </c>
      <c r="E80" s="47">
        <v>7.0</v>
      </c>
      <c r="F80" s="47" t="s">
        <v>80</v>
      </c>
      <c r="G80" s="47" t="s">
        <v>101</v>
      </c>
      <c r="H80" s="50">
        <v>12.0</v>
      </c>
    </row>
    <row r="81">
      <c r="A81" s="51">
        <v>45287.0</v>
      </c>
      <c r="B81" s="47" t="s">
        <v>34</v>
      </c>
      <c r="C81" s="47" t="s">
        <v>46</v>
      </c>
      <c r="D81" s="47">
        <v>12.0</v>
      </c>
      <c r="E81" s="47">
        <v>3.0</v>
      </c>
      <c r="F81" s="47" t="s">
        <v>90</v>
      </c>
      <c r="G81" s="47" t="s">
        <v>101</v>
      </c>
      <c r="H81" s="50">
        <v>12.0</v>
      </c>
    </row>
    <row r="82">
      <c r="A82" s="51">
        <v>45287.0</v>
      </c>
      <c r="B82" s="47" t="s">
        <v>34</v>
      </c>
      <c r="C82" s="47" t="s">
        <v>46</v>
      </c>
      <c r="D82" s="47">
        <v>6.0</v>
      </c>
      <c r="E82" s="47">
        <v>17.0</v>
      </c>
      <c r="F82" s="47" t="s">
        <v>84</v>
      </c>
      <c r="G82" s="47" t="s">
        <v>101</v>
      </c>
      <c r="H82" s="50">
        <v>12.0</v>
      </c>
    </row>
    <row r="83">
      <c r="A83" s="51">
        <v>45288.0</v>
      </c>
      <c r="B83" s="47" t="s">
        <v>34</v>
      </c>
      <c r="C83" s="47" t="s">
        <v>46</v>
      </c>
      <c r="D83" s="47">
        <v>4.0</v>
      </c>
      <c r="E83" s="47">
        <v>8.0</v>
      </c>
      <c r="F83" s="47" t="s">
        <v>82</v>
      </c>
      <c r="G83" s="47" t="s">
        <v>101</v>
      </c>
      <c r="H83" s="50">
        <v>12.0</v>
      </c>
    </row>
    <row r="84">
      <c r="A84" s="51">
        <v>45288.0</v>
      </c>
      <c r="B84" s="47" t="s">
        <v>34</v>
      </c>
      <c r="C84" s="47" t="s">
        <v>46</v>
      </c>
      <c r="D84" s="47">
        <v>1.0</v>
      </c>
      <c r="E84" s="47">
        <v>24.0</v>
      </c>
      <c r="F84" s="47" t="s">
        <v>79</v>
      </c>
      <c r="G84" s="47" t="s">
        <v>101</v>
      </c>
      <c r="H84" s="50">
        <v>12.0</v>
      </c>
    </row>
    <row r="85">
      <c r="A85" s="51">
        <v>45288.0</v>
      </c>
      <c r="B85" s="47" t="s">
        <v>34</v>
      </c>
      <c r="C85" s="47" t="s">
        <v>46</v>
      </c>
      <c r="D85" s="47">
        <v>2.0</v>
      </c>
      <c r="E85" s="47">
        <v>8.0</v>
      </c>
      <c r="F85" s="47" t="s">
        <v>80</v>
      </c>
      <c r="G85" s="47" t="s">
        <v>101</v>
      </c>
      <c r="H85" s="50">
        <v>12.0</v>
      </c>
    </row>
    <row r="86">
      <c r="A86" s="51">
        <v>45288.0</v>
      </c>
      <c r="B86" s="47" t="s">
        <v>34</v>
      </c>
      <c r="C86" s="47" t="s">
        <v>46</v>
      </c>
      <c r="D86" s="47">
        <v>6.0</v>
      </c>
      <c r="E86" s="47">
        <v>30.0</v>
      </c>
      <c r="F86" s="47" t="s">
        <v>84</v>
      </c>
      <c r="G86" s="47" t="s">
        <v>101</v>
      </c>
      <c r="H86" s="50">
        <v>12.0</v>
      </c>
    </row>
    <row r="87">
      <c r="A87" s="51">
        <v>45289.0</v>
      </c>
      <c r="B87" s="47" t="s">
        <v>34</v>
      </c>
      <c r="C87" s="47" t="s">
        <v>46</v>
      </c>
      <c r="D87" s="47">
        <v>1.0</v>
      </c>
      <c r="E87" s="47">
        <v>24.0</v>
      </c>
      <c r="F87" s="47" t="s">
        <v>79</v>
      </c>
      <c r="G87" s="47" t="s">
        <v>101</v>
      </c>
      <c r="H87" s="50">
        <v>12.0</v>
      </c>
    </row>
    <row r="88">
      <c r="A88" s="51">
        <v>45289.0</v>
      </c>
      <c r="B88" s="47" t="s">
        <v>34</v>
      </c>
      <c r="C88" s="47" t="s">
        <v>46</v>
      </c>
      <c r="D88" s="47">
        <v>2.0</v>
      </c>
      <c r="E88" s="47">
        <v>6.0</v>
      </c>
      <c r="F88" s="47" t="s">
        <v>80</v>
      </c>
      <c r="G88" s="47" t="s">
        <v>101</v>
      </c>
      <c r="H88" s="50">
        <v>12.0</v>
      </c>
    </row>
    <row r="89">
      <c r="A89" s="51">
        <v>45289.0</v>
      </c>
      <c r="B89" s="47" t="s">
        <v>34</v>
      </c>
      <c r="C89" s="47" t="s">
        <v>46</v>
      </c>
      <c r="D89" s="47">
        <v>6.0</v>
      </c>
      <c r="E89" s="47">
        <v>14.0</v>
      </c>
      <c r="F89" s="47" t="s">
        <v>84</v>
      </c>
      <c r="G89" s="47" t="s">
        <v>101</v>
      </c>
      <c r="H89" s="50">
        <v>12.0</v>
      </c>
    </row>
    <row r="90">
      <c r="A90" s="51">
        <v>45290.0</v>
      </c>
      <c r="B90" s="47" t="s">
        <v>34</v>
      </c>
      <c r="C90" s="47" t="s">
        <v>46</v>
      </c>
      <c r="D90" s="47">
        <v>1.0</v>
      </c>
      <c r="E90" s="47">
        <v>12.0</v>
      </c>
      <c r="F90" s="47" t="s">
        <v>79</v>
      </c>
      <c r="G90" s="47" t="s">
        <v>101</v>
      </c>
      <c r="H90" s="50">
        <v>12.0</v>
      </c>
    </row>
    <row r="91">
      <c r="A91" s="51">
        <v>45290.0</v>
      </c>
      <c r="B91" s="47" t="s">
        <v>34</v>
      </c>
      <c r="C91" s="47" t="s">
        <v>46</v>
      </c>
      <c r="D91" s="47">
        <v>13.0</v>
      </c>
      <c r="E91" s="47">
        <v>8.0</v>
      </c>
      <c r="F91" s="47" t="s">
        <v>91</v>
      </c>
      <c r="G91" s="47" t="s">
        <v>101</v>
      </c>
      <c r="H91" s="50">
        <v>12.0</v>
      </c>
    </row>
    <row r="92">
      <c r="A92" s="51">
        <v>45290.0</v>
      </c>
      <c r="B92" s="47" t="s">
        <v>34</v>
      </c>
      <c r="C92" s="47" t="s">
        <v>46</v>
      </c>
      <c r="D92" s="47">
        <v>2.0</v>
      </c>
      <c r="E92" s="47">
        <v>17.0</v>
      </c>
      <c r="F92" s="47" t="s">
        <v>80</v>
      </c>
      <c r="G92" s="47" t="s">
        <v>101</v>
      </c>
      <c r="H92" s="50">
        <v>12.0</v>
      </c>
    </row>
    <row r="93">
      <c r="A93" s="51">
        <v>45290.0</v>
      </c>
      <c r="B93" s="47" t="s">
        <v>34</v>
      </c>
      <c r="C93" s="47" t="s">
        <v>46</v>
      </c>
      <c r="D93" s="47">
        <v>10.0</v>
      </c>
      <c r="E93" s="47">
        <v>14.0</v>
      </c>
      <c r="F93" s="47" t="s">
        <v>88</v>
      </c>
      <c r="G93" s="47" t="s">
        <v>101</v>
      </c>
      <c r="H93" s="50">
        <v>12.0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9" t="s">
        <v>102</v>
      </c>
      <c r="K1" s="9" t="s">
        <v>103</v>
      </c>
    </row>
    <row r="2">
      <c r="A2" s="16">
        <v>44919.0</v>
      </c>
      <c r="B2" s="1" t="s">
        <v>21</v>
      </c>
      <c r="C2" s="1" t="s">
        <v>22</v>
      </c>
      <c r="D2" s="1">
        <v>1.0</v>
      </c>
      <c r="E2" s="1">
        <v>20.0</v>
      </c>
      <c r="F2" s="47" t="s">
        <v>79</v>
      </c>
      <c r="G2" s="47" t="s">
        <v>101</v>
      </c>
      <c r="I2" s="26" t="str">
        <f>CONCATENATE(B2,"-",C2)</f>
        <v>Austria-Vienna</v>
      </c>
      <c r="K2" s="52" t="str">
        <f>B2&amp;"-"&amp;C2</f>
        <v>Austria-Vienna</v>
      </c>
    </row>
    <row r="3">
      <c r="A3" s="16">
        <v>44919.0</v>
      </c>
      <c r="B3" s="1" t="s">
        <v>21</v>
      </c>
      <c r="C3" s="1" t="s">
        <v>22</v>
      </c>
      <c r="D3" s="1">
        <v>2.0</v>
      </c>
      <c r="E3" s="1">
        <v>40.0</v>
      </c>
      <c r="F3" s="47" t="s">
        <v>80</v>
      </c>
      <c r="G3" s="47" t="s">
        <v>101</v>
      </c>
    </row>
    <row r="4">
      <c r="A4" s="16">
        <v>44919.0</v>
      </c>
      <c r="B4" s="1" t="s">
        <v>21</v>
      </c>
      <c r="C4" s="1" t="s">
        <v>22</v>
      </c>
      <c r="D4" s="1">
        <v>3.0</v>
      </c>
      <c r="E4" s="1">
        <v>230.0</v>
      </c>
      <c r="F4" s="47" t="s">
        <v>81</v>
      </c>
      <c r="G4" s="47" t="s">
        <v>99</v>
      </c>
    </row>
    <row r="5">
      <c r="A5" s="16">
        <v>44919.0</v>
      </c>
      <c r="B5" s="1" t="s">
        <v>21</v>
      </c>
      <c r="C5" s="1" t="s">
        <v>22</v>
      </c>
      <c r="D5" s="1">
        <v>4.0</v>
      </c>
      <c r="E5" s="1">
        <v>16.0</v>
      </c>
      <c r="F5" s="47" t="s">
        <v>82</v>
      </c>
      <c r="G5" s="47" t="s">
        <v>101</v>
      </c>
    </row>
    <row r="6">
      <c r="A6" s="16">
        <v>44919.0</v>
      </c>
      <c r="B6" s="1" t="s">
        <v>21</v>
      </c>
      <c r="C6" s="1" t="s">
        <v>22</v>
      </c>
      <c r="D6" s="1">
        <v>5.0</v>
      </c>
      <c r="E6" s="1">
        <v>240.0</v>
      </c>
      <c r="F6" s="47" t="s">
        <v>83</v>
      </c>
      <c r="G6" s="47" t="s">
        <v>99</v>
      </c>
    </row>
    <row r="7">
      <c r="A7" s="16">
        <v>44919.0</v>
      </c>
      <c r="B7" s="1" t="s">
        <v>21</v>
      </c>
      <c r="C7" s="1" t="s">
        <v>22</v>
      </c>
      <c r="D7" s="1">
        <v>6.0</v>
      </c>
      <c r="E7" s="1">
        <v>12.0</v>
      </c>
      <c r="F7" s="47" t="s">
        <v>84</v>
      </c>
      <c r="G7" s="47" t="s">
        <v>101</v>
      </c>
    </row>
    <row r="8">
      <c r="A8" s="16">
        <v>44920.0</v>
      </c>
      <c r="B8" s="1" t="s">
        <v>27</v>
      </c>
      <c r="C8" s="1" t="s">
        <v>32</v>
      </c>
      <c r="D8" s="1">
        <v>5.0</v>
      </c>
      <c r="E8" s="1">
        <v>60.0</v>
      </c>
      <c r="F8" s="47" t="s">
        <v>83</v>
      </c>
      <c r="G8" s="47" t="s">
        <v>101</v>
      </c>
    </row>
    <row r="9">
      <c r="A9" s="16">
        <v>44920.0</v>
      </c>
      <c r="B9" s="1" t="s">
        <v>27</v>
      </c>
      <c r="C9" s="1" t="s">
        <v>32</v>
      </c>
      <c r="D9" s="1">
        <v>7.0</v>
      </c>
      <c r="E9" s="1">
        <v>25.0</v>
      </c>
      <c r="F9" s="47" t="s">
        <v>85</v>
      </c>
      <c r="G9" s="47" t="s">
        <v>101</v>
      </c>
    </row>
    <row r="10">
      <c r="A10" s="16">
        <v>44920.0</v>
      </c>
      <c r="B10" s="1" t="s">
        <v>27</v>
      </c>
      <c r="C10" s="1" t="s">
        <v>32</v>
      </c>
      <c r="D10" s="1">
        <v>2.0</v>
      </c>
      <c r="E10" s="1">
        <v>26.0</v>
      </c>
      <c r="F10" s="47" t="s">
        <v>80</v>
      </c>
      <c r="G10" s="47" t="s">
        <v>101</v>
      </c>
    </row>
    <row r="11">
      <c r="A11" s="16">
        <v>44920.0</v>
      </c>
      <c r="B11" s="1" t="s">
        <v>27</v>
      </c>
      <c r="C11" s="1" t="s">
        <v>32</v>
      </c>
      <c r="D11" s="1">
        <v>1.0</v>
      </c>
      <c r="E11" s="1">
        <v>20.0</v>
      </c>
      <c r="F11" s="47" t="s">
        <v>79</v>
      </c>
      <c r="G11" s="47" t="s">
        <v>101</v>
      </c>
    </row>
    <row r="12">
      <c r="A12" s="16">
        <v>44920.0</v>
      </c>
      <c r="B12" s="1" t="s">
        <v>27</v>
      </c>
      <c r="C12" s="1" t="s">
        <v>32</v>
      </c>
      <c r="D12" s="1">
        <v>4.0</v>
      </c>
      <c r="E12" s="1">
        <v>12.0</v>
      </c>
      <c r="F12" s="47" t="s">
        <v>82</v>
      </c>
      <c r="G12" s="47" t="s">
        <v>101</v>
      </c>
    </row>
    <row r="13">
      <c r="A13" s="16">
        <v>44941.0</v>
      </c>
      <c r="B13" s="1" t="s">
        <v>28</v>
      </c>
      <c r="C13" s="1" t="s">
        <v>35</v>
      </c>
      <c r="D13" s="1">
        <v>2.0</v>
      </c>
      <c r="E13" s="1">
        <v>40.0</v>
      </c>
      <c r="F13" s="47" t="s">
        <v>80</v>
      </c>
      <c r="G13" s="47" t="s">
        <v>101</v>
      </c>
    </row>
    <row r="14">
      <c r="A14" s="16">
        <v>44941.0</v>
      </c>
      <c r="B14" s="1" t="s">
        <v>28</v>
      </c>
      <c r="C14" s="1" t="s">
        <v>35</v>
      </c>
      <c r="D14" s="1">
        <v>8.0</v>
      </c>
      <c r="E14" s="1">
        <v>36.0</v>
      </c>
      <c r="F14" s="47" t="s">
        <v>86</v>
      </c>
      <c r="G14" s="47" t="s">
        <v>101</v>
      </c>
    </row>
    <row r="15">
      <c r="A15" s="16">
        <v>45086.0</v>
      </c>
      <c r="B15" s="1" t="s">
        <v>29</v>
      </c>
      <c r="C15" s="1" t="s">
        <v>36</v>
      </c>
      <c r="D15" s="1">
        <v>5.0</v>
      </c>
      <c r="E15" s="1">
        <v>280.0</v>
      </c>
      <c r="F15" s="47" t="s">
        <v>83</v>
      </c>
      <c r="G15" s="47" t="s">
        <v>99</v>
      </c>
    </row>
    <row r="16">
      <c r="A16" s="16">
        <v>45086.0</v>
      </c>
      <c r="B16" s="1" t="s">
        <v>29</v>
      </c>
      <c r="C16" s="1" t="s">
        <v>36</v>
      </c>
      <c r="D16" s="1">
        <v>3.0</v>
      </c>
      <c r="E16" s="1">
        <v>400.0</v>
      </c>
      <c r="F16" s="47" t="s">
        <v>81</v>
      </c>
      <c r="G16" s="47" t="s">
        <v>99</v>
      </c>
    </row>
    <row r="17">
      <c r="A17" s="16">
        <v>45086.0</v>
      </c>
      <c r="B17" s="1" t="s">
        <v>29</v>
      </c>
      <c r="C17" s="1" t="s">
        <v>36</v>
      </c>
      <c r="D17" s="1">
        <v>9.0</v>
      </c>
      <c r="E17" s="1">
        <v>13.0</v>
      </c>
      <c r="F17" s="47" t="s">
        <v>87</v>
      </c>
      <c r="G17" s="47" t="s">
        <v>101</v>
      </c>
    </row>
    <row r="18">
      <c r="A18" s="16">
        <v>45087.0</v>
      </c>
      <c r="B18" s="1" t="s">
        <v>29</v>
      </c>
      <c r="C18" s="1" t="s">
        <v>36</v>
      </c>
      <c r="D18" s="1">
        <v>1.0</v>
      </c>
      <c r="E18" s="1">
        <v>11.0</v>
      </c>
      <c r="F18" s="47" t="s">
        <v>79</v>
      </c>
      <c r="G18" s="47" t="s">
        <v>101</v>
      </c>
    </row>
    <row r="19">
      <c r="A19" s="16">
        <v>45087.0</v>
      </c>
      <c r="B19" s="1" t="s">
        <v>29</v>
      </c>
      <c r="C19" s="1" t="s">
        <v>36</v>
      </c>
      <c r="D19" s="1">
        <v>2.0</v>
      </c>
      <c r="E19" s="1">
        <v>30.0</v>
      </c>
      <c r="F19" s="47" t="s">
        <v>80</v>
      </c>
      <c r="G19" s="47" t="s">
        <v>101</v>
      </c>
    </row>
    <row r="20">
      <c r="A20" s="16">
        <v>45087.0</v>
      </c>
      <c r="B20" s="1" t="s">
        <v>29</v>
      </c>
      <c r="C20" s="1" t="s">
        <v>36</v>
      </c>
      <c r="D20" s="1">
        <v>10.0</v>
      </c>
      <c r="E20" s="1">
        <v>12.0</v>
      </c>
      <c r="F20" s="47" t="s">
        <v>88</v>
      </c>
      <c r="G20" s="47" t="s">
        <v>101</v>
      </c>
    </row>
    <row r="21">
      <c r="A21" s="16">
        <v>45087.0</v>
      </c>
      <c r="B21" s="1" t="s">
        <v>29</v>
      </c>
      <c r="C21" s="1" t="s">
        <v>36</v>
      </c>
      <c r="D21" s="1">
        <v>6.0</v>
      </c>
      <c r="E21" s="1">
        <v>23.0</v>
      </c>
      <c r="F21" s="47" t="s">
        <v>84</v>
      </c>
      <c r="G21" s="47" t="s">
        <v>101</v>
      </c>
    </row>
    <row r="22">
      <c r="A22" s="16">
        <v>45087.0</v>
      </c>
      <c r="B22" s="1" t="s">
        <v>29</v>
      </c>
      <c r="C22" s="1" t="s">
        <v>36</v>
      </c>
      <c r="D22" s="1">
        <v>4.0</v>
      </c>
      <c r="E22" s="1">
        <v>10.0</v>
      </c>
      <c r="F22" s="47" t="s">
        <v>82</v>
      </c>
      <c r="G22" s="47" t="s">
        <v>101</v>
      </c>
    </row>
    <row r="23">
      <c r="A23" s="16">
        <v>45088.0</v>
      </c>
      <c r="B23" s="1" t="s">
        <v>29</v>
      </c>
      <c r="C23" s="1" t="s">
        <v>36</v>
      </c>
      <c r="D23" s="1">
        <v>1.0</v>
      </c>
      <c r="E23" s="1">
        <v>16.0</v>
      </c>
      <c r="F23" s="47" t="s">
        <v>79</v>
      </c>
      <c r="G23" s="47" t="s">
        <v>101</v>
      </c>
    </row>
    <row r="24">
      <c r="A24" s="16">
        <v>45088.0</v>
      </c>
      <c r="B24" s="1" t="s">
        <v>29</v>
      </c>
      <c r="C24" s="1" t="s">
        <v>36</v>
      </c>
      <c r="D24" s="1">
        <v>2.0</v>
      </c>
      <c r="E24" s="1">
        <v>28.0</v>
      </c>
      <c r="F24" s="47" t="s">
        <v>80</v>
      </c>
      <c r="G24" s="47" t="s">
        <v>101</v>
      </c>
    </row>
    <row r="25">
      <c r="A25" s="16">
        <v>45088.0</v>
      </c>
      <c r="B25" s="1" t="s">
        <v>29</v>
      </c>
      <c r="C25" s="1" t="s">
        <v>36</v>
      </c>
      <c r="D25" s="1">
        <v>6.0</v>
      </c>
      <c r="E25" s="1">
        <v>14.0</v>
      </c>
      <c r="F25" s="47" t="s">
        <v>84</v>
      </c>
      <c r="G25" s="47" t="s">
        <v>101</v>
      </c>
    </row>
    <row r="26">
      <c r="A26" s="16">
        <v>45088.0</v>
      </c>
      <c r="B26" s="1" t="s">
        <v>29</v>
      </c>
      <c r="C26" s="1" t="s">
        <v>36</v>
      </c>
      <c r="D26" s="1">
        <v>11.0</v>
      </c>
      <c r="E26" s="1">
        <v>20.0</v>
      </c>
      <c r="F26" s="47" t="s">
        <v>89</v>
      </c>
      <c r="G26" s="47" t="s">
        <v>101</v>
      </c>
    </row>
    <row r="27">
      <c r="A27" s="16">
        <v>45089.0</v>
      </c>
      <c r="B27" s="1" t="s">
        <v>29</v>
      </c>
      <c r="C27" s="1" t="s">
        <v>36</v>
      </c>
      <c r="D27" s="1">
        <v>1.0</v>
      </c>
      <c r="E27" s="1">
        <v>16.0</v>
      </c>
      <c r="F27" s="47" t="s">
        <v>79</v>
      </c>
      <c r="G27" s="47" t="s">
        <v>101</v>
      </c>
    </row>
    <row r="28">
      <c r="A28" s="16">
        <v>45089.0</v>
      </c>
      <c r="B28" s="1" t="s">
        <v>29</v>
      </c>
      <c r="C28" s="1" t="s">
        <v>36</v>
      </c>
      <c r="D28" s="1">
        <v>2.0</v>
      </c>
      <c r="E28" s="1">
        <v>18.0</v>
      </c>
      <c r="F28" s="47" t="s">
        <v>80</v>
      </c>
      <c r="G28" s="47" t="s">
        <v>101</v>
      </c>
    </row>
    <row r="29">
      <c r="A29" s="16">
        <v>45089.0</v>
      </c>
      <c r="B29" s="1" t="s">
        <v>29</v>
      </c>
      <c r="C29" s="1" t="s">
        <v>36</v>
      </c>
      <c r="D29" s="1">
        <v>6.0</v>
      </c>
      <c r="E29" s="1">
        <v>22.0</v>
      </c>
      <c r="F29" s="47" t="s">
        <v>84</v>
      </c>
      <c r="G29" s="47" t="s">
        <v>101</v>
      </c>
    </row>
    <row r="30">
      <c r="A30" s="16">
        <v>45089.0</v>
      </c>
      <c r="B30" s="1" t="s">
        <v>29</v>
      </c>
      <c r="C30" s="1" t="s">
        <v>36</v>
      </c>
      <c r="D30" s="1">
        <v>10.0</v>
      </c>
      <c r="E30" s="1">
        <v>20.0</v>
      </c>
      <c r="F30" s="47" t="s">
        <v>88</v>
      </c>
      <c r="G30" s="47" t="s">
        <v>101</v>
      </c>
    </row>
    <row r="31">
      <c r="A31" s="16">
        <v>45089.0</v>
      </c>
      <c r="B31" s="1" t="s">
        <v>29</v>
      </c>
      <c r="C31" s="1" t="s">
        <v>36</v>
      </c>
      <c r="D31" s="1">
        <v>9.0</v>
      </c>
      <c r="E31" s="1">
        <v>15.0</v>
      </c>
      <c r="F31" s="47" t="s">
        <v>87</v>
      </c>
      <c r="G31" s="47" t="s">
        <v>101</v>
      </c>
    </row>
    <row r="32">
      <c r="A32" s="16">
        <v>45108.0</v>
      </c>
      <c r="B32" s="1" t="s">
        <v>28</v>
      </c>
      <c r="C32" s="1" t="s">
        <v>35</v>
      </c>
      <c r="D32" s="1">
        <v>8.0</v>
      </c>
      <c r="E32" s="1">
        <v>26.0</v>
      </c>
      <c r="F32" s="47" t="s">
        <v>86</v>
      </c>
      <c r="G32" s="47" t="s">
        <v>101</v>
      </c>
    </row>
    <row r="33">
      <c r="A33" s="16">
        <v>45108.0</v>
      </c>
      <c r="B33" s="1" t="s">
        <v>28</v>
      </c>
      <c r="C33" s="1" t="s">
        <v>35</v>
      </c>
      <c r="D33" s="1">
        <v>2.0</v>
      </c>
      <c r="E33" s="1">
        <v>42.0</v>
      </c>
      <c r="F33" s="47" t="s">
        <v>80</v>
      </c>
      <c r="G33" s="47" t="s">
        <v>101</v>
      </c>
    </row>
    <row r="34">
      <c r="A34" s="16">
        <v>45114.0</v>
      </c>
      <c r="B34" s="1" t="s">
        <v>30</v>
      </c>
      <c r="C34" s="1" t="s">
        <v>38</v>
      </c>
      <c r="D34" s="1">
        <v>5.0</v>
      </c>
      <c r="E34" s="1">
        <v>116.0</v>
      </c>
      <c r="F34" s="47" t="s">
        <v>83</v>
      </c>
      <c r="G34" s="47" t="s">
        <v>99</v>
      </c>
    </row>
    <row r="35">
      <c r="A35" s="16">
        <v>45114.0</v>
      </c>
      <c r="B35" s="1" t="s">
        <v>30</v>
      </c>
      <c r="C35" s="1" t="s">
        <v>38</v>
      </c>
      <c r="D35" s="1">
        <v>1.0</v>
      </c>
      <c r="E35" s="1">
        <v>14.0</v>
      </c>
      <c r="F35" s="47" t="s">
        <v>79</v>
      </c>
      <c r="G35" s="47" t="s">
        <v>101</v>
      </c>
    </row>
    <row r="36">
      <c r="A36" s="16">
        <v>45114.0</v>
      </c>
      <c r="B36" s="1" t="s">
        <v>30</v>
      </c>
      <c r="C36" s="1" t="s">
        <v>38</v>
      </c>
      <c r="D36" s="1">
        <v>2.0</v>
      </c>
      <c r="E36" s="1">
        <v>16.0</v>
      </c>
      <c r="F36" s="47" t="s">
        <v>80</v>
      </c>
      <c r="G36" s="47" t="s">
        <v>101</v>
      </c>
    </row>
    <row r="37">
      <c r="A37" s="16">
        <v>45114.0</v>
      </c>
      <c r="B37" s="1" t="s">
        <v>31</v>
      </c>
      <c r="C37" s="1" t="s">
        <v>39</v>
      </c>
      <c r="D37" s="1">
        <v>5.0</v>
      </c>
      <c r="E37" s="1">
        <v>50.0</v>
      </c>
      <c r="F37" s="47" t="s">
        <v>83</v>
      </c>
      <c r="G37" s="47" t="s">
        <v>101</v>
      </c>
    </row>
    <row r="38">
      <c r="A38" s="16">
        <v>45114.0</v>
      </c>
      <c r="B38" s="1" t="s">
        <v>31</v>
      </c>
      <c r="C38" s="1" t="s">
        <v>39</v>
      </c>
      <c r="D38" s="1">
        <v>6.0</v>
      </c>
      <c r="E38" s="1">
        <v>12.0</v>
      </c>
      <c r="F38" s="47" t="s">
        <v>84</v>
      </c>
      <c r="G38" s="47" t="s">
        <v>101</v>
      </c>
    </row>
    <row r="39">
      <c r="A39" s="16">
        <v>45114.0</v>
      </c>
      <c r="B39" s="1" t="s">
        <v>30</v>
      </c>
      <c r="C39" s="1" t="s">
        <v>38</v>
      </c>
      <c r="D39" s="1">
        <v>3.0</v>
      </c>
      <c r="E39" s="1">
        <v>30.0</v>
      </c>
      <c r="F39" s="47" t="s">
        <v>81</v>
      </c>
      <c r="G39" s="47" t="s">
        <v>101</v>
      </c>
    </row>
    <row r="40">
      <c r="A40" s="16">
        <v>45114.0</v>
      </c>
      <c r="B40" s="1" t="s">
        <v>31</v>
      </c>
      <c r="C40" s="1" t="s">
        <v>39</v>
      </c>
      <c r="D40" s="1">
        <v>3.0</v>
      </c>
      <c r="E40" s="1">
        <v>56.0</v>
      </c>
      <c r="F40" s="47" t="s">
        <v>81</v>
      </c>
      <c r="G40" s="47" t="s">
        <v>101</v>
      </c>
    </row>
    <row r="41">
      <c r="A41" s="16">
        <v>45115.0</v>
      </c>
      <c r="B41" s="1" t="s">
        <v>31</v>
      </c>
      <c r="C41" s="1" t="s">
        <v>40</v>
      </c>
      <c r="D41" s="1">
        <v>5.0</v>
      </c>
      <c r="E41" s="1">
        <v>30.0</v>
      </c>
      <c r="F41" s="47" t="s">
        <v>83</v>
      </c>
      <c r="G41" s="47" t="s">
        <v>101</v>
      </c>
    </row>
    <row r="42">
      <c r="A42" s="16">
        <v>45115.0</v>
      </c>
      <c r="B42" s="1" t="s">
        <v>31</v>
      </c>
      <c r="C42" s="1" t="s">
        <v>40</v>
      </c>
      <c r="D42" s="1">
        <v>1.0</v>
      </c>
      <c r="E42" s="1">
        <v>20.0</v>
      </c>
      <c r="F42" s="47" t="s">
        <v>79</v>
      </c>
      <c r="G42" s="47" t="s">
        <v>101</v>
      </c>
    </row>
    <row r="43">
      <c r="A43" s="16">
        <v>45115.0</v>
      </c>
      <c r="B43" s="1" t="s">
        <v>31</v>
      </c>
      <c r="C43" s="1" t="s">
        <v>40</v>
      </c>
      <c r="D43" s="1">
        <v>7.0</v>
      </c>
      <c r="E43" s="1">
        <v>100.0</v>
      </c>
      <c r="F43" s="47" t="s">
        <v>85</v>
      </c>
      <c r="G43" s="47" t="s">
        <v>101</v>
      </c>
    </row>
    <row r="44">
      <c r="A44" s="16">
        <v>45115.0</v>
      </c>
      <c r="B44" s="1" t="s">
        <v>31</v>
      </c>
      <c r="C44" s="1" t="s">
        <v>40</v>
      </c>
      <c r="D44" s="1">
        <v>3.0</v>
      </c>
      <c r="E44" s="1">
        <v>40.0</v>
      </c>
      <c r="F44" s="47" t="s">
        <v>81</v>
      </c>
      <c r="G44" s="47" t="s">
        <v>101</v>
      </c>
    </row>
    <row r="45">
      <c r="A45" s="16">
        <v>45115.0</v>
      </c>
      <c r="B45" s="1" t="s">
        <v>31</v>
      </c>
      <c r="C45" s="1" t="s">
        <v>40</v>
      </c>
      <c r="D45" s="1">
        <v>2.0</v>
      </c>
      <c r="E45" s="1">
        <v>23.0</v>
      </c>
      <c r="F45" s="47" t="s">
        <v>80</v>
      </c>
      <c r="G45" s="47" t="s">
        <v>101</v>
      </c>
    </row>
    <row r="46">
      <c r="A46" s="16">
        <v>45115.0</v>
      </c>
      <c r="B46" s="1" t="s">
        <v>31</v>
      </c>
      <c r="C46" s="1" t="s">
        <v>40</v>
      </c>
      <c r="D46" s="1">
        <v>6.0</v>
      </c>
      <c r="E46" s="1">
        <v>9.0</v>
      </c>
      <c r="F46" s="47" t="s">
        <v>84</v>
      </c>
      <c r="G46" s="47" t="s">
        <v>101</v>
      </c>
    </row>
    <row r="47">
      <c r="A47" s="16">
        <v>45116.0</v>
      </c>
      <c r="B47" s="1" t="s">
        <v>31</v>
      </c>
      <c r="C47" s="1" t="s">
        <v>40</v>
      </c>
      <c r="D47" s="1">
        <v>1.0</v>
      </c>
      <c r="E47" s="1">
        <v>11.0</v>
      </c>
      <c r="F47" s="47" t="s">
        <v>79</v>
      </c>
      <c r="G47" s="47" t="s">
        <v>101</v>
      </c>
    </row>
    <row r="48">
      <c r="A48" s="16">
        <v>45116.0</v>
      </c>
      <c r="B48" s="1" t="s">
        <v>31</v>
      </c>
      <c r="C48" s="1" t="s">
        <v>40</v>
      </c>
      <c r="D48" s="1">
        <v>2.0</v>
      </c>
      <c r="E48" s="1">
        <v>19.0</v>
      </c>
      <c r="F48" s="47" t="s">
        <v>80</v>
      </c>
      <c r="G48" s="47" t="s">
        <v>101</v>
      </c>
    </row>
    <row r="49">
      <c r="A49" s="16">
        <v>45117.0</v>
      </c>
      <c r="B49" s="1" t="s">
        <v>30</v>
      </c>
      <c r="C49" s="1" t="s">
        <v>38</v>
      </c>
      <c r="D49" s="1">
        <v>1.0</v>
      </c>
      <c r="E49" s="1">
        <v>14.0</v>
      </c>
      <c r="F49" s="47" t="s">
        <v>79</v>
      </c>
      <c r="G49" s="47" t="s">
        <v>101</v>
      </c>
    </row>
    <row r="50">
      <c r="A50" s="16">
        <v>45117.0</v>
      </c>
      <c r="B50" s="1" t="s">
        <v>30</v>
      </c>
      <c r="C50" s="1" t="s">
        <v>38</v>
      </c>
      <c r="D50" s="1">
        <v>3.0</v>
      </c>
      <c r="E50" s="1">
        <v>30.0</v>
      </c>
      <c r="F50" s="47" t="s">
        <v>81</v>
      </c>
      <c r="G50" s="47" t="s">
        <v>101</v>
      </c>
    </row>
    <row r="51">
      <c r="A51" s="16">
        <v>45117.0</v>
      </c>
      <c r="B51" s="1" t="s">
        <v>30</v>
      </c>
      <c r="C51" s="1" t="s">
        <v>38</v>
      </c>
      <c r="D51" s="1">
        <v>2.0</v>
      </c>
      <c r="E51" s="1">
        <v>21.0</v>
      </c>
      <c r="F51" s="47" t="s">
        <v>80</v>
      </c>
      <c r="G51" s="47" t="s">
        <v>101</v>
      </c>
    </row>
    <row r="52">
      <c r="A52" s="16">
        <v>45117.0</v>
      </c>
      <c r="B52" s="1" t="s">
        <v>30</v>
      </c>
      <c r="C52" s="1" t="s">
        <v>38</v>
      </c>
      <c r="D52" s="1">
        <v>6.0</v>
      </c>
      <c r="E52" s="1">
        <v>40.0</v>
      </c>
      <c r="F52" s="47" t="s">
        <v>84</v>
      </c>
      <c r="G52" s="47" t="s">
        <v>101</v>
      </c>
    </row>
    <row r="53">
      <c r="A53" s="16">
        <v>45273.0</v>
      </c>
      <c r="B53" s="1" t="s">
        <v>29</v>
      </c>
      <c r="C53" s="1" t="s">
        <v>42</v>
      </c>
      <c r="D53" s="1">
        <v>5.0</v>
      </c>
      <c r="E53" s="1">
        <v>488.0</v>
      </c>
      <c r="F53" s="47" t="s">
        <v>83</v>
      </c>
      <c r="G53" s="47" t="s">
        <v>99</v>
      </c>
    </row>
    <row r="54">
      <c r="A54" s="16">
        <v>45273.0</v>
      </c>
      <c r="B54" s="1" t="s">
        <v>29</v>
      </c>
      <c r="C54" s="1" t="s">
        <v>42</v>
      </c>
      <c r="D54" s="1">
        <v>3.0</v>
      </c>
      <c r="E54" s="1">
        <v>200.0</v>
      </c>
      <c r="F54" s="47" t="s">
        <v>81</v>
      </c>
      <c r="G54" s="47" t="s">
        <v>99</v>
      </c>
    </row>
    <row r="55">
      <c r="A55" s="16">
        <v>45273.0</v>
      </c>
      <c r="B55" s="1" t="s">
        <v>29</v>
      </c>
      <c r="C55" s="1" t="s">
        <v>42</v>
      </c>
      <c r="D55" s="1">
        <v>6.0</v>
      </c>
      <c r="E55" s="1">
        <v>16.0</v>
      </c>
      <c r="F55" s="47" t="s">
        <v>84</v>
      </c>
      <c r="G55" s="47" t="s">
        <v>101</v>
      </c>
    </row>
    <row r="56">
      <c r="A56" s="16">
        <v>45274.0</v>
      </c>
      <c r="B56" s="1" t="s">
        <v>29</v>
      </c>
      <c r="C56" s="1" t="s">
        <v>42</v>
      </c>
      <c r="D56" s="1">
        <v>1.0</v>
      </c>
      <c r="E56" s="1">
        <v>36.0</v>
      </c>
      <c r="F56" s="47" t="s">
        <v>79</v>
      </c>
      <c r="G56" s="47" t="s">
        <v>101</v>
      </c>
    </row>
    <row r="57">
      <c r="A57" s="16">
        <v>45274.0</v>
      </c>
      <c r="B57" s="1" t="s">
        <v>29</v>
      </c>
      <c r="C57" s="1" t="s">
        <v>42</v>
      </c>
      <c r="D57" s="1">
        <v>4.0</v>
      </c>
      <c r="E57" s="1">
        <v>6.0</v>
      </c>
      <c r="F57" s="47" t="s">
        <v>82</v>
      </c>
      <c r="G57" s="47" t="s">
        <v>101</v>
      </c>
    </row>
    <row r="58">
      <c r="A58" s="16">
        <v>45274.0</v>
      </c>
      <c r="B58" s="1" t="s">
        <v>29</v>
      </c>
      <c r="C58" s="1" t="s">
        <v>42</v>
      </c>
      <c r="D58" s="1">
        <v>2.0</v>
      </c>
      <c r="E58" s="1">
        <v>21.0</v>
      </c>
      <c r="F58" s="47" t="s">
        <v>80</v>
      </c>
      <c r="G58" s="47" t="s">
        <v>101</v>
      </c>
    </row>
    <row r="59">
      <c r="A59" s="16">
        <v>45274.0</v>
      </c>
      <c r="B59" s="1" t="s">
        <v>29</v>
      </c>
      <c r="C59" s="1" t="s">
        <v>42</v>
      </c>
      <c r="D59" s="1">
        <v>6.0</v>
      </c>
      <c r="E59" s="1">
        <v>29.0</v>
      </c>
      <c r="F59" s="47" t="s">
        <v>84</v>
      </c>
      <c r="G59" s="47" t="s">
        <v>101</v>
      </c>
    </row>
    <row r="60">
      <c r="A60" s="16">
        <v>45274.0</v>
      </c>
      <c r="B60" s="1" t="s">
        <v>29</v>
      </c>
      <c r="C60" s="1" t="s">
        <v>42</v>
      </c>
      <c r="D60" s="1">
        <v>12.0</v>
      </c>
      <c r="E60" s="1">
        <v>3.0</v>
      </c>
      <c r="F60" s="47" t="s">
        <v>90</v>
      </c>
      <c r="G60" s="47" t="s">
        <v>101</v>
      </c>
    </row>
    <row r="61">
      <c r="A61" s="16">
        <v>45275.0</v>
      </c>
      <c r="B61" s="1" t="s">
        <v>33</v>
      </c>
      <c r="C61" s="1" t="s">
        <v>44</v>
      </c>
      <c r="D61" s="1">
        <v>5.0</v>
      </c>
      <c r="E61" s="1">
        <v>2600.0</v>
      </c>
      <c r="F61" s="47" t="s">
        <v>83</v>
      </c>
      <c r="G61" s="47" t="s">
        <v>99</v>
      </c>
    </row>
    <row r="62">
      <c r="A62" s="16">
        <v>45275.0</v>
      </c>
      <c r="B62" s="1" t="s">
        <v>33</v>
      </c>
      <c r="C62" s="1" t="s">
        <v>44</v>
      </c>
      <c r="D62" s="1">
        <v>4.0</v>
      </c>
      <c r="E62" s="1">
        <v>18.0</v>
      </c>
      <c r="F62" s="47" t="s">
        <v>82</v>
      </c>
      <c r="G62" s="47" t="s">
        <v>101</v>
      </c>
    </row>
    <row r="63">
      <c r="A63" s="16">
        <v>45275.0</v>
      </c>
      <c r="B63" s="1" t="s">
        <v>33</v>
      </c>
      <c r="C63" s="1" t="s">
        <v>44</v>
      </c>
      <c r="D63" s="1">
        <v>3.0</v>
      </c>
      <c r="E63" s="1">
        <v>208.0</v>
      </c>
      <c r="F63" s="47" t="s">
        <v>81</v>
      </c>
      <c r="G63" s="47" t="s">
        <v>99</v>
      </c>
    </row>
    <row r="64">
      <c r="A64" s="16">
        <v>45275.0</v>
      </c>
      <c r="B64" s="1" t="s">
        <v>33</v>
      </c>
      <c r="C64" s="1" t="s">
        <v>44</v>
      </c>
      <c r="D64" s="1">
        <v>12.0</v>
      </c>
      <c r="E64" s="1">
        <v>2.0</v>
      </c>
      <c r="F64" s="47" t="s">
        <v>90</v>
      </c>
      <c r="G64" s="47" t="s">
        <v>101</v>
      </c>
    </row>
    <row r="65">
      <c r="A65" s="16">
        <v>45276.0</v>
      </c>
      <c r="B65" s="1" t="s">
        <v>33</v>
      </c>
      <c r="C65" s="1" t="s">
        <v>44</v>
      </c>
      <c r="D65" s="1">
        <v>1.0</v>
      </c>
      <c r="E65" s="1">
        <v>16.0</v>
      </c>
      <c r="F65" s="47" t="s">
        <v>79</v>
      </c>
      <c r="G65" s="47" t="s">
        <v>101</v>
      </c>
    </row>
    <row r="66">
      <c r="A66" s="16">
        <v>45276.0</v>
      </c>
      <c r="B66" s="1" t="s">
        <v>33</v>
      </c>
      <c r="C66" s="1" t="s">
        <v>44</v>
      </c>
      <c r="D66" s="1">
        <v>2.0</v>
      </c>
      <c r="E66" s="1">
        <v>5.0</v>
      </c>
      <c r="F66" s="47" t="s">
        <v>80</v>
      </c>
      <c r="G66" s="47" t="s">
        <v>101</v>
      </c>
    </row>
    <row r="67">
      <c r="A67" s="16">
        <v>45276.0</v>
      </c>
      <c r="B67" s="1" t="s">
        <v>33</v>
      </c>
      <c r="C67" s="1" t="s">
        <v>44</v>
      </c>
      <c r="D67" s="1">
        <v>6.0</v>
      </c>
      <c r="E67" s="1">
        <v>8.0</v>
      </c>
      <c r="F67" s="47" t="s">
        <v>84</v>
      </c>
      <c r="G67" s="47" t="s">
        <v>101</v>
      </c>
    </row>
    <row r="68">
      <c r="A68" s="16">
        <v>45277.0</v>
      </c>
      <c r="B68" s="1" t="s">
        <v>33</v>
      </c>
      <c r="C68" s="1" t="s">
        <v>44</v>
      </c>
      <c r="D68" s="1">
        <v>1.0</v>
      </c>
      <c r="E68" s="1">
        <v>16.0</v>
      </c>
      <c r="F68" s="47" t="s">
        <v>79</v>
      </c>
      <c r="G68" s="47" t="s">
        <v>101</v>
      </c>
    </row>
    <row r="69">
      <c r="A69" s="16">
        <v>45277.0</v>
      </c>
      <c r="B69" s="1" t="s">
        <v>33</v>
      </c>
      <c r="C69" s="1" t="s">
        <v>44</v>
      </c>
      <c r="D69" s="1">
        <v>2.0</v>
      </c>
      <c r="E69" s="1">
        <v>21.0</v>
      </c>
      <c r="F69" s="47" t="s">
        <v>80</v>
      </c>
      <c r="G69" s="47" t="s">
        <v>101</v>
      </c>
    </row>
    <row r="70">
      <c r="A70" s="16">
        <v>45277.0</v>
      </c>
      <c r="B70" s="1" t="s">
        <v>33</v>
      </c>
      <c r="C70" s="1" t="s">
        <v>44</v>
      </c>
      <c r="D70" s="1">
        <v>7.0</v>
      </c>
      <c r="E70" s="1">
        <v>9.0</v>
      </c>
      <c r="F70" s="47" t="s">
        <v>85</v>
      </c>
      <c r="G70" s="47" t="s">
        <v>101</v>
      </c>
    </row>
    <row r="71">
      <c r="A71" s="16">
        <v>45277.0</v>
      </c>
      <c r="B71" s="1" t="s">
        <v>33</v>
      </c>
      <c r="C71" s="1" t="s">
        <v>44</v>
      </c>
      <c r="D71" s="1">
        <v>6.0</v>
      </c>
      <c r="E71" s="1">
        <v>4.0</v>
      </c>
      <c r="F71" s="47" t="s">
        <v>84</v>
      </c>
      <c r="G71" s="47" t="s">
        <v>101</v>
      </c>
    </row>
    <row r="72">
      <c r="A72" s="16">
        <v>45278.0</v>
      </c>
      <c r="B72" s="1" t="s">
        <v>33</v>
      </c>
      <c r="C72" s="1" t="s">
        <v>44</v>
      </c>
      <c r="D72" s="1">
        <v>1.0</v>
      </c>
      <c r="E72" s="1">
        <v>16.0</v>
      </c>
      <c r="F72" s="47" t="s">
        <v>79</v>
      </c>
      <c r="G72" s="47" t="s">
        <v>101</v>
      </c>
    </row>
    <row r="73">
      <c r="A73" s="16">
        <v>45278.0</v>
      </c>
      <c r="B73" s="1" t="s">
        <v>33</v>
      </c>
      <c r="C73" s="1" t="s">
        <v>44</v>
      </c>
      <c r="D73" s="1">
        <v>2.0</v>
      </c>
      <c r="E73" s="1">
        <v>3.0</v>
      </c>
      <c r="F73" s="47" t="s">
        <v>80</v>
      </c>
      <c r="G73" s="47" t="s">
        <v>101</v>
      </c>
    </row>
    <row r="74">
      <c r="A74" s="16">
        <v>45278.0</v>
      </c>
      <c r="B74" s="1" t="s">
        <v>33</v>
      </c>
      <c r="C74" s="1" t="s">
        <v>44</v>
      </c>
      <c r="D74" s="1">
        <v>12.0</v>
      </c>
      <c r="E74" s="1">
        <v>6.0</v>
      </c>
      <c r="F74" s="47" t="s">
        <v>90</v>
      </c>
      <c r="G74" s="47" t="s">
        <v>101</v>
      </c>
    </row>
    <row r="75">
      <c r="A75" s="16">
        <v>45278.0</v>
      </c>
      <c r="B75" s="1" t="s">
        <v>33</v>
      </c>
      <c r="C75" s="1" t="s">
        <v>44</v>
      </c>
      <c r="D75" s="1">
        <v>6.0</v>
      </c>
      <c r="E75" s="1">
        <v>7.0</v>
      </c>
      <c r="F75" s="47" t="s">
        <v>84</v>
      </c>
      <c r="G75" s="47" t="s">
        <v>101</v>
      </c>
    </row>
    <row r="76">
      <c r="A76" s="16">
        <v>45279.0</v>
      </c>
      <c r="B76" s="1" t="s">
        <v>33</v>
      </c>
      <c r="C76" s="1" t="s">
        <v>44</v>
      </c>
      <c r="D76" s="1">
        <v>1.0</v>
      </c>
      <c r="E76" s="1">
        <v>16.0</v>
      </c>
      <c r="F76" s="47" t="s">
        <v>79</v>
      </c>
      <c r="G76" s="47" t="s">
        <v>101</v>
      </c>
    </row>
    <row r="77">
      <c r="A77" s="16">
        <v>45279.0</v>
      </c>
      <c r="B77" s="1" t="s">
        <v>33</v>
      </c>
      <c r="C77" s="1" t="s">
        <v>44</v>
      </c>
      <c r="D77" s="1">
        <v>2.0</v>
      </c>
      <c r="E77" s="1">
        <v>9.0</v>
      </c>
      <c r="F77" s="47" t="s">
        <v>80</v>
      </c>
      <c r="G77" s="47" t="s">
        <v>101</v>
      </c>
    </row>
    <row r="78">
      <c r="A78" s="16">
        <v>45279.0</v>
      </c>
      <c r="B78" s="1" t="s">
        <v>33</v>
      </c>
      <c r="C78" s="1" t="s">
        <v>44</v>
      </c>
      <c r="D78" s="1">
        <v>6.0</v>
      </c>
      <c r="E78" s="1">
        <v>5.0</v>
      </c>
      <c r="F78" s="47" t="s">
        <v>84</v>
      </c>
      <c r="G78" s="47" t="s">
        <v>101</v>
      </c>
    </row>
    <row r="79">
      <c r="A79" s="16">
        <v>45280.0</v>
      </c>
      <c r="B79" s="1" t="s">
        <v>34</v>
      </c>
      <c r="C79" s="1" t="s">
        <v>46</v>
      </c>
      <c r="D79" s="1">
        <v>1.0</v>
      </c>
      <c r="E79" s="1">
        <v>7.0</v>
      </c>
      <c r="F79" s="47" t="s">
        <v>79</v>
      </c>
      <c r="G79" s="47" t="s">
        <v>101</v>
      </c>
    </row>
    <row r="80">
      <c r="A80" s="16">
        <v>45280.0</v>
      </c>
      <c r="B80" s="1" t="s">
        <v>34</v>
      </c>
      <c r="C80" s="1" t="s">
        <v>46</v>
      </c>
      <c r="D80" s="1">
        <v>2.0</v>
      </c>
      <c r="E80" s="1">
        <v>14.0</v>
      </c>
      <c r="F80" s="47" t="s">
        <v>80</v>
      </c>
      <c r="G80" s="47" t="s">
        <v>101</v>
      </c>
    </row>
    <row r="81">
      <c r="A81" s="16">
        <v>45280.0</v>
      </c>
      <c r="B81" s="1" t="s">
        <v>34</v>
      </c>
      <c r="C81" s="1" t="s">
        <v>46</v>
      </c>
      <c r="D81" s="1">
        <v>3.0</v>
      </c>
      <c r="E81" s="1">
        <v>92.0</v>
      </c>
      <c r="F81" s="47" t="s">
        <v>81</v>
      </c>
      <c r="G81" s="47" t="s">
        <v>101</v>
      </c>
    </row>
    <row r="82">
      <c r="A82" s="16">
        <v>45280.0</v>
      </c>
      <c r="B82" s="1" t="s">
        <v>34</v>
      </c>
      <c r="C82" s="1" t="s">
        <v>46</v>
      </c>
      <c r="D82" s="1">
        <v>6.0</v>
      </c>
      <c r="E82" s="1">
        <v>14.0</v>
      </c>
      <c r="F82" s="47" t="s">
        <v>84</v>
      </c>
      <c r="G82" s="47" t="s">
        <v>101</v>
      </c>
    </row>
    <row r="83">
      <c r="A83" s="16">
        <v>45280.0</v>
      </c>
      <c r="B83" s="1" t="s">
        <v>34</v>
      </c>
      <c r="C83" s="1" t="s">
        <v>46</v>
      </c>
      <c r="D83" s="1">
        <v>12.0</v>
      </c>
      <c r="E83" s="1">
        <v>2.0</v>
      </c>
      <c r="F83" s="47" t="s">
        <v>90</v>
      </c>
      <c r="G83" s="47" t="s">
        <v>101</v>
      </c>
    </row>
    <row r="84">
      <c r="A84" s="16">
        <v>45281.0</v>
      </c>
      <c r="B84" s="1" t="s">
        <v>34</v>
      </c>
      <c r="C84" s="1" t="s">
        <v>46</v>
      </c>
      <c r="D84" s="1">
        <v>1.0</v>
      </c>
      <c r="E84" s="1">
        <v>24.0</v>
      </c>
      <c r="F84" s="47" t="s">
        <v>79</v>
      </c>
      <c r="G84" s="47" t="s">
        <v>101</v>
      </c>
    </row>
    <row r="85">
      <c r="A85" s="16">
        <v>45281.0</v>
      </c>
      <c r="B85" s="1" t="s">
        <v>34</v>
      </c>
      <c r="C85" s="1" t="s">
        <v>46</v>
      </c>
      <c r="D85" s="1">
        <v>2.0</v>
      </c>
      <c r="E85" s="1">
        <v>6.0</v>
      </c>
      <c r="F85" s="47" t="s">
        <v>80</v>
      </c>
      <c r="G85" s="47" t="s">
        <v>101</v>
      </c>
    </row>
    <row r="86">
      <c r="A86" s="16">
        <v>45281.0</v>
      </c>
      <c r="B86" s="1" t="s">
        <v>34</v>
      </c>
      <c r="C86" s="1" t="s">
        <v>46</v>
      </c>
      <c r="D86" s="1">
        <v>12.0</v>
      </c>
      <c r="E86" s="1">
        <v>4.0</v>
      </c>
      <c r="F86" s="47" t="s">
        <v>90</v>
      </c>
      <c r="G86" s="47" t="s">
        <v>101</v>
      </c>
    </row>
    <row r="87">
      <c r="A87" s="16">
        <v>45281.0</v>
      </c>
      <c r="B87" s="1" t="s">
        <v>34</v>
      </c>
      <c r="C87" s="1" t="s">
        <v>46</v>
      </c>
      <c r="D87" s="1">
        <v>6.0</v>
      </c>
      <c r="E87" s="1">
        <v>20.0</v>
      </c>
      <c r="F87" s="47" t="s">
        <v>84</v>
      </c>
      <c r="G87" s="47" t="s">
        <v>101</v>
      </c>
    </row>
    <row r="88">
      <c r="A88" s="16">
        <v>45281.0</v>
      </c>
      <c r="B88" s="1" t="s">
        <v>34</v>
      </c>
      <c r="C88" s="1" t="s">
        <v>46</v>
      </c>
      <c r="D88" s="1">
        <v>4.0</v>
      </c>
      <c r="E88" s="1">
        <v>5.0</v>
      </c>
      <c r="F88" s="47" t="s">
        <v>82</v>
      </c>
      <c r="G88" s="47" t="s">
        <v>101</v>
      </c>
    </row>
    <row r="89">
      <c r="A89" s="16">
        <v>45281.0</v>
      </c>
      <c r="B89" s="1" t="s">
        <v>34</v>
      </c>
      <c r="C89" s="1" t="s">
        <v>46</v>
      </c>
      <c r="D89" s="1">
        <v>13.0</v>
      </c>
      <c r="E89" s="1">
        <v>8.0</v>
      </c>
      <c r="F89" s="47" t="s">
        <v>91</v>
      </c>
      <c r="G89" s="47" t="s">
        <v>101</v>
      </c>
    </row>
    <row r="90">
      <c r="A90" s="16">
        <v>45279.0</v>
      </c>
      <c r="B90" s="1" t="s">
        <v>34</v>
      </c>
      <c r="C90" s="1" t="s">
        <v>46</v>
      </c>
      <c r="D90" s="1">
        <v>5.0</v>
      </c>
      <c r="E90" s="1">
        <v>520.0</v>
      </c>
      <c r="F90" s="47" t="s">
        <v>83</v>
      </c>
      <c r="G90" s="47" t="s">
        <v>99</v>
      </c>
    </row>
    <row r="91">
      <c r="A91" s="16">
        <v>45282.0</v>
      </c>
      <c r="B91" s="1" t="s">
        <v>34</v>
      </c>
      <c r="C91" s="1" t="s">
        <v>47</v>
      </c>
      <c r="D91" s="1">
        <v>5.0</v>
      </c>
      <c r="E91" s="1">
        <v>210.0</v>
      </c>
      <c r="F91" s="47" t="s">
        <v>83</v>
      </c>
      <c r="G91" s="47" t="s">
        <v>99</v>
      </c>
    </row>
    <row r="92">
      <c r="A92" s="16">
        <v>45282.0</v>
      </c>
      <c r="B92" s="1" t="s">
        <v>34</v>
      </c>
      <c r="C92" s="1" t="s">
        <v>47</v>
      </c>
      <c r="D92" s="1">
        <v>1.0</v>
      </c>
      <c r="E92" s="1">
        <v>24.0</v>
      </c>
      <c r="F92" s="47" t="s">
        <v>79</v>
      </c>
      <c r="G92" s="47" t="s">
        <v>101</v>
      </c>
    </row>
    <row r="93">
      <c r="A93" s="16">
        <v>45282.0</v>
      </c>
      <c r="B93" s="1" t="s">
        <v>34</v>
      </c>
      <c r="C93" s="1" t="s">
        <v>47</v>
      </c>
      <c r="D93" s="1">
        <v>2.0</v>
      </c>
      <c r="E93" s="1">
        <v>12.0</v>
      </c>
      <c r="F93" s="47" t="s">
        <v>80</v>
      </c>
      <c r="G93" s="47" t="s">
        <v>101</v>
      </c>
    </row>
    <row r="94">
      <c r="A94" s="16">
        <v>45282.0</v>
      </c>
      <c r="B94" s="1" t="s">
        <v>34</v>
      </c>
      <c r="C94" s="1" t="s">
        <v>47</v>
      </c>
      <c r="D94" s="1">
        <v>9.0</v>
      </c>
      <c r="E94" s="1">
        <v>10.0</v>
      </c>
      <c r="F94" s="47" t="s">
        <v>87</v>
      </c>
      <c r="G94" s="47" t="s">
        <v>101</v>
      </c>
    </row>
    <row r="95">
      <c r="A95" s="16">
        <v>45282.0</v>
      </c>
      <c r="B95" s="1" t="s">
        <v>34</v>
      </c>
      <c r="C95" s="1" t="s">
        <v>47</v>
      </c>
      <c r="D95" s="1">
        <v>6.0</v>
      </c>
      <c r="E95" s="1">
        <v>18.0</v>
      </c>
      <c r="F95" s="47" t="s">
        <v>84</v>
      </c>
      <c r="G95" s="47" t="s">
        <v>101</v>
      </c>
    </row>
    <row r="96">
      <c r="A96" s="16">
        <v>45283.0</v>
      </c>
      <c r="B96" s="1" t="s">
        <v>34</v>
      </c>
      <c r="C96" s="1" t="s">
        <v>25</v>
      </c>
      <c r="D96" s="1">
        <v>5.0</v>
      </c>
      <c r="E96" s="1">
        <v>230.0</v>
      </c>
      <c r="F96" s="47" t="s">
        <v>83</v>
      </c>
      <c r="G96" s="47" t="s">
        <v>99</v>
      </c>
    </row>
    <row r="97">
      <c r="A97" s="16">
        <v>45283.0</v>
      </c>
      <c r="B97" s="1" t="s">
        <v>34</v>
      </c>
      <c r="C97" s="1" t="s">
        <v>25</v>
      </c>
      <c r="D97" s="1">
        <v>1.0</v>
      </c>
      <c r="E97" s="1">
        <v>8.0</v>
      </c>
      <c r="F97" s="47" t="s">
        <v>79</v>
      </c>
      <c r="G97" s="47" t="s">
        <v>101</v>
      </c>
    </row>
    <row r="98">
      <c r="A98" s="16">
        <v>45283.0</v>
      </c>
      <c r="B98" s="1" t="s">
        <v>34</v>
      </c>
      <c r="C98" s="1" t="s">
        <v>25</v>
      </c>
      <c r="D98" s="1">
        <v>2.0</v>
      </c>
      <c r="E98" s="1">
        <v>23.0</v>
      </c>
      <c r="F98" s="47" t="s">
        <v>80</v>
      </c>
      <c r="G98" s="47" t="s">
        <v>101</v>
      </c>
    </row>
    <row r="99">
      <c r="A99" s="16">
        <v>45283.0</v>
      </c>
      <c r="B99" s="1" t="s">
        <v>34</v>
      </c>
      <c r="C99" s="1" t="s">
        <v>25</v>
      </c>
      <c r="D99" s="1">
        <v>6.0</v>
      </c>
      <c r="E99" s="1">
        <v>25.0</v>
      </c>
      <c r="F99" s="47" t="s">
        <v>84</v>
      </c>
      <c r="G99" s="47" t="s">
        <v>101</v>
      </c>
    </row>
    <row r="100">
      <c r="A100" s="16">
        <v>45282.0</v>
      </c>
      <c r="B100" s="1" t="s">
        <v>34</v>
      </c>
      <c r="C100" s="1" t="s">
        <v>47</v>
      </c>
      <c r="D100" s="1">
        <v>3.0</v>
      </c>
      <c r="E100" s="1">
        <v>45.0</v>
      </c>
      <c r="F100" s="47" t="s">
        <v>81</v>
      </c>
      <c r="G100" s="47" t="s">
        <v>101</v>
      </c>
    </row>
    <row r="101">
      <c r="A101" s="16">
        <v>45283.0</v>
      </c>
      <c r="B101" s="1" t="s">
        <v>34</v>
      </c>
      <c r="C101" s="1" t="s">
        <v>25</v>
      </c>
      <c r="D101" s="1">
        <v>3.0</v>
      </c>
      <c r="E101" s="1">
        <v>90.0</v>
      </c>
      <c r="F101" s="47" t="s">
        <v>81</v>
      </c>
      <c r="G101" s="47" t="s">
        <v>101</v>
      </c>
    </row>
    <row r="102">
      <c r="A102" s="16">
        <v>45284.0</v>
      </c>
      <c r="B102" s="1" t="s">
        <v>34</v>
      </c>
      <c r="C102" s="1" t="s">
        <v>25</v>
      </c>
      <c r="D102" s="1">
        <v>7.0</v>
      </c>
      <c r="E102" s="1">
        <v>200.0</v>
      </c>
      <c r="F102" s="47" t="s">
        <v>85</v>
      </c>
      <c r="G102" s="47" t="s">
        <v>99</v>
      </c>
    </row>
    <row r="103">
      <c r="A103" s="16">
        <v>45284.0</v>
      </c>
      <c r="B103" s="1" t="s">
        <v>34</v>
      </c>
      <c r="C103" s="1" t="s">
        <v>25</v>
      </c>
      <c r="D103" s="1">
        <v>1.0</v>
      </c>
      <c r="E103" s="1">
        <v>2.0</v>
      </c>
      <c r="F103" s="47" t="s">
        <v>79</v>
      </c>
      <c r="G103" s="47" t="s">
        <v>101</v>
      </c>
    </row>
    <row r="104">
      <c r="A104" s="16">
        <v>45284.0</v>
      </c>
      <c r="B104" s="1" t="s">
        <v>34</v>
      </c>
      <c r="C104" s="1" t="s">
        <v>25</v>
      </c>
      <c r="D104" s="1">
        <v>2.0</v>
      </c>
      <c r="E104" s="1">
        <v>16.0</v>
      </c>
      <c r="F104" s="47" t="s">
        <v>80</v>
      </c>
      <c r="G104" s="47" t="s">
        <v>101</v>
      </c>
    </row>
    <row r="105">
      <c r="A105" s="16">
        <v>45284.0</v>
      </c>
      <c r="B105" s="1" t="s">
        <v>34</v>
      </c>
      <c r="C105" s="1" t="s">
        <v>25</v>
      </c>
      <c r="D105" s="1">
        <v>10.0</v>
      </c>
      <c r="E105" s="1">
        <v>12.0</v>
      </c>
      <c r="F105" s="47" t="s">
        <v>88</v>
      </c>
      <c r="G105" s="47" t="s">
        <v>101</v>
      </c>
    </row>
    <row r="106">
      <c r="A106" s="16">
        <v>45284.0</v>
      </c>
      <c r="B106" s="1" t="s">
        <v>34</v>
      </c>
      <c r="C106" s="1" t="s">
        <v>25</v>
      </c>
      <c r="D106" s="1">
        <v>6.0</v>
      </c>
      <c r="E106" s="1">
        <v>15.0</v>
      </c>
      <c r="F106" s="47" t="s">
        <v>84</v>
      </c>
      <c r="G106" s="47" t="s">
        <v>101</v>
      </c>
    </row>
    <row r="107">
      <c r="A107" s="16">
        <v>45285.0</v>
      </c>
      <c r="B107" s="1" t="s">
        <v>34</v>
      </c>
      <c r="C107" s="1" t="s">
        <v>47</v>
      </c>
      <c r="D107" s="1">
        <v>3.0</v>
      </c>
      <c r="E107" s="1">
        <v>47.0</v>
      </c>
      <c r="F107" s="47" t="s">
        <v>81</v>
      </c>
      <c r="G107" s="47" t="s">
        <v>101</v>
      </c>
    </row>
    <row r="108">
      <c r="A108" s="16">
        <v>45285.0</v>
      </c>
      <c r="B108" s="1" t="s">
        <v>34</v>
      </c>
      <c r="C108" s="1" t="s">
        <v>47</v>
      </c>
      <c r="D108" s="1">
        <v>2.0</v>
      </c>
      <c r="E108" s="1">
        <v>20.0</v>
      </c>
      <c r="F108" s="47" t="s">
        <v>80</v>
      </c>
      <c r="G108" s="47" t="s">
        <v>101</v>
      </c>
    </row>
    <row r="109">
      <c r="A109" s="16">
        <v>45285.0</v>
      </c>
      <c r="B109" s="1" t="s">
        <v>34</v>
      </c>
      <c r="C109" s="1" t="s">
        <v>47</v>
      </c>
      <c r="D109" s="1">
        <v>6.0</v>
      </c>
      <c r="E109" s="1">
        <v>10.0</v>
      </c>
      <c r="F109" s="47" t="s">
        <v>84</v>
      </c>
      <c r="G109" s="47" t="s">
        <v>101</v>
      </c>
    </row>
    <row r="110">
      <c r="A110" s="16">
        <v>45286.0</v>
      </c>
      <c r="B110" s="1" t="s">
        <v>34</v>
      </c>
      <c r="C110" s="1" t="s">
        <v>46</v>
      </c>
      <c r="D110" s="1">
        <v>3.0</v>
      </c>
      <c r="E110" s="1">
        <v>190.0</v>
      </c>
      <c r="F110" s="47" t="s">
        <v>81</v>
      </c>
      <c r="G110" s="47" t="s">
        <v>99</v>
      </c>
    </row>
    <row r="111">
      <c r="A111" s="16">
        <v>45286.0</v>
      </c>
      <c r="B111" s="1" t="s">
        <v>34</v>
      </c>
      <c r="C111" s="1" t="s">
        <v>46</v>
      </c>
      <c r="D111" s="1">
        <v>1.0</v>
      </c>
      <c r="E111" s="1">
        <v>9.0</v>
      </c>
      <c r="F111" s="47" t="s">
        <v>79</v>
      </c>
      <c r="G111" s="47" t="s">
        <v>101</v>
      </c>
    </row>
    <row r="112">
      <c r="A112" s="16">
        <v>45286.0</v>
      </c>
      <c r="B112" s="1" t="s">
        <v>34</v>
      </c>
      <c r="C112" s="1" t="s">
        <v>46</v>
      </c>
      <c r="D112" s="1">
        <v>2.0</v>
      </c>
      <c r="E112" s="1">
        <v>12.0</v>
      </c>
      <c r="F112" s="47" t="s">
        <v>80</v>
      </c>
      <c r="G112" s="47" t="s">
        <v>101</v>
      </c>
    </row>
    <row r="113">
      <c r="A113" s="16">
        <v>45286.0</v>
      </c>
      <c r="B113" s="1" t="s">
        <v>34</v>
      </c>
      <c r="C113" s="1" t="s">
        <v>46</v>
      </c>
      <c r="D113" s="1">
        <v>6.0</v>
      </c>
      <c r="E113" s="1">
        <v>26.0</v>
      </c>
      <c r="F113" s="47" t="s">
        <v>84</v>
      </c>
      <c r="G113" s="47" t="s">
        <v>101</v>
      </c>
    </row>
    <row r="114">
      <c r="A114" s="16">
        <v>45287.0</v>
      </c>
      <c r="B114" s="1" t="s">
        <v>34</v>
      </c>
      <c r="C114" s="1" t="s">
        <v>46</v>
      </c>
      <c r="D114" s="1">
        <v>1.0</v>
      </c>
      <c r="E114" s="1">
        <v>24.0</v>
      </c>
      <c r="F114" s="47" t="s">
        <v>79</v>
      </c>
      <c r="G114" s="47" t="s">
        <v>101</v>
      </c>
    </row>
    <row r="115">
      <c r="A115" s="16">
        <v>45287.0</v>
      </c>
      <c r="B115" s="1" t="s">
        <v>34</v>
      </c>
      <c r="C115" s="1" t="s">
        <v>46</v>
      </c>
      <c r="D115" s="1">
        <v>2.0</v>
      </c>
      <c r="E115" s="1">
        <v>7.0</v>
      </c>
      <c r="F115" s="47" t="s">
        <v>80</v>
      </c>
      <c r="G115" s="47" t="s">
        <v>101</v>
      </c>
    </row>
    <row r="116">
      <c r="A116" s="16">
        <v>45287.0</v>
      </c>
      <c r="B116" s="1" t="s">
        <v>34</v>
      </c>
      <c r="C116" s="1" t="s">
        <v>46</v>
      </c>
      <c r="D116" s="1">
        <v>12.0</v>
      </c>
      <c r="E116" s="1">
        <v>3.0</v>
      </c>
      <c r="F116" s="47" t="s">
        <v>90</v>
      </c>
      <c r="G116" s="47" t="s">
        <v>101</v>
      </c>
    </row>
    <row r="117">
      <c r="A117" s="16">
        <v>45287.0</v>
      </c>
      <c r="B117" s="1" t="s">
        <v>34</v>
      </c>
      <c r="C117" s="1" t="s">
        <v>46</v>
      </c>
      <c r="D117" s="1">
        <v>6.0</v>
      </c>
      <c r="E117" s="1">
        <v>17.0</v>
      </c>
      <c r="F117" s="47" t="s">
        <v>84</v>
      </c>
      <c r="G117" s="47" t="s">
        <v>101</v>
      </c>
    </row>
    <row r="118">
      <c r="A118" s="16">
        <v>45288.0</v>
      </c>
      <c r="B118" s="1" t="s">
        <v>34</v>
      </c>
      <c r="C118" s="1" t="s">
        <v>46</v>
      </c>
      <c r="D118" s="1">
        <v>4.0</v>
      </c>
      <c r="E118" s="1">
        <v>8.0</v>
      </c>
      <c r="F118" s="47" t="s">
        <v>82</v>
      </c>
      <c r="G118" s="47" t="s">
        <v>101</v>
      </c>
    </row>
    <row r="119">
      <c r="A119" s="16">
        <v>45288.0</v>
      </c>
      <c r="B119" s="1" t="s">
        <v>34</v>
      </c>
      <c r="C119" s="1" t="s">
        <v>46</v>
      </c>
      <c r="D119" s="1">
        <v>1.0</v>
      </c>
      <c r="E119" s="1">
        <v>24.0</v>
      </c>
      <c r="F119" s="47" t="s">
        <v>79</v>
      </c>
      <c r="G119" s="47" t="s">
        <v>101</v>
      </c>
    </row>
    <row r="120">
      <c r="A120" s="16">
        <v>45288.0</v>
      </c>
      <c r="B120" s="1" t="s">
        <v>34</v>
      </c>
      <c r="C120" s="1" t="s">
        <v>46</v>
      </c>
      <c r="D120" s="1">
        <v>2.0</v>
      </c>
      <c r="E120" s="1">
        <v>8.0</v>
      </c>
      <c r="F120" s="47" t="s">
        <v>80</v>
      </c>
      <c r="G120" s="47" t="s">
        <v>101</v>
      </c>
    </row>
    <row r="121">
      <c r="A121" s="16">
        <v>45288.0</v>
      </c>
      <c r="B121" s="1" t="s">
        <v>34</v>
      </c>
      <c r="C121" s="1" t="s">
        <v>46</v>
      </c>
      <c r="D121" s="1">
        <v>6.0</v>
      </c>
      <c r="E121" s="1">
        <v>30.0</v>
      </c>
      <c r="F121" s="47" t="s">
        <v>84</v>
      </c>
      <c r="G121" s="47" t="s">
        <v>101</v>
      </c>
    </row>
    <row r="122">
      <c r="A122" s="16">
        <v>45289.0</v>
      </c>
      <c r="B122" s="1" t="s">
        <v>34</v>
      </c>
      <c r="C122" s="1" t="s">
        <v>46</v>
      </c>
      <c r="D122" s="1">
        <v>1.0</v>
      </c>
      <c r="E122" s="1">
        <v>24.0</v>
      </c>
      <c r="F122" s="47" t="s">
        <v>79</v>
      </c>
      <c r="G122" s="47" t="s">
        <v>101</v>
      </c>
    </row>
    <row r="123">
      <c r="A123" s="16">
        <v>45289.0</v>
      </c>
      <c r="B123" s="1" t="s">
        <v>34</v>
      </c>
      <c r="C123" s="1" t="s">
        <v>46</v>
      </c>
      <c r="D123" s="1">
        <v>2.0</v>
      </c>
      <c r="E123" s="1">
        <v>6.0</v>
      </c>
      <c r="F123" s="47" t="s">
        <v>80</v>
      </c>
      <c r="G123" s="47" t="s">
        <v>101</v>
      </c>
    </row>
    <row r="124">
      <c r="A124" s="16">
        <v>45289.0</v>
      </c>
      <c r="B124" s="1" t="s">
        <v>34</v>
      </c>
      <c r="C124" s="1" t="s">
        <v>46</v>
      </c>
      <c r="D124" s="1">
        <v>6.0</v>
      </c>
      <c r="E124" s="1">
        <v>14.0</v>
      </c>
      <c r="F124" s="47" t="s">
        <v>84</v>
      </c>
      <c r="G124" s="47" t="s">
        <v>101</v>
      </c>
    </row>
    <row r="125">
      <c r="A125" s="16">
        <v>45290.0</v>
      </c>
      <c r="B125" s="1" t="s">
        <v>34</v>
      </c>
      <c r="C125" s="1" t="s">
        <v>46</v>
      </c>
      <c r="D125" s="1">
        <v>1.0</v>
      </c>
      <c r="E125" s="1">
        <v>12.0</v>
      </c>
      <c r="F125" s="47" t="s">
        <v>79</v>
      </c>
      <c r="G125" s="47" t="s">
        <v>101</v>
      </c>
    </row>
    <row r="126">
      <c r="A126" s="16">
        <v>45290.0</v>
      </c>
      <c r="B126" s="1" t="s">
        <v>34</v>
      </c>
      <c r="C126" s="1" t="s">
        <v>46</v>
      </c>
      <c r="D126" s="1">
        <v>13.0</v>
      </c>
      <c r="E126" s="1">
        <v>8.0</v>
      </c>
      <c r="F126" s="47" t="s">
        <v>91</v>
      </c>
      <c r="G126" s="47" t="s">
        <v>101</v>
      </c>
    </row>
    <row r="127">
      <c r="A127" s="16">
        <v>45290.0</v>
      </c>
      <c r="B127" s="1" t="s">
        <v>34</v>
      </c>
      <c r="C127" s="1" t="s">
        <v>46</v>
      </c>
      <c r="D127" s="1">
        <v>2.0</v>
      </c>
      <c r="E127" s="1">
        <v>17.0</v>
      </c>
      <c r="F127" s="47" t="s">
        <v>80</v>
      </c>
      <c r="G127" s="47" t="s">
        <v>101</v>
      </c>
    </row>
    <row r="128">
      <c r="A128" s="16">
        <v>45290.0</v>
      </c>
      <c r="B128" s="1" t="s">
        <v>34</v>
      </c>
      <c r="C128" s="1" t="s">
        <v>46</v>
      </c>
      <c r="D128" s="1">
        <v>10.0</v>
      </c>
      <c r="E128" s="1">
        <v>14.0</v>
      </c>
      <c r="F128" s="47" t="s">
        <v>88</v>
      </c>
      <c r="G128" s="47" t="s">
        <v>101</v>
      </c>
    </row>
  </sheetData>
  <drawing r:id="rId1"/>
</worksheet>
</file>