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ei\Desktop\microsoft into\"/>
    </mc:Choice>
  </mc:AlternateContent>
  <xr:revisionPtr revIDLastSave="0" documentId="13_ncr:1_{C7915678-52E0-41A7-8CEA-5B283675F2E3}" xr6:coauthVersionLast="47" xr6:coauthVersionMax="47" xr10:uidLastSave="{00000000-0000-0000-0000-000000000000}"/>
  <bookViews>
    <workbookView xWindow="-110" yWindow="-110" windowWidth="19420" windowHeight="10420" xr2:uid="{EF63A25B-30E8-46EA-AD4D-C7EB245EE7E2}"/>
  </bookViews>
  <sheets>
    <sheet name="FD analysis" sheetId="1" r:id="rId1"/>
    <sheet name="loan schedule" sheetId="2" r:id="rId2"/>
    <sheet name="insurance cal" sheetId="3" r:id="rId3"/>
    <sheet name="bond" sheetId="4" r:id="rId4"/>
    <sheet name="Mutual fund analysi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6" i="5" l="1"/>
  <c r="H25" i="5"/>
  <c r="E26" i="5"/>
  <c r="E21" i="5"/>
  <c r="K9" i="5"/>
  <c r="K8" i="5"/>
  <c r="I10" i="5"/>
  <c r="H14" i="5"/>
  <c r="H9" i="5"/>
  <c r="E14" i="5"/>
  <c r="E9" i="5"/>
  <c r="M22" i="4"/>
  <c r="M19" i="4"/>
  <c r="M18" i="4"/>
  <c r="K25" i="4"/>
  <c r="K23" i="4"/>
  <c r="K22" i="4"/>
  <c r="K18" i="4"/>
  <c r="K19" i="4"/>
  <c r="K20" i="4"/>
  <c r="K21" i="4"/>
  <c r="J22" i="4"/>
  <c r="J19" i="4"/>
  <c r="J20" i="4"/>
  <c r="J21" i="4" s="1"/>
  <c r="J18" i="4"/>
  <c r="K17" i="4"/>
  <c r="J17" i="4"/>
  <c r="K16" i="4"/>
  <c r="J16" i="4"/>
  <c r="K12" i="4"/>
  <c r="K11" i="4"/>
  <c r="G7" i="4"/>
  <c r="E27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12" i="3"/>
  <c r="E28" i="3" s="1"/>
  <c r="D8" i="3" s="1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13" i="3"/>
  <c r="D12" i="3"/>
  <c r="D6" i="3"/>
  <c r="G8" i="2"/>
  <c r="G7" i="2"/>
  <c r="G6" i="2"/>
  <c r="G5" i="2"/>
  <c r="F37" i="2"/>
  <c r="F13" i="2"/>
  <c r="H12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13" i="2"/>
  <c r="D12" i="2"/>
  <c r="D8" i="2"/>
  <c r="E19" i="2" s="1"/>
  <c r="D7" i="2"/>
  <c r="I34" i="1"/>
  <c r="I32" i="1"/>
  <c r="I31" i="1"/>
  <c r="I29" i="1"/>
  <c r="I28" i="1"/>
  <c r="I27" i="1"/>
  <c r="I19" i="1"/>
  <c r="I20" i="1"/>
  <c r="I21" i="1"/>
  <c r="I22" i="1"/>
  <c r="I23" i="1"/>
  <c r="I24" i="1"/>
  <c r="I25" i="1"/>
  <c r="I26" i="1"/>
  <c r="I18" i="1"/>
  <c r="I17" i="1"/>
  <c r="H19" i="1"/>
  <c r="H20" i="1" s="1"/>
  <c r="H21" i="1" s="1"/>
  <c r="H22" i="1" s="1"/>
  <c r="H23" i="1" s="1"/>
  <c r="H24" i="1" s="1"/>
  <c r="H25" i="1" s="1"/>
  <c r="H26" i="1" s="1"/>
  <c r="H27" i="1" s="1"/>
  <c r="H18" i="1"/>
  <c r="H17" i="1"/>
  <c r="H13" i="1"/>
  <c r="H12" i="1"/>
  <c r="H11" i="1"/>
  <c r="H7" i="1"/>
  <c r="D25" i="1"/>
  <c r="D26" i="1" s="1"/>
  <c r="D27" i="1" s="1"/>
  <c r="D28" i="1" s="1"/>
  <c r="D24" i="1"/>
  <c r="D23" i="1"/>
  <c r="D22" i="1"/>
  <c r="C19" i="1"/>
  <c r="C20" i="1"/>
  <c r="C21" i="1"/>
  <c r="C22" i="1"/>
  <c r="C18" i="1"/>
  <c r="C17" i="1"/>
  <c r="D17" i="1"/>
  <c r="D11" i="1"/>
  <c r="D10" i="1"/>
  <c r="D7" i="1"/>
  <c r="E22" i="2" l="1"/>
  <c r="E13" i="2"/>
  <c r="G13" i="2" s="1"/>
  <c r="H13" i="2" s="1"/>
  <c r="E29" i="2"/>
  <c r="E20" i="2"/>
  <c r="E31" i="2"/>
  <c r="E30" i="2"/>
  <c r="E28" i="2"/>
  <c r="E18" i="2"/>
  <c r="E21" i="2"/>
  <c r="E36" i="2"/>
  <c r="E26" i="2"/>
  <c r="E17" i="2"/>
  <c r="E34" i="2"/>
  <c r="E25" i="2"/>
  <c r="E16" i="2"/>
  <c r="E33" i="2"/>
  <c r="E24" i="2"/>
  <c r="E15" i="2"/>
  <c r="E32" i="2"/>
  <c r="E23" i="2"/>
  <c r="E14" i="2"/>
  <c r="F14" i="2"/>
  <c r="G14" i="2" s="1"/>
  <c r="H14" i="2"/>
  <c r="E35" i="2"/>
  <c r="E27" i="2"/>
  <c r="F15" i="2" l="1"/>
  <c r="G15" i="2" s="1"/>
  <c r="H15" i="2"/>
  <c r="F16" i="2" l="1"/>
  <c r="G16" i="2" s="1"/>
  <c r="H16" i="2"/>
  <c r="F17" i="2" l="1"/>
  <c r="G17" i="2" s="1"/>
  <c r="H17" i="2" s="1"/>
  <c r="F18" i="2" l="1"/>
  <c r="G18" i="2" s="1"/>
  <c r="H18" i="2" s="1"/>
  <c r="F19" i="2" l="1"/>
  <c r="G19" i="2" s="1"/>
  <c r="H19" i="2" s="1"/>
  <c r="F20" i="2" l="1"/>
  <c r="G20" i="2" s="1"/>
  <c r="H20" i="2" s="1"/>
  <c r="F21" i="2" l="1"/>
  <c r="G21" i="2" s="1"/>
  <c r="H21" i="2" s="1"/>
  <c r="F22" i="2" l="1"/>
  <c r="G22" i="2" s="1"/>
  <c r="H22" i="2" s="1"/>
  <c r="F23" i="2" s="1"/>
  <c r="G23" i="2" s="1"/>
  <c r="H23" i="2" s="1"/>
  <c r="F24" i="2" s="1"/>
  <c r="G24" i="2" s="1"/>
  <c r="H24" i="2" s="1"/>
  <c r="F25" i="2" l="1"/>
  <c r="G25" i="2" s="1"/>
  <c r="H25" i="2" s="1"/>
  <c r="F26" i="2" l="1"/>
  <c r="G26" i="2" s="1"/>
  <c r="H26" i="2" s="1"/>
  <c r="F27" i="2" l="1"/>
  <c r="G27" i="2" s="1"/>
  <c r="H27" i="2" s="1"/>
  <c r="F28" i="2" l="1"/>
  <c r="G28" i="2" s="1"/>
  <c r="H28" i="2" s="1"/>
  <c r="F29" i="2" l="1"/>
  <c r="G29" i="2" s="1"/>
  <c r="H29" i="2" s="1"/>
  <c r="F30" i="2" l="1"/>
  <c r="G30" i="2" s="1"/>
  <c r="H30" i="2" s="1"/>
  <c r="F31" i="2" l="1"/>
  <c r="G31" i="2" s="1"/>
  <c r="H31" i="2" s="1"/>
  <c r="F32" i="2" l="1"/>
  <c r="G32" i="2" s="1"/>
  <c r="H32" i="2"/>
  <c r="F33" i="2" l="1"/>
  <c r="G33" i="2" s="1"/>
  <c r="H33" i="2" s="1"/>
  <c r="F34" i="2" l="1"/>
  <c r="G34" i="2" s="1"/>
  <c r="H34" i="2" s="1"/>
  <c r="F35" i="2" l="1"/>
  <c r="G35" i="2" s="1"/>
  <c r="H35" i="2" s="1"/>
  <c r="F36" i="2" l="1"/>
  <c r="G36" i="2" s="1"/>
  <c r="H36" i="2"/>
</calcChain>
</file>

<file path=xl/sharedStrings.xml><?xml version="1.0" encoding="utf-8"?>
<sst xmlns="http://schemas.openxmlformats.org/spreadsheetml/2006/main" count="152" uniqueCount="87">
  <si>
    <t>investment date</t>
  </si>
  <si>
    <t>tenor</t>
  </si>
  <si>
    <t>rate of interest</t>
  </si>
  <si>
    <t>amount invested</t>
  </si>
  <si>
    <t>cash outflow</t>
  </si>
  <si>
    <t>maturity date</t>
  </si>
  <si>
    <t>type</t>
  </si>
  <si>
    <t>cumulative</t>
  </si>
  <si>
    <t>maturity amount</t>
  </si>
  <si>
    <t>after 5 yrs</t>
  </si>
  <si>
    <t>interest earned</t>
  </si>
  <si>
    <t>inflation</t>
  </si>
  <si>
    <t>cashflow</t>
  </si>
  <si>
    <t>date</t>
  </si>
  <si>
    <t>cash flow</t>
  </si>
  <si>
    <t>year</t>
  </si>
  <si>
    <t>actual return real return</t>
  </si>
  <si>
    <t>pv of maturity amount</t>
  </si>
  <si>
    <t>return on investment</t>
  </si>
  <si>
    <t>5 yr return %</t>
  </si>
  <si>
    <t>non-cumulative</t>
  </si>
  <si>
    <t>frequency of payment</t>
  </si>
  <si>
    <t>interest payment</t>
  </si>
  <si>
    <t>total no of interest paid</t>
  </si>
  <si>
    <t>total interest paid</t>
  </si>
  <si>
    <t>period</t>
  </si>
  <si>
    <t>XIRR</t>
  </si>
  <si>
    <t>real return</t>
  </si>
  <si>
    <t>NPV/ return on investment</t>
  </si>
  <si>
    <t>yield</t>
  </si>
  <si>
    <t>purchase date</t>
  </si>
  <si>
    <t>loan amount</t>
  </si>
  <si>
    <t>interest rate</t>
  </si>
  <si>
    <t>last date payment</t>
  </si>
  <si>
    <t>EMI</t>
  </si>
  <si>
    <t>due amount</t>
  </si>
  <si>
    <t>months</t>
  </si>
  <si>
    <t>EMI date</t>
  </si>
  <si>
    <t>int+principle</t>
  </si>
  <si>
    <t>interest</t>
  </si>
  <si>
    <t>principle</t>
  </si>
  <si>
    <t>balance amount</t>
  </si>
  <si>
    <t>int EMI</t>
  </si>
  <si>
    <t>Int by set</t>
  </si>
  <si>
    <t>inventment</t>
  </si>
  <si>
    <t>prm</t>
  </si>
  <si>
    <t>prm pay term</t>
  </si>
  <si>
    <t>policy term</t>
  </si>
  <si>
    <t>maturity</t>
  </si>
  <si>
    <t>amount</t>
  </si>
  <si>
    <t>return</t>
  </si>
  <si>
    <t>taxation</t>
  </si>
  <si>
    <t>10(10)D</t>
  </si>
  <si>
    <t>section</t>
  </si>
  <si>
    <t>tax free</t>
  </si>
  <si>
    <t>80 c</t>
  </si>
  <si>
    <t>sarender value</t>
  </si>
  <si>
    <t>ZCB</t>
  </si>
  <si>
    <t>invetment</t>
  </si>
  <si>
    <t>no of yrs</t>
  </si>
  <si>
    <t>pa</t>
  </si>
  <si>
    <t>face value</t>
  </si>
  <si>
    <t>market value</t>
  </si>
  <si>
    <t xml:space="preserve">coupon </t>
  </si>
  <si>
    <t>frequency</t>
  </si>
  <si>
    <t>next coupon date</t>
  </si>
  <si>
    <t>1. Accrud interest</t>
  </si>
  <si>
    <t>2. YTM</t>
  </si>
  <si>
    <t>price of bond = int value + acc int</t>
  </si>
  <si>
    <t>acc interest</t>
  </si>
  <si>
    <t>previous coupon date</t>
  </si>
  <si>
    <t>intrensic value</t>
  </si>
  <si>
    <t>YTM</t>
  </si>
  <si>
    <t>SIP</t>
  </si>
  <si>
    <t>how much to be invested on monthly basis</t>
  </si>
  <si>
    <t>how long</t>
  </si>
  <si>
    <t>mutual catogory</t>
  </si>
  <si>
    <t>large cap</t>
  </si>
  <si>
    <t>fund</t>
  </si>
  <si>
    <t>tata large cap</t>
  </si>
  <si>
    <t xml:space="preserve">return </t>
  </si>
  <si>
    <t>one time - lumsum</t>
  </si>
  <si>
    <t>investment amount</t>
  </si>
  <si>
    <t>SWP</t>
  </si>
  <si>
    <t>how long we can withdraw</t>
  </si>
  <si>
    <t>years</t>
  </si>
  <si>
    <t>13 year 5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</si>
</sst>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9" fontId="0" fillId="0" borderId="0" xfId="0" applyNumberFormat="1"/>
    <xf numFmtId="8" fontId="0" fillId="0" borderId="0" xfId="0" applyNumberFormat="1"/>
    <xf numFmtId="8" fontId="0" fillId="2" borderId="0" xfId="0" applyNumberFormat="1" applyFill="1"/>
    <xf numFmtId="9" fontId="0" fillId="0" borderId="0" xfId="1" applyFont="1"/>
    <xf numFmtId="10" fontId="0" fillId="0" borderId="0" xfId="1" applyNumberFormat="1" applyFont="1"/>
    <xf numFmtId="10" fontId="0" fillId="0" borderId="0" xfId="0" applyNumberFormat="1"/>
    <xf numFmtId="15" fontId="0" fillId="0" borderId="0" xfId="0" applyNumberFormat="1"/>
    <xf numFmtId="10" fontId="0" fillId="2" borderId="0" xfId="1" applyNumberFormat="1" applyFont="1" applyFill="1"/>
    <xf numFmtId="0" fontId="0" fillId="2" borderId="0" xfId="0" applyFill="1"/>
    <xf numFmtId="10" fontId="0" fillId="2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22125-B096-41F0-BB0F-08CC070A6E75}">
  <dimension ref="B3:I34"/>
  <sheetViews>
    <sheetView tabSelected="1" zoomScale="158" zoomScaleNormal="145" workbookViewId="0">
      <selection activeCell="C6" sqref="C6"/>
    </sheetView>
  </sheetViews>
  <sheetFormatPr defaultRowHeight="14.5" x14ac:dyDescent="0.35"/>
  <cols>
    <col min="3" max="3" width="21.1796875" bestFit="1" customWidth="1"/>
    <col min="4" max="4" width="12.7265625" bestFit="1" customWidth="1"/>
    <col min="5" max="5" width="11.453125" bestFit="1" customWidth="1"/>
    <col min="7" max="7" width="20.54296875" bestFit="1" customWidth="1"/>
    <col min="8" max="8" width="23.36328125" bestFit="1" customWidth="1"/>
    <col min="9" max="9" width="10.54296875" bestFit="1" customWidth="1"/>
  </cols>
  <sheetData>
    <row r="3" spans="2:9" x14ac:dyDescent="0.35">
      <c r="C3" t="s">
        <v>0</v>
      </c>
      <c r="D3" s="1">
        <v>44607</v>
      </c>
      <c r="G3" t="s">
        <v>0</v>
      </c>
      <c r="H3" s="1">
        <v>44607</v>
      </c>
    </row>
    <row r="4" spans="2:9" x14ac:dyDescent="0.35">
      <c r="C4" t="s">
        <v>1</v>
      </c>
      <c r="D4">
        <v>5</v>
      </c>
      <c r="G4" t="s">
        <v>1</v>
      </c>
      <c r="H4">
        <v>5</v>
      </c>
    </row>
    <row r="5" spans="2:9" x14ac:dyDescent="0.35">
      <c r="C5" t="s">
        <v>2</v>
      </c>
      <c r="D5" s="2">
        <v>7.0000000000000007E-2</v>
      </c>
      <c r="G5" t="s">
        <v>2</v>
      </c>
      <c r="H5" s="7">
        <v>6.88E-2</v>
      </c>
    </row>
    <row r="6" spans="2:9" x14ac:dyDescent="0.35">
      <c r="C6" t="s">
        <v>3</v>
      </c>
      <c r="D6">
        <v>-500000</v>
      </c>
      <c r="E6" t="s">
        <v>4</v>
      </c>
      <c r="G6" t="s">
        <v>3</v>
      </c>
      <c r="H6">
        <v>-500000</v>
      </c>
      <c r="I6" t="s">
        <v>4</v>
      </c>
    </row>
    <row r="7" spans="2:9" x14ac:dyDescent="0.35">
      <c r="C7" t="s">
        <v>5</v>
      </c>
      <c r="D7" s="1">
        <f>EDATE(D3,D4*12)</f>
        <v>46433</v>
      </c>
      <c r="G7" t="s">
        <v>5</v>
      </c>
      <c r="H7" s="1">
        <f>EDATE(H3,H4*12)</f>
        <v>46433</v>
      </c>
    </row>
    <row r="8" spans="2:9" x14ac:dyDescent="0.35">
      <c r="C8" t="s">
        <v>6</v>
      </c>
      <c r="D8" t="s">
        <v>7</v>
      </c>
      <c r="G8" t="s">
        <v>6</v>
      </c>
      <c r="H8" t="s">
        <v>20</v>
      </c>
    </row>
    <row r="9" spans="2:9" x14ac:dyDescent="0.35">
      <c r="G9" t="s">
        <v>21</v>
      </c>
      <c r="H9">
        <v>2</v>
      </c>
    </row>
    <row r="10" spans="2:9" x14ac:dyDescent="0.35">
      <c r="C10" t="s">
        <v>8</v>
      </c>
      <c r="D10" s="4">
        <f>FV(D5,D4,0,D6,0)</f>
        <v>701275.86535000009</v>
      </c>
      <c r="E10" t="s">
        <v>9</v>
      </c>
    </row>
    <row r="11" spans="2:9" x14ac:dyDescent="0.35">
      <c r="C11" t="s">
        <v>10</v>
      </c>
      <c r="D11" s="4">
        <f>D10+D6</f>
        <v>201275.86535000009</v>
      </c>
      <c r="G11" t="s">
        <v>22</v>
      </c>
      <c r="H11">
        <f>H6*H5/H9</f>
        <v>-17200</v>
      </c>
    </row>
    <row r="12" spans="2:9" x14ac:dyDescent="0.35">
      <c r="G12" t="s">
        <v>23</v>
      </c>
      <c r="H12">
        <f>COUPNUM(H3,H7,2,1)</f>
        <v>10</v>
      </c>
    </row>
    <row r="13" spans="2:9" x14ac:dyDescent="0.35">
      <c r="C13" t="s">
        <v>11</v>
      </c>
      <c r="D13" s="2">
        <v>0.04</v>
      </c>
      <c r="G13" t="s">
        <v>24</v>
      </c>
      <c r="H13">
        <f>H11*H12</f>
        <v>-172000</v>
      </c>
    </row>
    <row r="15" spans="2:9" x14ac:dyDescent="0.35">
      <c r="C15" t="s">
        <v>12</v>
      </c>
      <c r="G15" t="s">
        <v>12</v>
      </c>
    </row>
    <row r="16" spans="2:9" x14ac:dyDescent="0.35">
      <c r="B16" t="s">
        <v>15</v>
      </c>
      <c r="C16" t="s">
        <v>13</v>
      </c>
      <c r="D16" t="s">
        <v>14</v>
      </c>
      <c r="G16" t="s">
        <v>25</v>
      </c>
      <c r="H16" t="s">
        <v>13</v>
      </c>
      <c r="I16" t="s">
        <v>12</v>
      </c>
    </row>
    <row r="17" spans="2:9" x14ac:dyDescent="0.35">
      <c r="B17">
        <v>0</v>
      </c>
      <c r="C17" s="1">
        <f>D3</f>
        <v>44607</v>
      </c>
      <c r="D17">
        <f>D6</f>
        <v>-500000</v>
      </c>
      <c r="G17">
        <v>0</v>
      </c>
      <c r="H17" s="1">
        <f>H3</f>
        <v>44607</v>
      </c>
      <c r="I17">
        <f>H6</f>
        <v>-500000</v>
      </c>
    </row>
    <row r="18" spans="2:9" x14ac:dyDescent="0.35">
      <c r="B18">
        <v>1</v>
      </c>
      <c r="C18" s="1">
        <f>EDATE($C$17,B18*12)</f>
        <v>44972</v>
      </c>
      <c r="D18">
        <v>0</v>
      </c>
      <c r="G18">
        <v>1</v>
      </c>
      <c r="H18" s="1">
        <f>EDATE(H17,6)</f>
        <v>44788</v>
      </c>
      <c r="I18">
        <f>-1*$H$11</f>
        <v>17200</v>
      </c>
    </row>
    <row r="19" spans="2:9" x14ac:dyDescent="0.35">
      <c r="B19">
        <v>2</v>
      </c>
      <c r="C19" s="1">
        <f t="shared" ref="C19:C22" si="0">EDATE($C$17,B19*12)</f>
        <v>45337</v>
      </c>
      <c r="D19">
        <v>0</v>
      </c>
      <c r="G19">
        <v>2</v>
      </c>
      <c r="H19" s="1">
        <f t="shared" ref="H19:H27" si="1">EDATE(H18,6)</f>
        <v>44972</v>
      </c>
      <c r="I19">
        <f t="shared" ref="I19:I26" si="2">-1*$H$11</f>
        <v>17200</v>
      </c>
    </row>
    <row r="20" spans="2:9" x14ac:dyDescent="0.35">
      <c r="B20">
        <v>3</v>
      </c>
      <c r="C20" s="1">
        <f t="shared" si="0"/>
        <v>45703</v>
      </c>
      <c r="D20">
        <v>0</v>
      </c>
      <c r="G20">
        <v>3</v>
      </c>
      <c r="H20" s="1">
        <f t="shared" si="1"/>
        <v>45153</v>
      </c>
      <c r="I20">
        <f t="shared" si="2"/>
        <v>17200</v>
      </c>
    </row>
    <row r="21" spans="2:9" x14ac:dyDescent="0.35">
      <c r="B21">
        <v>4</v>
      </c>
      <c r="C21" s="1">
        <f t="shared" si="0"/>
        <v>46068</v>
      </c>
      <c r="D21">
        <v>0</v>
      </c>
      <c r="G21">
        <v>4</v>
      </c>
      <c r="H21" s="1">
        <f t="shared" si="1"/>
        <v>45337</v>
      </c>
      <c r="I21">
        <f t="shared" si="2"/>
        <v>17200</v>
      </c>
    </row>
    <row r="22" spans="2:9" x14ac:dyDescent="0.35">
      <c r="B22">
        <v>5</v>
      </c>
      <c r="C22" s="1">
        <f t="shared" si="0"/>
        <v>46433</v>
      </c>
      <c r="D22" s="3">
        <f>D10</f>
        <v>701275.86535000009</v>
      </c>
      <c r="G22">
        <v>5</v>
      </c>
      <c r="H22" s="1">
        <f t="shared" si="1"/>
        <v>45519</v>
      </c>
      <c r="I22">
        <f t="shared" si="2"/>
        <v>17200</v>
      </c>
    </row>
    <row r="23" spans="2:9" x14ac:dyDescent="0.35">
      <c r="D23" s="7">
        <f>IRR(D17:D22)</f>
        <v>6.999999999999984E-2</v>
      </c>
      <c r="G23">
        <v>6</v>
      </c>
      <c r="H23" s="1">
        <f t="shared" si="1"/>
        <v>45703</v>
      </c>
      <c r="I23">
        <f t="shared" si="2"/>
        <v>17200</v>
      </c>
    </row>
    <row r="24" spans="2:9" x14ac:dyDescent="0.35">
      <c r="C24" t="s">
        <v>16</v>
      </c>
      <c r="D24" s="7">
        <f>D23-D13</f>
        <v>2.9999999999999839E-2</v>
      </c>
      <c r="G24">
        <v>7</v>
      </c>
      <c r="H24" s="1">
        <f t="shared" si="1"/>
        <v>45884</v>
      </c>
      <c r="I24">
        <f t="shared" si="2"/>
        <v>17200</v>
      </c>
    </row>
    <row r="25" spans="2:9" x14ac:dyDescent="0.35">
      <c r="C25" t="s">
        <v>17</v>
      </c>
      <c r="D25" s="3">
        <f>PV(D13,D4,0,D10,0)</f>
        <v>-576397.6430472862</v>
      </c>
      <c r="G25">
        <v>8</v>
      </c>
      <c r="H25" s="1">
        <f t="shared" si="1"/>
        <v>46068</v>
      </c>
      <c r="I25">
        <f t="shared" si="2"/>
        <v>17200</v>
      </c>
    </row>
    <row r="26" spans="2:9" x14ac:dyDescent="0.35">
      <c r="C26" t="s">
        <v>18</v>
      </c>
      <c r="D26" s="3">
        <f>D25-D6</f>
        <v>-76397.643047286198</v>
      </c>
      <c r="G26">
        <v>9</v>
      </c>
      <c r="H26" s="1">
        <f t="shared" si="1"/>
        <v>46249</v>
      </c>
      <c r="I26">
        <f t="shared" si="2"/>
        <v>17200</v>
      </c>
    </row>
    <row r="27" spans="2:9" x14ac:dyDescent="0.35">
      <c r="C27" t="s">
        <v>19</v>
      </c>
      <c r="D27" s="6">
        <f>D26/D6</f>
        <v>0.15279528609457241</v>
      </c>
      <c r="G27">
        <v>10</v>
      </c>
      <c r="H27" s="1">
        <f t="shared" si="1"/>
        <v>46433</v>
      </c>
      <c r="I27">
        <f>(H11+H6)*-1</f>
        <v>517200</v>
      </c>
    </row>
    <row r="28" spans="2:9" x14ac:dyDescent="0.35">
      <c r="D28" s="5">
        <f>D27/5</f>
        <v>3.0559057218914481E-2</v>
      </c>
      <c r="H28" t="s">
        <v>26</v>
      </c>
      <c r="I28" s="7">
        <f>XIRR(I17:I27,H17:H27)</f>
        <v>6.9953289628028867E-2</v>
      </c>
    </row>
    <row r="29" spans="2:9" x14ac:dyDescent="0.35">
      <c r="H29" t="s">
        <v>27</v>
      </c>
      <c r="I29" s="7">
        <f>I28-D13</f>
        <v>2.9953289628028866E-2</v>
      </c>
    </row>
    <row r="31" spans="2:9" x14ac:dyDescent="0.35">
      <c r="H31" t="s">
        <v>28</v>
      </c>
      <c r="I31" s="3">
        <f>NPV(D13/H9,I17:I27)</f>
        <v>63406.482397003885</v>
      </c>
    </row>
    <row r="32" spans="2:9" x14ac:dyDescent="0.35">
      <c r="I32" s="6">
        <f>I31/H6*-1</f>
        <v>0.12681296479400778</v>
      </c>
    </row>
    <row r="34" spans="8:9" x14ac:dyDescent="0.35">
      <c r="H34" t="s">
        <v>29</v>
      </c>
      <c r="I34" s="7">
        <f>D27-I32</f>
        <v>2.5982321300564631E-2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0567-5E2A-4634-B898-7C1DD72791AB}">
  <dimension ref="C3:H37"/>
  <sheetViews>
    <sheetView topLeftCell="A4" zoomScale="160" zoomScaleNormal="160" workbookViewId="0">
      <selection activeCell="F10" sqref="F10"/>
    </sheetView>
  </sheetViews>
  <sheetFormatPr defaultRowHeight="14.5" x14ac:dyDescent="0.35"/>
  <cols>
    <col min="3" max="3" width="15.81640625" bestFit="1" customWidth="1"/>
    <col min="4" max="4" width="11.08984375" bestFit="1" customWidth="1"/>
    <col min="5" max="5" width="11" bestFit="1" customWidth="1"/>
    <col min="7" max="7" width="12.6328125" bestFit="1" customWidth="1"/>
    <col min="8" max="8" width="14.36328125" bestFit="1" customWidth="1"/>
  </cols>
  <sheetData>
    <row r="3" spans="3:8" x14ac:dyDescent="0.35">
      <c r="C3" t="s">
        <v>30</v>
      </c>
      <c r="D3" s="1">
        <v>44607</v>
      </c>
    </row>
    <row r="4" spans="3:8" x14ac:dyDescent="0.35">
      <c r="C4" t="s">
        <v>31</v>
      </c>
      <c r="D4">
        <v>500000</v>
      </c>
    </row>
    <row r="5" spans="3:8" x14ac:dyDescent="0.35">
      <c r="C5" t="s">
        <v>32</v>
      </c>
      <c r="D5" s="7">
        <v>0.115</v>
      </c>
      <c r="G5" s="3">
        <f>FV(D5,D6,0,D4,0)</f>
        <v>-621612.5</v>
      </c>
    </row>
    <row r="6" spans="3:8" x14ac:dyDescent="0.35">
      <c r="C6" t="s">
        <v>1</v>
      </c>
      <c r="D6">
        <v>2</v>
      </c>
      <c r="E6" t="s">
        <v>35</v>
      </c>
      <c r="G6" s="3">
        <f>G5+D4</f>
        <v>-121612.5</v>
      </c>
      <c r="H6" t="s">
        <v>43</v>
      </c>
    </row>
    <row r="7" spans="3:8" x14ac:dyDescent="0.35">
      <c r="C7" t="s">
        <v>33</v>
      </c>
      <c r="D7" s="1">
        <f>EDATE(D3,D6*12)</f>
        <v>45337</v>
      </c>
      <c r="E7">
        <v>0</v>
      </c>
      <c r="G7">
        <f>F37</f>
        <v>62083.783584151883</v>
      </c>
      <c r="H7" t="s">
        <v>42</v>
      </c>
    </row>
    <row r="8" spans="3:8" x14ac:dyDescent="0.35">
      <c r="C8" t="s">
        <v>34</v>
      </c>
      <c r="D8" s="3">
        <f>PMT(D5/12,D6*12,D4,E7,0)</f>
        <v>-23420.157649339664</v>
      </c>
      <c r="E8" t="s">
        <v>38</v>
      </c>
      <c r="G8" s="5">
        <f>G7/G6</f>
        <v>-0.51050495289671605</v>
      </c>
    </row>
    <row r="11" spans="3:8" x14ac:dyDescent="0.35">
      <c r="C11" t="s">
        <v>36</v>
      </c>
      <c r="D11" t="s">
        <v>37</v>
      </c>
      <c r="E11" t="s">
        <v>34</v>
      </c>
      <c r="F11" t="s">
        <v>39</v>
      </c>
      <c r="G11" t="s">
        <v>40</v>
      </c>
      <c r="H11" t="s">
        <v>41</v>
      </c>
    </row>
    <row r="12" spans="3:8" x14ac:dyDescent="0.35">
      <c r="C12">
        <v>0</v>
      </c>
      <c r="D12" s="1">
        <f>D3</f>
        <v>44607</v>
      </c>
      <c r="H12">
        <f>D4</f>
        <v>500000</v>
      </c>
    </row>
    <row r="13" spans="3:8" x14ac:dyDescent="0.35">
      <c r="C13">
        <v>1</v>
      </c>
      <c r="D13" s="1">
        <f>EDATE($D$12,C13)</f>
        <v>44635</v>
      </c>
      <c r="E13" s="3">
        <f>$D$8*-1</f>
        <v>23420.157649339664</v>
      </c>
      <c r="F13">
        <f>H12*$D$5/12</f>
        <v>4791.666666666667</v>
      </c>
      <c r="G13" s="3">
        <f>E13-F13</f>
        <v>18628.490982672996</v>
      </c>
      <c r="H13" s="3">
        <f>H12-G13</f>
        <v>481371.50901732699</v>
      </c>
    </row>
    <row r="14" spans="3:8" x14ac:dyDescent="0.35">
      <c r="C14">
        <v>2</v>
      </c>
      <c r="D14" s="1">
        <f t="shared" ref="D14:D36" si="0">EDATE($D$12,C14)</f>
        <v>44666</v>
      </c>
      <c r="E14" s="3">
        <f t="shared" ref="E14:E36" si="1">$D$8*-1</f>
        <v>23420.157649339664</v>
      </c>
      <c r="F14">
        <f t="shared" ref="F14:F36" si="2">H13*$D$5/12</f>
        <v>4613.1436280827174</v>
      </c>
      <c r="G14" s="3">
        <f t="shared" ref="G14:G36" si="3">E14-F14</f>
        <v>18807.014021256946</v>
      </c>
      <c r="H14" s="3">
        <f t="shared" ref="H14:H36" si="4">H13-G14</f>
        <v>462564.49499607005</v>
      </c>
    </row>
    <row r="15" spans="3:8" x14ac:dyDescent="0.35">
      <c r="C15">
        <v>3</v>
      </c>
      <c r="D15" s="1">
        <f t="shared" si="0"/>
        <v>44696</v>
      </c>
      <c r="E15" s="3">
        <f t="shared" si="1"/>
        <v>23420.157649339664</v>
      </c>
      <c r="F15">
        <f t="shared" si="2"/>
        <v>4432.9097437123382</v>
      </c>
      <c r="G15" s="3">
        <f t="shared" si="3"/>
        <v>18987.247905627326</v>
      </c>
      <c r="H15" s="3">
        <f t="shared" si="4"/>
        <v>443577.24709044275</v>
      </c>
    </row>
    <row r="16" spans="3:8" x14ac:dyDescent="0.35">
      <c r="C16">
        <v>4</v>
      </c>
      <c r="D16" s="1">
        <f t="shared" si="0"/>
        <v>44727</v>
      </c>
      <c r="E16" s="3">
        <f t="shared" si="1"/>
        <v>23420.157649339664</v>
      </c>
      <c r="F16">
        <f t="shared" si="2"/>
        <v>4250.9486179500764</v>
      </c>
      <c r="G16" s="3">
        <f t="shared" si="3"/>
        <v>19169.20903138959</v>
      </c>
      <c r="H16" s="3">
        <f t="shared" si="4"/>
        <v>424408.03805905313</v>
      </c>
    </row>
    <row r="17" spans="3:8" x14ac:dyDescent="0.35">
      <c r="C17">
        <v>5</v>
      </c>
      <c r="D17" s="1">
        <f t="shared" si="0"/>
        <v>44757</v>
      </c>
      <c r="E17" s="3">
        <f t="shared" si="1"/>
        <v>23420.157649339664</v>
      </c>
      <c r="F17">
        <f t="shared" si="2"/>
        <v>4067.2436980659259</v>
      </c>
      <c r="G17" s="3">
        <f t="shared" si="3"/>
        <v>19352.913951273738</v>
      </c>
      <c r="H17" s="3">
        <f t="shared" si="4"/>
        <v>405055.12410777941</v>
      </c>
    </row>
    <row r="18" spans="3:8" x14ac:dyDescent="0.35">
      <c r="C18">
        <v>6</v>
      </c>
      <c r="D18" s="1">
        <f t="shared" si="0"/>
        <v>44788</v>
      </c>
      <c r="E18" s="3">
        <f t="shared" si="1"/>
        <v>23420.157649339664</v>
      </c>
      <c r="F18">
        <f t="shared" si="2"/>
        <v>3881.7782726995524</v>
      </c>
      <c r="G18" s="3">
        <f t="shared" si="3"/>
        <v>19538.37937664011</v>
      </c>
      <c r="H18" s="3">
        <f t="shared" si="4"/>
        <v>385516.74473113928</v>
      </c>
    </row>
    <row r="19" spans="3:8" x14ac:dyDescent="0.35">
      <c r="C19">
        <v>7</v>
      </c>
      <c r="D19" s="1">
        <f t="shared" si="0"/>
        <v>44819</v>
      </c>
      <c r="E19" s="3">
        <f t="shared" si="1"/>
        <v>23420.157649339664</v>
      </c>
      <c r="F19">
        <f t="shared" si="2"/>
        <v>3694.5354703400849</v>
      </c>
      <c r="G19" s="3">
        <f t="shared" si="3"/>
        <v>19725.62217899958</v>
      </c>
      <c r="H19" s="3">
        <f t="shared" si="4"/>
        <v>365791.12255213968</v>
      </c>
    </row>
    <row r="20" spans="3:8" x14ac:dyDescent="0.35">
      <c r="C20">
        <v>8</v>
      </c>
      <c r="D20" s="1">
        <f t="shared" si="0"/>
        <v>44849</v>
      </c>
      <c r="E20" s="3">
        <f t="shared" si="1"/>
        <v>23420.157649339664</v>
      </c>
      <c r="F20">
        <f t="shared" si="2"/>
        <v>3505.4982577913383</v>
      </c>
      <c r="G20" s="3">
        <f t="shared" si="3"/>
        <v>19914.659391548324</v>
      </c>
      <c r="H20" s="3">
        <f t="shared" si="4"/>
        <v>345876.46316059137</v>
      </c>
    </row>
    <row r="21" spans="3:8" x14ac:dyDescent="0.35">
      <c r="C21">
        <v>9</v>
      </c>
      <c r="D21" s="1">
        <f t="shared" si="0"/>
        <v>44880</v>
      </c>
      <c r="E21" s="3">
        <f t="shared" si="1"/>
        <v>23420.157649339664</v>
      </c>
      <c r="F21">
        <f t="shared" si="2"/>
        <v>3314.6494386223344</v>
      </c>
      <c r="G21" s="3">
        <f t="shared" si="3"/>
        <v>20105.508210717329</v>
      </c>
      <c r="H21" s="3">
        <f t="shared" si="4"/>
        <v>325770.95494987402</v>
      </c>
    </row>
    <row r="22" spans="3:8" x14ac:dyDescent="0.35">
      <c r="C22">
        <v>10</v>
      </c>
      <c r="D22" s="1">
        <f t="shared" si="0"/>
        <v>44910</v>
      </c>
      <c r="E22" s="3">
        <f t="shared" si="1"/>
        <v>23420.157649339664</v>
      </c>
      <c r="F22">
        <f t="shared" si="2"/>
        <v>3121.9716516029598</v>
      </c>
      <c r="G22" s="3">
        <f t="shared" si="3"/>
        <v>20298.185997736706</v>
      </c>
      <c r="H22" s="3">
        <f t="shared" si="4"/>
        <v>305472.76895213732</v>
      </c>
    </row>
    <row r="23" spans="3:8" x14ac:dyDescent="0.35">
      <c r="C23">
        <v>11</v>
      </c>
      <c r="D23" s="1">
        <f t="shared" si="0"/>
        <v>44941</v>
      </c>
      <c r="E23" s="3">
        <f t="shared" si="1"/>
        <v>23420.157649339664</v>
      </c>
      <c r="F23">
        <f t="shared" si="2"/>
        <v>2927.4473691246494</v>
      </c>
      <c r="G23" s="3">
        <f t="shared" si="3"/>
        <v>20492.710280215015</v>
      </c>
      <c r="H23" s="3">
        <f t="shared" si="4"/>
        <v>284980.05867192231</v>
      </c>
    </row>
    <row r="24" spans="3:8" x14ac:dyDescent="0.35">
      <c r="C24">
        <v>12</v>
      </c>
      <c r="D24" s="1">
        <f t="shared" si="0"/>
        <v>44972</v>
      </c>
      <c r="E24" s="3">
        <f t="shared" si="1"/>
        <v>23420.157649339664</v>
      </c>
      <c r="F24">
        <f t="shared" si="2"/>
        <v>2731.0588956059223</v>
      </c>
      <c r="G24" s="3">
        <f t="shared" si="3"/>
        <v>20689.098753733742</v>
      </c>
      <c r="H24" s="3">
        <f t="shared" si="4"/>
        <v>264290.95991818857</v>
      </c>
    </row>
    <row r="25" spans="3:8" x14ac:dyDescent="0.35">
      <c r="C25">
        <v>13</v>
      </c>
      <c r="D25" s="1">
        <f t="shared" si="0"/>
        <v>45000</v>
      </c>
      <c r="E25" s="3">
        <f t="shared" si="1"/>
        <v>23420.157649339664</v>
      </c>
      <c r="F25">
        <f t="shared" si="2"/>
        <v>2532.7883658826408</v>
      </c>
      <c r="G25" s="3">
        <f t="shared" si="3"/>
        <v>20887.369283457025</v>
      </c>
      <c r="H25" s="3">
        <f t="shared" si="4"/>
        <v>243403.59063473155</v>
      </c>
    </row>
    <row r="26" spans="3:8" x14ac:dyDescent="0.35">
      <c r="C26">
        <v>14</v>
      </c>
      <c r="D26" s="1">
        <f t="shared" si="0"/>
        <v>45031</v>
      </c>
      <c r="E26" s="3">
        <f t="shared" si="1"/>
        <v>23420.157649339664</v>
      </c>
      <c r="F26">
        <f t="shared" si="2"/>
        <v>2332.617743582844</v>
      </c>
      <c r="G26" s="3">
        <f t="shared" si="3"/>
        <v>21087.539905756821</v>
      </c>
      <c r="H26" s="3">
        <f t="shared" si="4"/>
        <v>222316.05072897472</v>
      </c>
    </row>
    <row r="27" spans="3:8" x14ac:dyDescent="0.35">
      <c r="C27">
        <v>15</v>
      </c>
      <c r="D27" s="1">
        <f t="shared" si="0"/>
        <v>45061</v>
      </c>
      <c r="E27" s="3">
        <f t="shared" si="1"/>
        <v>23420.157649339664</v>
      </c>
      <c r="F27">
        <f t="shared" si="2"/>
        <v>2130.5288194860077</v>
      </c>
      <c r="G27" s="3">
        <f t="shared" si="3"/>
        <v>21289.628829853656</v>
      </c>
      <c r="H27" s="3">
        <f t="shared" si="4"/>
        <v>201026.42189912105</v>
      </c>
    </row>
    <row r="28" spans="3:8" x14ac:dyDescent="0.35">
      <c r="C28">
        <v>16</v>
      </c>
      <c r="D28" s="1">
        <f t="shared" si="0"/>
        <v>45092</v>
      </c>
      <c r="E28" s="3">
        <f t="shared" si="1"/>
        <v>23420.157649339664</v>
      </c>
      <c r="F28">
        <f t="shared" si="2"/>
        <v>1926.5032098665768</v>
      </c>
      <c r="G28" s="3">
        <f t="shared" si="3"/>
        <v>21493.654439473088</v>
      </c>
      <c r="H28" s="3">
        <f t="shared" si="4"/>
        <v>179532.76745964796</v>
      </c>
    </row>
    <row r="29" spans="3:8" x14ac:dyDescent="0.35">
      <c r="C29">
        <v>17</v>
      </c>
      <c r="D29" s="1">
        <f t="shared" si="0"/>
        <v>45122</v>
      </c>
      <c r="E29" s="3">
        <f t="shared" si="1"/>
        <v>23420.157649339664</v>
      </c>
      <c r="F29">
        <f t="shared" si="2"/>
        <v>1720.5223548216263</v>
      </c>
      <c r="G29" s="3">
        <f t="shared" si="3"/>
        <v>21699.635294518037</v>
      </c>
      <c r="H29" s="3">
        <f t="shared" si="4"/>
        <v>157833.13216512994</v>
      </c>
    </row>
    <row r="30" spans="3:8" x14ac:dyDescent="0.35">
      <c r="C30">
        <v>18</v>
      </c>
      <c r="D30" s="1">
        <f t="shared" si="0"/>
        <v>45153</v>
      </c>
      <c r="E30" s="3">
        <f t="shared" si="1"/>
        <v>23420.157649339664</v>
      </c>
      <c r="F30">
        <f t="shared" si="2"/>
        <v>1512.5675165824953</v>
      </c>
      <c r="G30" s="3">
        <f t="shared" si="3"/>
        <v>21907.59013275717</v>
      </c>
      <c r="H30" s="3">
        <f t="shared" si="4"/>
        <v>135925.54203237276</v>
      </c>
    </row>
    <row r="31" spans="3:8" x14ac:dyDescent="0.35">
      <c r="C31">
        <v>19</v>
      </c>
      <c r="D31" s="1">
        <f t="shared" si="0"/>
        <v>45184</v>
      </c>
      <c r="E31" s="3">
        <f t="shared" si="1"/>
        <v>23420.157649339664</v>
      </c>
      <c r="F31">
        <f t="shared" si="2"/>
        <v>1302.6197778102389</v>
      </c>
      <c r="G31" s="3">
        <f t="shared" si="3"/>
        <v>22117.537871529425</v>
      </c>
      <c r="H31" s="3">
        <f t="shared" si="4"/>
        <v>113808.00416084334</v>
      </c>
    </row>
    <row r="32" spans="3:8" x14ac:dyDescent="0.35">
      <c r="C32">
        <v>20</v>
      </c>
      <c r="D32" s="1">
        <f t="shared" si="0"/>
        <v>45214</v>
      </c>
      <c r="E32" s="3">
        <f t="shared" si="1"/>
        <v>23420.157649339664</v>
      </c>
      <c r="F32">
        <f t="shared" si="2"/>
        <v>1090.6600398747487</v>
      </c>
      <c r="G32" s="3">
        <f t="shared" si="3"/>
        <v>22329.497609464917</v>
      </c>
      <c r="H32" s="3">
        <f t="shared" si="4"/>
        <v>91478.506551378421</v>
      </c>
    </row>
    <row r="33" spans="3:8" x14ac:dyDescent="0.35">
      <c r="C33">
        <v>21</v>
      </c>
      <c r="D33" s="1">
        <f t="shared" si="0"/>
        <v>45245</v>
      </c>
      <c r="E33" s="3">
        <f t="shared" si="1"/>
        <v>23420.157649339664</v>
      </c>
      <c r="F33">
        <f t="shared" si="2"/>
        <v>876.66902111737647</v>
      </c>
      <c r="G33" s="3">
        <f t="shared" si="3"/>
        <v>22543.488628222287</v>
      </c>
      <c r="H33" s="3">
        <f t="shared" si="4"/>
        <v>68935.017923156134</v>
      </c>
    </row>
    <row r="34" spans="3:8" x14ac:dyDescent="0.35">
      <c r="C34">
        <v>22</v>
      </c>
      <c r="D34" s="1">
        <f t="shared" si="0"/>
        <v>45275</v>
      </c>
      <c r="E34" s="3">
        <f t="shared" si="1"/>
        <v>23420.157649339664</v>
      </c>
      <c r="F34">
        <f t="shared" si="2"/>
        <v>660.62725509691302</v>
      </c>
      <c r="G34" s="3">
        <f t="shared" si="3"/>
        <v>22759.530394242753</v>
      </c>
      <c r="H34" s="3">
        <f t="shared" si="4"/>
        <v>46175.487528913378</v>
      </c>
    </row>
    <row r="35" spans="3:8" x14ac:dyDescent="0.35">
      <c r="C35">
        <v>23</v>
      </c>
      <c r="D35" s="1">
        <f t="shared" si="0"/>
        <v>45306</v>
      </c>
      <c r="E35" s="3">
        <f t="shared" si="1"/>
        <v>23420.157649339664</v>
      </c>
      <c r="F35">
        <f t="shared" si="2"/>
        <v>442.51508881875321</v>
      </c>
      <c r="G35" s="3">
        <f t="shared" si="3"/>
        <v>22977.642560520912</v>
      </c>
      <c r="H35" s="3">
        <f t="shared" si="4"/>
        <v>23197.844968392466</v>
      </c>
    </row>
    <row r="36" spans="3:8" x14ac:dyDescent="0.35">
      <c r="C36">
        <v>24</v>
      </c>
      <c r="D36" s="1">
        <f t="shared" si="0"/>
        <v>45337</v>
      </c>
      <c r="E36" s="3">
        <f t="shared" si="1"/>
        <v>23420.157649339664</v>
      </c>
      <c r="F36">
        <f t="shared" si="2"/>
        <v>222.31268094709446</v>
      </c>
      <c r="G36" s="3">
        <f t="shared" si="3"/>
        <v>23197.844968392568</v>
      </c>
      <c r="H36" s="3">
        <f t="shared" si="4"/>
        <v>-1.0186340659856796E-10</v>
      </c>
    </row>
    <row r="37" spans="3:8" x14ac:dyDescent="0.35">
      <c r="F37">
        <f>SUM(F13:F36)</f>
        <v>62083.783584151883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684B-6433-45AA-A0C6-8C469CE63E9A}">
  <dimension ref="C2:H28"/>
  <sheetViews>
    <sheetView zoomScale="205" zoomScaleNormal="205" workbookViewId="0">
      <selection activeCell="E7" sqref="E7"/>
    </sheetView>
  </sheetViews>
  <sheetFormatPr defaultRowHeight="14.5" x14ac:dyDescent="0.35"/>
  <cols>
    <col min="3" max="3" width="15" bestFit="1" customWidth="1"/>
    <col min="4" max="4" width="10.08984375" bestFit="1" customWidth="1"/>
  </cols>
  <sheetData>
    <row r="2" spans="3:8" x14ac:dyDescent="0.35">
      <c r="C2" t="s">
        <v>44</v>
      </c>
      <c r="D2" s="1">
        <v>44612</v>
      </c>
    </row>
    <row r="3" spans="3:8" x14ac:dyDescent="0.35">
      <c r="C3" t="s">
        <v>45</v>
      </c>
      <c r="D3">
        <v>-100000</v>
      </c>
    </row>
    <row r="4" spans="3:8" x14ac:dyDescent="0.35">
      <c r="C4" t="s">
        <v>46</v>
      </c>
      <c r="D4">
        <v>10</v>
      </c>
      <c r="F4" t="s">
        <v>56</v>
      </c>
    </row>
    <row r="5" spans="3:8" x14ac:dyDescent="0.35">
      <c r="C5" t="s">
        <v>47</v>
      </c>
      <c r="D5">
        <v>15</v>
      </c>
      <c r="F5" t="s">
        <v>51</v>
      </c>
    </row>
    <row r="6" spans="3:8" x14ac:dyDescent="0.35">
      <c r="C6" t="s">
        <v>48</v>
      </c>
      <c r="D6" s="1">
        <f>EDATE(D2,D5*12)</f>
        <v>50091</v>
      </c>
      <c r="F6" t="s">
        <v>55</v>
      </c>
      <c r="G6">
        <v>150000</v>
      </c>
    </row>
    <row r="7" spans="3:8" x14ac:dyDescent="0.35">
      <c r="C7" t="s">
        <v>8</v>
      </c>
      <c r="D7">
        <v>1900000</v>
      </c>
      <c r="F7" t="s">
        <v>52</v>
      </c>
      <c r="G7" t="s">
        <v>53</v>
      </c>
      <c r="H7" t="s">
        <v>54</v>
      </c>
    </row>
    <row r="8" spans="3:8" x14ac:dyDescent="0.35">
      <c r="C8" t="s">
        <v>50</v>
      </c>
      <c r="D8" s="7">
        <f>E28</f>
        <v>6.1551452060619294E-2</v>
      </c>
    </row>
    <row r="10" spans="3:8" x14ac:dyDescent="0.35">
      <c r="C10" t="s">
        <v>12</v>
      </c>
    </row>
    <row r="11" spans="3:8" x14ac:dyDescent="0.35">
      <c r="C11" t="s">
        <v>15</v>
      </c>
      <c r="D11" t="s">
        <v>13</v>
      </c>
      <c r="E11" t="s">
        <v>49</v>
      </c>
    </row>
    <row r="12" spans="3:8" x14ac:dyDescent="0.35">
      <c r="C12">
        <v>0</v>
      </c>
      <c r="D12" s="1">
        <f>D2</f>
        <v>44612</v>
      </c>
      <c r="E12">
        <f>IF(C12&lt;$D$4,$D$3,0)</f>
        <v>-100000</v>
      </c>
    </row>
    <row r="13" spans="3:8" x14ac:dyDescent="0.35">
      <c r="C13">
        <v>1</v>
      </c>
      <c r="D13" s="1">
        <f>EDATE($D$12,C13*12)</f>
        <v>44977</v>
      </c>
      <c r="E13">
        <f t="shared" ref="E13:E26" si="0">IF(C13&lt;$D$4,$D$3,0)</f>
        <v>-100000</v>
      </c>
    </row>
    <row r="14" spans="3:8" x14ac:dyDescent="0.35">
      <c r="C14">
        <v>2</v>
      </c>
      <c r="D14" s="1">
        <f t="shared" ref="D14:D27" si="1">EDATE($D$12,C14*12)</f>
        <v>45342</v>
      </c>
      <c r="E14">
        <f t="shared" si="0"/>
        <v>-100000</v>
      </c>
    </row>
    <row r="15" spans="3:8" x14ac:dyDescent="0.35">
      <c r="C15">
        <v>3</v>
      </c>
      <c r="D15" s="1">
        <f t="shared" si="1"/>
        <v>45708</v>
      </c>
      <c r="E15">
        <f t="shared" si="0"/>
        <v>-100000</v>
      </c>
    </row>
    <row r="16" spans="3:8" x14ac:dyDescent="0.35">
      <c r="C16">
        <v>4</v>
      </c>
      <c r="D16" s="1">
        <f t="shared" si="1"/>
        <v>46073</v>
      </c>
      <c r="E16">
        <f t="shared" si="0"/>
        <v>-100000</v>
      </c>
    </row>
    <row r="17" spans="3:5" x14ac:dyDescent="0.35">
      <c r="C17">
        <v>5</v>
      </c>
      <c r="D17" s="1">
        <f t="shared" si="1"/>
        <v>46438</v>
      </c>
      <c r="E17">
        <f t="shared" si="0"/>
        <v>-100000</v>
      </c>
    </row>
    <row r="18" spans="3:5" x14ac:dyDescent="0.35">
      <c r="C18">
        <v>6</v>
      </c>
      <c r="D18" s="1">
        <f t="shared" si="1"/>
        <v>46803</v>
      </c>
      <c r="E18">
        <f t="shared" si="0"/>
        <v>-100000</v>
      </c>
    </row>
    <row r="19" spans="3:5" x14ac:dyDescent="0.35">
      <c r="C19">
        <v>7</v>
      </c>
      <c r="D19" s="1">
        <f t="shared" si="1"/>
        <v>47169</v>
      </c>
      <c r="E19">
        <f t="shared" si="0"/>
        <v>-100000</v>
      </c>
    </row>
    <row r="20" spans="3:5" x14ac:dyDescent="0.35">
      <c r="C20">
        <v>8</v>
      </c>
      <c r="D20" s="1">
        <f t="shared" si="1"/>
        <v>47534</v>
      </c>
      <c r="E20">
        <f t="shared" si="0"/>
        <v>-100000</v>
      </c>
    </row>
    <row r="21" spans="3:5" x14ac:dyDescent="0.35">
      <c r="C21">
        <v>9</v>
      </c>
      <c r="D21" s="1">
        <f t="shared" si="1"/>
        <v>47899</v>
      </c>
      <c r="E21">
        <f t="shared" si="0"/>
        <v>-100000</v>
      </c>
    </row>
    <row r="22" spans="3:5" x14ac:dyDescent="0.35">
      <c r="C22">
        <v>10</v>
      </c>
      <c r="D22" s="1">
        <f t="shared" si="1"/>
        <v>48264</v>
      </c>
      <c r="E22">
        <f t="shared" si="0"/>
        <v>0</v>
      </c>
    </row>
    <row r="23" spans="3:5" x14ac:dyDescent="0.35">
      <c r="C23">
        <v>11</v>
      </c>
      <c r="D23" s="1">
        <f t="shared" si="1"/>
        <v>48630</v>
      </c>
      <c r="E23">
        <f t="shared" si="0"/>
        <v>0</v>
      </c>
    </row>
    <row r="24" spans="3:5" x14ac:dyDescent="0.35">
      <c r="C24">
        <v>12</v>
      </c>
      <c r="D24" s="1">
        <f t="shared" si="1"/>
        <v>48995</v>
      </c>
      <c r="E24">
        <f t="shared" si="0"/>
        <v>0</v>
      </c>
    </row>
    <row r="25" spans="3:5" x14ac:dyDescent="0.35">
      <c r="C25">
        <v>13</v>
      </c>
      <c r="D25" s="1">
        <f t="shared" si="1"/>
        <v>49360</v>
      </c>
      <c r="E25">
        <f t="shared" si="0"/>
        <v>0</v>
      </c>
    </row>
    <row r="26" spans="3:5" x14ac:dyDescent="0.35">
      <c r="C26">
        <v>14</v>
      </c>
      <c r="D26" s="1">
        <f t="shared" si="1"/>
        <v>49725</v>
      </c>
      <c r="E26">
        <f t="shared" si="0"/>
        <v>0</v>
      </c>
    </row>
    <row r="27" spans="3:5" x14ac:dyDescent="0.35">
      <c r="C27">
        <v>15</v>
      </c>
      <c r="D27" s="1">
        <f t="shared" si="1"/>
        <v>50091</v>
      </c>
      <c r="E27">
        <f>D7</f>
        <v>1900000</v>
      </c>
    </row>
    <row r="28" spans="3:5" x14ac:dyDescent="0.35">
      <c r="E28" s="7">
        <f>IRR(E12:E27)</f>
        <v>6.1551452060619294E-2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F0DCE-1E92-41D1-9CC5-8D3D2526742C}">
  <dimension ref="F3:M25"/>
  <sheetViews>
    <sheetView topLeftCell="I1" zoomScale="175" zoomScaleNormal="175" workbookViewId="0">
      <selection activeCell="L9" sqref="L9"/>
    </sheetView>
  </sheetViews>
  <sheetFormatPr defaultRowHeight="14.5" x14ac:dyDescent="0.35"/>
  <cols>
    <col min="10" max="10" width="19.08984375" bestFit="1" customWidth="1"/>
    <col min="11" max="11" width="10.26953125" bestFit="1" customWidth="1"/>
  </cols>
  <sheetData>
    <row r="3" spans="6:13" x14ac:dyDescent="0.35">
      <c r="F3" t="s">
        <v>57</v>
      </c>
      <c r="J3" t="s">
        <v>0</v>
      </c>
      <c r="K3" s="1">
        <v>44608</v>
      </c>
    </row>
    <row r="4" spans="6:13" x14ac:dyDescent="0.35">
      <c r="F4" t="s">
        <v>58</v>
      </c>
      <c r="G4">
        <v>350</v>
      </c>
      <c r="J4" t="s">
        <v>61</v>
      </c>
      <c r="K4">
        <v>1000</v>
      </c>
      <c r="M4" t="s">
        <v>66</v>
      </c>
    </row>
    <row r="5" spans="6:13" x14ac:dyDescent="0.35">
      <c r="F5" t="s">
        <v>59</v>
      </c>
      <c r="G5">
        <v>11</v>
      </c>
      <c r="J5" t="s">
        <v>62</v>
      </c>
      <c r="K5">
        <v>-1215</v>
      </c>
      <c r="M5" t="s">
        <v>67</v>
      </c>
    </row>
    <row r="6" spans="6:13" x14ac:dyDescent="0.35">
      <c r="F6" t="s">
        <v>48</v>
      </c>
      <c r="G6">
        <v>1000</v>
      </c>
      <c r="J6" t="s">
        <v>63</v>
      </c>
      <c r="K6" s="11">
        <v>8.3000000000000004E-2</v>
      </c>
      <c r="M6" t="s">
        <v>68</v>
      </c>
    </row>
    <row r="7" spans="6:13" x14ac:dyDescent="0.35">
      <c r="G7" s="7">
        <f>RATE(G5,0,-G4,G6,0)</f>
        <v>0.10014102370418201</v>
      </c>
      <c r="H7" t="s">
        <v>60</v>
      </c>
      <c r="J7" t="s">
        <v>64</v>
      </c>
      <c r="K7">
        <v>1</v>
      </c>
    </row>
    <row r="8" spans="6:13" x14ac:dyDescent="0.35">
      <c r="J8" t="s">
        <v>5</v>
      </c>
      <c r="K8" s="8">
        <v>46412</v>
      </c>
    </row>
    <row r="9" spans="6:13" x14ac:dyDescent="0.35">
      <c r="J9" t="s">
        <v>65</v>
      </c>
      <c r="K9" s="8">
        <v>44835</v>
      </c>
    </row>
    <row r="10" spans="6:13" x14ac:dyDescent="0.35">
      <c r="J10" t="s">
        <v>70</v>
      </c>
      <c r="K10" s="8">
        <v>44470</v>
      </c>
    </row>
    <row r="11" spans="6:13" x14ac:dyDescent="0.35">
      <c r="J11" t="s">
        <v>69</v>
      </c>
      <c r="K11">
        <f>ACCRINT(K10,K10,K3,K6,K4,1,1)</f>
        <v>31.38082191780822</v>
      </c>
    </row>
    <row r="12" spans="6:13" x14ac:dyDescent="0.35">
      <c r="J12" t="s">
        <v>71</v>
      </c>
      <c r="K12">
        <f>K5+K11</f>
        <v>-1183.6191780821919</v>
      </c>
    </row>
    <row r="14" spans="6:13" x14ac:dyDescent="0.35">
      <c r="J14" t="s">
        <v>14</v>
      </c>
    </row>
    <row r="15" spans="6:13" x14ac:dyDescent="0.35">
      <c r="J15" t="s">
        <v>13</v>
      </c>
      <c r="K15" t="s">
        <v>12</v>
      </c>
    </row>
    <row r="16" spans="6:13" x14ac:dyDescent="0.35">
      <c r="J16" s="1">
        <f>K3</f>
        <v>44608</v>
      </c>
      <c r="K16">
        <f>K5</f>
        <v>-1215</v>
      </c>
    </row>
    <row r="17" spans="10:13" x14ac:dyDescent="0.35">
      <c r="J17" s="8">
        <f>K9</f>
        <v>44835</v>
      </c>
      <c r="K17">
        <f>$K$4*$K$6/$K$7</f>
        <v>83</v>
      </c>
    </row>
    <row r="18" spans="10:13" x14ac:dyDescent="0.35">
      <c r="J18" s="1">
        <f>EDATE(J17,12)</f>
        <v>45200</v>
      </c>
      <c r="K18">
        <f t="shared" ref="K18:K21" si="0">$K$4*$K$6/$K$7</f>
        <v>83</v>
      </c>
      <c r="M18">
        <f>SUM(K17:K23)</f>
        <v>1441.3780821917808</v>
      </c>
    </row>
    <row r="19" spans="10:13" x14ac:dyDescent="0.35">
      <c r="J19" s="1">
        <f t="shared" ref="J19:J21" si="1">EDATE(J18,12)</f>
        <v>45566</v>
      </c>
      <c r="K19">
        <f t="shared" si="0"/>
        <v>83</v>
      </c>
      <c r="M19">
        <f>M18+K16</f>
        <v>226.37808219178078</v>
      </c>
    </row>
    <row r="20" spans="10:13" x14ac:dyDescent="0.35">
      <c r="J20" s="1">
        <f t="shared" si="1"/>
        <v>45931</v>
      </c>
      <c r="K20">
        <f t="shared" si="0"/>
        <v>83</v>
      </c>
    </row>
    <row r="21" spans="10:13" x14ac:dyDescent="0.35">
      <c r="J21" s="1">
        <f t="shared" si="1"/>
        <v>46296</v>
      </c>
      <c r="K21">
        <f t="shared" si="0"/>
        <v>83</v>
      </c>
    </row>
    <row r="22" spans="10:13" x14ac:dyDescent="0.35">
      <c r="J22" s="1">
        <f>K8</f>
        <v>46412</v>
      </c>
      <c r="K22">
        <f>K4</f>
        <v>1000</v>
      </c>
      <c r="M22">
        <f>M19/K16</f>
        <v>-0.18631940921134221</v>
      </c>
    </row>
    <row r="23" spans="10:13" x14ac:dyDescent="0.35">
      <c r="J23" s="1">
        <v>46412</v>
      </c>
      <c r="K23">
        <f>ACCRINT(J21,J21,J23,K6,K4,1,1)</f>
        <v>26.378082191780823</v>
      </c>
    </row>
    <row r="25" spans="10:13" x14ac:dyDescent="0.35">
      <c r="J25" t="s">
        <v>72</v>
      </c>
      <c r="K25" s="9">
        <f>XIRR(K16:K23,J16:J23)</f>
        <v>4.1120079159736644E-2</v>
      </c>
      <c r="L25" s="10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ECB5A-41FB-451A-ACB5-AE8AA1EA58AD}">
  <dimension ref="D3:K27"/>
  <sheetViews>
    <sheetView zoomScale="160" zoomScaleNormal="160" workbookViewId="0">
      <selection activeCell="D3" sqref="D3"/>
    </sheetView>
  </sheetViews>
  <sheetFormatPr defaultRowHeight="14.5" x14ac:dyDescent="0.35"/>
  <cols>
    <col min="4" max="4" width="17" customWidth="1"/>
    <col min="5" max="5" width="12.6328125" bestFit="1" customWidth="1"/>
    <col min="7" max="7" width="23.36328125" bestFit="1" customWidth="1"/>
    <col min="8" max="8" width="12.6328125" bestFit="1" customWidth="1"/>
    <col min="10" max="10" width="15" bestFit="1" customWidth="1"/>
    <col min="11" max="11" width="12" bestFit="1" customWidth="1"/>
  </cols>
  <sheetData>
    <row r="3" spans="4:11" x14ac:dyDescent="0.35">
      <c r="D3" s="10" t="s">
        <v>73</v>
      </c>
    </row>
    <row r="5" spans="4:11" x14ac:dyDescent="0.35">
      <c r="D5" t="s">
        <v>74</v>
      </c>
    </row>
    <row r="7" spans="4:11" x14ac:dyDescent="0.35">
      <c r="D7" t="s">
        <v>0</v>
      </c>
      <c r="E7" s="1">
        <v>44608</v>
      </c>
      <c r="G7" t="s">
        <v>0</v>
      </c>
      <c r="H7" s="1">
        <v>44608</v>
      </c>
      <c r="J7" t="s">
        <v>0</v>
      </c>
      <c r="K7" s="1">
        <v>44608</v>
      </c>
    </row>
    <row r="8" spans="4:11" x14ac:dyDescent="0.35">
      <c r="D8" t="s">
        <v>75</v>
      </c>
      <c r="E8">
        <v>5</v>
      </c>
      <c r="G8" t="s">
        <v>75</v>
      </c>
      <c r="H8">
        <v>5</v>
      </c>
      <c r="J8" t="s">
        <v>75</v>
      </c>
      <c r="K8">
        <f>ROUND(NPER(K12/12,K13,0,K14,0),0)</f>
        <v>66</v>
      </c>
    </row>
    <row r="9" spans="4:11" x14ac:dyDescent="0.35">
      <c r="D9" t="s">
        <v>48</v>
      </c>
      <c r="E9" s="1">
        <f>EDATE(E7,E8*12)</f>
        <v>46434</v>
      </c>
      <c r="G9" t="s">
        <v>48</v>
      </c>
      <c r="H9" s="1">
        <f>EDATE(H7,H8*12)</f>
        <v>46434</v>
      </c>
      <c r="J9" t="s">
        <v>48</v>
      </c>
      <c r="K9" s="1">
        <f>EDATE(K7,K8)</f>
        <v>46615</v>
      </c>
    </row>
    <row r="10" spans="4:11" x14ac:dyDescent="0.35">
      <c r="D10" t="s">
        <v>76</v>
      </c>
      <c r="E10" t="s">
        <v>77</v>
      </c>
      <c r="G10" t="s">
        <v>76</v>
      </c>
      <c r="H10" t="s">
        <v>77</v>
      </c>
      <c r="I10">
        <f>H8*12*H13</f>
        <v>60000</v>
      </c>
      <c r="J10" t="s">
        <v>76</v>
      </c>
      <c r="K10" t="s">
        <v>77</v>
      </c>
    </row>
    <row r="11" spans="4:11" x14ac:dyDescent="0.35">
      <c r="D11" t="s">
        <v>78</v>
      </c>
      <c r="E11" t="s">
        <v>79</v>
      </c>
      <c r="G11" t="s">
        <v>78</v>
      </c>
      <c r="H11" t="s">
        <v>79</v>
      </c>
      <c r="J11" t="s">
        <v>78</v>
      </c>
      <c r="K11" t="s">
        <v>79</v>
      </c>
    </row>
    <row r="12" spans="4:11" x14ac:dyDescent="0.35">
      <c r="D12" t="s">
        <v>80</v>
      </c>
      <c r="E12" s="7">
        <v>0.1467</v>
      </c>
      <c r="G12" t="s">
        <v>80</v>
      </c>
      <c r="H12" s="7">
        <v>0.1467</v>
      </c>
      <c r="J12" t="s">
        <v>80</v>
      </c>
      <c r="K12" s="7">
        <v>0.1467</v>
      </c>
    </row>
    <row r="13" spans="4:11" x14ac:dyDescent="0.35">
      <c r="D13" t="s">
        <v>8</v>
      </c>
      <c r="E13">
        <v>700000</v>
      </c>
      <c r="G13" t="s">
        <v>73</v>
      </c>
      <c r="H13">
        <v>1000</v>
      </c>
      <c r="J13" t="s">
        <v>73</v>
      </c>
      <c r="K13">
        <v>-1000</v>
      </c>
    </row>
    <row r="14" spans="4:11" x14ac:dyDescent="0.35">
      <c r="D14" s="10" t="s">
        <v>73</v>
      </c>
      <c r="E14" s="4">
        <f>PMT(E12/12,E8*12,0,E13,0)</f>
        <v>-7974.442317136848</v>
      </c>
      <c r="F14">
        <v>8000</v>
      </c>
      <c r="G14" t="s">
        <v>8</v>
      </c>
      <c r="H14" s="3">
        <f>FV(H12/12,H8*12,H13,0,0)</f>
        <v>-87780.433058712515</v>
      </c>
      <c r="J14" t="s">
        <v>8</v>
      </c>
      <c r="K14" s="3">
        <v>100000</v>
      </c>
    </row>
    <row r="17" spans="4:9" x14ac:dyDescent="0.35">
      <c r="D17" s="10" t="s">
        <v>81</v>
      </c>
      <c r="G17" s="10" t="s">
        <v>83</v>
      </c>
    </row>
    <row r="19" spans="4:9" x14ac:dyDescent="0.35">
      <c r="D19" t="s">
        <v>0</v>
      </c>
      <c r="E19" s="1">
        <v>44608</v>
      </c>
      <c r="G19" t="s">
        <v>0</v>
      </c>
      <c r="H19" s="1">
        <v>44608</v>
      </c>
    </row>
    <row r="20" spans="4:9" x14ac:dyDescent="0.35">
      <c r="D20" t="s">
        <v>75</v>
      </c>
      <c r="E20">
        <v>3</v>
      </c>
      <c r="G20" t="s">
        <v>82</v>
      </c>
      <c r="H20">
        <v>5000000</v>
      </c>
    </row>
    <row r="21" spans="4:9" x14ac:dyDescent="0.35">
      <c r="D21" t="s">
        <v>48</v>
      </c>
      <c r="E21" s="1">
        <f>EDATE(E19,E20*12)</f>
        <v>45704</v>
      </c>
      <c r="G21" t="s">
        <v>76</v>
      </c>
      <c r="H21" t="s">
        <v>77</v>
      </c>
    </row>
    <row r="22" spans="4:9" x14ac:dyDescent="0.35">
      <c r="D22" t="s">
        <v>76</v>
      </c>
      <c r="E22" t="s">
        <v>77</v>
      </c>
      <c r="G22" t="s">
        <v>78</v>
      </c>
      <c r="H22" t="s">
        <v>79</v>
      </c>
    </row>
    <row r="23" spans="4:9" x14ac:dyDescent="0.35">
      <c r="D23" t="s">
        <v>78</v>
      </c>
      <c r="E23" t="s">
        <v>79</v>
      </c>
      <c r="G23" t="s">
        <v>80</v>
      </c>
      <c r="H23" s="7">
        <v>0.1467</v>
      </c>
    </row>
    <row r="24" spans="4:9" x14ac:dyDescent="0.35">
      <c r="D24" t="s">
        <v>80</v>
      </c>
      <c r="E24" s="7">
        <v>0.1467</v>
      </c>
      <c r="G24" t="s">
        <v>83</v>
      </c>
      <c r="H24">
        <v>10000</v>
      </c>
    </row>
    <row r="25" spans="4:9" x14ac:dyDescent="0.35">
      <c r="D25" t="s">
        <v>82</v>
      </c>
      <c r="E25">
        <v>-120000</v>
      </c>
      <c r="G25" t="s">
        <v>84</v>
      </c>
      <c r="H25">
        <f>NPER(H23/12,H24,H20,0,0)</f>
        <v>-161.45777878509188</v>
      </c>
      <c r="I25" t="s">
        <v>36</v>
      </c>
    </row>
    <row r="26" spans="4:9" x14ac:dyDescent="0.35">
      <c r="D26" t="s">
        <v>8</v>
      </c>
      <c r="E26" s="3">
        <f>FV(E24,E20,0,E25,0)</f>
        <v>180938.37414756004</v>
      </c>
      <c r="H26">
        <f>H25/12</f>
        <v>-13.454814898757656</v>
      </c>
      <c r="I26" t="s">
        <v>85</v>
      </c>
    </row>
    <row r="27" spans="4:9" x14ac:dyDescent="0.35">
      <c r="H2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FD analysis</vt:lpstr>
      <vt:lpstr>loan schedule</vt:lpstr>
      <vt:lpstr>insurance cal</vt:lpstr>
      <vt:lpstr>bond</vt:lpstr>
      <vt:lpstr>Mutual fund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revei</dc:creator>
  <cp:lastModifiedBy>revei</cp:lastModifiedBy>
  <dcterms:created xsi:type="dcterms:W3CDTF">2022-02-15T06:19:11Z</dcterms:created>
  <dcterms:modified xsi:type="dcterms:W3CDTF">2022-02-16T13:53:56Z</dcterms:modified>
</cp:coreProperties>
</file>