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0730" windowHeight="11760"/>
  </bookViews>
  <sheets>
    <sheet name="Dashboard" sheetId="1" r:id="rId1"/>
    <sheet name="Projects Summary" sheetId="5" r:id="rId2"/>
    <sheet name="Data Sheet" sheetId="4" r:id="rId3"/>
  </sheets>
  <definedNames>
    <definedName name="rng_All_Projects">'Projects Summary'!$B$4:$B$14</definedName>
    <definedName name="rng_Project">Dashboard!$J$1</definedName>
    <definedName name="rng_Tasks">Table1[Project]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a="1"/>
  <c r="I5" s="1"/>
  <c r="Q5" s="1"/>
  <c r="I6" a="1"/>
  <c r="I6" s="1"/>
  <c r="I7" a="1"/>
  <c r="I7" s="1"/>
  <c r="Q7" s="1"/>
  <c r="I8" a="1"/>
  <c r="I8" s="1"/>
  <c r="Q8" s="1"/>
  <c r="I9" a="1"/>
  <c r="I9" s="1"/>
  <c r="Q9" s="1"/>
  <c r="I10" a="1"/>
  <c r="I10" s="1"/>
  <c r="Q10" s="1"/>
  <c r="I11" a="1"/>
  <c r="I11" s="1"/>
  <c r="Q11" s="1"/>
  <c r="I12" a="1"/>
  <c r="I12" s="1"/>
  <c r="Q12" s="1"/>
  <c r="I13" a="1"/>
  <c r="I13" s="1"/>
  <c r="Q13" s="1"/>
  <c r="I14" a="1"/>
  <c r="I14" s="1"/>
  <c r="Q14" s="1"/>
  <c r="I15" a="1"/>
  <c r="I15" s="1"/>
  <c r="Q15" s="1"/>
  <c r="I16" a="1"/>
  <c r="I16" s="1"/>
  <c r="Q16" s="1"/>
  <c r="I17" a="1"/>
  <c r="I17" s="1"/>
  <c r="Q17" s="1"/>
  <c r="I18" a="1"/>
  <c r="I18" s="1"/>
  <c r="Q18" s="1"/>
  <c r="I19" a="1"/>
  <c r="I19" s="1"/>
  <c r="Q19" s="1"/>
  <c r="I20" a="1"/>
  <c r="I20" s="1"/>
  <c r="Q20" s="1"/>
  <c r="I21" a="1"/>
  <c r="I21" s="1"/>
  <c r="Q21" s="1"/>
  <c r="I22" a="1"/>
  <c r="I22" s="1"/>
  <c r="Q22" s="1"/>
  <c r="I23" a="1"/>
  <c r="I23" s="1"/>
  <c r="Q23" s="1"/>
  <c r="I24" a="1"/>
  <c r="I24" s="1"/>
  <c r="Q24" s="1"/>
  <c r="I25" a="1"/>
  <c r="I25" s="1"/>
  <c r="Q25" s="1"/>
  <c r="I26" a="1"/>
  <c r="I26" s="1"/>
  <c r="Q26" s="1"/>
  <c r="I27" a="1"/>
  <c r="I27" s="1"/>
  <c r="Q27" s="1"/>
  <c r="I28" a="1"/>
  <c r="I28" s="1"/>
  <c r="Q28" s="1"/>
  <c r="I4" a="1"/>
  <c r="I4" s="1"/>
  <c r="C4" i="5"/>
  <c r="D4"/>
  <c r="E4"/>
  <c r="F4"/>
  <c r="G4"/>
  <c r="H4" s="1"/>
  <c r="Q4" i="1" l="1"/>
  <c r="L4"/>
  <c r="Q6"/>
  <c r="N6"/>
  <c r="G6" i="5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5"/>
  <c r="H5" s="1"/>
  <c r="F6"/>
  <c r="F7"/>
  <c r="F8"/>
  <c r="F9"/>
  <c r="F10"/>
  <c r="F11"/>
  <c r="F12"/>
  <c r="F13"/>
  <c r="F14"/>
  <c r="F5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5" a="1"/>
  <c r="E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5" a="1"/>
  <c r="D5" s="1"/>
  <c r="C5"/>
  <c r="C6"/>
  <c r="C7"/>
  <c r="C8"/>
  <c r="C9"/>
  <c r="C10"/>
  <c r="C11"/>
  <c r="C12"/>
  <c r="C13"/>
  <c r="C14"/>
  <c r="F15" i="1" l="1"/>
  <c r="F11"/>
  <c r="F10"/>
  <c r="R2" s="1"/>
  <c r="F12"/>
  <c r="K1"/>
  <c r="F24" l="1"/>
  <c r="F23"/>
  <c r="F21"/>
  <c r="F22"/>
  <c r="F20"/>
  <c r="F25"/>
  <c r="F19"/>
  <c r="F18"/>
  <c r="I3" s="1"/>
  <c r="F13" l="1"/>
  <c r="F14"/>
  <c r="N4" l="1"/>
  <c r="M4" l="1"/>
  <c r="K4"/>
  <c r="O4"/>
  <c r="P4" s="1"/>
  <c r="L5" l="1"/>
  <c r="J5"/>
  <c r="K5"/>
  <c r="N5"/>
  <c r="O5"/>
  <c r="J6"/>
  <c r="J7" l="1"/>
  <c r="K6"/>
  <c r="O6"/>
  <c r="L6"/>
  <c r="P5"/>
  <c r="M5"/>
  <c r="P6" l="1"/>
  <c r="J8"/>
  <c r="O7"/>
  <c r="K7"/>
  <c r="N7"/>
  <c r="L7"/>
  <c r="M6"/>
  <c r="M7" l="1"/>
  <c r="J9"/>
  <c r="O8"/>
  <c r="N8"/>
  <c r="K8"/>
  <c r="L8"/>
  <c r="P7"/>
  <c r="M8" l="1"/>
  <c r="J10"/>
  <c r="O9"/>
  <c r="K9"/>
  <c r="N9"/>
  <c r="L9"/>
  <c r="P8"/>
  <c r="P9" l="1"/>
  <c r="J11"/>
  <c r="K10"/>
  <c r="N10"/>
  <c r="O10"/>
  <c r="L10"/>
  <c r="M9"/>
  <c r="M10" l="1"/>
  <c r="P10"/>
  <c r="J12"/>
  <c r="N11"/>
  <c r="K11"/>
  <c r="O11"/>
  <c r="L11"/>
  <c r="M11" l="1"/>
  <c r="P11"/>
  <c r="J13"/>
  <c r="O12"/>
  <c r="N12"/>
  <c r="K12"/>
  <c r="L12"/>
  <c r="M12" l="1"/>
  <c r="P12"/>
  <c r="J14"/>
  <c r="N13"/>
  <c r="O13"/>
  <c r="K13"/>
  <c r="L13"/>
  <c r="P13" l="1"/>
  <c r="J15"/>
  <c r="N14"/>
  <c r="K14"/>
  <c r="O14"/>
  <c r="L14"/>
  <c r="M13"/>
  <c r="P14" l="1"/>
  <c r="J16"/>
  <c r="O15"/>
  <c r="N15"/>
  <c r="K15"/>
  <c r="L15"/>
  <c r="M14"/>
  <c r="P15" l="1"/>
  <c r="J17"/>
  <c r="O16"/>
  <c r="N16"/>
  <c r="K16"/>
  <c r="L16"/>
  <c r="M15"/>
  <c r="P16" l="1"/>
  <c r="J18"/>
  <c r="K17"/>
  <c r="O17"/>
  <c r="N17"/>
  <c r="L17"/>
  <c r="M16"/>
  <c r="P17" l="1"/>
  <c r="M17"/>
  <c r="J19"/>
  <c r="K18"/>
  <c r="O18"/>
  <c r="N18"/>
  <c r="L18"/>
  <c r="P18" l="1"/>
  <c r="M18"/>
  <c r="J20"/>
  <c r="N19"/>
  <c r="K19"/>
  <c r="O19"/>
  <c r="L19"/>
  <c r="P19" l="1"/>
  <c r="J21"/>
  <c r="O20"/>
  <c r="N20"/>
  <c r="K20"/>
  <c r="L20"/>
  <c r="M19"/>
  <c r="P20" l="1"/>
  <c r="J22"/>
  <c r="O21"/>
  <c r="K21"/>
  <c r="N21"/>
  <c r="L21"/>
  <c r="M20"/>
  <c r="P21" l="1"/>
  <c r="J23"/>
  <c r="O22"/>
  <c r="K22"/>
  <c r="N22"/>
  <c r="L22"/>
  <c r="M21"/>
  <c r="P22" l="1"/>
  <c r="M22"/>
  <c r="J24"/>
  <c r="N23"/>
  <c r="K23"/>
  <c r="O23"/>
  <c r="L23"/>
  <c r="P23" l="1"/>
  <c r="M23"/>
  <c r="N24"/>
  <c r="K24"/>
  <c r="O24"/>
  <c r="L24"/>
  <c r="P24" l="1"/>
  <c r="J26"/>
  <c r="J25"/>
  <c r="K25"/>
  <c r="O25"/>
  <c r="N25"/>
  <c r="L25"/>
  <c r="M24"/>
  <c r="S2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P25" l="1"/>
  <c r="O26"/>
  <c r="K26"/>
  <c r="J27"/>
  <c r="N26"/>
  <c r="L26"/>
  <c r="M25"/>
  <c r="P26" l="1"/>
  <c r="O27"/>
  <c r="N27"/>
  <c r="M26"/>
  <c r="J28"/>
  <c r="L27"/>
  <c r="K27"/>
  <c r="P27" l="1"/>
  <c r="M27"/>
  <c r="O28"/>
  <c r="N28"/>
  <c r="L28"/>
  <c r="K28"/>
  <c r="J4"/>
  <c r="P28" l="1"/>
  <c r="M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<sst xmlns="http://schemas.openxmlformats.org/spreadsheetml/2006/main" count="292" uniqueCount="130">
  <si>
    <t>Start Date</t>
  </si>
  <si>
    <t>Task ID</t>
  </si>
  <si>
    <t>Task</t>
  </si>
  <si>
    <t>Days Req.</t>
  </si>
  <si>
    <t>End Date</t>
  </si>
  <si>
    <t>Status</t>
  </si>
  <si>
    <t>Days Comp.</t>
  </si>
  <si>
    <t>Overall Progress</t>
  </si>
  <si>
    <t>Person 1</t>
  </si>
  <si>
    <t>Progress</t>
  </si>
  <si>
    <t>Person 2</t>
  </si>
  <si>
    <t>Person 3</t>
  </si>
  <si>
    <t>Person 4</t>
  </si>
  <si>
    <t>Person 5</t>
  </si>
  <si>
    <t>Gantt. Scroll</t>
  </si>
  <si>
    <t>Total Tasks</t>
  </si>
  <si>
    <t>1-25%</t>
  </si>
  <si>
    <t>26-50%</t>
  </si>
  <si>
    <t>51-75%</t>
  </si>
  <si>
    <t>76-99%</t>
  </si>
  <si>
    <t>Completed(100%)</t>
  </si>
  <si>
    <t>Inprogress(1-99%)</t>
  </si>
  <si>
    <t>Not Started(0%)</t>
  </si>
  <si>
    <t>Project</t>
  </si>
  <si>
    <t>All Projects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</si>
  <si>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</si>
  <si>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</si>
  <si>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</si>
  <si>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</si>
  <si>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</si>
  <si>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</si>
  <si>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</si>
  <si>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</si>
  <si>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</si>
  <si>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</si>
  <si>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Start</t>
  </si>
  <si>
    <t>End</t>
  </si>
  <si>
    <t>Days</t>
  </si>
  <si>
    <t>Projects</t>
  </si>
  <si>
    <t>Tasks</t>
  </si>
  <si>
    <t>%Progress</t>
  </si>
  <si>
    <t>Responsible</t>
  </si>
  <si>
    <t>Remaining</t>
  </si>
  <si>
    <t>Days Required</t>
  </si>
  <si>
    <t>Dashboard</t>
  </si>
  <si>
    <t>Project Management</t>
  </si>
  <si>
    <t>Project 1 - Task 1</t>
  </si>
  <si>
    <t>Project 3 - Task 1</t>
  </si>
  <si>
    <t>Project 1 - Task 2</t>
  </si>
  <si>
    <t>Project 1 - Task 3</t>
  </si>
  <si>
    <t>Project 1 - Task 4</t>
  </si>
  <si>
    <t>Project 1 - Task 5</t>
  </si>
  <si>
    <t>Project 1 - Task 6</t>
  </si>
  <si>
    <t>Project 1 - Task 7</t>
  </si>
  <si>
    <t>Project 1 - Task 8</t>
  </si>
  <si>
    <t>Project 1 - Task 9</t>
  </si>
  <si>
    <t>Project 2 - Task 1</t>
  </si>
  <si>
    <t>Project 2 - Task 2</t>
  </si>
  <si>
    <t>Project 2 - Task 3</t>
  </si>
  <si>
    <t>Project 2 - Task 4</t>
  </si>
  <si>
    <t>Project 2 - Task 5</t>
  </si>
  <si>
    <t>Project 2 - Task 6</t>
  </si>
  <si>
    <t>Project 2 - Task 7</t>
  </si>
  <si>
    <t>Project 2 - Task 8</t>
  </si>
  <si>
    <t>Project 2 - Task 9</t>
  </si>
  <si>
    <t>Project 2 - Task 10</t>
  </si>
  <si>
    <t>Project 3 - Task 2</t>
  </si>
  <si>
    <t>Project 3 - Task 3</t>
  </si>
  <si>
    <t>Project 3 - Task 4</t>
  </si>
  <si>
    <t>Project 3 - Task 5</t>
  </si>
  <si>
    <t>Project 3 - Task 6</t>
  </si>
  <si>
    <t>Project 4 - Task 1</t>
  </si>
  <si>
    <t>Project 4 - Task 2</t>
  </si>
  <si>
    <t>Project 4 - Task 3</t>
  </si>
  <si>
    <t>Project 4 - Task 4</t>
  </si>
  <si>
    <t>Project 4 - Task 5</t>
  </si>
  <si>
    <t>Project 4 - Task 6</t>
  </si>
  <si>
    <t>Project 4 - Task 7</t>
  </si>
  <si>
    <t>Project 5 - Task 1</t>
  </si>
  <si>
    <t>Project 5 - Task 2</t>
  </si>
  <si>
    <t>Project 5 - Task 3</t>
  </si>
  <si>
    <t>Project 5 - Task 4</t>
  </si>
  <si>
    <t>Project 5 - Task 5</t>
  </si>
  <si>
    <t>Project 5 - Task 6</t>
  </si>
  <si>
    <t>Project 5 - Task 7</t>
  </si>
  <si>
    <t>Project 5 - Task 8</t>
  </si>
  <si>
    <t>Project 6 - Task 1</t>
  </si>
  <si>
    <t>Project 6 - Task 2</t>
  </si>
  <si>
    <t>Project 6 - Task 3</t>
  </si>
  <si>
    <t>Project 6 - Task 4</t>
  </si>
  <si>
    <t>Project 6 - Task 5</t>
  </si>
  <si>
    <t>Project 6 - Task 6</t>
  </si>
  <si>
    <t>Project 6 - Task 7</t>
  </si>
  <si>
    <t>Project 6 - Task 8</t>
  </si>
  <si>
    <t>Project 7 - Task 1</t>
  </si>
  <si>
    <t>Project 7 - Task 2</t>
  </si>
  <si>
    <t>Project 7 - Task 3</t>
  </si>
  <si>
    <t>Project 7 - Task 4</t>
  </si>
  <si>
    <t>Project 7 - Task 5</t>
  </si>
  <si>
    <t>Project 7 - Task 6</t>
  </si>
  <si>
    <t>Project 7 - Task 7</t>
  </si>
  <si>
    <t>Project 7 - Task 8</t>
  </si>
  <si>
    <t>Project 7 - Task 9</t>
  </si>
  <si>
    <t>Project 8 - Task 1</t>
  </si>
  <si>
    <t>Project 8 - Task 2</t>
  </si>
  <si>
    <t>Project 8 - Task 3</t>
  </si>
  <si>
    <t>Project 8 - Task 4</t>
  </si>
  <si>
    <t>Project 8 - Task 5</t>
  </si>
  <si>
    <t>Project 8 - Task 6</t>
  </si>
  <si>
    <t>Project 8 - Task 7</t>
  </si>
  <si>
    <t>Project 8 - Task 8</t>
  </si>
  <si>
    <t>Project 8 - Task 9</t>
  </si>
  <si>
    <t>Project 8 - Task 10</t>
  </si>
  <si>
    <t>Project 8 - Task 11</t>
  </si>
  <si>
    <t>Project 9 - Task 1</t>
  </si>
  <si>
    <t>Project 9 - Task 2</t>
  </si>
  <si>
    <t>Project 9 - Task 3</t>
  </si>
  <si>
    <t>Project 9 - Task 4</t>
  </si>
  <si>
    <t>Project 10 - Task 1</t>
  </si>
  <si>
    <t>Project 10 - Task 2</t>
  </si>
  <si>
    <t>Project 10 - Task 3</t>
  </si>
  <si>
    <t>Project 10 - Task 4</t>
  </si>
  <si>
    <t>Project 10 - Task 5</t>
  </si>
  <si>
    <t>Project 10 - Task 6</t>
  </si>
  <si>
    <t>Project 10 - Task 7</t>
  </si>
  <si>
    <t>Project 10 - Task 8</t>
  </si>
  <si>
    <t>Overall
Progress</t>
  </si>
  <si>
    <t>Top Tasks</t>
  </si>
  <si>
    <r>
      <t xml:space="preserve">Please let us know your feedback | Email: </t>
    </r>
    <r>
      <rPr>
        <sz val="11"/>
        <color theme="8" tint="-0.249977111117893"/>
        <rFont val="Calibri"/>
        <family val="2"/>
        <scheme val="minor"/>
      </rPr>
      <t>rajeswaranm2003@gmail.com</t>
    </r>
  </si>
  <si>
    <t xml:space="preserve">Please Select a Project to View Related Tasks </t>
  </si>
</sst>
</file>

<file path=xl/styles.xml><?xml version="1.0" encoding="utf-8"?>
<styleSheet xmlns="http://schemas.openxmlformats.org/spreadsheetml/2006/main">
  <numFmts count="4">
    <numFmt numFmtId="164" formatCode="m/d;@"/>
    <numFmt numFmtId="165" formatCode="[$-409]d\-mmm\-yyyy;@"/>
    <numFmt numFmtId="166" formatCode="[$-409]d\-mmm;@"/>
    <numFmt numFmtId="167" formatCode="[$-409]dd\-mmm\-yy;@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1" tint="0.749992370372631"/>
      <name val="Calibri"/>
      <family val="2"/>
      <scheme val="minor"/>
    </font>
    <font>
      <sz val="11"/>
      <color theme="3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3" tint="0.249977111117893"/>
      <name val="Calibri"/>
      <family val="2"/>
      <scheme val="minor"/>
    </font>
    <font>
      <i/>
      <sz val="11"/>
      <color theme="3" tint="0.249977111117893"/>
      <name val="Calibri"/>
      <family val="2"/>
      <scheme val="minor"/>
    </font>
    <font>
      <sz val="10"/>
      <color theme="2"/>
      <name val="Calibri"/>
      <family val="2"/>
      <scheme val="minor"/>
    </font>
    <font>
      <sz val="18"/>
      <color theme="2"/>
      <name val="Webdings"/>
      <family val="1"/>
      <charset val="2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A0C8"/>
      <name val="Calibri"/>
      <family val="1"/>
      <charset val="2"/>
      <scheme val="minor"/>
    </font>
    <font>
      <b/>
      <sz val="18"/>
      <color theme="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2" tint="-4.9989318521683403E-2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22"/>
      <color theme="0"/>
      <name val="Bahnschrift"/>
      <family val="2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2" tint="-9.9887081514938816E-2"/>
      </right>
      <top/>
      <bottom/>
      <diagonal/>
    </border>
    <border>
      <left/>
      <right/>
      <top/>
      <bottom style="thin">
        <color theme="2" tint="-9.9887081514938816E-2"/>
      </bottom>
      <diagonal/>
    </border>
    <border>
      <left/>
      <right style="thin">
        <color theme="2" tint="-9.9887081514938816E-2"/>
      </right>
      <top/>
      <bottom style="thin">
        <color theme="2" tint="-9.9887081514938816E-2"/>
      </bottom>
      <diagonal/>
    </border>
    <border>
      <left style="thin">
        <color theme="2" tint="-9.985656300546282E-2"/>
      </left>
      <right style="thin">
        <color theme="2" tint="-9.985656300546282E-2"/>
      </right>
      <top style="thin">
        <color theme="2" tint="-9.985656300546282E-2"/>
      </top>
      <bottom style="thin">
        <color theme="2" tint="-9.985656300546282E-2"/>
      </bottom>
      <diagonal/>
    </border>
    <border>
      <left style="thin">
        <color theme="2" tint="-9.985656300546282E-2"/>
      </left>
      <right style="thin">
        <color theme="2" tint="-9.985656300546282E-2"/>
      </right>
      <top/>
      <bottom style="thin">
        <color theme="2" tint="-9.985656300546282E-2"/>
      </bottom>
      <diagonal/>
    </border>
    <border>
      <left/>
      <right/>
      <top style="thick">
        <color theme="2"/>
      </top>
      <bottom/>
      <diagonal/>
    </border>
    <border>
      <left style="thin">
        <color theme="1" tint="0.89996032593768116"/>
      </left>
      <right/>
      <top style="thin">
        <color theme="1" tint="0.89996032593768116"/>
      </top>
      <bottom/>
      <diagonal/>
    </border>
    <border>
      <left/>
      <right/>
      <top style="thin">
        <color theme="1" tint="0.89996032593768116"/>
      </top>
      <bottom/>
      <diagonal/>
    </border>
    <border>
      <left style="thin">
        <color theme="1" tint="0.89996032593768116"/>
      </left>
      <right/>
      <top/>
      <bottom/>
      <diagonal/>
    </border>
    <border>
      <left style="thin">
        <color theme="1" tint="0.89996032593768116"/>
      </left>
      <right/>
      <top/>
      <bottom style="thin">
        <color theme="1" tint="0.89996032593768116"/>
      </bottom>
      <diagonal/>
    </border>
    <border>
      <left/>
      <right/>
      <top/>
      <bottom style="thin">
        <color theme="1" tint="0.89996032593768116"/>
      </bottom>
      <diagonal/>
    </border>
    <border>
      <left style="thin">
        <color theme="2" tint="-9.9887081514938816E-2"/>
      </left>
      <right/>
      <top/>
      <bottom style="thin">
        <color theme="1" tint="0.89996032593768116"/>
      </bottom>
      <diagonal/>
    </border>
    <border>
      <left style="thin">
        <color theme="2" tint="-9.985656300546282E-2"/>
      </left>
      <right style="thin">
        <color theme="2" tint="-9.985656300546282E-2"/>
      </right>
      <top style="thin">
        <color theme="2" tint="-9.985656300546282E-2"/>
      </top>
      <bottom style="thin">
        <color theme="1" tint="0.8999603259376811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7" tint="0.79998168889431442"/>
      </right>
      <top/>
      <bottom/>
      <diagonal/>
    </border>
    <border>
      <left style="thin">
        <color theme="7" tint="0.79998168889431442"/>
      </left>
      <right style="thin">
        <color theme="7" tint="0.79998168889431442"/>
      </right>
      <top/>
      <bottom/>
      <diagonal/>
    </border>
    <border>
      <left style="thin">
        <color theme="7" tint="0.79998168889431442"/>
      </left>
      <right style="thin">
        <color theme="2" tint="-9.9887081514938816E-2"/>
      </right>
      <top/>
      <bottom/>
      <diagonal/>
    </border>
    <border>
      <left/>
      <right style="thin">
        <color theme="1" tint="0.89996032593768116"/>
      </right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5">
    <xf numFmtId="0" fontId="0" fillId="0" borderId="0"/>
    <xf numFmtId="0" fontId="2" fillId="2" borderId="1" applyNumberFormat="0" applyAlignment="0">
      <alignment horizontal="left" indent="1"/>
    </xf>
    <xf numFmtId="0" fontId="2" fillId="3" borderId="1">
      <alignment horizontal="left" indent="1"/>
    </xf>
    <xf numFmtId="0" fontId="3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4" fillId="5" borderId="0" xfId="0" applyFont="1" applyFill="1"/>
    <xf numFmtId="164" fontId="4" fillId="5" borderId="0" xfId="3" applyNumberFormat="1" applyFont="1" applyFill="1" applyBorder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14" fontId="4" fillId="0" borderId="0" xfId="0" applyNumberFormat="1" applyFont="1" applyProtection="1">
      <protection locked="0"/>
    </xf>
    <xf numFmtId="14" fontId="4" fillId="0" borderId="3" xfId="0" applyNumberFormat="1" applyFont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14" fontId="4" fillId="0" borderId="4" xfId="0" applyNumberFormat="1" applyFont="1" applyBorder="1" applyProtection="1">
      <protection locked="0"/>
    </xf>
    <xf numFmtId="14" fontId="4" fillId="0" borderId="5" xfId="0" applyNumberFormat="1" applyFont="1" applyBorder="1" applyProtection="1">
      <protection locked="0"/>
    </xf>
    <xf numFmtId="0" fontId="0" fillId="7" borderId="0" xfId="0" applyFill="1"/>
    <xf numFmtId="0" fontId="4" fillId="6" borderId="6" xfId="0" applyFont="1" applyFill="1" applyBorder="1" applyProtection="1">
      <protection locked="0"/>
    </xf>
    <xf numFmtId="9" fontId="4" fillId="6" borderId="6" xfId="4" applyFont="1" applyFill="1" applyBorder="1" applyAlignment="1" applyProtection="1">
      <alignment horizontal="center"/>
      <protection locked="0"/>
    </xf>
    <xf numFmtId="0" fontId="4" fillId="6" borderId="6" xfId="4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6" borderId="6" xfId="0" applyFont="1" applyFill="1" applyBorder="1" applyAlignment="1" applyProtection="1">
      <alignment horizontal="center"/>
      <protection locked="0"/>
    </xf>
    <xf numFmtId="0" fontId="4" fillId="6" borderId="7" xfId="4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 applyAlignment="1">
      <alignment horizontal="left" vertical="center" indent="1"/>
    </xf>
    <xf numFmtId="0" fontId="4" fillId="6" borderId="6" xfId="0" applyFont="1" applyFill="1" applyBorder="1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0" fillId="0" borderId="8" xfId="0" applyBorder="1"/>
    <xf numFmtId="0" fontId="4" fillId="0" borderId="8" xfId="0" applyFont="1" applyBorder="1"/>
    <xf numFmtId="0" fontId="17" fillId="6" borderId="6" xfId="0" applyFont="1" applyFill="1" applyBorder="1" applyAlignment="1" applyProtection="1">
      <alignment horizontal="left" indent="1"/>
      <protection locked="0"/>
    </xf>
    <xf numFmtId="0" fontId="6" fillId="12" borderId="0" xfId="0" applyFont="1" applyFill="1" applyAlignment="1">
      <alignment vertical="center"/>
    </xf>
    <xf numFmtId="0" fontId="0" fillId="3" borderId="0" xfId="0" applyFill="1"/>
    <xf numFmtId="0" fontId="0" fillId="3" borderId="10" xfId="0" applyFill="1" applyBorder="1"/>
    <xf numFmtId="0" fontId="9" fillId="11" borderId="14" xfId="0" applyFont="1" applyFill="1" applyBorder="1" applyAlignment="1">
      <alignment horizontal="left"/>
    </xf>
    <xf numFmtId="0" fontId="4" fillId="6" borderId="15" xfId="0" applyFont="1" applyFill="1" applyBorder="1" applyAlignment="1" applyProtection="1">
      <alignment horizontal="left" indent="1"/>
      <protection locked="0"/>
    </xf>
    <xf numFmtId="0" fontId="4" fillId="6" borderId="15" xfId="0" applyFont="1" applyFill="1" applyBorder="1" applyProtection="1">
      <protection locked="0"/>
    </xf>
    <xf numFmtId="0" fontId="4" fillId="6" borderId="15" xfId="0" applyFont="1" applyFill="1" applyBorder="1" applyAlignment="1" applyProtection="1">
      <alignment horizontal="center"/>
      <protection locked="0"/>
    </xf>
    <xf numFmtId="9" fontId="4" fillId="6" borderId="15" xfId="4" applyFont="1" applyFill="1" applyBorder="1" applyAlignment="1" applyProtection="1">
      <alignment horizontal="center"/>
      <protection locked="0"/>
    </xf>
    <xf numFmtId="0" fontId="17" fillId="6" borderId="15" xfId="0" applyFont="1" applyFill="1" applyBorder="1" applyAlignment="1" applyProtection="1">
      <alignment horizontal="left" indent="1"/>
      <protection locked="0"/>
    </xf>
    <xf numFmtId="14" fontId="4" fillId="0" borderId="13" xfId="0" applyNumberFormat="1" applyFont="1" applyBorder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10" borderId="16" xfId="0" applyFill="1" applyBorder="1"/>
    <xf numFmtId="14" fontId="0" fillId="10" borderId="16" xfId="0" applyNumberFormat="1" applyFill="1" applyBorder="1"/>
    <xf numFmtId="9" fontId="0" fillId="10" borderId="16" xfId="4" applyFont="1" applyFill="1" applyBorder="1" applyAlignment="1">
      <alignment horizontal="center"/>
    </xf>
    <xf numFmtId="0" fontId="0" fillId="0" borderId="16" xfId="0" applyBorder="1"/>
    <xf numFmtId="0" fontId="18" fillId="14" borderId="10" xfId="0" applyFont="1" applyFill="1" applyBorder="1" applyAlignment="1">
      <alignment horizontal="center" vertical="center"/>
    </xf>
    <xf numFmtId="0" fontId="23" fillId="13" borderId="10" xfId="0" applyFont="1" applyFill="1" applyBorder="1" applyAlignment="1" applyProtection="1">
      <alignment horizontal="left" vertical="center" indent="1"/>
      <protection locked="0"/>
    </xf>
    <xf numFmtId="0" fontId="19" fillId="2" borderId="16" xfId="0" applyFont="1" applyFill="1" applyBorder="1"/>
    <xf numFmtId="0" fontId="19" fillId="8" borderId="16" xfId="0" applyFont="1" applyFill="1" applyBorder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6" fontId="13" fillId="15" borderId="17" xfId="3" applyNumberFormat="1" applyFont="1" applyFill="1" applyBorder="1" applyAlignment="1">
      <alignment horizontal="center" vertical="center"/>
    </xf>
    <xf numFmtId="166" fontId="13" fillId="15" borderId="18" xfId="0" applyNumberFormat="1" applyFont="1" applyFill="1" applyBorder="1" applyAlignment="1">
      <alignment horizontal="center" vertical="center"/>
    </xf>
    <xf numFmtId="166" fontId="13" fillId="15" borderId="18" xfId="3" applyNumberFormat="1" applyFont="1" applyFill="1" applyBorder="1" applyAlignment="1">
      <alignment horizontal="center" vertical="center"/>
    </xf>
    <xf numFmtId="166" fontId="13" fillId="15" borderId="19" xfId="0" applyNumberFormat="1" applyFont="1" applyFill="1" applyBorder="1" applyAlignment="1">
      <alignment horizontal="center" vertical="center"/>
    </xf>
    <xf numFmtId="0" fontId="0" fillId="7" borderId="0" xfId="0" applyFill="1" applyProtection="1">
      <protection locked="0"/>
    </xf>
    <xf numFmtId="0" fontId="24" fillId="9" borderId="10" xfId="0" applyFont="1" applyFill="1" applyBorder="1" applyAlignment="1">
      <alignment vertical="center"/>
    </xf>
    <xf numFmtId="14" fontId="5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/>
    </xf>
    <xf numFmtId="0" fontId="0" fillId="3" borderId="0" xfId="0" applyFill="1" applyProtection="1">
      <protection locked="0"/>
    </xf>
    <xf numFmtId="0" fontId="25" fillId="13" borderId="10" xfId="0" applyFont="1" applyFill="1" applyBorder="1" applyAlignment="1">
      <alignment horizontal="left" vertical="center" indent="2"/>
    </xf>
    <xf numFmtId="0" fontId="24" fillId="13" borderId="10" xfId="0" applyFont="1" applyFill="1" applyBorder="1" applyAlignment="1">
      <alignment vertical="center"/>
    </xf>
    <xf numFmtId="0" fontId="24" fillId="13" borderId="0" xfId="0" applyFont="1" applyFill="1" applyAlignment="1">
      <alignment horizontal="left" vertical="center" indent="1"/>
    </xf>
    <xf numFmtId="0" fontId="26" fillId="11" borderId="13" xfId="0" applyFont="1" applyFill="1" applyBorder="1"/>
    <xf numFmtId="9" fontId="27" fillId="7" borderId="0" xfId="0" applyNumberFormat="1" applyFont="1" applyFill="1" applyAlignment="1">
      <alignment horizontal="left"/>
    </xf>
    <xf numFmtId="0" fontId="0" fillId="13" borderId="0" xfId="0" applyFill="1" applyProtection="1">
      <protection locked="0"/>
    </xf>
    <xf numFmtId="0" fontId="0" fillId="13" borderId="11" xfId="0" applyFill="1" applyBorder="1" applyProtection="1">
      <protection locked="0"/>
    </xf>
    <xf numFmtId="0" fontId="0" fillId="7" borderId="11" xfId="0" applyFill="1" applyBorder="1" applyAlignment="1" applyProtection="1">
      <alignment horizontal="right" indent="1"/>
      <protection locked="0"/>
    </xf>
    <xf numFmtId="165" fontId="14" fillId="7" borderId="0" xfId="0" applyNumberFormat="1" applyFont="1" applyFill="1" applyAlignment="1">
      <alignment horizontal="left"/>
    </xf>
    <xf numFmtId="9" fontId="14" fillId="7" borderId="0" xfId="4" applyFont="1" applyFill="1" applyBorder="1" applyAlignment="1" applyProtection="1">
      <alignment horizontal="left"/>
    </xf>
    <xf numFmtId="0" fontId="14" fillId="7" borderId="11" xfId="0" applyFont="1" applyFill="1" applyBorder="1" applyAlignment="1">
      <alignment horizontal="left"/>
    </xf>
    <xf numFmtId="0" fontId="0" fillId="13" borderId="0" xfId="0" applyFill="1"/>
    <xf numFmtId="0" fontId="0" fillId="13" borderId="0" xfId="0" applyFill="1" applyAlignment="1" applyProtection="1">
      <alignment horizontal="left"/>
      <protection locked="0"/>
    </xf>
    <xf numFmtId="0" fontId="28" fillId="13" borderId="11" xfId="0" applyFont="1" applyFill="1" applyBorder="1" applyAlignment="1" applyProtection="1">
      <alignment horizontal="right" vertical="center" indent="1"/>
      <protection locked="0"/>
    </xf>
    <xf numFmtId="0" fontId="23" fillId="13" borderId="0" xfId="0" applyFont="1" applyFill="1" applyAlignment="1">
      <alignment horizontal="left" vertical="center"/>
    </xf>
    <xf numFmtId="0" fontId="11" fillId="13" borderId="11" xfId="0" applyFont="1" applyFill="1" applyBorder="1" applyAlignment="1" applyProtection="1">
      <alignment horizontal="right" vertical="center" indent="1"/>
      <protection locked="0"/>
    </xf>
    <xf numFmtId="1" fontId="15" fillId="13" borderId="0" xfId="0" applyNumberFormat="1" applyFont="1" applyFill="1" applyAlignment="1">
      <alignment horizontal="left" vertical="center"/>
    </xf>
    <xf numFmtId="1" fontId="16" fillId="13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14" fontId="31" fillId="16" borderId="0" xfId="0" applyNumberFormat="1" applyFont="1" applyFill="1" applyAlignment="1">
      <alignment vertical="center"/>
    </xf>
    <xf numFmtId="0" fontId="30" fillId="13" borderId="0" xfId="0" applyFont="1" applyFill="1" applyAlignment="1" applyProtection="1">
      <alignment horizontal="center" vertical="center"/>
      <protection locked="0"/>
    </xf>
    <xf numFmtId="14" fontId="0" fillId="0" borderId="0" xfId="0" applyNumberFormat="1"/>
    <xf numFmtId="0" fontId="0" fillId="0" borderId="0" xfId="0" applyNumberFormat="1"/>
    <xf numFmtId="167" fontId="0" fillId="0" borderId="0" xfId="0" applyNumberFormat="1" applyAlignment="1">
      <alignment horizontal="left"/>
    </xf>
    <xf numFmtId="167" fontId="4" fillId="6" borderId="6" xfId="0" applyNumberFormat="1" applyFont="1" applyFill="1" applyBorder="1" applyAlignment="1" applyProtection="1">
      <alignment horizontal="center"/>
      <protection locked="0"/>
    </xf>
    <xf numFmtId="167" fontId="4" fillId="6" borderId="15" xfId="0" applyNumberFormat="1" applyFont="1" applyFill="1" applyBorder="1" applyAlignment="1" applyProtection="1">
      <alignment horizontal="center"/>
      <protection locked="0"/>
    </xf>
    <xf numFmtId="0" fontId="24" fillId="16" borderId="10" xfId="0" applyFont="1" applyFill="1" applyBorder="1" applyAlignment="1">
      <alignment horizontal="left" vertical="center" indent="1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7" borderId="20" xfId="0" applyFill="1" applyBorder="1" applyAlignment="1" applyProtection="1">
      <alignment horizontal="right" vertical="center" indent="1"/>
      <protection locked="0"/>
    </xf>
    <xf numFmtId="14" fontId="22" fillId="16" borderId="0" xfId="0" applyNumberFormat="1" applyFont="1" applyFill="1" applyAlignment="1">
      <alignment horizontal="center" vertical="center"/>
    </xf>
    <xf numFmtId="0" fontId="8" fillId="2" borderId="9" xfId="0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11" borderId="12" xfId="0" applyFont="1" applyFill="1" applyBorder="1" applyAlignment="1">
      <alignment horizontal="left"/>
    </xf>
    <xf numFmtId="0" fontId="9" fillId="11" borderId="13" xfId="0" applyFont="1" applyFill="1" applyBorder="1" applyAlignment="1">
      <alignment horizontal="left"/>
    </xf>
    <xf numFmtId="0" fontId="9" fillId="11" borderId="14" xfId="0" applyFont="1" applyFill="1" applyBorder="1" applyAlignment="1">
      <alignment horizontal="left"/>
    </xf>
    <xf numFmtId="0" fontId="0" fillId="13" borderId="11" xfId="0" applyFill="1" applyBorder="1" applyAlignment="1" applyProtection="1">
      <alignment horizontal="left" indent="1"/>
      <protection locked="0"/>
    </xf>
    <xf numFmtId="0" fontId="0" fillId="13" borderId="0" xfId="0" applyFill="1" applyAlignment="1" applyProtection="1">
      <alignment horizontal="left" indent="1"/>
      <protection locked="0"/>
    </xf>
    <xf numFmtId="0" fontId="0" fillId="7" borderId="0" xfId="0" applyFill="1" applyAlignment="1" applyProtection="1">
      <alignment horizontal="right" vertical="center" wrapText="1" indent="1"/>
      <protection locked="0"/>
    </xf>
    <xf numFmtId="0" fontId="0" fillId="7" borderId="0" xfId="0" applyFill="1" applyAlignment="1" applyProtection="1">
      <alignment horizontal="right" vertical="center" indent="1"/>
      <protection locked="0"/>
    </xf>
    <xf numFmtId="0" fontId="29" fillId="2" borderId="0" xfId="0" applyFont="1" applyFill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</cellXfs>
  <cellStyles count="5">
    <cellStyle name="Day Header 1" xfId="1"/>
    <cellStyle name="Day Header 2" xfId="2"/>
    <cellStyle name="Good" xfId="3" builtinId="26"/>
    <cellStyle name="Normal" xfId="0" builtinId="0"/>
    <cellStyle name="Percent" xfId="4" builtinId="5"/>
  </cellStyles>
  <dxfs count="16">
    <dxf>
      <numFmt numFmtId="13" formatCode="0%"/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numFmt numFmtId="167" formatCode="[$-409]dd\-mmm\-yy;@"/>
      <alignment horizontal="left" vertical="bottom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border outline="0">
        <top style="thin">
          <color theme="2" tint="-9.9887081514938816E-2"/>
        </top>
      </border>
    </dxf>
    <dxf>
      <alignment horizontal="left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relativeIndent="255" justifyLastLine="0" shrinkToFit="0" readingOrder="0"/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2"/>
      </font>
    </dxf>
    <dxf>
      <font>
        <color theme="2"/>
      </font>
    </dxf>
    <dxf>
      <fill>
        <patternFill>
          <bgColor rgb="FFFF7C80"/>
        </patternFill>
      </fill>
      <border>
        <top style="thin">
          <color theme="0"/>
        </top>
        <bottom style="thin">
          <color theme="0"/>
        </bottom>
      </border>
    </dxf>
    <dxf>
      <fill>
        <patternFill patternType="solid">
          <fgColor auto="1"/>
          <bgColor rgb="FF00CC99"/>
        </patternFill>
      </fill>
      <border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00CC99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7037037037037042E-2"/>
          <c:y val="2.2822251385243512E-2"/>
          <c:w val="0.95370370370370372"/>
          <c:h val="0.99934820647419098"/>
        </c:manualLayout>
      </c:layout>
      <c:doughnutChart>
        <c:varyColors val="1"/>
        <c:ser>
          <c:idx val="0"/>
          <c:order val="0"/>
          <c:spPr>
            <a:solidFill>
              <a:srgbClr val="FF7C80"/>
            </a:solidFill>
            <a:scene3d>
              <a:camera prst="orthographicFront"/>
              <a:lightRig rig="threePt" dir="t"/>
            </a:scene3d>
          </c:spPr>
          <c:dPt>
            <c:idx val="0"/>
            <c:spPr>
              <a:solidFill>
                <a:schemeClr val="accent4"/>
              </a:solidFill>
              <a:scene3d>
                <a:camera prst="orthographicFront"/>
                <a:lightRig rig="threePt" dir="t"/>
              </a:scene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CB9-4A4C-9DC6-376D0CA5D640}"/>
              </c:ext>
            </c:extLst>
          </c:dPt>
          <c:dPt>
            <c:idx val="1"/>
            <c:spPr>
              <a:solidFill>
                <a:schemeClr val="bg1"/>
              </a:solidFill>
              <a:scene3d>
                <a:camera prst="orthographicFront"/>
                <a:lightRig rig="threePt" dir="t"/>
              </a:scene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CB9-4A4C-9DC6-376D0CA5D640}"/>
              </c:ext>
            </c:extLst>
          </c:dPt>
          <c:val>
            <c:numRef>
              <c:f>Dashboard!$F$12:$F$13</c:f>
              <c:numCache>
                <c:formatCode>0%</c:formatCode>
                <c:ptCount val="2"/>
                <c:pt idx="0">
                  <c:v>0.55075000000000007</c:v>
                </c:pt>
                <c:pt idx="1">
                  <c:v>0.44924999999999993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CB9-4A4C-9DC6-376D0CA5D640}"/>
            </c:ext>
          </c:extLst>
        </c:ser>
        <c:dLbls/>
        <c:firstSliceAng val="0"/>
        <c:holeSize val="76"/>
      </c:doughnutChart>
    </c:plotArea>
    <c:plotVisOnly val="1"/>
    <c:dispBlanksAs val="zero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tx>
            <c:strRef>
              <c:f>'Projects Summary'!$G$3</c:f>
              <c:strCache>
                <c:ptCount val="1"/>
                <c:pt idx="0">
                  <c:v>%Progress</c:v>
                </c:pt>
              </c:strCache>
            </c:strRef>
          </c:tx>
          <c:spPr>
            <a:solidFill>
              <a:schemeClr val="accent4"/>
            </a:solidFill>
          </c:spPr>
          <c:dLbls>
            <c:numFmt formatCode="[=0]\ ;0%" sourceLinked="0"/>
            <c:spPr>
              <a:noFill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'Projects Summary'!$B$4:$B$14</c:f>
              <c:strCache>
                <c:ptCount val="11"/>
                <c:pt idx="0">
                  <c:v>All Projects</c:v>
                </c:pt>
                <c:pt idx="1">
                  <c:v>Project 1</c:v>
                </c:pt>
                <c:pt idx="2">
                  <c:v>Project 2</c:v>
                </c:pt>
                <c:pt idx="3">
                  <c:v>Project 3</c:v>
                </c:pt>
                <c:pt idx="4">
                  <c:v>Project 4</c:v>
                </c:pt>
                <c:pt idx="5">
                  <c:v>Project 5</c:v>
                </c:pt>
                <c:pt idx="6">
                  <c:v>Project 6</c:v>
                </c:pt>
                <c:pt idx="7">
                  <c:v>Project 7</c:v>
                </c:pt>
                <c:pt idx="8">
                  <c:v>Project 8</c:v>
                </c:pt>
                <c:pt idx="9">
                  <c:v>Project 9</c:v>
                </c:pt>
                <c:pt idx="10">
                  <c:v>Project 10</c:v>
                </c:pt>
              </c:strCache>
            </c:strRef>
          </c:cat>
          <c:val>
            <c:numRef>
              <c:f>'Projects Summary'!$G$4:$G$14</c:f>
              <c:numCache>
                <c:formatCode>0%</c:formatCode>
                <c:ptCount val="11"/>
                <c:pt idx="0">
                  <c:v>0.55075000000000007</c:v>
                </c:pt>
                <c:pt idx="1">
                  <c:v>1</c:v>
                </c:pt>
                <c:pt idx="2">
                  <c:v>0.46400000000000008</c:v>
                </c:pt>
                <c:pt idx="3">
                  <c:v>1</c:v>
                </c:pt>
                <c:pt idx="4">
                  <c:v>0.44428571428571428</c:v>
                </c:pt>
                <c:pt idx="5">
                  <c:v>0.33875</c:v>
                </c:pt>
                <c:pt idx="6">
                  <c:v>0.62999999999999989</c:v>
                </c:pt>
                <c:pt idx="7">
                  <c:v>0.4055555555555555</c:v>
                </c:pt>
                <c:pt idx="8">
                  <c:v>0.47909090909090907</c:v>
                </c:pt>
                <c:pt idx="9">
                  <c:v>0.48249999999999998</c:v>
                </c:pt>
                <c:pt idx="10">
                  <c:v>0.33875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49-411D-8447-6089E4F704CF}"/>
            </c:ext>
          </c:extLst>
        </c:ser>
        <c:ser>
          <c:idx val="1"/>
          <c:order val="1"/>
          <c:tx>
            <c:strRef>
              <c:f>'Projects Summary'!$H$3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cat>
            <c:strRef>
              <c:f>'Projects Summary'!$B$4:$B$14</c:f>
              <c:strCache>
                <c:ptCount val="11"/>
                <c:pt idx="0">
                  <c:v>All Projects</c:v>
                </c:pt>
                <c:pt idx="1">
                  <c:v>Project 1</c:v>
                </c:pt>
                <c:pt idx="2">
                  <c:v>Project 2</c:v>
                </c:pt>
                <c:pt idx="3">
                  <c:v>Project 3</c:v>
                </c:pt>
                <c:pt idx="4">
                  <c:v>Project 4</c:v>
                </c:pt>
                <c:pt idx="5">
                  <c:v>Project 5</c:v>
                </c:pt>
                <c:pt idx="6">
                  <c:v>Project 6</c:v>
                </c:pt>
                <c:pt idx="7">
                  <c:v>Project 7</c:v>
                </c:pt>
                <c:pt idx="8">
                  <c:v>Project 8</c:v>
                </c:pt>
                <c:pt idx="9">
                  <c:v>Project 9</c:v>
                </c:pt>
                <c:pt idx="10">
                  <c:v>Project 10</c:v>
                </c:pt>
              </c:strCache>
            </c:strRef>
          </c:cat>
          <c:val>
            <c:numRef>
              <c:f>'Projects Summary'!$H$4:$H$14</c:f>
              <c:numCache>
                <c:formatCode>0%</c:formatCode>
                <c:ptCount val="11"/>
                <c:pt idx="0">
                  <c:v>0.44924999999999993</c:v>
                </c:pt>
                <c:pt idx="1">
                  <c:v>0</c:v>
                </c:pt>
                <c:pt idx="2">
                  <c:v>0.53599999999999992</c:v>
                </c:pt>
                <c:pt idx="3">
                  <c:v>0</c:v>
                </c:pt>
                <c:pt idx="4">
                  <c:v>0.55571428571428572</c:v>
                </c:pt>
                <c:pt idx="5">
                  <c:v>0.66125</c:v>
                </c:pt>
                <c:pt idx="6">
                  <c:v>0.37000000000000011</c:v>
                </c:pt>
                <c:pt idx="7">
                  <c:v>0.59444444444444455</c:v>
                </c:pt>
                <c:pt idx="8">
                  <c:v>0.52090909090909099</c:v>
                </c:pt>
                <c:pt idx="9">
                  <c:v>0.51750000000000007</c:v>
                </c:pt>
                <c:pt idx="10">
                  <c:v>0.66125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49-411D-8447-6089E4F704CF}"/>
            </c:ext>
          </c:extLst>
        </c:ser>
        <c:dLbls/>
        <c:gapWidth val="24"/>
        <c:overlap val="100"/>
        <c:axId val="82732544"/>
        <c:axId val="82734080"/>
      </c:barChart>
      <c:catAx>
        <c:axId val="82732544"/>
        <c:scaling>
          <c:orientation val="maxMin"/>
        </c:scaling>
        <c:axPos val="l"/>
        <c:numFmt formatCode="General" sourceLinked="0"/>
        <c:tickLblPos val="nextTo"/>
        <c:crossAx val="82734080"/>
        <c:crosses val="autoZero"/>
        <c:auto val="1"/>
        <c:lblAlgn val="ctr"/>
        <c:lblOffset val="100"/>
      </c:catAx>
      <c:valAx>
        <c:axId val="82734080"/>
        <c:scaling>
          <c:orientation val="minMax"/>
        </c:scaling>
        <c:delete val="1"/>
        <c:axPos val="t"/>
        <c:numFmt formatCode="0%" sourceLinked="1"/>
        <c:tickLblPos val="nextTo"/>
        <c:crossAx val="82732544"/>
        <c:crosses val="autoZero"/>
        <c:crossBetween val="between"/>
      </c:valAx>
    </c:plotArea>
    <c:plotVisOnly val="1"/>
    <c:dispBlanksAs val="gap"/>
  </c:chart>
  <c:spPr>
    <a:ln>
      <a:solidFill>
        <a:schemeClr val="accent4">
          <a:lumMod val="20000"/>
          <a:lumOff val="80000"/>
        </a:schemeClr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trlProps/ctrlProp1.xml><?xml version="1.0" encoding="utf-8"?>
<formControlPr xmlns="http://schemas.microsoft.com/office/spreadsheetml/2009/9/main" objectType="Scroll" dx="16" fmlaLink="$Y$1" horiz="1" max="10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1533525</xdr:colOff>
      <xdr:row>3</xdr:row>
      <xdr:rowOff>76200</xdr:rowOff>
    </xdr:from>
    <xdr:to>
      <xdr:col>5</xdr:col>
      <xdr:colOff>1066800</xdr:colOff>
      <xdr:row>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78105</xdr:colOff>
      <xdr:row>5</xdr:row>
      <xdr:rowOff>47625</xdr:rowOff>
    </xdr:from>
    <xdr:to>
      <xdr:col>5</xdr:col>
      <xdr:colOff>992505</xdr:colOff>
      <xdr:row>6</xdr:row>
      <xdr:rowOff>180976</xdr:rowOff>
    </xdr:to>
    <xdr:sp macro="" textlink="$F$12:$F$12">
      <xdr:nvSpPr>
        <xdr:cNvPr id="1027" name="Ribbon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>
          <a:spLocks/>
        </xdr:cNvSpPr>
      </xdr:nvSpPr>
      <xdr:spPr bwMode="auto">
        <a:xfrm>
          <a:off x="4564380" y="1333500"/>
          <a:ext cx="914400" cy="323851"/>
        </a:xfrm>
        <a:prstGeom prst="rect">
          <a:avLst/>
        </a:prstGeom>
        <a:noFill/>
        <a:ln>
          <a:noFill/>
        </a:ln>
      </xdr:spPr>
      <xdr:txBody>
        <a:bodyPr lIns="0" tIns="0" rIns="0" bIns="0" anchor="ctr"/>
        <a:lstStyle/>
        <a:p>
          <a:pPr algn="ctr"/>
          <a:fld id="{FF521F5B-1B51-43E4-A00E-53D9FD9E7D42}" type="TxLink">
            <a:rPr lang="en-US" sz="1800" b="1" i="0" u="none" strike="noStrike">
              <a:solidFill>
                <a:schemeClr val="accent4"/>
              </a:solidFill>
              <a:latin typeface="Calibri"/>
            </a:rPr>
            <a:pPr algn="ctr"/>
            <a:t>55%</a:t>
          </a:fld>
          <a:endParaRPr lang="en-US" sz="1800" b="1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9525</xdr:rowOff>
    </xdr:from>
    <xdr:to>
      <xdr:col>4</xdr:col>
      <xdr:colOff>0</xdr:colOff>
      <xdr:row>26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2</xdr:row>
      <xdr:rowOff>104775</xdr:rowOff>
    </xdr:from>
    <xdr:to>
      <xdr:col>0</xdr:col>
      <xdr:colOff>1533525</xdr:colOff>
      <xdr:row>9</xdr:row>
      <xdr:rowOff>114300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3824" y="619125"/>
          <a:ext cx="1409701" cy="1352550"/>
        </a:xfrm>
        <a:prstGeom prst="wedgeRoundRectCallout">
          <a:avLst>
            <a:gd name="adj1" fmla="val 66612"/>
            <a:gd name="adj2" fmla="val -20905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1. </a:t>
          </a:r>
        </a:p>
        <a:p>
          <a:pPr algn="l"/>
          <a:r>
            <a:rPr lang="en-IN" sz="1600" b="1"/>
            <a:t>Input Your</a:t>
          </a:r>
          <a:r>
            <a:rPr lang="en-IN" sz="1600" b="1" baseline="0"/>
            <a:t> Project Title Here</a:t>
          </a:r>
          <a:endParaRPr lang="en-IN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57150</xdr:rowOff>
    </xdr:from>
    <xdr:to>
      <xdr:col>10</xdr:col>
      <xdr:colOff>66675</xdr:colOff>
      <xdr:row>7</xdr:row>
      <xdr:rowOff>47625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7943850" y="57150"/>
          <a:ext cx="2219325" cy="1447800"/>
        </a:xfrm>
        <a:prstGeom prst="wedgeRoundRectCallout">
          <a:avLst>
            <a:gd name="adj1" fmla="val -58610"/>
            <a:gd name="adj2" fmla="val -22377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2.</a:t>
          </a:r>
        </a:p>
        <a:p>
          <a:pPr algn="l"/>
          <a:r>
            <a:rPr lang="en-IN" sz="1600" b="1"/>
            <a:t> Input Your</a:t>
          </a:r>
          <a:r>
            <a:rPr lang="en-IN" sz="1600" b="1" baseline="0"/>
            <a:t> Tasks of Your Project and Respective Timelines</a:t>
          </a:r>
          <a:endParaRPr lang="en-IN" sz="16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81" totalsRowShown="0" headerRowDxfId="8" dataDxfId="7" tableBorderDxfId="6">
  <tableColumns count="6">
    <tableColumn id="6" name="Project" dataDxfId="5"/>
    <tableColumn id="1" name="Task" dataDxfId="4"/>
    <tableColumn id="2" name="Responsible" dataDxfId="3"/>
    <tableColumn id="3" name="Start Date" dataDxfId="2"/>
    <tableColumn id="4" name="Days Req." dataDxfId="1"/>
    <tableColumn id="5" name="Progres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nalysistabs CT MC2">
      <a:dk1>
        <a:srgbClr val="262626"/>
      </a:dk1>
      <a:lt1>
        <a:srgbClr val="FFFFFF"/>
      </a:lt1>
      <a:dk2>
        <a:srgbClr val="262626"/>
      </a:dk2>
      <a:lt2>
        <a:srgbClr val="FFFFFF"/>
      </a:lt2>
      <a:accent1>
        <a:srgbClr val="E03D12"/>
      </a:accent1>
      <a:accent2>
        <a:srgbClr val="FAB60D"/>
      </a:accent2>
      <a:accent3>
        <a:srgbClr val="36CD5A"/>
      </a:accent3>
      <a:accent4>
        <a:srgbClr val="1E9ECD"/>
      </a:accent4>
      <a:accent5>
        <a:srgbClr val="B7EA43"/>
      </a:accent5>
      <a:accent6>
        <a:srgbClr val="49526F"/>
      </a:accent6>
      <a:hlink>
        <a:srgbClr val="FFFFFF"/>
      </a:hlink>
      <a:folHlink>
        <a:srgbClr val="595959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7"/>
  </sheetPr>
  <dimension ref="A1:AH32"/>
  <sheetViews>
    <sheetView showGridLines="0" showRowColHeaders="0" tabSelected="1" topLeftCell="J1" zoomScale="96" zoomScaleNormal="96" workbookViewId="0">
      <selection activeCell="F15" sqref="F15"/>
    </sheetView>
  </sheetViews>
  <sheetFormatPr defaultColWidth="0" defaultRowHeight="15" zeroHeight="1"/>
  <cols>
    <col min="1" max="1" width="0.5703125" customWidth="1"/>
    <col min="2" max="2" width="4" hidden="1" customWidth="1"/>
    <col min="3" max="4" width="21.42578125" customWidth="1"/>
    <col min="5" max="5" width="23.85546875" customWidth="1"/>
    <col min="6" max="6" width="20.140625" customWidth="1"/>
    <col min="7" max="7" width="1.5703125" customWidth="1"/>
    <col min="8" max="8" width="6.140625" customWidth="1"/>
    <col min="9" max="9" width="3.85546875" hidden="1" customWidth="1"/>
    <col min="10" max="10" width="24.85546875" style="21" customWidth="1"/>
    <col min="11" max="11" width="10.7109375" customWidth="1"/>
    <col min="12" max="12" width="13.85546875" customWidth="1"/>
    <col min="13" max="13" width="12.42578125" customWidth="1"/>
    <col min="14" max="14" width="11.42578125" customWidth="1"/>
    <col min="15" max="15" width="9.140625" customWidth="1"/>
    <col min="16" max="16" width="10" customWidth="1"/>
    <col min="17" max="17" width="12.7109375" hidden="1" customWidth="1"/>
    <col min="18" max="33" width="6.7109375" customWidth="1"/>
    <col min="34" max="34" width="1" customWidth="1"/>
  </cols>
  <sheetData>
    <row r="1" spans="1:34" ht="39.950000000000003" customHeight="1" thickBot="1">
      <c r="C1" s="91" t="s">
        <v>129</v>
      </c>
      <c r="D1" s="92"/>
      <c r="E1" s="92"/>
      <c r="F1" s="92"/>
      <c r="G1" s="92"/>
      <c r="H1" s="42">
        <v>4</v>
      </c>
      <c r="I1" s="27"/>
      <c r="J1" s="43" t="s">
        <v>24</v>
      </c>
      <c r="K1" s="86" t="str">
        <f>VLOOKUP(J1,'Projects Summary'!B4:C14,2,FALSE) &amp;" Tasks Found"</f>
        <v>80 Tasks Found</v>
      </c>
      <c r="L1" s="86"/>
      <c r="M1" s="86"/>
      <c r="N1" s="86"/>
      <c r="O1" s="86"/>
      <c r="P1" s="86"/>
      <c r="Q1" s="56"/>
      <c r="R1" s="60" t="s">
        <v>14</v>
      </c>
      <c r="S1" s="61"/>
      <c r="T1" s="61"/>
      <c r="U1" s="61"/>
      <c r="V1" s="61"/>
      <c r="W1" s="61"/>
      <c r="X1" s="61"/>
      <c r="Y1" s="80">
        <v>0</v>
      </c>
      <c r="Z1" s="61"/>
      <c r="AA1" s="62"/>
      <c r="AB1" s="62"/>
      <c r="AC1" s="62"/>
      <c r="AD1" s="71"/>
      <c r="AE1" s="62"/>
      <c r="AF1" s="62"/>
      <c r="AG1" s="62"/>
    </row>
    <row r="2" spans="1:34" s="22" customFormat="1" ht="31.5" customHeight="1" thickTop="1">
      <c r="C2" s="79" t="s">
        <v>44</v>
      </c>
      <c r="D2" s="90"/>
      <c r="E2" s="90"/>
      <c r="F2" s="90"/>
      <c r="G2" s="90"/>
      <c r="H2" s="90"/>
      <c r="I2" s="25" t="s">
        <v>1</v>
      </c>
      <c r="J2" s="47" t="s">
        <v>127</v>
      </c>
      <c r="K2" s="48" t="s">
        <v>41</v>
      </c>
      <c r="L2" s="49" t="s">
        <v>0</v>
      </c>
      <c r="M2" s="49" t="s">
        <v>4</v>
      </c>
      <c r="N2" s="49" t="s">
        <v>3</v>
      </c>
      <c r="O2" s="49" t="s">
        <v>5</v>
      </c>
      <c r="P2" s="50" t="s">
        <v>6</v>
      </c>
      <c r="Q2" t="s">
        <v>23</v>
      </c>
      <c r="R2" s="51">
        <f>F10+Y1</f>
        <v>45342</v>
      </c>
      <c r="S2" s="52">
        <f>R2+1</f>
        <v>45343</v>
      </c>
      <c r="T2" s="53">
        <f t="shared" ref="T2:AB2" si="0">S2+1</f>
        <v>45344</v>
      </c>
      <c r="U2" s="52">
        <f t="shared" si="0"/>
        <v>45345</v>
      </c>
      <c r="V2" s="53">
        <f t="shared" si="0"/>
        <v>45346</v>
      </c>
      <c r="W2" s="52">
        <f t="shared" si="0"/>
        <v>45347</v>
      </c>
      <c r="X2" s="53">
        <f t="shared" si="0"/>
        <v>45348</v>
      </c>
      <c r="Y2" s="52">
        <f t="shared" si="0"/>
        <v>45349</v>
      </c>
      <c r="Z2" s="52">
        <f t="shared" si="0"/>
        <v>45350</v>
      </c>
      <c r="AA2" s="52">
        <f t="shared" si="0"/>
        <v>45351</v>
      </c>
      <c r="AB2" s="53">
        <f t="shared" si="0"/>
        <v>45352</v>
      </c>
      <c r="AC2" s="52">
        <f>AB2+1</f>
        <v>45353</v>
      </c>
      <c r="AD2" s="53">
        <f>AC2+1</f>
        <v>45354</v>
      </c>
      <c r="AE2" s="52">
        <f>AD2+1</f>
        <v>45355</v>
      </c>
      <c r="AF2" s="53">
        <f>AE2+1</f>
        <v>45356</v>
      </c>
      <c r="AG2" s="54">
        <f>AF2+1</f>
        <v>45357</v>
      </c>
      <c r="AH2" s="23"/>
    </row>
    <row r="3" spans="1:34" ht="18.75" hidden="1" customHeight="1" thickBot="1">
      <c r="C3" s="26"/>
      <c r="D3" s="57"/>
      <c r="E3" s="57"/>
      <c r="F3" s="57"/>
      <c r="G3" s="58"/>
      <c r="H3" s="59">
        <v>0</v>
      </c>
      <c r="I3" s="26">
        <f>IFERROR(IF(J1='Projects Summary'!B4,0,MATCH(J1,'Data Sheet'!A:A,0)-2)+H3,F18)</f>
        <v>0</v>
      </c>
      <c r="J3" s="19">
        <v>0</v>
      </c>
      <c r="K3" s="15">
        <v>1</v>
      </c>
      <c r="L3" s="16">
        <v>2</v>
      </c>
      <c r="M3" s="16">
        <v>4</v>
      </c>
      <c r="N3" s="16">
        <v>3</v>
      </c>
      <c r="O3" s="16">
        <v>4</v>
      </c>
      <c r="P3" s="16"/>
      <c r="Q3" s="16">
        <v>-1</v>
      </c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/>
      <c r="AE3" s="3"/>
      <c r="AF3" s="2"/>
      <c r="AG3" s="4"/>
      <c r="AH3" s="1"/>
    </row>
    <row r="4" spans="1:34" s="8" customFormat="1">
      <c r="A4"/>
      <c r="B4"/>
      <c r="C4" s="71"/>
      <c r="D4" s="71"/>
      <c r="E4" s="11"/>
      <c r="F4" s="55"/>
      <c r="G4" s="55"/>
      <c r="H4" s="55"/>
      <c r="I4" s="78" cm="1">
        <f t="array" ref="I4">IFERROR(IF(rng_Project="All Projects",ROW()-3,INDEX(ROW(rng_Tasks),SMALL(IF(rng_Tasks=rng_Project,ROW(rng_Tasks)-ROW(INDEX(rng_Tasks,1,1))+1),ROW()-3))-1),0)</f>
        <v>1</v>
      </c>
      <c r="J4" s="20" t="str">
        <f ca="1">IF(AND($J$1&lt;&gt;"All Projects",$J$1&lt;&gt;Q4),0,OFFSET('Data Sheet'!$B$1,Dashboard!$I4,Dashboard!J$3))</f>
        <v>Project 1 - Task 1</v>
      </c>
      <c r="K4" s="12" t="str">
        <f ca="1">OFFSET('Data Sheet'!$B$1,Dashboard!$I4,Dashboard!K$3)</f>
        <v>Person 1</v>
      </c>
      <c r="L4" s="84">
        <f ca="1">OFFSET('Data Sheet'!$B$1,Dashboard!$I4,Dashboard!L$3)</f>
        <v>45346</v>
      </c>
      <c r="M4" s="84">
        <f t="shared" ref="M4:M28" ca="1" si="1">L4+N4-1</f>
        <v>45350</v>
      </c>
      <c r="N4" s="17">
        <f ca="1">OFFSET('Data Sheet'!$B$1,Dashboard!$I4,Dashboard!N$3)</f>
        <v>5</v>
      </c>
      <c r="O4" s="13">
        <f ca="1">OFFSET('Data Sheet'!$B$1,Dashboard!$I4,Dashboard!O$3)</f>
        <v>1</v>
      </c>
      <c r="P4" s="18">
        <f t="shared" ref="P4" ca="1" si="2">N4*O4</f>
        <v>5</v>
      </c>
      <c r="Q4" s="24" t="str">
        <f ca="1">OFFSET('Data Sheet'!$B$1,Dashboard!$I4,Dashboard!Q$3)</f>
        <v>Project 1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7"/>
    </row>
    <row r="5" spans="1:34" s="8" customFormat="1">
      <c r="A5"/>
      <c r="B5"/>
      <c r="C5" s="71"/>
      <c r="D5" s="71"/>
      <c r="E5" s="99" t="s">
        <v>126</v>
      </c>
      <c r="F5" s="55"/>
      <c r="G5" s="55"/>
      <c r="H5" s="55"/>
      <c r="I5" s="78" cm="1">
        <f t="array" ref="I5">IFERROR(IF(rng_Project="All Projects",ROW()-3,INDEX(ROW(rng_Tasks),SMALL(IF(rng_Tasks=rng_Project,ROW(rng_Tasks)-ROW(INDEX(rng_Tasks,1,1))+1),ROW()-3))-1),0)</f>
        <v>2</v>
      </c>
      <c r="J5" s="20" t="str">
        <f ca="1">IF(AND($J$1&lt;&gt;"All Projects",$J$1&lt;&gt;Q5),0,OFFSET('Data Sheet'!$B$1,Dashboard!$I5,Dashboard!J$3))</f>
        <v>Project 3 - Task 1</v>
      </c>
      <c r="K5" s="12" t="str">
        <f ca="1">OFFSET('Data Sheet'!$B$1,Dashboard!$I5,Dashboard!K$3)</f>
        <v>Person 2</v>
      </c>
      <c r="L5" s="84">
        <f ca="1">OFFSET('Data Sheet'!$B$1,Dashboard!$I5,Dashboard!L$3)</f>
        <v>45347</v>
      </c>
      <c r="M5" s="84">
        <f t="shared" ca="1" si="1"/>
        <v>45352</v>
      </c>
      <c r="N5" s="17">
        <f ca="1">OFFSET('Data Sheet'!$B$1,Dashboard!$I5,Dashboard!N$3)</f>
        <v>6</v>
      </c>
      <c r="O5" s="13">
        <f ca="1">OFFSET('Data Sheet'!$B$1,Dashboard!$I5,Dashboard!O$3)</f>
        <v>1</v>
      </c>
      <c r="P5" s="14">
        <f ca="1">N5*O5</f>
        <v>6</v>
      </c>
      <c r="Q5" s="24" t="str">
        <f ca="1">OFFSET('Data Sheet'!$B$1,Dashboard!$I5,Dashboard!Q$3)</f>
        <v>Project 3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H5" s="7"/>
    </row>
    <row r="6" spans="1:34" s="8" customFormat="1">
      <c r="A6"/>
      <c r="B6"/>
      <c r="C6" s="71"/>
      <c r="D6" s="71"/>
      <c r="E6" s="100"/>
      <c r="F6" s="55"/>
      <c r="G6" s="55"/>
      <c r="H6" s="55"/>
      <c r="I6" s="78" cm="1">
        <f t="array" ref="I6">IFERROR(IF(rng_Project="All Projects",ROW()-3,INDEX(ROW(rng_Tasks),SMALL(IF(rng_Tasks=rng_Project,ROW(rng_Tasks)-ROW(INDEX(rng_Tasks,1,1))+1),ROW()-3))-1),0)</f>
        <v>3</v>
      </c>
      <c r="J6" s="20" t="str">
        <f ca="1">IF(AND($J$1&lt;&gt;"All Projects",$J$1&lt;&gt;Q6),0,OFFSET('Data Sheet'!$B$1,Dashboard!$I6,Dashboard!J$3))</f>
        <v>Project 1 - Task 2</v>
      </c>
      <c r="K6" s="12" t="str">
        <f ca="1">OFFSET('Data Sheet'!$B$1,Dashboard!$I6,Dashboard!K$3)</f>
        <v>Person 3</v>
      </c>
      <c r="L6" s="84">
        <f ca="1">OFFSET('Data Sheet'!$B$1,Dashboard!$I6,Dashboard!L$3)</f>
        <v>45348</v>
      </c>
      <c r="M6" s="84">
        <f t="shared" ca="1" si="1"/>
        <v>45357</v>
      </c>
      <c r="N6" s="17">
        <f ca="1">OFFSET('Data Sheet'!$B$1,Dashboard!$I6,Dashboard!N$3)</f>
        <v>10</v>
      </c>
      <c r="O6" s="13">
        <f ca="1">OFFSET('Data Sheet'!$B$1,Dashboard!$I6,Dashboard!O$3)</f>
        <v>1</v>
      </c>
      <c r="P6" s="14">
        <f t="shared" ref="P6:P28" ca="1" si="3">N6*O6</f>
        <v>10</v>
      </c>
      <c r="Q6" s="24" t="str">
        <f ca="1">OFFSET('Data Sheet'!$B$1,Dashboard!$I6,Dashboard!Q$3)</f>
        <v>Project 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7"/>
    </row>
    <row r="7" spans="1:34" s="8" customFormat="1">
      <c r="A7"/>
      <c r="B7"/>
      <c r="C7" s="71"/>
      <c r="D7" s="71"/>
      <c r="E7" s="100"/>
      <c r="F7" s="55"/>
      <c r="G7" s="55"/>
      <c r="H7" s="55"/>
      <c r="I7" s="78" cm="1">
        <f t="array" ref="I7">IFERROR(IF(rng_Project="All Projects",ROW()-3,INDEX(ROW(rng_Tasks),SMALL(IF(rng_Tasks=rng_Project,ROW(rng_Tasks)-ROW(INDEX(rng_Tasks,1,1))+1),ROW()-3))-1),0)</f>
        <v>4</v>
      </c>
      <c r="J7" s="20" t="str">
        <f ca="1">IF(AND($J$1&lt;&gt;"All Projects",$J$1&lt;&gt;Q7),0,OFFSET('Data Sheet'!$B$1,Dashboard!$I7,Dashboard!J$3))</f>
        <v>Project 1 - Task 3</v>
      </c>
      <c r="K7" s="12" t="str">
        <f ca="1">OFFSET('Data Sheet'!$B$1,Dashboard!$I7,Dashboard!K$3)</f>
        <v>Person 4</v>
      </c>
      <c r="L7" s="84">
        <f ca="1">OFFSET('Data Sheet'!$B$1,Dashboard!$I7,Dashboard!L$3)</f>
        <v>45352</v>
      </c>
      <c r="M7" s="84">
        <f t="shared" ca="1" si="1"/>
        <v>45360</v>
      </c>
      <c r="N7" s="17">
        <f ca="1">OFFSET('Data Sheet'!$B$1,Dashboard!$I7,Dashboard!N$3)</f>
        <v>9</v>
      </c>
      <c r="O7" s="13">
        <f ca="1">OFFSET('Data Sheet'!$B$1,Dashboard!$I7,Dashboard!O$3)</f>
        <v>1</v>
      </c>
      <c r="P7" s="14">
        <f t="shared" ca="1" si="3"/>
        <v>9</v>
      </c>
      <c r="Q7" s="24" t="str">
        <f ca="1">OFFSET('Data Sheet'!$B$1,Dashboard!$I7,Dashboard!Q$3)</f>
        <v>Project 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7"/>
    </row>
    <row r="8" spans="1:34" s="8" customFormat="1">
      <c r="A8"/>
      <c r="B8"/>
      <c r="C8" s="71"/>
      <c r="D8" s="71"/>
      <c r="E8" s="11"/>
      <c r="F8" s="55"/>
      <c r="G8" s="55"/>
      <c r="H8" s="55"/>
      <c r="I8" s="78" cm="1">
        <f t="array" ref="I8">IFERROR(IF(rng_Project="All Projects",ROW()-3,INDEX(ROW(rng_Tasks),SMALL(IF(rng_Tasks=rng_Project,ROW(rng_Tasks)-ROW(INDEX(rng_Tasks,1,1))+1),ROW()-3))-1),0)</f>
        <v>5</v>
      </c>
      <c r="J8" s="20" t="str">
        <f ca="1">IF(AND($J$1&lt;&gt;"All Projects",$J$1&lt;&gt;Q8),0,OFFSET('Data Sheet'!$B$1,Dashboard!$I8,Dashboard!J$3))</f>
        <v>Project 1 - Task 4</v>
      </c>
      <c r="K8" s="12" t="str">
        <f ca="1">OFFSET('Data Sheet'!$B$1,Dashboard!$I8,Dashboard!K$3)</f>
        <v>Person 5</v>
      </c>
      <c r="L8" s="84">
        <f ca="1">OFFSET('Data Sheet'!$B$1,Dashboard!$I8,Dashboard!L$3)</f>
        <v>45347</v>
      </c>
      <c r="M8" s="84">
        <f t="shared" ca="1" si="1"/>
        <v>45350</v>
      </c>
      <c r="N8" s="17">
        <f ca="1">OFFSET('Data Sheet'!$B$1,Dashboard!$I8,Dashboard!N$3)</f>
        <v>4</v>
      </c>
      <c r="O8" s="13">
        <f ca="1">OFFSET('Data Sheet'!$B$1,Dashboard!$I8,Dashboard!O$3)</f>
        <v>1</v>
      </c>
      <c r="P8" s="14">
        <f t="shared" ca="1" si="3"/>
        <v>4</v>
      </c>
      <c r="Q8" s="24" t="str">
        <f ca="1">OFFSET('Data Sheet'!$B$1,Dashboard!$I8,Dashboard!Q$3)</f>
        <v>Project 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7"/>
    </row>
    <row r="9" spans="1:34" s="8" customFormat="1">
      <c r="A9"/>
      <c r="B9"/>
      <c r="C9" s="71"/>
      <c r="D9" s="71"/>
      <c r="E9" s="11"/>
      <c r="F9" s="55"/>
      <c r="G9" s="55"/>
      <c r="H9" s="55"/>
      <c r="I9" s="78" cm="1">
        <f t="array" ref="I9">IFERROR(IF(rng_Project="All Projects",ROW()-3,INDEX(ROW(rng_Tasks),SMALL(IF(rng_Tasks=rng_Project,ROW(rng_Tasks)-ROW(INDEX(rng_Tasks,1,1))+1),ROW()-3))-1),0)</f>
        <v>6</v>
      </c>
      <c r="J9" s="20" t="str">
        <f ca="1">IF(AND($J$1&lt;&gt;"All Projects",$J$1&lt;&gt;Q9),0,OFFSET('Data Sheet'!$B$1,Dashboard!$I9,Dashboard!J$3))</f>
        <v>Project 1 - Task 5</v>
      </c>
      <c r="K9" s="12" t="str">
        <f ca="1">OFFSET('Data Sheet'!$B$1,Dashboard!$I9,Dashboard!K$3)</f>
        <v>Person 1</v>
      </c>
      <c r="L9" s="84">
        <f ca="1">OFFSET('Data Sheet'!$B$1,Dashboard!$I9,Dashboard!L$3)</f>
        <v>45350</v>
      </c>
      <c r="M9" s="84">
        <f t="shared" ca="1" si="1"/>
        <v>45355</v>
      </c>
      <c r="N9" s="17">
        <f ca="1">OFFSET('Data Sheet'!$B$1,Dashboard!$I9,Dashboard!N$3)</f>
        <v>6</v>
      </c>
      <c r="O9" s="13">
        <f ca="1">OFFSET('Data Sheet'!$B$1,Dashboard!$I9,Dashboard!O$3)</f>
        <v>1</v>
      </c>
      <c r="P9" s="14">
        <f t="shared" ca="1" si="3"/>
        <v>6</v>
      </c>
      <c r="Q9" s="24" t="str">
        <f ca="1">OFFSET('Data Sheet'!$B$1,Dashboard!$I9,Dashboard!Q$3)</f>
        <v>Project 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7"/>
    </row>
    <row r="10" spans="1:34" s="8" customFormat="1">
      <c r="A10"/>
      <c r="B10"/>
      <c r="C10" s="71"/>
      <c r="D10" s="71"/>
      <c r="E10" s="67" t="s">
        <v>0</v>
      </c>
      <c r="F10" s="68">
        <f>VLOOKUP(Dashboard!J1,'Projects Summary'!B3:G14,3,FALSE)</f>
        <v>45342</v>
      </c>
      <c r="G10" s="55"/>
      <c r="H10" s="55"/>
      <c r="I10" s="78" cm="1">
        <f t="array" ref="I10">IFERROR(IF(rng_Project="All Projects",ROW()-3,INDEX(ROW(rng_Tasks),SMALL(IF(rng_Tasks=rng_Project,ROW(rng_Tasks)-ROW(INDEX(rng_Tasks,1,1))+1),ROW()-3))-1),0)</f>
        <v>7</v>
      </c>
      <c r="J10" s="20" t="str">
        <f ca="1">IF(AND($J$1&lt;&gt;"All Projects",$J$1&lt;&gt;Q10),0,OFFSET('Data Sheet'!$B$1,Dashboard!$I10,Dashboard!J$3))</f>
        <v>Project 1 - Task 6</v>
      </c>
      <c r="K10" s="12" t="str">
        <f ca="1">OFFSET('Data Sheet'!$B$1,Dashboard!$I10,Dashboard!K$3)</f>
        <v>Person 2</v>
      </c>
      <c r="L10" s="84">
        <f ca="1">OFFSET('Data Sheet'!$B$1,Dashboard!$I10,Dashboard!L$3)</f>
        <v>45350</v>
      </c>
      <c r="M10" s="84">
        <f t="shared" ca="1" si="1"/>
        <v>45356</v>
      </c>
      <c r="N10" s="17">
        <f ca="1">OFFSET('Data Sheet'!$B$1,Dashboard!$I10,Dashboard!N$3)</f>
        <v>7</v>
      </c>
      <c r="O10" s="13">
        <f ca="1">OFFSET('Data Sheet'!$B$1,Dashboard!$I10,Dashboard!O$3)</f>
        <v>1</v>
      </c>
      <c r="P10" s="14">
        <f t="shared" ca="1" si="3"/>
        <v>7</v>
      </c>
      <c r="Q10" s="24" t="str">
        <f ca="1">OFFSET('Data Sheet'!$B$1,Dashboard!$I10,Dashboard!Q$3)</f>
        <v>Project 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7"/>
    </row>
    <row r="11" spans="1:34" s="8" customFormat="1">
      <c r="A11"/>
      <c r="B11"/>
      <c r="C11" s="71"/>
      <c r="D11" s="71"/>
      <c r="E11" s="67" t="s">
        <v>4</v>
      </c>
      <c r="F11" s="68">
        <f>VLOOKUP(Dashboard!J1,'Projects Summary'!B3:G14,4,FALSE)</f>
        <v>45372</v>
      </c>
      <c r="G11" s="55"/>
      <c r="H11" s="55"/>
      <c r="I11" s="78" cm="1">
        <f t="array" ref="I11">IFERROR(IF(rng_Project="All Projects",ROW()-3,INDEX(ROW(rng_Tasks),SMALL(IF(rng_Tasks=rng_Project,ROW(rng_Tasks)-ROW(INDEX(rng_Tasks,1,1))+1),ROW()-3))-1),0)</f>
        <v>8</v>
      </c>
      <c r="J11" s="20" t="str">
        <f ca="1">IF(AND($J$1&lt;&gt;"All Projects",$J$1&lt;&gt;Q11),0,OFFSET('Data Sheet'!$B$1,Dashboard!$I11,Dashboard!J$3))</f>
        <v>Project 1 - Task 7</v>
      </c>
      <c r="K11" s="12" t="str">
        <f ca="1">OFFSET('Data Sheet'!$B$1,Dashboard!$I11,Dashboard!K$3)</f>
        <v>Person 3</v>
      </c>
      <c r="L11" s="84">
        <f ca="1">OFFSET('Data Sheet'!$B$1,Dashboard!$I11,Dashboard!L$3)</f>
        <v>45353</v>
      </c>
      <c r="M11" s="84">
        <f t="shared" ca="1" si="1"/>
        <v>45357</v>
      </c>
      <c r="N11" s="17">
        <f ca="1">OFFSET('Data Sheet'!$B$1,Dashboard!$I11,Dashboard!N$3)</f>
        <v>5</v>
      </c>
      <c r="O11" s="13">
        <f ca="1">OFFSET('Data Sheet'!$B$1,Dashboard!$I11,Dashboard!O$3)</f>
        <v>1</v>
      </c>
      <c r="P11" s="14">
        <f t="shared" ca="1" si="3"/>
        <v>5</v>
      </c>
      <c r="Q11" s="24" t="str">
        <f ca="1">OFFSET('Data Sheet'!$B$1,Dashboard!$I11,Dashboard!Q$3)</f>
        <v>Project 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7"/>
    </row>
    <row r="12" spans="1:34" s="8" customFormat="1">
      <c r="A12"/>
      <c r="B12"/>
      <c r="C12" s="71"/>
      <c r="D12" s="71"/>
      <c r="E12" s="67" t="s">
        <v>7</v>
      </c>
      <c r="F12" s="69">
        <f>IFERROR(VLOOKUP(Dashboard!J1,'Projects Summary'!B3:G14,6,FALSE),"")</f>
        <v>0.55075000000000007</v>
      </c>
      <c r="G12" s="55"/>
      <c r="H12" s="55"/>
      <c r="I12" s="78" cm="1">
        <f t="array" ref="I12">IFERROR(IF(rng_Project="All Projects",ROW()-3,INDEX(ROW(rng_Tasks),SMALL(IF(rng_Tasks=rng_Project,ROW(rng_Tasks)-ROW(INDEX(rng_Tasks,1,1))+1),ROW()-3))-1),0)</f>
        <v>9</v>
      </c>
      <c r="J12" s="20" t="str">
        <f ca="1">IF(AND($J$1&lt;&gt;"All Projects",$J$1&lt;&gt;Q12),0,OFFSET('Data Sheet'!$B$1,Dashboard!$I12,Dashboard!J$3))</f>
        <v>Project 1 - Task 8</v>
      </c>
      <c r="K12" s="12" t="str">
        <f ca="1">OFFSET('Data Sheet'!$B$1,Dashboard!$I12,Dashboard!K$3)</f>
        <v>Person 4</v>
      </c>
      <c r="L12" s="84">
        <f ca="1">OFFSET('Data Sheet'!$B$1,Dashboard!$I12,Dashboard!L$3)</f>
        <v>45353</v>
      </c>
      <c r="M12" s="84">
        <f t="shared" ca="1" si="1"/>
        <v>45361</v>
      </c>
      <c r="N12" s="17">
        <f ca="1">OFFSET('Data Sheet'!$B$1,Dashboard!$I12,Dashboard!N$3)</f>
        <v>9</v>
      </c>
      <c r="O12" s="13">
        <f ca="1">OFFSET('Data Sheet'!$B$1,Dashboard!$I12,Dashboard!O$3)</f>
        <v>1</v>
      </c>
      <c r="P12" s="14">
        <f t="shared" ca="1" si="3"/>
        <v>9</v>
      </c>
      <c r="Q12" s="24" t="str">
        <f ca="1">OFFSET('Data Sheet'!$B$1,Dashboard!$I12,Dashboard!Q$3)</f>
        <v>Project 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7"/>
    </row>
    <row r="13" spans="1:34" s="8" customFormat="1">
      <c r="A13"/>
      <c r="B13"/>
      <c r="C13" s="71"/>
      <c r="D13" s="71"/>
      <c r="E13" s="67"/>
      <c r="F13" s="64">
        <f>1-F12</f>
        <v>0.44924999999999993</v>
      </c>
      <c r="G13" s="55"/>
      <c r="H13" s="55"/>
      <c r="I13" s="78" cm="1">
        <f t="array" ref="I13">IFERROR(IF(rng_Project="All Projects",ROW()-3,INDEX(ROW(rng_Tasks),SMALL(IF(rng_Tasks=rng_Project,ROW(rng_Tasks)-ROW(INDEX(rng_Tasks,1,1))+1),ROW()-3))-1),0)</f>
        <v>10</v>
      </c>
      <c r="J13" s="20" t="str">
        <f ca="1">IF(AND($J$1&lt;&gt;"All Projects",$J$1&lt;&gt;Q13),0,OFFSET('Data Sheet'!$B$1,Dashboard!$I13,Dashboard!J$3))</f>
        <v>Project 1 - Task 9</v>
      </c>
      <c r="K13" s="12" t="str">
        <f ca="1">OFFSET('Data Sheet'!$B$1,Dashboard!$I13,Dashboard!K$3)</f>
        <v>Person 5</v>
      </c>
      <c r="L13" s="84">
        <f ca="1">OFFSET('Data Sheet'!$B$1,Dashboard!$I13,Dashboard!L$3)</f>
        <v>45354</v>
      </c>
      <c r="M13" s="84">
        <f t="shared" ca="1" si="1"/>
        <v>45359</v>
      </c>
      <c r="N13" s="17">
        <f ca="1">OFFSET('Data Sheet'!$B$1,Dashboard!$I13,Dashboard!N$3)</f>
        <v>6</v>
      </c>
      <c r="O13" s="13">
        <f ca="1">OFFSET('Data Sheet'!$B$1,Dashboard!$I13,Dashboard!O$3)</f>
        <v>1</v>
      </c>
      <c r="P13" s="14">
        <f t="shared" ca="1" si="3"/>
        <v>6</v>
      </c>
      <c r="Q13" s="24" t="str">
        <f ca="1">OFFSET('Data Sheet'!$B$1,Dashboard!$I13,Dashboard!Q$3)</f>
        <v>Project 1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H13" s="7"/>
    </row>
    <row r="14" spans="1:34" s="8" customFormat="1">
      <c r="A14"/>
      <c r="B14"/>
      <c r="C14" s="65"/>
      <c r="D14" s="65"/>
      <c r="E14" s="89" t="s">
        <v>43</v>
      </c>
      <c r="F14" s="70" t="str">
        <f>F11-F10 &amp;" days"</f>
        <v>30 days</v>
      </c>
      <c r="G14" s="55"/>
      <c r="H14" s="55"/>
      <c r="I14" s="78" cm="1">
        <f t="array" ref="I14">IFERROR(IF(rng_Project="All Projects",ROW()-3,INDEX(ROW(rng_Tasks),SMALL(IF(rng_Tasks=rng_Project,ROW(rng_Tasks)-ROW(INDEX(rng_Tasks,1,1))+1),ROW()-3))-1),0)</f>
        <v>11</v>
      </c>
      <c r="J14" s="20" t="str">
        <f ca="1">IF(AND($J$1&lt;&gt;"All Projects",$J$1&lt;&gt;Q14),0,OFFSET('Data Sheet'!$B$1,Dashboard!$I14,Dashboard!J$3))</f>
        <v>Project 2 - Task 1</v>
      </c>
      <c r="K14" s="12" t="str">
        <f ca="1">OFFSET('Data Sheet'!$B$1,Dashboard!$I14,Dashboard!K$3)</f>
        <v>Person 1</v>
      </c>
      <c r="L14" s="84">
        <f ca="1">OFFSET('Data Sheet'!$B$1,Dashboard!$I14,Dashboard!L$3)</f>
        <v>45343</v>
      </c>
      <c r="M14" s="84">
        <f t="shared" ca="1" si="1"/>
        <v>45348</v>
      </c>
      <c r="N14" s="17">
        <f ca="1">OFFSET('Data Sheet'!$B$1,Dashboard!$I14,Dashboard!N$3)</f>
        <v>6</v>
      </c>
      <c r="O14" s="13">
        <f ca="1">OFFSET('Data Sheet'!$B$1,Dashboard!$I14,Dashboard!O$3)</f>
        <v>0.59</v>
      </c>
      <c r="P14" s="14">
        <f ca="1">N14*O14</f>
        <v>3.54</v>
      </c>
      <c r="Q14" s="24" t="str">
        <f ca="1">OFFSET('Data Sheet'!$B$1,Dashboard!$I14,Dashboard!Q$3)</f>
        <v>Project 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7"/>
    </row>
    <row r="15" spans="1:34" s="8" customFormat="1">
      <c r="A15"/>
      <c r="B15"/>
      <c r="C15" s="66"/>
      <c r="D15" s="65"/>
      <c r="E15" s="89"/>
      <c r="F15" s="70" t="str">
        <f>VLOOKUP(Dashboard!J1,'Projects Summary'!B3:G14,5,FALSE) &amp;" man-days"</f>
        <v>529 man-days</v>
      </c>
      <c r="G15" s="55"/>
      <c r="H15" s="55"/>
      <c r="I15" s="78" cm="1">
        <f t="array" ref="I15">IFERROR(IF(rng_Project="All Projects",ROW()-3,INDEX(ROW(rng_Tasks),SMALL(IF(rng_Tasks=rng_Project,ROW(rng_Tasks)-ROW(INDEX(rng_Tasks,1,1))+1),ROW()-3))-1),0)</f>
        <v>12</v>
      </c>
      <c r="J15" s="20" t="str">
        <f ca="1">IF(AND($J$1&lt;&gt;"All Projects",$J$1&lt;&gt;Q15),0,OFFSET('Data Sheet'!$B$1,Dashboard!$I15,Dashboard!J$3))</f>
        <v>Project 2 - Task 2</v>
      </c>
      <c r="K15" s="12" t="str">
        <f ca="1">OFFSET('Data Sheet'!$B$1,Dashboard!$I15,Dashboard!K$3)</f>
        <v>Person 2</v>
      </c>
      <c r="L15" s="84">
        <f ca="1">OFFSET('Data Sheet'!$B$1,Dashboard!$I15,Dashboard!L$3)</f>
        <v>45347</v>
      </c>
      <c r="M15" s="84">
        <f t="shared" ca="1" si="1"/>
        <v>45355</v>
      </c>
      <c r="N15" s="17">
        <f ca="1">OFFSET('Data Sheet'!$B$1,Dashboard!$I15,Dashboard!N$3)</f>
        <v>9</v>
      </c>
      <c r="O15" s="13">
        <f ca="1">OFFSET('Data Sheet'!$B$1,Dashboard!$I15,Dashboard!O$3)</f>
        <v>0.41</v>
      </c>
      <c r="P15" s="14">
        <f t="shared" ca="1" si="3"/>
        <v>3.69</v>
      </c>
      <c r="Q15" s="24" t="str">
        <f ca="1">OFFSET('Data Sheet'!$B$1,Dashboard!$I15,Dashboard!Q$3)</f>
        <v>Project 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7"/>
    </row>
    <row r="16" spans="1:34" s="8" customFormat="1">
      <c r="A16"/>
      <c r="B16"/>
      <c r="C16" s="97"/>
      <c r="D16" s="98"/>
      <c r="E16" s="65"/>
      <c r="F16" s="65"/>
      <c r="G16" s="65"/>
      <c r="H16" s="65"/>
      <c r="I16" s="78" cm="1">
        <f t="array" ref="I16">IFERROR(IF(rng_Project="All Projects",ROW()-3,INDEX(ROW(rng_Tasks),SMALL(IF(rng_Tasks=rng_Project,ROW(rng_Tasks)-ROW(INDEX(rng_Tasks,1,1))+1),ROW()-3))-1),0)</f>
        <v>13</v>
      </c>
      <c r="J16" s="20" t="str">
        <f ca="1">IF(AND($J$1&lt;&gt;"All Projects",$J$1&lt;&gt;Q16),0,OFFSET('Data Sheet'!$B$1,Dashboard!$I16,Dashboard!J$3))</f>
        <v>Project 2 - Task 3</v>
      </c>
      <c r="K16" s="12" t="str">
        <f ca="1">OFFSET('Data Sheet'!$B$1,Dashboard!$I16,Dashboard!K$3)</f>
        <v>Person 3</v>
      </c>
      <c r="L16" s="84">
        <f ca="1">OFFSET('Data Sheet'!$B$1,Dashboard!$I16,Dashboard!L$3)</f>
        <v>45348</v>
      </c>
      <c r="M16" s="84">
        <f t="shared" ca="1" si="1"/>
        <v>45355</v>
      </c>
      <c r="N16" s="17">
        <f ca="1">OFFSET('Data Sheet'!$B$1,Dashboard!$I16,Dashboard!N$3)</f>
        <v>8</v>
      </c>
      <c r="O16" s="13">
        <f ca="1">OFFSET('Data Sheet'!$B$1,Dashboard!$I16,Dashboard!O$3)</f>
        <v>0</v>
      </c>
      <c r="P16" s="14">
        <f t="shared" ca="1" si="3"/>
        <v>0</v>
      </c>
      <c r="Q16" s="24" t="str">
        <f ca="1">OFFSET('Data Sheet'!$B$1,Dashboard!$I16,Dashboard!Q$3)</f>
        <v>Project 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7"/>
    </row>
    <row r="17" spans="1:34" s="8" customFormat="1">
      <c r="A17"/>
      <c r="B17"/>
      <c r="C17" s="66"/>
      <c r="D17" s="65"/>
      <c r="E17" s="65"/>
      <c r="F17" s="72"/>
      <c r="G17" s="65"/>
      <c r="H17" s="65"/>
      <c r="I17" s="78" cm="1">
        <f t="array" ref="I17">IFERROR(IF(rng_Project="All Projects",ROW()-3,INDEX(ROW(rng_Tasks),SMALL(IF(rng_Tasks=rng_Project,ROW(rng_Tasks)-ROW(INDEX(rng_Tasks,1,1))+1),ROW()-3))-1),0)</f>
        <v>14</v>
      </c>
      <c r="J17" s="20" t="str">
        <f ca="1">IF(AND($J$1&lt;&gt;"All Projects",$J$1&lt;&gt;Q17),0,OFFSET('Data Sheet'!$B$1,Dashboard!$I17,Dashboard!J$3))</f>
        <v>Project 2 - Task 4</v>
      </c>
      <c r="K17" s="12" t="str">
        <f ca="1">OFFSET('Data Sheet'!$B$1,Dashboard!$I17,Dashboard!K$3)</f>
        <v>Person 4</v>
      </c>
      <c r="L17" s="84">
        <f ca="1">OFFSET('Data Sheet'!$B$1,Dashboard!$I17,Dashboard!L$3)</f>
        <v>45350</v>
      </c>
      <c r="M17" s="84">
        <f t="shared" ca="1" si="1"/>
        <v>45356</v>
      </c>
      <c r="N17" s="17">
        <f ca="1">OFFSET('Data Sheet'!$B$1,Dashboard!$I17,Dashboard!N$3)</f>
        <v>7</v>
      </c>
      <c r="O17" s="13">
        <f ca="1">OFFSET('Data Sheet'!$B$1,Dashboard!$I17,Dashboard!O$3)</f>
        <v>0.49</v>
      </c>
      <c r="P17" s="14">
        <f t="shared" ca="1" si="3"/>
        <v>3.4299999999999997</v>
      </c>
      <c r="Q17" s="24" t="str">
        <f ca="1">OFFSET('Data Sheet'!$B$1,Dashboard!$I17,Dashboard!Q$3)</f>
        <v>Project 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7"/>
    </row>
    <row r="18" spans="1:34" s="8" customFormat="1" ht="15.75">
      <c r="A18"/>
      <c r="B18"/>
      <c r="C18" s="65"/>
      <c r="D18" s="65"/>
      <c r="E18" s="73" t="s">
        <v>15</v>
      </c>
      <c r="F18" s="74">
        <f>COUNTA(Table1[Task])</f>
        <v>80</v>
      </c>
      <c r="G18" s="65"/>
      <c r="H18" s="65"/>
      <c r="I18" s="78" cm="1">
        <f t="array" ref="I18">IFERROR(IF(rng_Project="All Projects",ROW()-3,INDEX(ROW(rng_Tasks),SMALL(IF(rng_Tasks=rng_Project,ROW(rng_Tasks)-ROW(INDEX(rng_Tasks,1,1))+1),ROW()-3))-1),0)</f>
        <v>15</v>
      </c>
      <c r="J18" s="20" t="str">
        <f ca="1">IF(AND($J$1&lt;&gt;"All Projects",$J$1&lt;&gt;Q18),0,OFFSET('Data Sheet'!$B$1,Dashboard!$I18,Dashboard!J$3))</f>
        <v>Project 2 - Task 5</v>
      </c>
      <c r="K18" s="12" t="str">
        <f ca="1">OFFSET('Data Sheet'!$B$1,Dashboard!$I18,Dashboard!K$3)</f>
        <v>Person 5</v>
      </c>
      <c r="L18" s="84">
        <f ca="1">OFFSET('Data Sheet'!$B$1,Dashboard!$I18,Dashboard!L$3)</f>
        <v>45352</v>
      </c>
      <c r="M18" s="84">
        <f t="shared" ca="1" si="1"/>
        <v>45355</v>
      </c>
      <c r="N18" s="17">
        <f ca="1">OFFSET('Data Sheet'!$B$1,Dashboard!$I18,Dashboard!N$3)</f>
        <v>4</v>
      </c>
      <c r="O18" s="13">
        <f ca="1">OFFSET('Data Sheet'!$B$1,Dashboard!$I18,Dashboard!O$3)</f>
        <v>0.36</v>
      </c>
      <c r="P18" s="14">
        <f t="shared" ca="1" si="3"/>
        <v>1.44</v>
      </c>
      <c r="Q18" s="24" t="str">
        <f ca="1">OFFSET('Data Sheet'!$B$1,Dashboard!$I18,Dashboard!Q$3)</f>
        <v>Project 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7"/>
    </row>
    <row r="19" spans="1:34" s="8" customFormat="1">
      <c r="A19"/>
      <c r="B19"/>
      <c r="C19" s="65"/>
      <c r="D19" s="65"/>
      <c r="E19" s="75" t="s">
        <v>22</v>
      </c>
      <c r="F19" s="76">
        <f>COUNTIF(Table1[Progress],"=0")</f>
        <v>2</v>
      </c>
      <c r="G19" s="65"/>
      <c r="H19" s="65"/>
      <c r="I19" s="78" cm="1">
        <f t="array" ref="I19">IFERROR(IF(rng_Project="All Projects",ROW()-3,INDEX(ROW(rng_Tasks),SMALL(IF(rng_Tasks=rng_Project,ROW(rng_Tasks)-ROW(INDEX(rng_Tasks,1,1))+1),ROW()-3))-1),0)</f>
        <v>16</v>
      </c>
      <c r="J19" s="20" t="str">
        <f ca="1">IF(AND($J$1&lt;&gt;"All Projects",$J$1&lt;&gt;Q19),0,OFFSET('Data Sheet'!$B$1,Dashboard!$I19,Dashboard!J$3))</f>
        <v>Project 2 - Task 6</v>
      </c>
      <c r="K19" s="12" t="str">
        <f ca="1">OFFSET('Data Sheet'!$B$1,Dashboard!$I19,Dashboard!K$3)</f>
        <v>Person 1</v>
      </c>
      <c r="L19" s="84">
        <f ca="1">OFFSET('Data Sheet'!$B$1,Dashboard!$I19,Dashboard!L$3)</f>
        <v>45352</v>
      </c>
      <c r="M19" s="84">
        <f t="shared" ca="1" si="1"/>
        <v>45357</v>
      </c>
      <c r="N19" s="17">
        <f ca="1">OFFSET('Data Sheet'!$B$1,Dashboard!$I19,Dashboard!N$3)</f>
        <v>6</v>
      </c>
      <c r="O19" s="13">
        <f ca="1">OFFSET('Data Sheet'!$B$1,Dashboard!$I19,Dashboard!O$3)</f>
        <v>0.54</v>
      </c>
      <c r="P19" s="14">
        <f t="shared" ca="1" si="3"/>
        <v>3.24</v>
      </c>
      <c r="Q19" s="24" t="str">
        <f ca="1">OFFSET('Data Sheet'!$B$1,Dashboard!$I19,Dashboard!Q$3)</f>
        <v>Project 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7"/>
    </row>
    <row r="20" spans="1:34" s="8" customFormat="1">
      <c r="A20"/>
      <c r="B20"/>
      <c r="C20" s="65"/>
      <c r="D20" s="65"/>
      <c r="E20" s="75" t="s">
        <v>21</v>
      </c>
      <c r="F20" s="76">
        <f>COUNTIFS(Table1[Progress],"&gt;0",Table1[Progress],"&lt;1")</f>
        <v>58</v>
      </c>
      <c r="G20" s="65"/>
      <c r="H20" s="65"/>
      <c r="I20" s="78" cm="1">
        <f t="array" ref="I20">IFERROR(IF(rng_Project="All Projects",ROW()-3,INDEX(ROW(rng_Tasks),SMALL(IF(rng_Tasks=rng_Project,ROW(rng_Tasks)-ROW(INDEX(rng_Tasks,1,1))+1),ROW()-3))-1),0)</f>
        <v>17</v>
      </c>
      <c r="J20" s="20" t="str">
        <f ca="1">IF(AND($J$1&lt;&gt;"All Projects",$J$1&lt;&gt;Q20),0,OFFSET('Data Sheet'!$B$1,Dashboard!$I20,Dashboard!J$3))</f>
        <v>Project 2 - Task 7</v>
      </c>
      <c r="K20" s="12" t="str">
        <f ca="1">OFFSET('Data Sheet'!$B$1,Dashboard!$I20,Dashboard!K$3)</f>
        <v>Person 2</v>
      </c>
      <c r="L20" s="84">
        <f ca="1">OFFSET('Data Sheet'!$B$1,Dashboard!$I20,Dashboard!L$3)</f>
        <v>45355</v>
      </c>
      <c r="M20" s="84">
        <f t="shared" ca="1" si="1"/>
        <v>45360</v>
      </c>
      <c r="N20" s="17">
        <f ca="1">OFFSET('Data Sheet'!$B$1,Dashboard!$I20,Dashboard!N$3)</f>
        <v>6</v>
      </c>
      <c r="O20" s="13">
        <f ca="1">OFFSET('Data Sheet'!$B$1,Dashboard!$I20,Dashboard!O$3)</f>
        <v>0.56999999999999995</v>
      </c>
      <c r="P20" s="14">
        <f t="shared" ca="1" si="3"/>
        <v>3.42</v>
      </c>
      <c r="Q20" s="24" t="str">
        <f ca="1">OFFSET('Data Sheet'!$B$1,Dashboard!$I20,Dashboard!Q$3)</f>
        <v>Project 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7"/>
    </row>
    <row r="21" spans="1:34" s="8" customFormat="1">
      <c r="A21"/>
      <c r="B21"/>
      <c r="C21" s="65"/>
      <c r="D21" s="65"/>
      <c r="E21" s="75" t="s">
        <v>16</v>
      </c>
      <c r="F21" s="77">
        <f>COUNTIFS(Table1[Progress],"&gt;0",Table1[Progress],"&lt;=.25")</f>
        <v>11</v>
      </c>
      <c r="G21" s="65"/>
      <c r="H21" s="65"/>
      <c r="I21" s="78" cm="1">
        <f t="array" ref="I21">IFERROR(IF(rng_Project="All Projects",ROW()-3,INDEX(ROW(rng_Tasks),SMALL(IF(rng_Tasks=rng_Project,ROW(rng_Tasks)-ROW(INDEX(rng_Tasks,1,1))+1),ROW()-3))-1),0)</f>
        <v>18</v>
      </c>
      <c r="J21" s="20" t="str">
        <f ca="1">IF(AND($J$1&lt;&gt;"All Projects",$J$1&lt;&gt;Q21),0,OFFSET('Data Sheet'!$B$1,Dashboard!$I21,Dashboard!J$3))</f>
        <v>Project 2 - Task 8</v>
      </c>
      <c r="K21" s="12" t="str">
        <f ca="1">OFFSET('Data Sheet'!$B$1,Dashboard!$I21,Dashboard!K$3)</f>
        <v>Person 3</v>
      </c>
      <c r="L21" s="84">
        <f ca="1">OFFSET('Data Sheet'!$B$1,Dashboard!$I21,Dashboard!L$3)</f>
        <v>45356</v>
      </c>
      <c r="M21" s="84">
        <f t="shared" ca="1" si="1"/>
        <v>45359</v>
      </c>
      <c r="N21" s="17">
        <f ca="1">OFFSET('Data Sheet'!$B$1,Dashboard!$I21,Dashboard!N$3)</f>
        <v>4</v>
      </c>
      <c r="O21" s="13">
        <f ca="1">OFFSET('Data Sheet'!$B$1,Dashboard!$I21,Dashboard!O$3)</f>
        <v>0.22</v>
      </c>
      <c r="P21" s="14">
        <f t="shared" ca="1" si="3"/>
        <v>0.88</v>
      </c>
      <c r="Q21" s="24" t="str">
        <f ca="1">OFFSET('Data Sheet'!$B$1,Dashboard!$I21,Dashboard!Q$3)</f>
        <v>Project 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7"/>
    </row>
    <row r="22" spans="1:34" s="8" customFormat="1">
      <c r="A22"/>
      <c r="B22"/>
      <c r="C22" s="65"/>
      <c r="D22" s="65"/>
      <c r="E22" s="75" t="s">
        <v>17</v>
      </c>
      <c r="F22" s="77">
        <f>COUNTIFS(Table1[Progress],"&gt;.25",Table1[Progress],"&lt;=.5")</f>
        <v>30</v>
      </c>
      <c r="G22" s="65"/>
      <c r="H22" s="65"/>
      <c r="I22" s="78" cm="1">
        <f t="array" ref="I22">IFERROR(IF(rng_Project="All Projects",ROW()-3,INDEX(ROW(rng_Tasks),SMALL(IF(rng_Tasks=rng_Project,ROW(rng_Tasks)-ROW(INDEX(rng_Tasks,1,1))+1),ROW()-3))-1),0)</f>
        <v>19</v>
      </c>
      <c r="J22" s="20" t="str">
        <f ca="1">IF(AND($J$1&lt;&gt;"All Projects",$J$1&lt;&gt;Q22),0,OFFSET('Data Sheet'!$B$1,Dashboard!$I22,Dashboard!J$3))</f>
        <v>Project 2 - Task 9</v>
      </c>
      <c r="K22" s="12" t="str">
        <f ca="1">OFFSET('Data Sheet'!$B$1,Dashboard!$I22,Dashboard!K$3)</f>
        <v>Person 4</v>
      </c>
      <c r="L22" s="84">
        <f ca="1">OFFSET('Data Sheet'!$B$1,Dashboard!$I22,Dashboard!L$3)</f>
        <v>45358</v>
      </c>
      <c r="M22" s="84">
        <f t="shared" ca="1" si="1"/>
        <v>45364</v>
      </c>
      <c r="N22" s="17">
        <f ca="1">OFFSET('Data Sheet'!$B$1,Dashboard!$I22,Dashboard!N$3)</f>
        <v>7</v>
      </c>
      <c r="O22" s="13">
        <f ca="1">OFFSET('Data Sheet'!$B$1,Dashboard!$I22,Dashboard!O$3)</f>
        <v>0.46</v>
      </c>
      <c r="P22" s="14">
        <f t="shared" ca="1" si="3"/>
        <v>3.22</v>
      </c>
      <c r="Q22" s="24" t="str">
        <f ca="1">OFFSET('Data Sheet'!$B$1,Dashboard!$I22,Dashboard!Q$3)</f>
        <v>Project 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7"/>
    </row>
    <row r="23" spans="1:34" s="8" customFormat="1">
      <c r="A23"/>
      <c r="B23"/>
      <c r="C23" s="65"/>
      <c r="D23" s="65"/>
      <c r="E23" s="75" t="s">
        <v>18</v>
      </c>
      <c r="F23" s="77">
        <f>COUNTIFS(Table1[Progress],"&gt;.5",Table1[Progress],"&lt;=.75")</f>
        <v>15</v>
      </c>
      <c r="G23" s="65"/>
      <c r="H23" s="65"/>
      <c r="I23" s="78" cm="1">
        <f t="array" ref="I23">IFERROR(IF(rng_Project="All Projects",ROW()-3,INDEX(ROW(rng_Tasks),SMALL(IF(rng_Tasks=rng_Project,ROW(rng_Tasks)-ROW(INDEX(rng_Tasks,1,1))+1),ROW()-3))-1),0)</f>
        <v>20</v>
      </c>
      <c r="J23" s="20" t="str">
        <f ca="1">IF(AND($J$1&lt;&gt;"All Projects",$J$1&lt;&gt;Q23),0,OFFSET('Data Sheet'!$B$1,Dashboard!$I23,Dashboard!J$3))</f>
        <v>Project 2 - Task 10</v>
      </c>
      <c r="K23" s="12" t="str">
        <f ca="1">OFFSET('Data Sheet'!$B$1,Dashboard!$I23,Dashboard!K$3)</f>
        <v>Person 5</v>
      </c>
      <c r="L23" s="84">
        <f ca="1">OFFSET('Data Sheet'!$B$1,Dashboard!$I23,Dashboard!L$3)</f>
        <v>45346</v>
      </c>
      <c r="M23" s="84">
        <f t="shared" ca="1" si="1"/>
        <v>45348</v>
      </c>
      <c r="N23" s="17">
        <f ca="1">OFFSET('Data Sheet'!$B$1,Dashboard!$I23,Dashboard!N$3)</f>
        <v>3</v>
      </c>
      <c r="O23" s="13">
        <f ca="1">OFFSET('Data Sheet'!$B$1,Dashboard!$I23,Dashboard!O$3)</f>
        <v>1</v>
      </c>
      <c r="P23" s="14">
        <f t="shared" ca="1" si="3"/>
        <v>3</v>
      </c>
      <c r="Q23" s="24" t="str">
        <f ca="1">OFFSET('Data Sheet'!$B$1,Dashboard!$I23,Dashboard!Q$3)</f>
        <v>Project 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H23" s="7"/>
    </row>
    <row r="24" spans="1:34" s="8" customFormat="1">
      <c r="A24"/>
      <c r="B24"/>
      <c r="C24" s="65"/>
      <c r="D24" s="65"/>
      <c r="E24" s="75" t="s">
        <v>19</v>
      </c>
      <c r="F24" s="77">
        <f>COUNTIFS(Table1[Progress],"&gt;.75",Table1[Progress],"&lt;1")</f>
        <v>2</v>
      </c>
      <c r="G24" s="65"/>
      <c r="H24" s="65"/>
      <c r="I24" s="78" cm="1">
        <f t="array" ref="I24">IFERROR(IF(rng_Project="All Projects",ROW()-3,INDEX(ROW(rng_Tasks),SMALL(IF(rng_Tasks=rng_Project,ROW(rng_Tasks)-ROW(INDEX(rng_Tasks,1,1))+1),ROW()-3))-1),0)</f>
        <v>21</v>
      </c>
      <c r="J24" s="20" t="str">
        <f ca="1">IF(AND($J$1&lt;&gt;"All Projects",$J$1&lt;&gt;Q24),0,OFFSET('Data Sheet'!$B$1,Dashboard!$I24,Dashboard!J$3))</f>
        <v>Project 3 - Task 2</v>
      </c>
      <c r="K24" s="12" t="str">
        <f ca="1">OFFSET('Data Sheet'!$B$1,Dashboard!$I24,Dashboard!K$3)</f>
        <v>Person 1</v>
      </c>
      <c r="L24" s="84">
        <f ca="1">OFFSET('Data Sheet'!$B$1,Dashboard!$I24,Dashboard!L$3)</f>
        <v>45342</v>
      </c>
      <c r="M24" s="84">
        <f t="shared" ca="1" si="1"/>
        <v>45351</v>
      </c>
      <c r="N24" s="17">
        <f ca="1">OFFSET('Data Sheet'!$B$1,Dashboard!$I24,Dashboard!N$3)</f>
        <v>10</v>
      </c>
      <c r="O24" s="13">
        <f ca="1">OFFSET('Data Sheet'!$B$1,Dashboard!$I24,Dashboard!O$3)</f>
        <v>1</v>
      </c>
      <c r="P24" s="14">
        <f t="shared" ca="1" si="3"/>
        <v>10</v>
      </c>
      <c r="Q24" s="24" t="str">
        <f ca="1">OFFSET('Data Sheet'!$B$1,Dashboard!$I24,Dashboard!Q$3)</f>
        <v>Project 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7"/>
    </row>
    <row r="25" spans="1:34" s="8" customFormat="1">
      <c r="A25"/>
      <c r="B25"/>
      <c r="C25" s="65"/>
      <c r="D25" s="65"/>
      <c r="E25" s="75" t="s">
        <v>20</v>
      </c>
      <c r="F25" s="76">
        <f>COUNTIF(Table1[Progress],"=1")</f>
        <v>20</v>
      </c>
      <c r="G25" s="65"/>
      <c r="H25" s="65"/>
      <c r="I25" s="78" cm="1">
        <f t="array" ref="I25">IFERROR(IF(rng_Project="All Projects",ROW()-3,INDEX(ROW(rng_Tasks),SMALL(IF(rng_Tasks=rng_Project,ROW(rng_Tasks)-ROW(INDEX(rng_Tasks,1,1))+1),ROW()-3))-1),0)</f>
        <v>22</v>
      </c>
      <c r="J25" s="20" t="str">
        <f ca="1">IF(AND($J$1&lt;&gt;"All Projects",$J$1&lt;&gt;Q25),0,OFFSET('Data Sheet'!$B$1,Dashboard!$I25,Dashboard!J$3))</f>
        <v>Project 3 - Task 3</v>
      </c>
      <c r="K25" s="12" t="str">
        <f ca="1">OFFSET('Data Sheet'!$B$1,Dashboard!$I25,Dashboard!K$3)</f>
        <v>Person 2</v>
      </c>
      <c r="L25" s="84">
        <f ca="1">OFFSET('Data Sheet'!$B$1,Dashboard!$I25,Dashboard!L$3)</f>
        <v>45352</v>
      </c>
      <c r="M25" s="84">
        <f t="shared" ca="1" si="1"/>
        <v>45356</v>
      </c>
      <c r="N25" s="17">
        <f ca="1">OFFSET('Data Sheet'!$B$1,Dashboard!$I25,Dashboard!N$3)</f>
        <v>5</v>
      </c>
      <c r="O25" s="13">
        <f ca="1">OFFSET('Data Sheet'!$B$1,Dashboard!$I25,Dashboard!O$3)</f>
        <v>1</v>
      </c>
      <c r="P25" s="14">
        <f t="shared" ca="1" si="3"/>
        <v>5</v>
      </c>
      <c r="Q25" s="24" t="str">
        <f ca="1">OFFSET('Data Sheet'!$B$1,Dashboard!$I25,Dashboard!Q$3)</f>
        <v>Project 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7"/>
    </row>
    <row r="26" spans="1:34" s="8" customFormat="1">
      <c r="A26"/>
      <c r="B26"/>
      <c r="C26" s="66"/>
      <c r="D26" s="65"/>
      <c r="E26" s="65"/>
      <c r="F26" s="65"/>
      <c r="G26" s="65"/>
      <c r="H26" s="65"/>
      <c r="I26" s="78" cm="1">
        <f t="array" ref="I26">IFERROR(IF(rng_Project="All Projects",ROW()-3,INDEX(ROW(rng_Tasks),SMALL(IF(rng_Tasks=rng_Project,ROW(rng_Tasks)-ROW(INDEX(rng_Tasks,1,1))+1),ROW()-3))-1),0)</f>
        <v>23</v>
      </c>
      <c r="J26" s="20" t="str">
        <f ca="1">IF(AND($J$1&lt;&gt;"All Projects",$J$1&lt;&gt;Q26),0,OFFSET('Data Sheet'!$B$1,Dashboard!$I26,Dashboard!J$3))</f>
        <v>Project 3 - Task 4</v>
      </c>
      <c r="K26" s="12" t="str">
        <f ca="1">OFFSET('Data Sheet'!$B$1,Dashboard!$I26,Dashboard!K$3)</f>
        <v>Person 3</v>
      </c>
      <c r="L26" s="84">
        <f ca="1">OFFSET('Data Sheet'!$B$1,Dashboard!$I26,Dashboard!L$3)</f>
        <v>45354</v>
      </c>
      <c r="M26" s="84">
        <f t="shared" ref="M26:M27" ca="1" si="4">L26+N26-1</f>
        <v>45360</v>
      </c>
      <c r="N26" s="17">
        <f ca="1">OFFSET('Data Sheet'!$B$1,Dashboard!$I26,Dashboard!N$3)</f>
        <v>7</v>
      </c>
      <c r="O26" s="13">
        <f ca="1">OFFSET('Data Sheet'!$B$1,Dashboard!$I26,Dashboard!O$3)</f>
        <v>1</v>
      </c>
      <c r="P26" s="14">
        <f t="shared" ca="1" si="3"/>
        <v>7</v>
      </c>
      <c r="Q26" s="24" t="str">
        <f ca="1">OFFSET('Data Sheet'!$B$1,Dashboard!$I26,Dashboard!Q$3)</f>
        <v>Project 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H26" s="7"/>
    </row>
    <row r="27" spans="1:34" s="8" customFormat="1">
      <c r="A27"/>
      <c r="B27"/>
      <c r="C27" s="66"/>
      <c r="D27" s="65"/>
      <c r="E27" s="65"/>
      <c r="F27" s="65"/>
      <c r="G27" s="65"/>
      <c r="H27" s="65"/>
      <c r="I27" s="78" cm="1">
        <f t="array" ref="I27">IFERROR(IF(rng_Project="All Projects",ROW()-3,INDEX(ROW(rng_Tasks),SMALL(IF(rng_Tasks=rng_Project,ROW(rng_Tasks)-ROW(INDEX(rng_Tasks,1,1))+1),ROW()-3))-1),0)</f>
        <v>24</v>
      </c>
      <c r="J27" s="20" t="str">
        <f ca="1">IF(AND($J$1&lt;&gt;"All Projects",$J$1&lt;&gt;Q27),0,OFFSET('Data Sheet'!$B$1,Dashboard!$I27,Dashboard!J$3))</f>
        <v>Project 3 - Task 5</v>
      </c>
      <c r="K27" s="12" t="str">
        <f ca="1">OFFSET('Data Sheet'!$B$1,Dashboard!$I27,Dashboard!K$3)</f>
        <v>Person 4</v>
      </c>
      <c r="L27" s="84">
        <f ca="1">OFFSET('Data Sheet'!$B$1,Dashboard!$I27,Dashboard!L$3)</f>
        <v>45357</v>
      </c>
      <c r="M27" s="84">
        <f t="shared" ca="1" si="4"/>
        <v>45363</v>
      </c>
      <c r="N27" s="17">
        <f ca="1">OFFSET('Data Sheet'!$B$1,Dashboard!$I27,Dashboard!N$3)</f>
        <v>7</v>
      </c>
      <c r="O27" s="13">
        <f ca="1">OFFSET('Data Sheet'!$B$1,Dashboard!$I27,Dashboard!O$3)</f>
        <v>1</v>
      </c>
      <c r="P27" s="14">
        <f t="shared" ca="1" si="3"/>
        <v>7</v>
      </c>
      <c r="Q27" s="24" t="str">
        <f ca="1">OFFSET('Data Sheet'!$B$1,Dashboard!$I27,Dashboard!Q$3)</f>
        <v>Project 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  <c r="AH27" s="7"/>
    </row>
    <row r="28" spans="1:34" s="8" customFormat="1">
      <c r="A28"/>
      <c r="B28"/>
      <c r="C28" s="94"/>
      <c r="D28" s="95"/>
      <c r="E28" s="63"/>
      <c r="F28" s="96"/>
      <c r="G28" s="95"/>
      <c r="H28" s="28"/>
      <c r="I28" s="78" cm="1">
        <f t="array" ref="I28">IFERROR(IF(rng_Project="All Projects",ROW()-3,INDEX(ROW(rng_Tasks),SMALL(IF(rng_Tasks=rng_Project,ROW(rng_Tasks)-ROW(INDEX(rng_Tasks,1,1))+1),ROW()-3))-1),0)</f>
        <v>25</v>
      </c>
      <c r="J28" s="29" t="str">
        <f ca="1">IF(AND($J$1&lt;&gt;"All Projects",$J$1&lt;&gt;Q28),0,OFFSET('Data Sheet'!$B$1,Dashboard!$I28,Dashboard!J$3))</f>
        <v>Project 3 - Task 6</v>
      </c>
      <c r="K28" s="30" t="str">
        <f ca="1">OFFSET('Data Sheet'!$B$1,Dashboard!$I28,Dashboard!K$3)</f>
        <v>Person 5</v>
      </c>
      <c r="L28" s="85">
        <f ca="1">OFFSET('Data Sheet'!$B$1,Dashboard!$I28,Dashboard!L$3)</f>
        <v>45359</v>
      </c>
      <c r="M28" s="85">
        <f t="shared" ca="1" si="1"/>
        <v>45361</v>
      </c>
      <c r="N28" s="31">
        <f ca="1">OFFSET('Data Sheet'!$B$1,Dashboard!$I28,Dashboard!N$3)</f>
        <v>3</v>
      </c>
      <c r="O28" s="32">
        <f ca="1">OFFSET('Data Sheet'!$B$1,Dashboard!$I28,Dashboard!O$3)</f>
        <v>1</v>
      </c>
      <c r="P28" s="14">
        <f t="shared" ca="1" si="3"/>
        <v>3</v>
      </c>
      <c r="Q28" s="33" t="str">
        <f ca="1">OFFSET('Data Sheet'!$B$1,Dashboard!$I28,Dashboard!Q$3)</f>
        <v>Project 3</v>
      </c>
      <c r="R28" s="34"/>
      <c r="S28" s="34"/>
      <c r="T28" s="34"/>
      <c r="U28" s="34"/>
      <c r="V28" s="34"/>
      <c r="W28" s="34"/>
      <c r="X28" s="34"/>
      <c r="Y28" s="34"/>
      <c r="Z28" s="34"/>
      <c r="AA28" s="9"/>
      <c r="AB28" s="9"/>
      <c r="AC28" s="9"/>
      <c r="AD28" s="9"/>
      <c r="AE28" s="9"/>
      <c r="AF28" s="9"/>
      <c r="AG28" s="10"/>
      <c r="AH28" s="7"/>
    </row>
    <row r="29" spans="1:34" ht="15.75" customHeight="1">
      <c r="C29" s="93" t="s">
        <v>128</v>
      </c>
      <c r="D29" s="93"/>
      <c r="E29" s="93"/>
      <c r="F29" s="93"/>
      <c r="G29" s="93"/>
      <c r="H29" s="93"/>
      <c r="I29" s="15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</row>
    <row r="30" spans="1:34" ht="7.5" customHeight="1">
      <c r="C30" s="93"/>
      <c r="D30" s="93"/>
      <c r="E30" s="93"/>
      <c r="F30" s="93"/>
      <c r="G30" s="93"/>
      <c r="H30" s="93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</row>
    <row r="31" spans="1:34" ht="7.5" customHeight="1">
      <c r="C31" s="93"/>
      <c r="D31" s="93"/>
      <c r="E31" s="93"/>
      <c r="F31" s="93"/>
      <c r="G31" s="93"/>
      <c r="H31" s="93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</row>
    <row r="32" spans="1:34" ht="7.5" customHeight="1"/>
  </sheetData>
  <mergeCells count="10">
    <mergeCell ref="K1:P1"/>
    <mergeCell ref="J29:Y31"/>
    <mergeCell ref="E14:E15"/>
    <mergeCell ref="D2:H2"/>
    <mergeCell ref="C1:G1"/>
    <mergeCell ref="C29:H31"/>
    <mergeCell ref="C28:D28"/>
    <mergeCell ref="F28:G28"/>
    <mergeCell ref="C16:D16"/>
    <mergeCell ref="E5:E7"/>
  </mergeCells>
  <conditionalFormatting sqref="R4:AG28">
    <cfRule type="expression" dxfId="15" priority="6" stopIfTrue="1">
      <formula>IF(AND(R$2&gt;=$L4,R$2&lt;$L4+$P4),TRUE,FALSE)</formula>
    </cfRule>
    <cfRule type="expression" dxfId="14" priority="7" stopIfTrue="1">
      <formula>IF(AND(R$2&gt;=$L4,R$2&lt;=$M4),TRUE,FALSE)</formula>
    </cfRule>
  </conditionalFormatting>
  <conditionalFormatting sqref="J4:AG28">
    <cfRule type="expression" dxfId="13" priority="3" stopIfTrue="1">
      <formula>IF($J4=0,TRUE,FALSE)</formula>
    </cfRule>
  </conditionalFormatting>
  <conditionalFormatting sqref="Q4:Q28">
    <cfRule type="expression" dxfId="12" priority="2">
      <formula>IF($J4=0,TRUE,FALSE)</formula>
    </cfRule>
  </conditionalFormatting>
  <conditionalFormatting sqref="F18:F25">
    <cfRule type="dataBar" priority="1">
      <dataBar>
        <cfvo type="min" val="0"/>
        <cfvo type="max" val="0"/>
        <color theme="7" tint="0.39997558519241921"/>
      </dataBar>
      <extLst xmlns:x14="http://schemas.microsoft.com/office/spreadsheetml/2009/9/main">
        <ext uri="{B025F937-C7B1-47D3-B67F-A62EFF666E3E}">
          <x14:id>{2A2EEA41-1D50-48AC-8694-1B4092DB76D8}</x14:id>
        </ext>
      </extLst>
    </cfRule>
  </conditionalFormatting>
  <dataValidations disablePrompts="1" count="1">
    <dataValidation type="list" allowBlank="1" showInputMessage="1" showErrorMessage="1" sqref="J1">
      <formula1>rng_All_Projects</formula1>
    </dataValidation>
  </dataValidations>
  <pageMargins left="0.7" right="0.7" top="0.75" bottom="0.75" header="0.3" footer="0.3"/>
  <pageSetup paperSize="9" orientation="portrait" r:id="rId1"/>
  <ignoredErrors>
    <ignoredError sqref="K4 Q4:Q28 K28:O28 K5:P5 K26:O27 J4:J28 K15:P15 K14:O14 K16:O25 M4:P4 K7:P13 K6:M6 O6:P6" unlockedFormula="1"/>
  </ignoredErrors>
  <drawing r:id="rId2"/>
  <legacyDrawing r:id="rId3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dataBar" id="{2A2EEA41-1D50-48AC-8694-1B4092DB76D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F18:F25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tabColor theme="7"/>
  </sheetPr>
  <dimension ref="B1:H15"/>
  <sheetViews>
    <sheetView showGridLines="0" zoomScale="10" zoomScaleNormal="10" workbookViewId="0">
      <selection activeCell="B15" sqref="B15"/>
    </sheetView>
  </sheetViews>
  <sheetFormatPr defaultRowHeight="15"/>
  <cols>
    <col min="1" max="1" width="27.140625" customWidth="1"/>
    <col min="2" max="2" width="23.140625" customWidth="1"/>
    <col min="3" max="8" width="12.7109375" customWidth="1"/>
  </cols>
  <sheetData>
    <row r="1" spans="2:8">
      <c r="B1" s="101" t="s">
        <v>45</v>
      </c>
      <c r="C1" s="101"/>
      <c r="D1" s="101"/>
      <c r="E1" s="101"/>
      <c r="F1" s="101"/>
      <c r="G1" s="101"/>
      <c r="H1" s="101"/>
    </row>
    <row r="2" spans="2:8" ht="25.5" customHeight="1">
      <c r="B2" s="102"/>
      <c r="C2" s="102"/>
      <c r="D2" s="102"/>
      <c r="E2" s="102"/>
      <c r="F2" s="102"/>
      <c r="G2" s="102"/>
      <c r="H2" s="102"/>
    </row>
    <row r="3" spans="2:8" ht="15.75">
      <c r="B3" s="44" t="s">
        <v>38</v>
      </c>
      <c r="C3" s="45" t="s">
        <v>39</v>
      </c>
      <c r="D3" s="45" t="s">
        <v>35</v>
      </c>
      <c r="E3" s="45" t="s">
        <v>36</v>
      </c>
      <c r="F3" s="45" t="s">
        <v>37</v>
      </c>
      <c r="G3" s="45" t="s">
        <v>40</v>
      </c>
      <c r="H3" s="45" t="s">
        <v>42</v>
      </c>
    </row>
    <row r="4" spans="2:8">
      <c r="B4" s="38" t="s">
        <v>24</v>
      </c>
      <c r="C4" s="38">
        <f>COUNTA(Table1[Project])</f>
        <v>80</v>
      </c>
      <c r="D4" s="39">
        <f>MIN(Table1[Start Date])</f>
        <v>45342</v>
      </c>
      <c r="E4" s="39">
        <f>MAX(Table1[Start Date])+MAX(Table1[Days Req.])</f>
        <v>45372</v>
      </c>
      <c r="F4" s="38">
        <f>SUM(Table1[Days Req.])</f>
        <v>529</v>
      </c>
      <c r="G4" s="40">
        <f>AVERAGE('Data Sheet'!F:F)</f>
        <v>0.55075000000000007</v>
      </c>
      <c r="H4" s="40">
        <f>IFERROR(1-G4,"")</f>
        <v>0.44924999999999993</v>
      </c>
    </row>
    <row r="5" spans="2:8">
      <c r="B5" s="41" t="s">
        <v>25</v>
      </c>
      <c r="C5" s="38">
        <f>COUNTIF(Table1[Project],B5)</f>
        <v>9</v>
      </c>
      <c r="D5" s="39">
        <f t="array" ref="D5">MIN(IF(Table1[Project]=B5,Table1[Start Date]))</f>
        <v>45346</v>
      </c>
      <c r="E5" s="39">
        <f t="array" ref="E5">MAX(IF(Table1[Project]=B5,Table1[Start Date]))+MAX(IF(Table1[Project]=B5,Table1[Days Req.]))</f>
        <v>45364</v>
      </c>
      <c r="F5" s="38">
        <f>SUMIF(Table1[Project],'Projects Summary'!B5,Table1[Days Req.])</f>
        <v>61</v>
      </c>
      <c r="G5" s="40">
        <f>AVERAGEIF(Table1[Project],'Projects Summary'!B5,Table1[Progress])</f>
        <v>1</v>
      </c>
      <c r="H5" s="40">
        <f t="shared" ref="H5:H14" si="0">IFERROR(1-G5,"")</f>
        <v>0</v>
      </c>
    </row>
    <row r="6" spans="2:8">
      <c r="B6" s="41" t="s">
        <v>26</v>
      </c>
      <c r="C6" s="38">
        <f>COUNTIF(Table1[Project],B6)</f>
        <v>10</v>
      </c>
      <c r="D6" s="39">
        <f t="array" ref="D6">MIN(IF(Table1[Project]=B6,Table1[Start Date]))</f>
        <v>45343</v>
      </c>
      <c r="E6" s="39">
        <f t="array" ref="E6">MAX(IF(Table1[Project]=B6,Table1[Start Date]))+MAX(IF(Table1[Project]=B6,Table1[Days Req.]))</f>
        <v>45367</v>
      </c>
      <c r="F6" s="38">
        <f>SUMIF(Table1[Project],'Projects Summary'!B6,Table1[Days Req.])</f>
        <v>60</v>
      </c>
      <c r="G6" s="40">
        <f>AVERAGEIF(Table1[Project],'Projects Summary'!B6,Table1[Progress])</f>
        <v>0.46400000000000008</v>
      </c>
      <c r="H6" s="40">
        <f t="shared" si="0"/>
        <v>0.53599999999999992</v>
      </c>
    </row>
    <row r="7" spans="2:8">
      <c r="B7" s="41" t="s">
        <v>27</v>
      </c>
      <c r="C7" s="38">
        <f>COUNTIF(Table1[Project],B7)</f>
        <v>6</v>
      </c>
      <c r="D7" s="39">
        <f t="array" ref="D7">MIN(IF(Table1[Project]=B7,Table1[Start Date]))</f>
        <v>45342</v>
      </c>
      <c r="E7" s="39">
        <f t="array" ref="E7">MAX(IF(Table1[Project]=B7,Table1[Start Date]))+MAX(IF(Table1[Project]=B7,Table1[Days Req.]))</f>
        <v>45369</v>
      </c>
      <c r="F7" s="38">
        <f>SUMIF(Table1[Project],'Projects Summary'!B7,Table1[Days Req.])</f>
        <v>38</v>
      </c>
      <c r="G7" s="40">
        <f>AVERAGEIF(Table1[Project],'Projects Summary'!B7,Table1[Progress])</f>
        <v>1</v>
      </c>
      <c r="H7" s="40">
        <f t="shared" si="0"/>
        <v>0</v>
      </c>
    </row>
    <row r="8" spans="2:8">
      <c r="B8" s="41" t="s">
        <v>28</v>
      </c>
      <c r="C8" s="38">
        <f>COUNTIF(Table1[Project],B8)</f>
        <v>7</v>
      </c>
      <c r="D8" s="39">
        <f t="array" ref="D8">MIN(IF(Table1[Project]=B8,Table1[Start Date]))</f>
        <v>45346</v>
      </c>
      <c r="E8" s="39">
        <f t="array" ref="E8">MAX(IF(Table1[Project]=B8,Table1[Start Date]))+MAX(IF(Table1[Project]=B8,Table1[Days Req.]))</f>
        <v>45372</v>
      </c>
      <c r="F8" s="38">
        <f>SUMIF(Table1[Project],'Projects Summary'!B8,Table1[Days Req.])</f>
        <v>51</v>
      </c>
      <c r="G8" s="40">
        <f>AVERAGEIF(Table1[Project],'Projects Summary'!B8,Table1[Progress])</f>
        <v>0.44428571428571428</v>
      </c>
      <c r="H8" s="40">
        <f t="shared" si="0"/>
        <v>0.55571428571428572</v>
      </c>
    </row>
    <row r="9" spans="2:8">
      <c r="B9" s="41" t="s">
        <v>29</v>
      </c>
      <c r="C9" s="38">
        <f>COUNTIF(Table1[Project],B9)</f>
        <v>8</v>
      </c>
      <c r="D9" s="39">
        <f t="array" ref="D9">MIN(IF(Table1[Project]=B9,Table1[Start Date]))</f>
        <v>45349</v>
      </c>
      <c r="E9" s="39">
        <f t="array" ref="E9">MAX(IF(Table1[Project]=B9,Table1[Start Date]))+MAX(IF(Table1[Project]=B9,Table1[Days Req.]))</f>
        <v>45371</v>
      </c>
      <c r="F9" s="38">
        <f>SUMIF(Table1[Project],'Projects Summary'!B9,Table1[Days Req.])</f>
        <v>55</v>
      </c>
      <c r="G9" s="40">
        <f>AVERAGEIF(Table1[Project],'Projects Summary'!B9,Table1[Progress])</f>
        <v>0.33875</v>
      </c>
      <c r="H9" s="40">
        <f t="shared" si="0"/>
        <v>0.66125</v>
      </c>
    </row>
    <row r="10" spans="2:8">
      <c r="B10" s="41" t="s">
        <v>30</v>
      </c>
      <c r="C10" s="38">
        <f>COUNTIF(Table1[Project],B10)</f>
        <v>8</v>
      </c>
      <c r="D10" s="39">
        <f t="array" ref="D10">MIN(IF(Table1[Project]=B10,Table1[Start Date]))</f>
        <v>45346</v>
      </c>
      <c r="E10" s="39">
        <f t="array" ref="E10">MAX(IF(Table1[Project]=B10,Table1[Start Date]))+MAX(IF(Table1[Project]=B10,Table1[Days Req.]))</f>
        <v>45363</v>
      </c>
      <c r="F10" s="38">
        <f>SUMIF(Table1[Project],'Projects Summary'!B10,Table1[Days Req.])</f>
        <v>52</v>
      </c>
      <c r="G10" s="40">
        <f>AVERAGEIF(Table1[Project],'Projects Summary'!B10,Table1[Progress])</f>
        <v>0.62999999999999989</v>
      </c>
      <c r="H10" s="40">
        <f t="shared" si="0"/>
        <v>0.37000000000000011</v>
      </c>
    </row>
    <row r="11" spans="2:8">
      <c r="B11" s="41" t="s">
        <v>31</v>
      </c>
      <c r="C11" s="38">
        <f>COUNTIF(Table1[Project],B11)</f>
        <v>9</v>
      </c>
      <c r="D11" s="39">
        <f t="array" ref="D11">MIN(IF(Table1[Project]=B11,Table1[Start Date]))</f>
        <v>45343</v>
      </c>
      <c r="E11" s="39">
        <f t="array" ref="E11">MAX(IF(Table1[Project]=B11,Table1[Start Date]))+MAX(IF(Table1[Project]=B11,Table1[Days Req.]))</f>
        <v>45364</v>
      </c>
      <c r="F11" s="38">
        <f>SUMIF(Table1[Project],'Projects Summary'!B11,Table1[Days Req.])</f>
        <v>62</v>
      </c>
      <c r="G11" s="40">
        <f>AVERAGEIF(Table1[Project],'Projects Summary'!B11,Table1[Progress])</f>
        <v>0.4055555555555555</v>
      </c>
      <c r="H11" s="40">
        <f t="shared" si="0"/>
        <v>0.59444444444444455</v>
      </c>
    </row>
    <row r="12" spans="2:8">
      <c r="B12" s="41" t="s">
        <v>32</v>
      </c>
      <c r="C12" s="38">
        <f>COUNTIF(Table1[Project],B12)</f>
        <v>11</v>
      </c>
      <c r="D12" s="39">
        <f t="array" ref="D12">MIN(IF(Table1[Project]=B12,Table1[Start Date]))</f>
        <v>45342</v>
      </c>
      <c r="E12" s="39">
        <f t="array" ref="E12">MAX(IF(Table1[Project]=B12,Table1[Start Date]))+MAX(IF(Table1[Project]=B12,Table1[Days Req.]))</f>
        <v>45372</v>
      </c>
      <c r="F12" s="38">
        <f>SUMIF(Table1[Project],'Projects Summary'!B12,Table1[Days Req.])</f>
        <v>69</v>
      </c>
      <c r="G12" s="40">
        <f>AVERAGEIF(Table1[Project],'Projects Summary'!B12,Table1[Progress])</f>
        <v>0.47909090909090907</v>
      </c>
      <c r="H12" s="40">
        <f t="shared" si="0"/>
        <v>0.52090909090909099</v>
      </c>
    </row>
    <row r="13" spans="2:8">
      <c r="B13" s="41" t="s">
        <v>33</v>
      </c>
      <c r="C13" s="38">
        <f>COUNTIF(Table1[Project],B13)</f>
        <v>4</v>
      </c>
      <c r="D13" s="39">
        <f t="array" ref="D13">MIN(IF(Table1[Project]=B13,Table1[Start Date]))</f>
        <v>45349</v>
      </c>
      <c r="E13" s="39">
        <f t="array" ref="E13">MAX(IF(Table1[Project]=B13,Table1[Start Date]))+MAX(IF(Table1[Project]=B13,Table1[Days Req.]))</f>
        <v>45366</v>
      </c>
      <c r="F13" s="38">
        <f>SUMIF(Table1[Project],'Projects Summary'!B13,Table1[Days Req.])</f>
        <v>26</v>
      </c>
      <c r="G13" s="40">
        <f>AVERAGEIF(Table1[Project],'Projects Summary'!B13,Table1[Progress])</f>
        <v>0.48249999999999998</v>
      </c>
      <c r="H13" s="40">
        <f t="shared" si="0"/>
        <v>0.51750000000000007</v>
      </c>
    </row>
    <row r="14" spans="2:8">
      <c r="B14" s="41" t="s">
        <v>34</v>
      </c>
      <c r="C14" s="38">
        <f>COUNTIF(Table1[Project],B14)</f>
        <v>8</v>
      </c>
      <c r="D14" s="39">
        <f t="array" ref="D14">MIN(IF(Table1[Project]=B14,Table1[Start Date]))</f>
        <v>45349</v>
      </c>
      <c r="E14" s="39">
        <f t="array" ref="E14">MAX(IF(Table1[Project]=B14,Table1[Start Date]))+MAX(IF(Table1[Project]=B14,Table1[Days Req.]))</f>
        <v>45371</v>
      </c>
      <c r="F14" s="38">
        <f>SUMIF(Table1[Project],'Projects Summary'!B14,Table1[Days Req.])</f>
        <v>55</v>
      </c>
      <c r="G14" s="40">
        <f>AVERAGEIF(Table1[Project],'Projects Summary'!B14,Table1[Progress])</f>
        <v>0.33875</v>
      </c>
      <c r="H14" s="40">
        <f t="shared" si="0"/>
        <v>0.66125</v>
      </c>
    </row>
    <row r="15" spans="2:8">
      <c r="G15" s="35"/>
    </row>
  </sheetData>
  <mergeCells count="1">
    <mergeCell ref="B1:H2"/>
  </mergeCells>
  <conditionalFormatting sqref="C4:G14">
    <cfRule type="expression" dxfId="11" priority="3">
      <formula>IF($C4=0,TRUE,FALSE)</formula>
    </cfRule>
  </conditionalFormatting>
  <conditionalFormatting sqref="H4:H14">
    <cfRule type="expression" dxfId="10" priority="2">
      <formula>IF($C4=0,TRUE,FALSE)</formula>
    </cfRule>
  </conditionalFormatting>
  <conditionalFormatting sqref="B4">
    <cfRule type="expression" dxfId="9" priority="1">
      <formula>IF($C4=0,TRUE,FALSE)</formula>
    </cfRule>
  </conditionalFormatting>
  <pageMargins left="0.7" right="0.7" top="0.75" bottom="0.75" header="0.3" footer="0.3"/>
  <pageSetup paperSize="9" orientation="portrait" verticalDpi="0" r:id="rId1"/>
  <ignoredErrors>
    <ignoredError sqref="G10:G15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theme="7"/>
  </sheetPr>
  <dimension ref="A1:M81"/>
  <sheetViews>
    <sheetView showGridLines="0" topLeftCell="A34" zoomScale="28" zoomScaleNormal="28" workbookViewId="0">
      <selection activeCell="H15" sqref="H15"/>
    </sheetView>
  </sheetViews>
  <sheetFormatPr defaultRowHeight="15"/>
  <cols>
    <col min="1" max="1" width="25.28515625" style="36" customWidth="1"/>
    <col min="2" max="2" width="24.42578125" style="36" customWidth="1"/>
    <col min="3" max="6" width="16.28515625" style="36" customWidth="1"/>
    <col min="13" max="13" width="9.7109375" bestFit="1" customWidth="1"/>
    <col min="14" max="14" width="12.28515625" customWidth="1"/>
  </cols>
  <sheetData>
    <row r="1" spans="1:13" ht="24.75" customHeight="1">
      <c r="A1" s="46" t="s">
        <v>23</v>
      </c>
      <c r="B1" s="46" t="s">
        <v>2</v>
      </c>
      <c r="C1" s="46" t="s">
        <v>41</v>
      </c>
      <c r="D1" s="46" t="s">
        <v>0</v>
      </c>
      <c r="E1" s="46" t="s">
        <v>3</v>
      </c>
      <c r="F1" s="46" t="s">
        <v>9</v>
      </c>
    </row>
    <row r="2" spans="1:13">
      <c r="A2" s="36" t="s">
        <v>25</v>
      </c>
      <c r="B2" s="36" t="s">
        <v>46</v>
      </c>
      <c r="C2" s="36" t="s">
        <v>8</v>
      </c>
      <c r="D2" s="83">
        <v>45346</v>
      </c>
      <c r="E2" s="36">
        <v>5</v>
      </c>
      <c r="F2" s="37">
        <v>1</v>
      </c>
    </row>
    <row r="3" spans="1:13">
      <c r="A3" s="36" t="s">
        <v>27</v>
      </c>
      <c r="B3" s="36" t="s">
        <v>47</v>
      </c>
      <c r="C3" s="36" t="s">
        <v>10</v>
      </c>
      <c r="D3" s="83">
        <v>45347</v>
      </c>
      <c r="E3" s="36">
        <v>6</v>
      </c>
      <c r="F3" s="37">
        <v>1</v>
      </c>
    </row>
    <row r="4" spans="1:13">
      <c r="A4" s="36" t="s">
        <v>25</v>
      </c>
      <c r="B4" s="36" t="s">
        <v>48</v>
      </c>
      <c r="C4" s="36" t="s">
        <v>11</v>
      </c>
      <c r="D4" s="83">
        <v>45348</v>
      </c>
      <c r="E4" s="36">
        <v>10</v>
      </c>
      <c r="F4" s="37">
        <v>1</v>
      </c>
    </row>
    <row r="5" spans="1:13">
      <c r="A5" s="36" t="s">
        <v>25</v>
      </c>
      <c r="B5" s="36" t="s">
        <v>49</v>
      </c>
      <c r="C5" s="36" t="s">
        <v>12</v>
      </c>
      <c r="D5" s="83">
        <v>45352</v>
      </c>
      <c r="E5" s="36">
        <v>9</v>
      </c>
      <c r="F5" s="37">
        <v>1</v>
      </c>
    </row>
    <row r="6" spans="1:13">
      <c r="A6" s="36" t="s">
        <v>25</v>
      </c>
      <c r="B6" s="36" t="s">
        <v>50</v>
      </c>
      <c r="C6" s="36" t="s">
        <v>13</v>
      </c>
      <c r="D6" s="83">
        <v>45347</v>
      </c>
      <c r="E6" s="36">
        <v>4</v>
      </c>
      <c r="F6" s="37">
        <v>1</v>
      </c>
    </row>
    <row r="7" spans="1:13">
      <c r="A7" s="36" t="s">
        <v>25</v>
      </c>
      <c r="B7" s="36" t="s">
        <v>51</v>
      </c>
      <c r="C7" s="36" t="s">
        <v>8</v>
      </c>
      <c r="D7" s="83">
        <v>45350</v>
      </c>
      <c r="E7" s="36">
        <v>6</v>
      </c>
      <c r="F7" s="37">
        <v>1</v>
      </c>
    </row>
    <row r="8" spans="1:13">
      <c r="A8" s="36" t="s">
        <v>25</v>
      </c>
      <c r="B8" s="36" t="s">
        <v>52</v>
      </c>
      <c r="C8" s="36" t="s">
        <v>10</v>
      </c>
      <c r="D8" s="83">
        <v>45350</v>
      </c>
      <c r="E8" s="36">
        <v>7</v>
      </c>
      <c r="F8" s="37">
        <v>1</v>
      </c>
    </row>
    <row r="9" spans="1:13">
      <c r="A9" s="36" t="s">
        <v>25</v>
      </c>
      <c r="B9" s="36" t="s">
        <v>53</v>
      </c>
      <c r="C9" s="36" t="s">
        <v>11</v>
      </c>
      <c r="D9" s="83">
        <v>45353</v>
      </c>
      <c r="E9" s="36">
        <v>5</v>
      </c>
      <c r="F9" s="37">
        <v>1</v>
      </c>
      <c r="M9" s="81"/>
    </row>
    <row r="10" spans="1:13">
      <c r="A10" s="36" t="s">
        <v>25</v>
      </c>
      <c r="B10" s="36" t="s">
        <v>54</v>
      </c>
      <c r="C10" s="36" t="s">
        <v>12</v>
      </c>
      <c r="D10" s="83">
        <v>45353</v>
      </c>
      <c r="E10" s="36">
        <v>9</v>
      </c>
      <c r="F10" s="37">
        <v>1</v>
      </c>
      <c r="M10" s="82"/>
    </row>
    <row r="11" spans="1:13">
      <c r="A11" s="36" t="s">
        <v>25</v>
      </c>
      <c r="B11" s="36" t="s">
        <v>55</v>
      </c>
      <c r="C11" s="36" t="s">
        <v>13</v>
      </c>
      <c r="D11" s="83">
        <v>45354</v>
      </c>
      <c r="E11" s="36">
        <v>6</v>
      </c>
      <c r="F11" s="37">
        <v>1</v>
      </c>
    </row>
    <row r="12" spans="1:13">
      <c r="A12" s="36" t="s">
        <v>26</v>
      </c>
      <c r="B12" s="36" t="s">
        <v>56</v>
      </c>
      <c r="C12" s="36" t="s">
        <v>8</v>
      </c>
      <c r="D12" s="83">
        <v>45343</v>
      </c>
      <c r="E12" s="36">
        <v>6</v>
      </c>
      <c r="F12" s="37">
        <v>0.59</v>
      </c>
    </row>
    <row r="13" spans="1:13">
      <c r="A13" s="36" t="s">
        <v>26</v>
      </c>
      <c r="B13" s="36" t="s">
        <v>57</v>
      </c>
      <c r="C13" s="36" t="s">
        <v>10</v>
      </c>
      <c r="D13" s="83">
        <v>45347</v>
      </c>
      <c r="E13" s="36">
        <v>9</v>
      </c>
      <c r="F13" s="37">
        <v>0.41</v>
      </c>
    </row>
    <row r="14" spans="1:13">
      <c r="A14" s="36" t="s">
        <v>26</v>
      </c>
      <c r="B14" s="36" t="s">
        <v>58</v>
      </c>
      <c r="C14" s="36" t="s">
        <v>11</v>
      </c>
      <c r="D14" s="83">
        <v>45348</v>
      </c>
      <c r="E14" s="36">
        <v>8</v>
      </c>
      <c r="F14" s="37">
        <v>0</v>
      </c>
    </row>
    <row r="15" spans="1:13">
      <c r="A15" s="36" t="s">
        <v>26</v>
      </c>
      <c r="B15" s="36" t="s">
        <v>59</v>
      </c>
      <c r="C15" s="36" t="s">
        <v>12</v>
      </c>
      <c r="D15" s="83">
        <v>45350</v>
      </c>
      <c r="E15" s="36">
        <v>7</v>
      </c>
      <c r="F15" s="37">
        <v>0.49</v>
      </c>
    </row>
    <row r="16" spans="1:13">
      <c r="A16" s="36" t="s">
        <v>26</v>
      </c>
      <c r="B16" s="36" t="s">
        <v>60</v>
      </c>
      <c r="C16" s="36" t="s">
        <v>13</v>
      </c>
      <c r="D16" s="83">
        <v>45352</v>
      </c>
      <c r="E16" s="36">
        <v>4</v>
      </c>
      <c r="F16" s="37">
        <v>0.36</v>
      </c>
    </row>
    <row r="17" spans="1:6">
      <c r="A17" s="36" t="s">
        <v>26</v>
      </c>
      <c r="B17" s="36" t="s">
        <v>61</v>
      </c>
      <c r="C17" s="36" t="s">
        <v>8</v>
      </c>
      <c r="D17" s="83">
        <v>45352</v>
      </c>
      <c r="E17" s="36">
        <v>6</v>
      </c>
      <c r="F17" s="37">
        <v>0.54</v>
      </c>
    </row>
    <row r="18" spans="1:6">
      <c r="A18" s="36" t="s">
        <v>26</v>
      </c>
      <c r="B18" s="36" t="s">
        <v>62</v>
      </c>
      <c r="C18" s="36" t="s">
        <v>10</v>
      </c>
      <c r="D18" s="83">
        <v>45355</v>
      </c>
      <c r="E18" s="36">
        <v>6</v>
      </c>
      <c r="F18" s="37">
        <v>0.56999999999999995</v>
      </c>
    </row>
    <row r="19" spans="1:6">
      <c r="A19" s="36" t="s">
        <v>26</v>
      </c>
      <c r="B19" s="36" t="s">
        <v>63</v>
      </c>
      <c r="C19" s="36" t="s">
        <v>11</v>
      </c>
      <c r="D19" s="83">
        <v>45356</v>
      </c>
      <c r="E19" s="36">
        <v>4</v>
      </c>
      <c r="F19" s="37">
        <v>0.22</v>
      </c>
    </row>
    <row r="20" spans="1:6">
      <c r="A20" s="36" t="s">
        <v>26</v>
      </c>
      <c r="B20" s="36" t="s">
        <v>64</v>
      </c>
      <c r="C20" s="36" t="s">
        <v>12</v>
      </c>
      <c r="D20" s="83">
        <v>45358</v>
      </c>
      <c r="E20" s="36">
        <v>7</v>
      </c>
      <c r="F20" s="37">
        <v>0.46</v>
      </c>
    </row>
    <row r="21" spans="1:6">
      <c r="A21" s="36" t="s">
        <v>26</v>
      </c>
      <c r="B21" s="36" t="s">
        <v>65</v>
      </c>
      <c r="C21" s="36" t="s">
        <v>13</v>
      </c>
      <c r="D21" s="83">
        <v>45346</v>
      </c>
      <c r="E21" s="36">
        <v>3</v>
      </c>
      <c r="F21" s="37">
        <v>1</v>
      </c>
    </row>
    <row r="22" spans="1:6">
      <c r="A22" s="36" t="s">
        <v>27</v>
      </c>
      <c r="B22" s="36" t="s">
        <v>66</v>
      </c>
      <c r="C22" s="36" t="s">
        <v>8</v>
      </c>
      <c r="D22" s="83">
        <v>45342</v>
      </c>
      <c r="E22" s="36">
        <v>10</v>
      </c>
      <c r="F22" s="37">
        <v>1</v>
      </c>
    </row>
    <row r="23" spans="1:6">
      <c r="A23" s="36" t="s">
        <v>27</v>
      </c>
      <c r="B23" s="36" t="s">
        <v>67</v>
      </c>
      <c r="C23" s="36" t="s">
        <v>10</v>
      </c>
      <c r="D23" s="83">
        <v>45352</v>
      </c>
      <c r="E23" s="36">
        <v>5</v>
      </c>
      <c r="F23" s="37">
        <v>1</v>
      </c>
    </row>
    <row r="24" spans="1:6">
      <c r="A24" s="36" t="s">
        <v>27</v>
      </c>
      <c r="B24" s="36" t="s">
        <v>68</v>
      </c>
      <c r="C24" s="36" t="s">
        <v>11</v>
      </c>
      <c r="D24" s="83">
        <v>45354</v>
      </c>
      <c r="E24" s="36">
        <v>7</v>
      </c>
      <c r="F24" s="37">
        <v>1</v>
      </c>
    </row>
    <row r="25" spans="1:6">
      <c r="A25" s="36" t="s">
        <v>27</v>
      </c>
      <c r="B25" s="36" t="s">
        <v>69</v>
      </c>
      <c r="C25" s="36" t="s">
        <v>12</v>
      </c>
      <c r="D25" s="83">
        <v>45357</v>
      </c>
      <c r="E25" s="36">
        <v>7</v>
      </c>
      <c r="F25" s="37">
        <v>1</v>
      </c>
    </row>
    <row r="26" spans="1:6">
      <c r="A26" s="36" t="s">
        <v>27</v>
      </c>
      <c r="B26" s="36" t="s">
        <v>70</v>
      </c>
      <c r="C26" s="36" t="s">
        <v>13</v>
      </c>
      <c r="D26" s="83">
        <v>45359</v>
      </c>
      <c r="E26" s="36">
        <v>3</v>
      </c>
      <c r="F26" s="37">
        <v>1</v>
      </c>
    </row>
    <row r="27" spans="1:6">
      <c r="A27" s="36" t="s">
        <v>28</v>
      </c>
      <c r="B27" s="36" t="s">
        <v>71</v>
      </c>
      <c r="C27" s="36" t="s">
        <v>8</v>
      </c>
      <c r="D27" s="83">
        <v>45361</v>
      </c>
      <c r="E27" s="36">
        <v>9</v>
      </c>
      <c r="F27" s="37">
        <v>0.88</v>
      </c>
    </row>
    <row r="28" spans="1:6">
      <c r="A28" s="36" t="s">
        <v>28</v>
      </c>
      <c r="B28" s="36" t="s">
        <v>72</v>
      </c>
      <c r="C28" s="36" t="s">
        <v>10</v>
      </c>
      <c r="D28" s="83">
        <v>45362</v>
      </c>
      <c r="E28" s="36">
        <v>10</v>
      </c>
      <c r="F28" s="37">
        <v>0.2</v>
      </c>
    </row>
    <row r="29" spans="1:6">
      <c r="A29" s="36" t="s">
        <v>28</v>
      </c>
      <c r="B29" s="36" t="s">
        <v>73</v>
      </c>
      <c r="C29" s="36" t="s">
        <v>11</v>
      </c>
      <c r="D29" s="83">
        <v>45346</v>
      </c>
      <c r="E29" s="36">
        <v>4</v>
      </c>
      <c r="F29" s="37">
        <v>0.1</v>
      </c>
    </row>
    <row r="30" spans="1:6">
      <c r="A30" s="36" t="s">
        <v>28</v>
      </c>
      <c r="B30" s="36" t="s">
        <v>74</v>
      </c>
      <c r="C30" s="36" t="s">
        <v>12</v>
      </c>
      <c r="D30" s="83">
        <v>45349</v>
      </c>
      <c r="E30" s="36">
        <v>8</v>
      </c>
      <c r="F30" s="37">
        <v>0.6</v>
      </c>
    </row>
    <row r="31" spans="1:6">
      <c r="A31" s="36" t="s">
        <v>28</v>
      </c>
      <c r="B31" s="36" t="s">
        <v>75</v>
      </c>
      <c r="C31" s="36" t="s">
        <v>13</v>
      </c>
      <c r="D31" s="83">
        <v>45353</v>
      </c>
      <c r="E31" s="36">
        <v>10</v>
      </c>
      <c r="F31" s="37">
        <v>0.34</v>
      </c>
    </row>
    <row r="32" spans="1:6">
      <c r="A32" s="36" t="s">
        <v>28</v>
      </c>
      <c r="B32" s="36" t="s">
        <v>76</v>
      </c>
      <c r="C32" s="36" t="s">
        <v>8</v>
      </c>
      <c r="D32" s="83">
        <v>45356</v>
      </c>
      <c r="E32" s="36">
        <v>6</v>
      </c>
      <c r="F32" s="37">
        <v>0.51</v>
      </c>
    </row>
    <row r="33" spans="1:6">
      <c r="A33" s="36" t="s">
        <v>28</v>
      </c>
      <c r="B33" s="36" t="s">
        <v>77</v>
      </c>
      <c r="C33" s="36" t="s">
        <v>10</v>
      </c>
      <c r="D33" s="83">
        <v>45356</v>
      </c>
      <c r="E33" s="36">
        <v>4</v>
      </c>
      <c r="F33" s="37">
        <v>0.48</v>
      </c>
    </row>
    <row r="34" spans="1:6">
      <c r="A34" s="36" t="s">
        <v>29</v>
      </c>
      <c r="B34" s="36" t="s">
        <v>78</v>
      </c>
      <c r="C34" s="36" t="s">
        <v>11</v>
      </c>
      <c r="D34" s="83">
        <v>45359</v>
      </c>
      <c r="E34" s="36">
        <v>8</v>
      </c>
      <c r="F34" s="37">
        <v>0.32</v>
      </c>
    </row>
    <row r="35" spans="1:6">
      <c r="A35" s="36" t="s">
        <v>29</v>
      </c>
      <c r="B35" s="36" t="s">
        <v>79</v>
      </c>
      <c r="C35" s="36" t="s">
        <v>12</v>
      </c>
      <c r="D35" s="83">
        <v>45361</v>
      </c>
      <c r="E35" s="36">
        <v>9</v>
      </c>
      <c r="F35" s="37">
        <v>0.42</v>
      </c>
    </row>
    <row r="36" spans="1:6">
      <c r="A36" s="36" t="s">
        <v>29</v>
      </c>
      <c r="B36" s="36" t="s">
        <v>80</v>
      </c>
      <c r="C36" s="36" t="s">
        <v>13</v>
      </c>
      <c r="D36" s="83">
        <v>45350</v>
      </c>
      <c r="E36" s="36">
        <v>5</v>
      </c>
      <c r="F36" s="37">
        <v>0.59</v>
      </c>
    </row>
    <row r="37" spans="1:6">
      <c r="A37" s="36" t="s">
        <v>29</v>
      </c>
      <c r="B37" s="36" t="s">
        <v>81</v>
      </c>
      <c r="C37" s="36" t="s">
        <v>8</v>
      </c>
      <c r="D37" s="83">
        <v>45349</v>
      </c>
      <c r="E37" s="36">
        <v>3</v>
      </c>
      <c r="F37" s="37">
        <v>0.31</v>
      </c>
    </row>
    <row r="38" spans="1:6">
      <c r="A38" s="36" t="s">
        <v>29</v>
      </c>
      <c r="B38" s="36" t="s">
        <v>82</v>
      </c>
      <c r="C38" s="36" t="s">
        <v>10</v>
      </c>
      <c r="D38" s="83">
        <v>45352</v>
      </c>
      <c r="E38" s="36">
        <v>7</v>
      </c>
      <c r="F38" s="37">
        <v>0.49</v>
      </c>
    </row>
    <row r="39" spans="1:6">
      <c r="A39" s="36" t="s">
        <v>29</v>
      </c>
      <c r="B39" s="36" t="s">
        <v>83</v>
      </c>
      <c r="C39" s="36" t="s">
        <v>11</v>
      </c>
      <c r="D39" s="83">
        <v>45353</v>
      </c>
      <c r="E39" s="36">
        <v>10</v>
      </c>
      <c r="F39" s="37">
        <v>0.16</v>
      </c>
    </row>
    <row r="40" spans="1:6">
      <c r="A40" s="36" t="s">
        <v>29</v>
      </c>
      <c r="B40" s="36" t="s">
        <v>84</v>
      </c>
      <c r="C40" s="36" t="s">
        <v>12</v>
      </c>
      <c r="D40" s="83">
        <v>45353</v>
      </c>
      <c r="E40" s="36">
        <v>10</v>
      </c>
      <c r="F40" s="37">
        <v>0.31</v>
      </c>
    </row>
    <row r="41" spans="1:6">
      <c r="A41" s="36" t="s">
        <v>29</v>
      </c>
      <c r="B41" s="36" t="s">
        <v>85</v>
      </c>
      <c r="C41" s="36" t="s">
        <v>13</v>
      </c>
      <c r="D41" s="83">
        <v>45353</v>
      </c>
      <c r="E41" s="36">
        <v>3</v>
      </c>
      <c r="F41" s="37">
        <v>0.11</v>
      </c>
    </row>
    <row r="42" spans="1:6">
      <c r="A42" s="36" t="s">
        <v>30</v>
      </c>
      <c r="B42" s="36" t="s">
        <v>86</v>
      </c>
      <c r="C42" s="36" t="s">
        <v>8</v>
      </c>
      <c r="D42" s="83">
        <v>45346</v>
      </c>
      <c r="E42" s="36">
        <v>5</v>
      </c>
      <c r="F42" s="37">
        <v>0.47</v>
      </c>
    </row>
    <row r="43" spans="1:6">
      <c r="A43" s="36" t="s">
        <v>30</v>
      </c>
      <c r="B43" s="36" t="s">
        <v>87</v>
      </c>
      <c r="C43" s="36" t="s">
        <v>10</v>
      </c>
      <c r="D43" s="83">
        <v>45347</v>
      </c>
      <c r="E43" s="36">
        <v>6</v>
      </c>
      <c r="F43" s="37">
        <v>0.43</v>
      </c>
    </row>
    <row r="44" spans="1:6">
      <c r="A44" s="36" t="s">
        <v>30</v>
      </c>
      <c r="B44" s="36" t="s">
        <v>88</v>
      </c>
      <c r="C44" s="36" t="s">
        <v>11</v>
      </c>
      <c r="D44" s="83">
        <v>45348</v>
      </c>
      <c r="E44" s="36">
        <v>10</v>
      </c>
      <c r="F44" s="37">
        <v>0.38</v>
      </c>
    </row>
    <row r="45" spans="1:6">
      <c r="A45" s="36" t="s">
        <v>30</v>
      </c>
      <c r="B45" s="36" t="s">
        <v>89</v>
      </c>
      <c r="C45" s="36" t="s">
        <v>12</v>
      </c>
      <c r="D45" s="83">
        <v>45352</v>
      </c>
      <c r="E45" s="36">
        <v>9</v>
      </c>
      <c r="F45" s="37">
        <v>1</v>
      </c>
    </row>
    <row r="46" spans="1:6">
      <c r="A46" s="36" t="s">
        <v>30</v>
      </c>
      <c r="B46" s="36" t="s">
        <v>90</v>
      </c>
      <c r="C46" s="36" t="s">
        <v>13</v>
      </c>
      <c r="D46" s="83">
        <v>45347</v>
      </c>
      <c r="E46" s="36">
        <v>4</v>
      </c>
      <c r="F46" s="37">
        <v>1</v>
      </c>
    </row>
    <row r="47" spans="1:6">
      <c r="A47" s="36" t="s">
        <v>30</v>
      </c>
      <c r="B47" s="36" t="s">
        <v>91</v>
      </c>
      <c r="C47" s="36" t="s">
        <v>8</v>
      </c>
      <c r="D47" s="83">
        <v>45350</v>
      </c>
      <c r="E47" s="36">
        <v>6</v>
      </c>
      <c r="F47" s="37">
        <v>1</v>
      </c>
    </row>
    <row r="48" spans="1:6">
      <c r="A48" s="36" t="s">
        <v>30</v>
      </c>
      <c r="B48" s="36" t="s">
        <v>92</v>
      </c>
      <c r="C48" s="36" t="s">
        <v>10</v>
      </c>
      <c r="D48" s="83">
        <v>45350</v>
      </c>
      <c r="E48" s="36">
        <v>7</v>
      </c>
      <c r="F48" s="37">
        <v>0.42</v>
      </c>
    </row>
    <row r="49" spans="1:6">
      <c r="A49" s="36" t="s">
        <v>30</v>
      </c>
      <c r="B49" s="36" t="s">
        <v>93</v>
      </c>
      <c r="C49" s="36" t="s">
        <v>11</v>
      </c>
      <c r="D49" s="83">
        <v>45353</v>
      </c>
      <c r="E49" s="36">
        <v>5</v>
      </c>
      <c r="F49" s="37">
        <v>0.34</v>
      </c>
    </row>
    <row r="50" spans="1:6">
      <c r="A50" s="36" t="s">
        <v>31</v>
      </c>
      <c r="B50" s="36" t="s">
        <v>94</v>
      </c>
      <c r="C50" s="36" t="s">
        <v>12</v>
      </c>
      <c r="D50" s="83">
        <v>45353</v>
      </c>
      <c r="E50" s="36">
        <v>9</v>
      </c>
      <c r="F50" s="37">
        <v>0.14000000000000001</v>
      </c>
    </row>
    <row r="51" spans="1:6">
      <c r="A51" s="36" t="s">
        <v>31</v>
      </c>
      <c r="B51" s="36" t="s">
        <v>95</v>
      </c>
      <c r="C51" s="36" t="s">
        <v>13</v>
      </c>
      <c r="D51" s="83">
        <v>45354</v>
      </c>
      <c r="E51" s="36">
        <v>6</v>
      </c>
      <c r="F51" s="37">
        <v>0.55000000000000004</v>
      </c>
    </row>
    <row r="52" spans="1:6">
      <c r="A52" s="36" t="s">
        <v>31</v>
      </c>
      <c r="B52" s="36" t="s">
        <v>96</v>
      </c>
      <c r="C52" s="36" t="s">
        <v>8</v>
      </c>
      <c r="D52" s="83">
        <v>45343</v>
      </c>
      <c r="E52" s="36">
        <v>7</v>
      </c>
      <c r="F52" s="37">
        <v>0.59</v>
      </c>
    </row>
    <row r="53" spans="1:6">
      <c r="A53" s="36" t="s">
        <v>31</v>
      </c>
      <c r="B53" s="36" t="s">
        <v>97</v>
      </c>
      <c r="C53" s="36" t="s">
        <v>10</v>
      </c>
      <c r="D53" s="83">
        <v>45347</v>
      </c>
      <c r="E53" s="36">
        <v>9</v>
      </c>
      <c r="F53" s="37">
        <v>0.41</v>
      </c>
    </row>
    <row r="54" spans="1:6">
      <c r="A54" s="36" t="s">
        <v>31</v>
      </c>
      <c r="B54" s="36" t="s">
        <v>98</v>
      </c>
      <c r="C54" s="36" t="s">
        <v>11</v>
      </c>
      <c r="D54" s="83">
        <v>45348</v>
      </c>
      <c r="E54" s="36">
        <v>8</v>
      </c>
      <c r="F54" s="37">
        <v>0</v>
      </c>
    </row>
    <row r="55" spans="1:6">
      <c r="A55" s="36" t="s">
        <v>31</v>
      </c>
      <c r="B55" s="36" t="s">
        <v>99</v>
      </c>
      <c r="C55" s="36" t="s">
        <v>12</v>
      </c>
      <c r="D55" s="83">
        <v>45350</v>
      </c>
      <c r="E55" s="36">
        <v>7</v>
      </c>
      <c r="F55" s="37">
        <v>0.49</v>
      </c>
    </row>
    <row r="56" spans="1:6">
      <c r="A56" s="36" t="s">
        <v>31</v>
      </c>
      <c r="B56" s="36" t="s">
        <v>100</v>
      </c>
      <c r="C56" s="36" t="s">
        <v>13</v>
      </c>
      <c r="D56" s="83">
        <v>45352</v>
      </c>
      <c r="E56" s="36">
        <v>4</v>
      </c>
      <c r="F56" s="37">
        <v>0.36</v>
      </c>
    </row>
    <row r="57" spans="1:6">
      <c r="A57" s="36" t="s">
        <v>31</v>
      </c>
      <c r="B57" s="36" t="s">
        <v>101</v>
      </c>
      <c r="C57" s="36" t="s">
        <v>8</v>
      </c>
      <c r="D57" s="83">
        <v>45352</v>
      </c>
      <c r="E57" s="36">
        <v>6</v>
      </c>
      <c r="F57" s="37">
        <v>0.54</v>
      </c>
    </row>
    <row r="58" spans="1:6">
      <c r="A58" s="36" t="s">
        <v>31</v>
      </c>
      <c r="B58" s="36" t="s">
        <v>102</v>
      </c>
      <c r="C58" s="36" t="s">
        <v>10</v>
      </c>
      <c r="D58" s="83">
        <v>45355</v>
      </c>
      <c r="E58" s="36">
        <v>6</v>
      </c>
      <c r="F58" s="37">
        <v>0.56999999999999995</v>
      </c>
    </row>
    <row r="59" spans="1:6">
      <c r="A59" s="36" t="s">
        <v>32</v>
      </c>
      <c r="B59" s="36" t="s">
        <v>103</v>
      </c>
      <c r="C59" s="36" t="s">
        <v>11</v>
      </c>
      <c r="D59" s="83">
        <v>45356</v>
      </c>
      <c r="E59" s="36">
        <v>4</v>
      </c>
      <c r="F59" s="37">
        <v>0.22</v>
      </c>
    </row>
    <row r="60" spans="1:6">
      <c r="A60" s="36" t="s">
        <v>32</v>
      </c>
      <c r="B60" s="36" t="s">
        <v>104</v>
      </c>
      <c r="C60" s="36" t="s">
        <v>12</v>
      </c>
      <c r="D60" s="83">
        <v>45358</v>
      </c>
      <c r="E60" s="36">
        <v>7</v>
      </c>
      <c r="F60" s="37">
        <v>0.46</v>
      </c>
    </row>
    <row r="61" spans="1:6">
      <c r="A61" s="36" t="s">
        <v>32</v>
      </c>
      <c r="B61" s="36" t="s">
        <v>105</v>
      </c>
      <c r="C61" s="36" t="s">
        <v>13</v>
      </c>
      <c r="D61" s="83">
        <v>45346</v>
      </c>
      <c r="E61" s="36">
        <v>3</v>
      </c>
      <c r="F61" s="37">
        <v>1</v>
      </c>
    </row>
    <row r="62" spans="1:6">
      <c r="A62" s="36" t="s">
        <v>32</v>
      </c>
      <c r="B62" s="36" t="s">
        <v>106</v>
      </c>
      <c r="C62" s="36" t="s">
        <v>8</v>
      </c>
      <c r="D62" s="83">
        <v>45342</v>
      </c>
      <c r="E62" s="36">
        <v>10</v>
      </c>
      <c r="F62" s="37">
        <v>0.47</v>
      </c>
    </row>
    <row r="63" spans="1:6">
      <c r="A63" s="36" t="s">
        <v>32</v>
      </c>
      <c r="B63" s="36" t="s">
        <v>107</v>
      </c>
      <c r="C63" s="36" t="s">
        <v>10</v>
      </c>
      <c r="D63" s="83">
        <v>45352</v>
      </c>
      <c r="E63" s="36">
        <v>5</v>
      </c>
      <c r="F63" s="37">
        <v>0.55000000000000004</v>
      </c>
    </row>
    <row r="64" spans="1:6">
      <c r="A64" s="36" t="s">
        <v>32</v>
      </c>
      <c r="B64" s="36" t="s">
        <v>108</v>
      </c>
      <c r="C64" s="36" t="s">
        <v>11</v>
      </c>
      <c r="D64" s="83">
        <v>45354</v>
      </c>
      <c r="E64" s="36">
        <v>7</v>
      </c>
      <c r="F64" s="37">
        <v>0.38</v>
      </c>
    </row>
    <row r="65" spans="1:6">
      <c r="A65" s="36" t="s">
        <v>32</v>
      </c>
      <c r="B65" s="36" t="s">
        <v>109</v>
      </c>
      <c r="C65" s="36" t="s">
        <v>12</v>
      </c>
      <c r="D65" s="83">
        <v>45357</v>
      </c>
      <c r="E65" s="36">
        <v>7</v>
      </c>
      <c r="F65" s="37">
        <v>0.33</v>
      </c>
    </row>
    <row r="66" spans="1:6">
      <c r="A66" s="36" t="s">
        <v>32</v>
      </c>
      <c r="B66" s="36" t="s">
        <v>110</v>
      </c>
      <c r="C66" s="36" t="s">
        <v>13</v>
      </c>
      <c r="D66" s="83">
        <v>45359</v>
      </c>
      <c r="E66" s="36">
        <v>3</v>
      </c>
      <c r="F66" s="37">
        <v>0.68</v>
      </c>
    </row>
    <row r="67" spans="1:6">
      <c r="A67" s="36" t="s">
        <v>32</v>
      </c>
      <c r="B67" s="36" t="s">
        <v>111</v>
      </c>
      <c r="C67" s="36" t="s">
        <v>8</v>
      </c>
      <c r="D67" s="83">
        <v>45361</v>
      </c>
      <c r="E67" s="36">
        <v>9</v>
      </c>
      <c r="F67" s="37">
        <v>0.88</v>
      </c>
    </row>
    <row r="68" spans="1:6">
      <c r="A68" s="36" t="s">
        <v>32</v>
      </c>
      <c r="B68" s="36" t="s">
        <v>112</v>
      </c>
      <c r="C68" s="36" t="s">
        <v>10</v>
      </c>
      <c r="D68" s="83">
        <v>45362</v>
      </c>
      <c r="E68" s="36">
        <v>10</v>
      </c>
      <c r="F68" s="37">
        <v>0.2</v>
      </c>
    </row>
    <row r="69" spans="1:6">
      <c r="A69" s="36" t="s">
        <v>32</v>
      </c>
      <c r="B69" s="36" t="s">
        <v>113</v>
      </c>
      <c r="C69" s="36" t="s">
        <v>11</v>
      </c>
      <c r="D69" s="83">
        <v>45346</v>
      </c>
      <c r="E69" s="36">
        <v>4</v>
      </c>
      <c r="F69" s="37">
        <v>0.1</v>
      </c>
    </row>
    <row r="70" spans="1:6">
      <c r="A70" s="36" t="s">
        <v>33</v>
      </c>
      <c r="B70" s="36" t="s">
        <v>114</v>
      </c>
      <c r="C70" s="36" t="s">
        <v>12</v>
      </c>
      <c r="D70" s="83">
        <v>45349</v>
      </c>
      <c r="E70" s="36">
        <v>8</v>
      </c>
      <c r="F70" s="37">
        <v>0.6</v>
      </c>
    </row>
    <row r="71" spans="1:6">
      <c r="A71" s="36" t="s">
        <v>33</v>
      </c>
      <c r="B71" s="36" t="s">
        <v>115</v>
      </c>
      <c r="C71" s="36" t="s">
        <v>13</v>
      </c>
      <c r="D71" s="83">
        <v>45353</v>
      </c>
      <c r="E71" s="36">
        <v>10</v>
      </c>
      <c r="F71" s="37">
        <v>0.34</v>
      </c>
    </row>
    <row r="72" spans="1:6">
      <c r="A72" s="36" t="s">
        <v>33</v>
      </c>
      <c r="B72" s="36" t="s">
        <v>116</v>
      </c>
      <c r="C72" s="36" t="s">
        <v>8</v>
      </c>
      <c r="D72" s="83">
        <v>45356</v>
      </c>
      <c r="E72" s="36">
        <v>6</v>
      </c>
      <c r="F72" s="37">
        <v>0.51</v>
      </c>
    </row>
    <row r="73" spans="1:6">
      <c r="A73" s="36" t="s">
        <v>33</v>
      </c>
      <c r="B73" s="36" t="s">
        <v>117</v>
      </c>
      <c r="C73" s="36" t="s">
        <v>10</v>
      </c>
      <c r="D73" s="83">
        <v>45356</v>
      </c>
      <c r="E73" s="36">
        <v>2</v>
      </c>
      <c r="F73" s="37">
        <v>0.48</v>
      </c>
    </row>
    <row r="74" spans="1:6">
      <c r="A74" s="36" t="s">
        <v>34</v>
      </c>
      <c r="B74" s="36" t="s">
        <v>118</v>
      </c>
      <c r="C74" s="36" t="s">
        <v>11</v>
      </c>
      <c r="D74" s="83">
        <v>45359</v>
      </c>
      <c r="E74" s="36">
        <v>8</v>
      </c>
      <c r="F74" s="37">
        <v>0.32</v>
      </c>
    </row>
    <row r="75" spans="1:6">
      <c r="A75" s="36" t="s">
        <v>34</v>
      </c>
      <c r="B75" s="36" t="s">
        <v>119</v>
      </c>
      <c r="C75" s="36" t="s">
        <v>12</v>
      </c>
      <c r="D75" s="83">
        <v>45361</v>
      </c>
      <c r="E75" s="36">
        <v>9</v>
      </c>
      <c r="F75" s="37">
        <v>0.42</v>
      </c>
    </row>
    <row r="76" spans="1:6">
      <c r="A76" s="36" t="s">
        <v>34</v>
      </c>
      <c r="B76" s="36" t="s">
        <v>120</v>
      </c>
      <c r="C76" s="36" t="s">
        <v>13</v>
      </c>
      <c r="D76" s="83">
        <v>45350</v>
      </c>
      <c r="E76" s="36">
        <v>5</v>
      </c>
      <c r="F76" s="37">
        <v>0.59</v>
      </c>
    </row>
    <row r="77" spans="1:6">
      <c r="A77" s="36" t="s">
        <v>34</v>
      </c>
      <c r="B77" s="36" t="s">
        <v>121</v>
      </c>
      <c r="C77" s="36" t="s">
        <v>8</v>
      </c>
      <c r="D77" s="83">
        <v>45349</v>
      </c>
      <c r="E77" s="36">
        <v>3</v>
      </c>
      <c r="F77" s="37">
        <v>0.31</v>
      </c>
    </row>
    <row r="78" spans="1:6">
      <c r="A78" s="36" t="s">
        <v>34</v>
      </c>
      <c r="B78" s="36" t="s">
        <v>122</v>
      </c>
      <c r="C78" s="36" t="s">
        <v>10</v>
      </c>
      <c r="D78" s="83">
        <v>45352</v>
      </c>
      <c r="E78" s="36">
        <v>7</v>
      </c>
      <c r="F78" s="37">
        <v>0.49</v>
      </c>
    </row>
    <row r="79" spans="1:6">
      <c r="A79" s="36" t="s">
        <v>34</v>
      </c>
      <c r="B79" s="36" t="s">
        <v>123</v>
      </c>
      <c r="C79" s="36" t="s">
        <v>11</v>
      </c>
      <c r="D79" s="83">
        <v>45353</v>
      </c>
      <c r="E79" s="36">
        <v>10</v>
      </c>
      <c r="F79" s="37">
        <v>0.16</v>
      </c>
    </row>
    <row r="80" spans="1:6">
      <c r="A80" s="36" t="s">
        <v>34</v>
      </c>
      <c r="B80" s="36" t="s">
        <v>124</v>
      </c>
      <c r="C80" s="36" t="s">
        <v>12</v>
      </c>
      <c r="D80" s="83">
        <v>45353</v>
      </c>
      <c r="E80" s="36">
        <v>10</v>
      </c>
      <c r="F80" s="37">
        <v>0.31</v>
      </c>
    </row>
    <row r="81" spans="1:6">
      <c r="A81" s="36" t="s">
        <v>34</v>
      </c>
      <c r="B81" s="36" t="s">
        <v>125</v>
      </c>
      <c r="C81" s="36" t="s">
        <v>13</v>
      </c>
      <c r="D81" s="83">
        <v>45353</v>
      </c>
      <c r="E81" s="36">
        <v>3</v>
      </c>
      <c r="F81" s="37">
        <v>0.11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'Projects Summary'!$B$5:$B$14</xm:f>
          </x14:formula1>
          <xm:sqref>A2:A81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Dashboard</vt:lpstr>
      <vt:lpstr>Projects Summary</vt:lpstr>
      <vt:lpstr>Data Sheet</vt:lpstr>
      <vt:lpstr>rng_All_Projects</vt:lpstr>
      <vt:lpstr>rng_Project</vt:lpstr>
      <vt:lpstr>rng_Tasks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ASHOK</cp:lastModifiedBy>
  <dcterms:created xsi:type="dcterms:W3CDTF">2014-01-17T11:24:01Z</dcterms:created>
  <dcterms:modified xsi:type="dcterms:W3CDTF">2024-04-02T14:10:03Z</dcterms:modified>
</cp:coreProperties>
</file>