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d7ed5e34cceb34/Data Science on Cloud/"/>
    </mc:Choice>
  </mc:AlternateContent>
  <xr:revisionPtr revIDLastSave="0" documentId="8_{F63DCA68-8D08-4061-B9FD-30BD5F9EA813}" xr6:coauthVersionLast="47" xr6:coauthVersionMax="47" xr10:uidLastSave="{00000000-0000-0000-0000-000000000000}"/>
  <bookViews>
    <workbookView xWindow="-110" yWindow="-110" windowWidth="19420" windowHeight="11020" xr2:uid="{52276976-5D5F-4B77-AF55-C4D28E018134}"/>
  </bookViews>
  <sheets>
    <sheet name="IC" sheetId="1" r:id="rId1"/>
  </sheets>
  <definedNames>
    <definedName name="_xlnm._FilterDatabase" localSheetId="0" hidden="1">IC!$A$1:$Y$233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3" i="1" l="1"/>
  <c r="D232" i="1"/>
  <c r="D231" i="1"/>
  <c r="E230" i="1"/>
  <c r="R229" i="1"/>
  <c r="D229" i="1"/>
  <c r="D213" i="1"/>
  <c r="D212" i="1"/>
  <c r="D211" i="1"/>
  <c r="E210" i="1"/>
  <c r="R209" i="1"/>
  <c r="R208" i="1"/>
  <c r="K145" i="1"/>
  <c r="J145" i="1"/>
  <c r="H145" i="1"/>
  <c r="D145" i="1"/>
  <c r="H141" i="1"/>
  <c r="H138" i="1"/>
  <c r="H136" i="1"/>
  <c r="K133" i="1"/>
  <c r="H111" i="1"/>
  <c r="H109" i="1"/>
  <c r="H107" i="1"/>
  <c r="D106" i="1"/>
  <c r="H105" i="1"/>
  <c r="R103" i="1"/>
  <c r="K103" i="1"/>
  <c r="D103" i="1"/>
  <c r="R100" i="1"/>
  <c r="K100" i="1"/>
  <c r="D100" i="1"/>
  <c r="R99" i="1"/>
  <c r="K99" i="1"/>
  <c r="D99" i="1"/>
  <c r="H98" i="1"/>
  <c r="R97" i="1"/>
  <c r="K97" i="1"/>
  <c r="D97" i="1"/>
  <c r="R96" i="1"/>
  <c r="K96" i="1"/>
  <c r="D96" i="1"/>
  <c r="R95" i="1"/>
  <c r="R94" i="1"/>
  <c r="K94" i="1"/>
  <c r="D94" i="1"/>
  <c r="R93" i="1"/>
  <c r="D93" i="1"/>
  <c r="R92" i="1"/>
  <c r="R91" i="1"/>
  <c r="D91" i="1"/>
  <c r="R90" i="1"/>
  <c r="R89" i="1"/>
  <c r="R88" i="1"/>
  <c r="D88" i="1"/>
  <c r="R87" i="1"/>
  <c r="R86" i="1"/>
  <c r="R85" i="1"/>
  <c r="D85" i="1"/>
  <c r="R84" i="1"/>
  <c r="R83" i="1"/>
  <c r="R82" i="1"/>
  <c r="R81" i="1"/>
  <c r="R80" i="1"/>
  <c r="D80" i="1"/>
  <c r="R79" i="1"/>
  <c r="D79" i="1"/>
  <c r="R78" i="1"/>
  <c r="R77" i="1"/>
  <c r="D77" i="1"/>
  <c r="R76" i="1"/>
  <c r="D76" i="1"/>
  <c r="R75" i="1"/>
  <c r="D75" i="1"/>
  <c r="K74" i="1"/>
  <c r="K54" i="1"/>
  <c r="D54" i="1"/>
  <c r="R53" i="1"/>
  <c r="D53" i="1"/>
  <c r="R52" i="1"/>
  <c r="D52" i="1"/>
  <c r="R51" i="1"/>
  <c r="D51" i="1"/>
  <c r="R50" i="1"/>
  <c r="R49" i="1"/>
  <c r="K48" i="1"/>
  <c r="D48" i="1"/>
  <c r="K42" i="1"/>
  <c r="K41" i="1"/>
  <c r="D41" i="1"/>
  <c r="L40" i="1"/>
  <c r="K40" i="1"/>
  <c r="D40" i="1"/>
  <c r="K39" i="1"/>
  <c r="D39" i="1"/>
  <c r="K38" i="1"/>
  <c r="K36" i="1"/>
  <c r="D36" i="1"/>
  <c r="K35" i="1"/>
  <c r="D35" i="1"/>
  <c r="K32" i="1"/>
  <c r="D32" i="1"/>
  <c r="K28" i="1"/>
  <c r="D28" i="1"/>
  <c r="K27" i="1"/>
  <c r="L25" i="1"/>
  <c r="K25" i="1"/>
  <c r="D25" i="1"/>
  <c r="K24" i="1"/>
  <c r="K22" i="1"/>
  <c r="K19" i="1"/>
  <c r="K12" i="1"/>
  <c r="K11" i="1"/>
  <c r="K10" i="1"/>
</calcChain>
</file>

<file path=xl/sharedStrings.xml><?xml version="1.0" encoding="utf-8"?>
<sst xmlns="http://schemas.openxmlformats.org/spreadsheetml/2006/main" count="554" uniqueCount="65">
  <si>
    <t>Date</t>
  </si>
  <si>
    <t>Area</t>
  </si>
  <si>
    <t>Unit</t>
  </si>
  <si>
    <t>Coal &amp; Lignite</t>
  </si>
  <si>
    <t>Gas</t>
  </si>
  <si>
    <t>Diesel</t>
  </si>
  <si>
    <t>Nuclear</t>
  </si>
  <si>
    <t>Hydro</t>
  </si>
  <si>
    <t>Wind</t>
  </si>
  <si>
    <t>Small Hydro</t>
  </si>
  <si>
    <t>Biomass</t>
  </si>
  <si>
    <t>Solar</t>
  </si>
  <si>
    <t>RE_Lumpsum</t>
  </si>
  <si>
    <t>Bhutan_Import</t>
  </si>
  <si>
    <t xml:space="preserve">State </t>
  </si>
  <si>
    <t>Private</t>
  </si>
  <si>
    <t>Central</t>
  </si>
  <si>
    <t>Total</t>
  </si>
  <si>
    <t>PSP</t>
  </si>
  <si>
    <t>BESS</t>
  </si>
  <si>
    <t>Peak_Demand</t>
  </si>
  <si>
    <t>CONSIDER</t>
  </si>
  <si>
    <t>Quality</t>
  </si>
  <si>
    <t>Remark</t>
  </si>
  <si>
    <t>All India</t>
  </si>
  <si>
    <t>GW</t>
  </si>
  <si>
    <t>N</t>
  </si>
  <si>
    <t>BU</t>
  </si>
  <si>
    <t>Global</t>
  </si>
  <si>
    <t>Eastern</t>
  </si>
  <si>
    <t>North Eastern</t>
  </si>
  <si>
    <t>MW</t>
  </si>
  <si>
    <t>Northern</t>
  </si>
  <si>
    <t>Southern</t>
  </si>
  <si>
    <t>Western</t>
  </si>
  <si>
    <t>AaN</t>
  </si>
  <si>
    <t>Bihar</t>
  </si>
  <si>
    <t>DVC</t>
  </si>
  <si>
    <t>Jharkhand</t>
  </si>
  <si>
    <t>Odisha</t>
  </si>
  <si>
    <t>Sikkim</t>
  </si>
  <si>
    <t>West Bangal</t>
  </si>
  <si>
    <t>AP</t>
  </si>
  <si>
    <t>Assam</t>
  </si>
  <si>
    <t>Manipur</t>
  </si>
  <si>
    <t>Meghalaya</t>
  </si>
  <si>
    <t>Mizoram</t>
  </si>
  <si>
    <t>Nagaland</t>
  </si>
  <si>
    <t>Tripura</t>
  </si>
  <si>
    <t>Arunachal Pradesh</t>
  </si>
  <si>
    <t>Central - Unallocated in ER</t>
  </si>
  <si>
    <t>Islands</t>
  </si>
  <si>
    <t>OK</t>
  </si>
  <si>
    <t>CEA MONTHLY REPORT</t>
  </si>
  <si>
    <t>CTU Report</t>
  </si>
  <si>
    <t>20th EPS</t>
  </si>
  <si>
    <t>NOK</t>
  </si>
  <si>
    <t>2029-30, CEA Optimal Generation Capacity Report</t>
  </si>
  <si>
    <t>DUPLICATE</t>
  </si>
  <si>
    <t>Rolling Plan Report</t>
  </si>
  <si>
    <t>NEP VOL-1 GENERATION</t>
  </si>
  <si>
    <t>JS PPT-BIMSTEC</t>
  </si>
  <si>
    <t>Estimated</t>
  </si>
  <si>
    <t>Rajasthan</t>
  </si>
  <si>
    <t>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</si>
</sst>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[$-409]d/mmm/yy;@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2" fillId="4" borderId="2" xfId="0" applyFont="1" applyFill="1" applyBorder="1"/>
    <xf numFmtId="0" fontId="2" fillId="0" borderId="3" xfId="0" applyFont="1" applyBorder="1"/>
    <xf numFmtId="0" fontId="2" fillId="2" borderId="4" xfId="0" applyFont="1" applyFill="1" applyBorder="1"/>
    <xf numFmtId="0" fontId="2" fillId="0" borderId="0" xfId="0" applyFont="1"/>
    <xf numFmtId="164" fontId="0" fillId="2" borderId="5" xfId="0" applyNumberFormat="1" applyFill="1" applyBorder="1"/>
    <xf numFmtId="0" fontId="0" fillId="2" borderId="6" xfId="0" applyFill="1" applyBorder="1" applyAlignment="1">
      <alignment horizontal="left"/>
    </xf>
    <xf numFmtId="0" fontId="0" fillId="2" borderId="6" xfId="0" applyFill="1" applyBorder="1"/>
    <xf numFmtId="0" fontId="0" fillId="2" borderId="6" xfId="0" applyFill="1" applyBorder="1" applyAlignment="1">
      <alignment vertical="center"/>
    </xf>
    <xf numFmtId="0" fontId="0" fillId="0" borderId="6" xfId="0" applyBorder="1"/>
    <xf numFmtId="0" fontId="0" fillId="4" borderId="6" xfId="0" applyFill="1" applyBorder="1"/>
    <xf numFmtId="0" fontId="0" fillId="0" borderId="7" xfId="0" applyBorder="1"/>
    <xf numFmtId="165" fontId="0" fillId="2" borderId="6" xfId="0" applyNumberFormat="1" applyFill="1" applyBorder="1"/>
    <xf numFmtId="15" fontId="0" fillId="0" borderId="5" xfId="0" applyNumberFormat="1" applyBorder="1"/>
    <xf numFmtId="0" fontId="0" fillId="0" borderId="6" xfId="0" applyBorder="1" applyAlignment="1">
      <alignment horizontal="left"/>
    </xf>
    <xf numFmtId="0" fontId="0" fillId="3" borderId="6" xfId="0" applyFill="1" applyBorder="1"/>
    <xf numFmtId="0" fontId="0" fillId="3" borderId="0" xfId="0" applyFill="1"/>
    <xf numFmtId="2" fontId="0" fillId="2" borderId="6" xfId="0" applyNumberFormat="1" applyFill="1" applyBorder="1" applyProtection="1">
      <protection locked="0"/>
    </xf>
    <xf numFmtId="2" fontId="0" fillId="2" borderId="6" xfId="0" applyNumberFormat="1" applyFill="1" applyBorder="1"/>
    <xf numFmtId="0" fontId="0" fillId="5" borderId="0" xfId="0" applyFill="1"/>
    <xf numFmtId="2" fontId="0" fillId="4" borderId="6" xfId="0" applyNumberFormat="1" applyFill="1" applyBorder="1" applyProtection="1">
      <protection locked="0"/>
    </xf>
    <xf numFmtId="2" fontId="0" fillId="6" borderId="6" xfId="0" applyNumberFormat="1" applyFill="1" applyBorder="1" applyProtection="1">
      <protection locked="0"/>
    </xf>
    <xf numFmtId="166" fontId="0" fillId="2" borderId="5" xfId="0" applyNumberFormat="1" applyFill="1" applyBorder="1"/>
    <xf numFmtId="0" fontId="0" fillId="7" borderId="0" xfId="0" applyFill="1"/>
    <xf numFmtId="164" fontId="0" fillId="2" borderId="8" xfId="0" applyNumberFormat="1" applyFill="1" applyBorder="1"/>
    <xf numFmtId="0" fontId="0" fillId="8" borderId="0" xfId="0" applyFill="1"/>
    <xf numFmtId="0" fontId="0" fillId="9" borderId="6" xfId="0" applyFill="1" applyBorder="1" applyAlignment="1">
      <alignment horizontal="left"/>
    </xf>
    <xf numFmtId="0" fontId="0" fillId="9" borderId="6" xfId="0" applyFill="1" applyBorder="1"/>
    <xf numFmtId="2" fontId="0" fillId="9" borderId="6" xfId="0" applyNumberFormat="1" applyFill="1" applyBorder="1" applyProtection="1">
      <protection locked="0"/>
    </xf>
    <xf numFmtId="164" fontId="0" fillId="5" borderId="5" xfId="0" applyNumberFormat="1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2" fontId="0" fillId="5" borderId="6" xfId="0" applyNumberFormat="1" applyFill="1" applyBorder="1" applyProtection="1">
      <protection locked="0"/>
    </xf>
    <xf numFmtId="0" fontId="0" fillId="5" borderId="7" xfId="0" applyFill="1" applyBorder="1"/>
    <xf numFmtId="164" fontId="0" fillId="7" borderId="5" xfId="0" applyNumberFormat="1" applyFill="1" applyBorder="1"/>
    <xf numFmtId="0" fontId="0" fillId="7" borderId="6" xfId="0" applyFill="1" applyBorder="1" applyAlignment="1">
      <alignment horizontal="left"/>
    </xf>
    <xf numFmtId="2" fontId="0" fillId="7" borderId="6" xfId="0" applyNumberFormat="1" applyFill="1" applyBorder="1"/>
    <xf numFmtId="0" fontId="0" fillId="7" borderId="6" xfId="0" applyFill="1" applyBorder="1"/>
    <xf numFmtId="0" fontId="0" fillId="7" borderId="7" xfId="0" applyFill="1" applyBorder="1"/>
    <xf numFmtId="0" fontId="0" fillId="0" borderId="0" xfId="0" applyAlignment="1">
      <alignment horizontal="center"/>
    </xf>
    <xf numFmtId="15" fontId="0" fillId="10" borderId="5" xfId="0" applyNumberFormat="1" applyFill="1" applyBorder="1"/>
    <xf numFmtId="0" fontId="0" fillId="10" borderId="6" xfId="0" applyFill="1" applyBorder="1" applyAlignment="1">
      <alignment horizontal="left"/>
    </xf>
    <xf numFmtId="0" fontId="0" fillId="10" borderId="6" xfId="0" applyFill="1" applyBorder="1"/>
    <xf numFmtId="2" fontId="0" fillId="10" borderId="6" xfId="0" applyNumberFormat="1" applyFill="1" applyBorder="1"/>
    <xf numFmtId="0" fontId="0" fillId="10" borderId="7" xfId="0" applyFill="1" applyBorder="1"/>
    <xf numFmtId="166" fontId="0" fillId="0" borderId="5" xfId="0" applyNumberFormat="1" applyBorder="1"/>
    <xf numFmtId="0" fontId="0" fillId="0" borderId="0" xfId="0" applyAlignment="1">
      <alignment horizontal="left"/>
    </xf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0" fillId="0" borderId="10" xfId="0" applyBorder="1"/>
    <xf numFmtId="15" fontId="0" fillId="0" borderId="8" xfId="0" applyNumberFormat="1" applyBorder="1"/>
    <xf numFmtId="0" fontId="0" fillId="4" borderId="0" xfId="0" applyFill="1"/>
    <xf numFmtId="15" fontId="0" fillId="0" borderId="8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10" xfId="0" applyBorder="1" applyAlignment="1">
      <alignment horizontal="center"/>
    </xf>
    <xf numFmtId="15" fontId="0" fillId="10" borderId="8" xfId="0" applyNumberFormat="1" applyFill="1" applyBorder="1"/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10" borderId="10" xfId="0" applyFill="1" applyBorder="1" applyAlignment="1">
      <alignment horizontal="center"/>
    </xf>
    <xf numFmtId="165" fontId="0" fillId="0" borderId="0" xfId="0" applyNumberFormat="1"/>
    <xf numFmtId="0" fontId="0" fillId="4" borderId="0" xfId="0" applyFill="1" applyAlignment="1">
      <alignment horizontal="left"/>
    </xf>
    <xf numFmtId="2" fontId="0" fillId="4" borderId="0" xfId="0" applyNumberFormat="1" applyFill="1" applyAlignment="1">
      <alignment horizontal="center"/>
    </xf>
    <xf numFmtId="0" fontId="0" fillId="4" borderId="10" xfId="0" applyFill="1" applyBorder="1"/>
    <xf numFmtId="15" fontId="0" fillId="0" borderId="0" xfId="0" applyNumberFormat="1"/>
    <xf numFmtId="0" fontId="1" fillId="0" borderId="0" xfId="0" applyFont="1"/>
    <xf numFmtId="0" fontId="0" fillId="8" borderId="0" xfId="0" applyFill="1" applyAlignment="1">
      <alignment horizontal="left"/>
    </xf>
    <xf numFmtId="0" fontId="0" fillId="8" borderId="10" xfId="0" applyFill="1" applyBorder="1" applyAlignment="1">
      <alignment wrapText="1"/>
    </xf>
    <xf numFmtId="0" fontId="1" fillId="0" borderId="0" xfId="0" applyFont="1" applyAlignment="1">
      <alignment horizontal="left"/>
    </xf>
    <xf numFmtId="0" fontId="1" fillId="11" borderId="0" xfId="0" applyFont="1" applyFill="1"/>
    <xf numFmtId="0" fontId="1" fillId="12" borderId="0" xfId="0" applyFont="1" applyFill="1"/>
    <xf numFmtId="0" fontId="1" fillId="4" borderId="0" xfId="0" applyFont="1" applyFill="1"/>
    <xf numFmtId="0" fontId="1" fillId="0" borderId="10" xfId="0" applyFont="1" applyBorder="1"/>
    <xf numFmtId="0" fontId="0" fillId="11" borderId="0" xfId="0" applyFill="1"/>
    <xf numFmtId="0" fontId="0" fillId="12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2" fontId="0" fillId="9" borderId="0" xfId="0" applyNumberFormat="1" applyFill="1" applyProtection="1">
      <protection locked="0"/>
    </xf>
    <xf numFmtId="15" fontId="0" fillId="0" borderId="11" xfId="0" applyNumberFormat="1" applyBorder="1"/>
    <xf numFmtId="0" fontId="0" fillId="0" borderId="12" xfId="0" applyBorder="1" applyAlignment="1">
      <alignment horizontal="left"/>
    </xf>
    <xf numFmtId="165" fontId="0" fillId="0" borderId="12" xfId="0" applyNumberFormat="1" applyBorder="1"/>
    <xf numFmtId="0" fontId="0" fillId="0" borderId="12" xfId="0" applyBorder="1"/>
    <xf numFmtId="0" fontId="0" fillId="3" borderId="12" xfId="0" applyFill="1" applyBorder="1"/>
    <xf numFmtId="0" fontId="0" fillId="4" borderId="12" xfId="0" applyFill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E9F7-9AF9-4DA8-91E1-8D58AB633FFC}">
  <sheetPr filterMode="1"/>
  <dimension ref="A1:Y233"/>
  <sheetViews>
    <sheetView tabSelected="1" zoomScale="99" zoomScaleNormal="99" workbookViewId="0">
      <pane xSplit="13" ySplit="1" topLeftCell="V139" activePane="bottomRight" state="frozen"/>
      <selection pane="topRight" activeCell="N1" sqref="N1"/>
      <selection pane="bottomLeft" activeCell="A2" sqref="A2"/>
      <selection pane="bottomRight" activeCell="W143" sqref="W143"/>
    </sheetView>
  </sheetViews>
  <sheetFormatPr defaultRowHeight="14.5" x14ac:dyDescent="0.35"/>
  <cols>
    <col min="1" max="1" width="13.54296875" customWidth="1"/>
    <col min="2" max="2" width="14.54296875" style="51" customWidth="1"/>
    <col min="3" max="3" width="6.54296875" style="51" customWidth="1"/>
    <col min="4" max="4" width="13.453125" bestFit="1" customWidth="1"/>
    <col min="7" max="7" width="8.7265625" style="21"/>
    <col min="9" max="9" width="13.453125" customWidth="1"/>
    <col min="10" max="10" width="9.81640625" customWidth="1"/>
    <col min="11" max="11" width="13.6328125" customWidth="1"/>
    <col min="12" max="12" width="7.453125" customWidth="1"/>
    <col min="13" max="13" width="7.54296875" customWidth="1"/>
    <col min="14" max="14" width="7.81640625" customWidth="1"/>
    <col min="15" max="15" width="10.453125" bestFit="1" customWidth="1"/>
    <col min="16" max="16" width="8.1796875" customWidth="1"/>
    <col min="17" max="17" width="7" customWidth="1"/>
    <col min="18" max="18" width="13.453125" customWidth="1"/>
    <col min="21" max="21" width="15.453125" style="57" customWidth="1"/>
    <col min="23" max="23" width="11.54296875" customWidth="1"/>
    <col min="25" max="25" width="31.81640625" bestFit="1" customWidth="1"/>
  </cols>
  <sheetData>
    <row r="1" spans="1:25" s="9" customForma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 t="s">
        <v>20</v>
      </c>
      <c r="V1" s="7"/>
      <c r="W1" s="7" t="s">
        <v>21</v>
      </c>
      <c r="X1" s="7" t="s">
        <v>22</v>
      </c>
      <c r="Y1" s="8" t="s">
        <v>23</v>
      </c>
    </row>
    <row r="2" spans="1:25" x14ac:dyDescent="0.35">
      <c r="A2" s="10">
        <v>38807</v>
      </c>
      <c r="B2" s="11" t="s">
        <v>24</v>
      </c>
      <c r="C2" s="11" t="s">
        <v>25</v>
      </c>
      <c r="D2" s="12">
        <v>68.518000000000001</v>
      </c>
      <c r="E2" s="12">
        <v>12.689</v>
      </c>
      <c r="F2" s="12">
        <v>1.2010000000000001</v>
      </c>
      <c r="G2" s="12">
        <v>3.36</v>
      </c>
      <c r="H2" s="12">
        <v>32.325000000000003</v>
      </c>
      <c r="I2" s="13"/>
      <c r="J2" s="13"/>
      <c r="K2" s="13"/>
      <c r="L2" s="13"/>
      <c r="M2" s="12">
        <v>6.19</v>
      </c>
      <c r="N2" s="12"/>
      <c r="O2" s="14"/>
      <c r="P2" s="14"/>
      <c r="Q2" s="14"/>
      <c r="R2" s="14"/>
      <c r="S2" s="14"/>
      <c r="T2" s="14"/>
      <c r="U2" s="15"/>
      <c r="Y2" s="16"/>
    </row>
    <row r="3" spans="1:25" x14ac:dyDescent="0.35">
      <c r="A3" s="10">
        <v>39172</v>
      </c>
      <c r="B3" s="11" t="s">
        <v>24</v>
      </c>
      <c r="C3" s="11" t="s">
        <v>25</v>
      </c>
      <c r="D3" s="12">
        <v>71.120999999999995</v>
      </c>
      <c r="E3" s="12">
        <v>13.691000000000001</v>
      </c>
      <c r="F3" s="12">
        <v>1.2010000000000001</v>
      </c>
      <c r="G3" s="12">
        <v>3.9</v>
      </c>
      <c r="H3" s="12">
        <v>34.652999999999999</v>
      </c>
      <c r="I3" s="13"/>
      <c r="J3" s="13"/>
      <c r="K3" s="13"/>
      <c r="L3" s="13"/>
      <c r="M3" s="12">
        <v>7.76</v>
      </c>
      <c r="N3" s="12"/>
      <c r="O3" s="14"/>
      <c r="P3" s="14"/>
      <c r="Q3" s="14"/>
      <c r="R3" s="14"/>
      <c r="S3" s="14"/>
      <c r="T3" s="14"/>
      <c r="U3" s="15"/>
      <c r="Y3" s="16"/>
    </row>
    <row r="4" spans="1:25" x14ac:dyDescent="0.35">
      <c r="A4" s="10">
        <v>39538</v>
      </c>
      <c r="B4" s="11" t="s">
        <v>24</v>
      </c>
      <c r="C4" s="11" t="s">
        <v>25</v>
      </c>
      <c r="D4" s="12">
        <v>76.048000000000002</v>
      </c>
      <c r="E4" s="12">
        <v>14.656000000000001</v>
      </c>
      <c r="F4" s="12">
        <v>1.2010000000000001</v>
      </c>
      <c r="G4" s="12">
        <v>4.12</v>
      </c>
      <c r="H4" s="12">
        <v>35.908000000000001</v>
      </c>
      <c r="I4" s="13"/>
      <c r="J4" s="13"/>
      <c r="K4" s="13"/>
      <c r="L4" s="13"/>
      <c r="M4" s="12">
        <v>11.125</v>
      </c>
      <c r="N4" s="12"/>
      <c r="O4" s="14"/>
      <c r="P4" s="14"/>
      <c r="Q4" s="14"/>
      <c r="R4" s="14"/>
      <c r="S4" s="14"/>
      <c r="T4" s="14"/>
      <c r="U4" s="15"/>
      <c r="Y4" s="16"/>
    </row>
    <row r="5" spans="1:25" x14ac:dyDescent="0.35">
      <c r="A5" s="10">
        <v>39903</v>
      </c>
      <c r="B5" s="11" t="s">
        <v>24</v>
      </c>
      <c r="C5" s="11" t="s">
        <v>25</v>
      </c>
      <c r="D5" s="12">
        <v>77.647999999999996</v>
      </c>
      <c r="E5" s="12">
        <v>14.875999999999999</v>
      </c>
      <c r="F5" s="12">
        <v>1.1990000000000001</v>
      </c>
      <c r="G5" s="12">
        <v>4.12</v>
      </c>
      <c r="H5" s="12">
        <v>36.877000000000002</v>
      </c>
      <c r="I5" s="13"/>
      <c r="J5" s="13"/>
      <c r="K5" s="13"/>
      <c r="L5" s="13"/>
      <c r="M5" s="12">
        <v>13.242000000000001</v>
      </c>
      <c r="N5" s="12"/>
      <c r="O5" s="14"/>
      <c r="P5" s="14"/>
      <c r="Q5" s="14"/>
      <c r="R5" s="14"/>
      <c r="S5" s="14"/>
      <c r="T5" s="14"/>
      <c r="U5" s="15"/>
      <c r="Y5" s="16"/>
    </row>
    <row r="6" spans="1:25" x14ac:dyDescent="0.35">
      <c r="A6" s="10">
        <v>40268</v>
      </c>
      <c r="B6" s="11" t="s">
        <v>24</v>
      </c>
      <c r="C6" s="11" t="s">
        <v>25</v>
      </c>
      <c r="D6" s="12">
        <v>84.197999999999993</v>
      </c>
      <c r="E6" s="12">
        <v>17.055</v>
      </c>
      <c r="F6" s="12">
        <v>1.119</v>
      </c>
      <c r="G6" s="12">
        <v>4.5599999999999996</v>
      </c>
      <c r="H6" s="12">
        <v>36.863</v>
      </c>
      <c r="I6" s="13"/>
      <c r="J6" s="13"/>
      <c r="K6" s="13"/>
      <c r="L6" s="13"/>
      <c r="M6" s="12">
        <v>15.521000000000001</v>
      </c>
      <c r="N6" s="12"/>
      <c r="O6" s="14"/>
      <c r="P6" s="14"/>
      <c r="Q6" s="14"/>
      <c r="R6" s="14"/>
      <c r="S6" s="14"/>
      <c r="T6" s="14"/>
      <c r="U6" s="15"/>
      <c r="Y6" s="16"/>
    </row>
    <row r="7" spans="1:25" x14ac:dyDescent="0.35">
      <c r="A7" s="10">
        <v>40633</v>
      </c>
      <c r="B7" s="11" t="s">
        <v>24</v>
      </c>
      <c r="C7" s="11" t="s">
        <v>25</v>
      </c>
      <c r="D7" s="12">
        <v>93.918000000000006</v>
      </c>
      <c r="E7" s="12">
        <v>17.706</v>
      </c>
      <c r="F7" s="12">
        <v>1.1990000000000001</v>
      </c>
      <c r="G7" s="12">
        <v>4.78</v>
      </c>
      <c r="H7" s="12">
        <v>37.567</v>
      </c>
      <c r="I7" s="13"/>
      <c r="J7" s="13"/>
      <c r="K7" s="13"/>
      <c r="L7" s="13"/>
      <c r="M7" s="12">
        <v>18.454000000000001</v>
      </c>
      <c r="N7" s="12"/>
      <c r="O7" s="14"/>
      <c r="P7" s="14"/>
      <c r="Q7" s="14"/>
      <c r="R7" s="14"/>
      <c r="S7" s="14"/>
      <c r="T7" s="14"/>
      <c r="U7" s="15"/>
      <c r="Y7" s="16"/>
    </row>
    <row r="8" spans="1:25" x14ac:dyDescent="0.35">
      <c r="A8" s="10">
        <v>40999</v>
      </c>
      <c r="B8" s="11" t="s">
        <v>24</v>
      </c>
      <c r="C8" s="11" t="s">
        <v>25</v>
      </c>
      <c r="D8" s="12">
        <v>112.02200000000001</v>
      </c>
      <c r="E8" s="12">
        <v>18.381</v>
      </c>
      <c r="F8" s="12">
        <v>1.1990000000000001</v>
      </c>
      <c r="G8" s="12">
        <v>4.78</v>
      </c>
      <c r="H8" s="12">
        <v>38.99</v>
      </c>
      <c r="I8" s="17">
        <v>17.352</v>
      </c>
      <c r="J8" s="17">
        <v>3.4</v>
      </c>
      <c r="K8" s="17">
        <v>3.32</v>
      </c>
      <c r="L8" s="17">
        <v>0.9</v>
      </c>
      <c r="M8" s="12"/>
      <c r="N8" s="12"/>
      <c r="O8" s="14">
        <v>85.91865</v>
      </c>
      <c r="P8" s="14">
        <v>54.275750000000002</v>
      </c>
      <c r="Q8" s="14">
        <v>59.682630000000003</v>
      </c>
      <c r="R8" s="14"/>
      <c r="S8" s="14"/>
      <c r="T8" s="14"/>
      <c r="U8" s="15"/>
      <c r="Y8" s="16"/>
    </row>
    <row r="9" spans="1:25" x14ac:dyDescent="0.35">
      <c r="A9" s="10">
        <v>41364</v>
      </c>
      <c r="B9" s="11" t="s">
        <v>24</v>
      </c>
      <c r="C9" s="11" t="s">
        <v>25</v>
      </c>
      <c r="D9" s="12">
        <v>130.22</v>
      </c>
      <c r="E9" s="12">
        <v>20.109000000000002</v>
      </c>
      <c r="F9" s="12">
        <v>1.1990000000000001</v>
      </c>
      <c r="G9" s="12">
        <v>4.78</v>
      </c>
      <c r="H9" s="12">
        <v>39.491</v>
      </c>
      <c r="I9" s="17">
        <v>19.05</v>
      </c>
      <c r="J9" s="17">
        <v>3.63</v>
      </c>
      <c r="K9" s="12">
        <v>3.7</v>
      </c>
      <c r="L9" s="17">
        <v>1.7</v>
      </c>
      <c r="M9" s="12"/>
      <c r="N9" s="12"/>
      <c r="O9" s="14"/>
      <c r="P9" s="14"/>
      <c r="Q9" s="14"/>
      <c r="R9" s="14"/>
      <c r="S9" s="14"/>
      <c r="T9" s="14"/>
      <c r="U9" s="15"/>
      <c r="Y9" s="16"/>
    </row>
    <row r="10" spans="1:25" x14ac:dyDescent="0.35">
      <c r="A10" s="10">
        <v>41729</v>
      </c>
      <c r="B10" s="11" t="s">
        <v>24</v>
      </c>
      <c r="C10" s="11" t="s">
        <v>25</v>
      </c>
      <c r="D10" s="12">
        <v>145.273</v>
      </c>
      <c r="E10" s="12">
        <v>21.780999999999999</v>
      </c>
      <c r="F10" s="12">
        <v>1.1990000000000001</v>
      </c>
      <c r="G10" s="12">
        <v>4.78</v>
      </c>
      <c r="H10" s="12">
        <v>40.530999999999999</v>
      </c>
      <c r="I10" s="17">
        <v>21.135999999999999</v>
      </c>
      <c r="J10" s="12">
        <v>3.8039999999999998</v>
      </c>
      <c r="K10" s="12">
        <f>1.365+2.648+0.107</f>
        <v>4.12</v>
      </c>
      <c r="L10" s="17">
        <v>2.6469999999999998</v>
      </c>
      <c r="M10" s="12"/>
      <c r="N10" s="12"/>
      <c r="O10" s="14"/>
      <c r="P10" s="14"/>
      <c r="Q10" s="14"/>
      <c r="R10" s="14"/>
      <c r="S10" s="14"/>
      <c r="T10" s="14"/>
      <c r="U10" s="15"/>
      <c r="Y10" s="16"/>
    </row>
    <row r="11" spans="1:25" x14ac:dyDescent="0.35">
      <c r="A11" s="10">
        <v>42094</v>
      </c>
      <c r="B11" s="11" t="s">
        <v>24</v>
      </c>
      <c r="C11" s="11" t="s">
        <v>25</v>
      </c>
      <c r="D11" s="12">
        <v>164.63587999999999</v>
      </c>
      <c r="E11" s="12">
        <v>23.062149999999999</v>
      </c>
      <c r="F11" s="12">
        <v>1.1997500000000001</v>
      </c>
      <c r="G11" s="12">
        <v>5.78</v>
      </c>
      <c r="H11" s="12">
        <v>41.267449999999997</v>
      </c>
      <c r="I11" s="12">
        <v>23.344349999999999</v>
      </c>
      <c r="J11" s="12">
        <v>4.0553600000000003</v>
      </c>
      <c r="K11" s="12">
        <f>7.7149+0.09058</f>
        <v>7.8054800000000002</v>
      </c>
      <c r="L11" s="12">
        <v>3.74397</v>
      </c>
      <c r="M11" s="12"/>
      <c r="N11" s="12"/>
      <c r="O11" s="14"/>
      <c r="P11" s="14"/>
      <c r="Q11" s="14"/>
      <c r="R11" s="14"/>
      <c r="S11" s="14"/>
      <c r="T11" s="14"/>
      <c r="U11" s="15"/>
      <c r="Y11" s="16"/>
    </row>
    <row r="12" spans="1:25" x14ac:dyDescent="0.35">
      <c r="A12" s="10">
        <v>42460</v>
      </c>
      <c r="B12" s="11" t="s">
        <v>24</v>
      </c>
      <c r="C12" s="11" t="s">
        <v>25</v>
      </c>
      <c r="D12" s="12">
        <v>185.172</v>
      </c>
      <c r="E12" s="12">
        <v>24.507999999999999</v>
      </c>
      <c r="F12" s="12">
        <v>0.99299999999999999</v>
      </c>
      <c r="G12" s="12">
        <v>5.78</v>
      </c>
      <c r="H12" s="12">
        <v>42.78</v>
      </c>
      <c r="I12" s="12">
        <v>26.7774</v>
      </c>
      <c r="J12" s="12">
        <v>4.2734699999999997</v>
      </c>
      <c r="K12" s="12">
        <f>8.01975+0.127</f>
        <v>8.1467500000000008</v>
      </c>
      <c r="L12" s="12">
        <v>6.7628500000000003</v>
      </c>
      <c r="M12" s="12"/>
      <c r="N12" s="12"/>
      <c r="O12" s="14"/>
      <c r="P12" s="14"/>
      <c r="Q12" s="14"/>
      <c r="R12" s="14"/>
      <c r="S12" s="14"/>
      <c r="T12" s="14"/>
      <c r="U12" s="15"/>
      <c r="Y12" s="16"/>
    </row>
    <row r="13" spans="1:25" x14ac:dyDescent="0.35">
      <c r="A13" s="18">
        <v>42460</v>
      </c>
      <c r="B13" s="19" t="s">
        <v>24</v>
      </c>
      <c r="C13" s="19" t="s">
        <v>25</v>
      </c>
      <c r="D13" s="14">
        <v>210.7</v>
      </c>
      <c r="E13" s="14"/>
      <c r="F13" s="14"/>
      <c r="G13" s="20">
        <v>5.8</v>
      </c>
      <c r="H13" s="14">
        <v>42.8</v>
      </c>
      <c r="I13" s="14"/>
      <c r="J13" s="14"/>
      <c r="K13" s="14"/>
      <c r="L13" s="14"/>
      <c r="M13" s="14">
        <v>45.9</v>
      </c>
      <c r="N13" s="14"/>
      <c r="O13" s="14"/>
      <c r="P13" s="14"/>
      <c r="Q13" s="14"/>
      <c r="R13" s="14"/>
      <c r="S13" s="14"/>
      <c r="T13" s="14"/>
      <c r="U13" s="15"/>
      <c r="W13" t="s">
        <v>26</v>
      </c>
      <c r="X13" t="s">
        <v>26</v>
      </c>
      <c r="Y13" s="16"/>
    </row>
    <row r="14" spans="1:25" hidden="1" x14ac:dyDescent="0.35">
      <c r="A14" s="18">
        <v>40999</v>
      </c>
      <c r="B14" s="19" t="s">
        <v>24</v>
      </c>
      <c r="C14" s="19" t="s">
        <v>27</v>
      </c>
      <c r="D14" s="14">
        <v>708.42700000000002</v>
      </c>
      <c r="E14" s="14"/>
      <c r="F14" s="14"/>
      <c r="G14" s="20">
        <v>32.286999999999999</v>
      </c>
      <c r="H14" s="14">
        <v>130.511</v>
      </c>
      <c r="I14" s="14"/>
      <c r="J14" s="14"/>
      <c r="K14" s="14"/>
      <c r="L14" s="14"/>
      <c r="M14" s="14">
        <v>51.225999999999999</v>
      </c>
      <c r="N14" s="14"/>
      <c r="O14" s="14"/>
      <c r="P14" s="14"/>
      <c r="Q14" s="14"/>
      <c r="R14" s="14"/>
      <c r="S14" s="14"/>
      <c r="T14" s="14"/>
      <c r="U14" s="15"/>
      <c r="Y14" s="16"/>
    </row>
    <row r="15" spans="1:25" hidden="1" x14ac:dyDescent="0.35">
      <c r="A15" s="18">
        <v>41364</v>
      </c>
      <c r="B15" s="19" t="s">
        <v>24</v>
      </c>
      <c r="C15" s="19" t="s">
        <v>27</v>
      </c>
      <c r="D15" s="14">
        <v>760.45399999999995</v>
      </c>
      <c r="E15" s="14"/>
      <c r="F15" s="14"/>
      <c r="G15" s="20">
        <v>32.866</v>
      </c>
      <c r="H15" s="14">
        <v>113.72</v>
      </c>
      <c r="I15" s="14"/>
      <c r="J15" s="14"/>
      <c r="K15" s="14"/>
      <c r="L15" s="14"/>
      <c r="M15" s="14">
        <v>57.448999999999998</v>
      </c>
      <c r="N15" s="14"/>
      <c r="O15" s="14"/>
      <c r="P15" s="14"/>
      <c r="Q15" s="14"/>
      <c r="R15" s="14"/>
      <c r="S15" s="14"/>
      <c r="T15" s="14"/>
      <c r="U15" s="15"/>
      <c r="Y15" s="16"/>
    </row>
    <row r="16" spans="1:25" hidden="1" x14ac:dyDescent="0.35">
      <c r="A16" s="18">
        <v>41729</v>
      </c>
      <c r="B16" s="19" t="s">
        <v>24</v>
      </c>
      <c r="C16" s="19" t="s">
        <v>27</v>
      </c>
      <c r="D16" s="14">
        <v>792.05399999999997</v>
      </c>
      <c r="E16" s="14"/>
      <c r="F16" s="14"/>
      <c r="G16" s="20">
        <v>34.228000000000002</v>
      </c>
      <c r="H16" s="14">
        <v>134.48699999999999</v>
      </c>
      <c r="I16" s="14"/>
      <c r="J16" s="14"/>
      <c r="K16" s="14"/>
      <c r="L16" s="14"/>
      <c r="M16" s="14">
        <v>65.52</v>
      </c>
      <c r="N16" s="14"/>
      <c r="O16" s="14"/>
      <c r="P16" s="14"/>
      <c r="Q16" s="14"/>
      <c r="R16" s="14"/>
      <c r="S16" s="14"/>
      <c r="T16" s="14"/>
      <c r="U16" s="15"/>
      <c r="Y16" s="16"/>
    </row>
    <row r="17" spans="1:25" hidden="1" x14ac:dyDescent="0.35">
      <c r="A17" s="18">
        <v>42094</v>
      </c>
      <c r="B17" s="19" t="s">
        <v>24</v>
      </c>
      <c r="C17" s="19" t="s">
        <v>27</v>
      </c>
      <c r="D17" s="14">
        <v>877.94100000000003</v>
      </c>
      <c r="E17" s="14"/>
      <c r="F17" s="14"/>
      <c r="G17" s="21">
        <v>36.101999999999997</v>
      </c>
      <c r="H17" s="14">
        <v>129.244</v>
      </c>
      <c r="I17" s="14"/>
      <c r="J17" s="14"/>
      <c r="K17" s="14"/>
      <c r="L17" s="14"/>
      <c r="M17" s="14">
        <v>61.783999999999999</v>
      </c>
      <c r="N17" s="14"/>
      <c r="O17" s="14"/>
      <c r="P17" s="14"/>
      <c r="Q17" s="14"/>
      <c r="R17" s="14"/>
      <c r="S17" s="14"/>
      <c r="T17" s="14"/>
      <c r="U17" s="15"/>
      <c r="Y17" s="16"/>
    </row>
    <row r="18" spans="1:25" hidden="1" x14ac:dyDescent="0.35">
      <c r="A18" s="18">
        <v>42460</v>
      </c>
      <c r="B18" s="19" t="s">
        <v>24</v>
      </c>
      <c r="C18" s="19" t="s">
        <v>27</v>
      </c>
      <c r="D18" s="14">
        <v>943.8</v>
      </c>
      <c r="E18" s="14"/>
      <c r="F18" s="14"/>
      <c r="G18" s="20">
        <v>37.4</v>
      </c>
      <c r="H18" s="14">
        <v>121.4</v>
      </c>
      <c r="I18" s="14"/>
      <c r="J18" s="14"/>
      <c r="K18" s="14"/>
      <c r="L18" s="14"/>
      <c r="M18" s="14">
        <v>65.8</v>
      </c>
      <c r="N18" s="14">
        <v>5.2</v>
      </c>
      <c r="O18" s="14"/>
      <c r="P18" s="14"/>
      <c r="Q18" s="14"/>
      <c r="R18" s="14"/>
      <c r="S18" s="14"/>
      <c r="T18" s="14"/>
      <c r="U18" s="15"/>
      <c r="Y18" s="16"/>
    </row>
    <row r="19" spans="1:25" x14ac:dyDescent="0.35">
      <c r="A19" s="10">
        <v>42825</v>
      </c>
      <c r="B19" s="11" t="s">
        <v>24</v>
      </c>
      <c r="C19" s="11" t="s">
        <v>25</v>
      </c>
      <c r="D19" s="22">
        <v>192.16288</v>
      </c>
      <c r="E19" s="22">
        <v>25.32938</v>
      </c>
      <c r="F19" s="22">
        <v>0.83762999999999999</v>
      </c>
      <c r="G19" s="22">
        <v>6.78</v>
      </c>
      <c r="H19" s="22">
        <v>44.47842</v>
      </c>
      <c r="I19" s="23">
        <v>32.279769999999999</v>
      </c>
      <c r="J19" s="22">
        <v>4.3798599999999999</v>
      </c>
      <c r="K19" s="22">
        <f>8.1817+0.11408</f>
        <v>8.2957799999999988</v>
      </c>
      <c r="L19" s="22">
        <v>12.288830000000001</v>
      </c>
      <c r="M19" s="22"/>
      <c r="N19" s="22"/>
      <c r="O19" s="14"/>
      <c r="P19" s="14"/>
      <c r="Q19" s="14"/>
      <c r="R19" s="14"/>
      <c r="S19" s="14"/>
      <c r="T19" s="14"/>
      <c r="U19" s="15"/>
      <c r="Y19" s="16"/>
    </row>
    <row r="20" spans="1:25" x14ac:dyDescent="0.35">
      <c r="A20" s="18">
        <v>42825</v>
      </c>
      <c r="B20" s="19" t="s">
        <v>24</v>
      </c>
      <c r="C20" s="19" t="s">
        <v>25</v>
      </c>
      <c r="D20" s="14">
        <v>218.3</v>
      </c>
      <c r="E20" s="14"/>
      <c r="F20" s="14"/>
      <c r="G20" s="20">
        <v>6.8</v>
      </c>
      <c r="H20" s="14">
        <v>44.5</v>
      </c>
      <c r="I20" s="14"/>
      <c r="J20" s="14"/>
      <c r="K20" s="14"/>
      <c r="L20" s="14"/>
      <c r="M20" s="14">
        <v>57.2</v>
      </c>
      <c r="N20" s="14"/>
      <c r="O20" s="14"/>
      <c r="P20" s="14"/>
      <c r="Q20" s="14"/>
      <c r="R20" s="14"/>
      <c r="S20" s="14"/>
      <c r="T20" s="14"/>
      <c r="U20" s="15"/>
      <c r="W20" t="s">
        <v>26</v>
      </c>
      <c r="X20" t="s">
        <v>26</v>
      </c>
      <c r="Y20" s="16"/>
    </row>
    <row r="21" spans="1:25" hidden="1" x14ac:dyDescent="0.35">
      <c r="A21" s="18">
        <v>42825</v>
      </c>
      <c r="B21" s="19" t="s">
        <v>24</v>
      </c>
      <c r="C21" s="19" t="s">
        <v>27</v>
      </c>
      <c r="D21" s="14">
        <v>994.2</v>
      </c>
      <c r="E21" s="14"/>
      <c r="F21" s="14"/>
      <c r="G21" s="20">
        <v>37.9</v>
      </c>
      <c r="H21" s="14">
        <v>122.4</v>
      </c>
      <c r="I21" s="14"/>
      <c r="J21" s="14"/>
      <c r="K21" s="14"/>
      <c r="L21" s="14"/>
      <c r="M21" s="14">
        <v>81.900000000000006</v>
      </c>
      <c r="N21" s="14">
        <v>5.6</v>
      </c>
      <c r="O21" s="14"/>
      <c r="P21" s="14"/>
      <c r="Q21" s="14"/>
      <c r="R21" s="14"/>
      <c r="S21" s="14"/>
      <c r="T21" s="14"/>
      <c r="U21" s="15"/>
      <c r="Y21" s="16"/>
    </row>
    <row r="22" spans="1:25" x14ac:dyDescent="0.35">
      <c r="A22" s="10">
        <v>43190</v>
      </c>
      <c r="B22" s="11" t="s">
        <v>24</v>
      </c>
      <c r="C22" s="11" t="s">
        <v>25</v>
      </c>
      <c r="D22" s="22">
        <v>197.17150000000001</v>
      </c>
      <c r="E22" s="22">
        <v>24.897459999999999</v>
      </c>
      <c r="F22" s="22">
        <v>0.83762999999999999</v>
      </c>
      <c r="G22" s="22">
        <v>6.78</v>
      </c>
      <c r="H22" s="22">
        <v>45.293419999999998</v>
      </c>
      <c r="I22" s="22">
        <v>34.045999999999999</v>
      </c>
      <c r="J22" s="22">
        <v>4.4858099999999999</v>
      </c>
      <c r="K22" s="22">
        <f>8.7008 +0.1383</f>
        <v>8.8390999999999984</v>
      </c>
      <c r="L22" s="22">
        <v>21.651479999999999</v>
      </c>
      <c r="M22" s="22"/>
      <c r="N22" s="22"/>
      <c r="O22" s="14"/>
      <c r="P22" s="14"/>
      <c r="Q22" s="14"/>
      <c r="R22" s="14"/>
      <c r="S22" s="14"/>
      <c r="T22" s="14"/>
      <c r="U22" s="15"/>
      <c r="Y22" s="16"/>
    </row>
    <row r="23" spans="1:25" x14ac:dyDescent="0.35">
      <c r="A23" s="18">
        <v>43190</v>
      </c>
      <c r="B23" s="19" t="s">
        <v>24</v>
      </c>
      <c r="C23" s="19" t="s">
        <v>25</v>
      </c>
      <c r="D23" s="14">
        <v>222.9</v>
      </c>
      <c r="E23" s="14"/>
      <c r="F23" s="14"/>
      <c r="G23" s="20">
        <v>6.8</v>
      </c>
      <c r="H23" s="14">
        <v>45.3</v>
      </c>
      <c r="I23" s="14"/>
      <c r="J23" s="14"/>
      <c r="K23" s="14"/>
      <c r="L23" s="14"/>
      <c r="M23" s="14">
        <v>69</v>
      </c>
      <c r="N23" s="14"/>
      <c r="O23" s="14"/>
      <c r="P23" s="14"/>
      <c r="Q23" s="14"/>
      <c r="R23" s="14"/>
      <c r="S23" s="14"/>
      <c r="T23" s="14"/>
      <c r="U23" s="15"/>
      <c r="W23" t="s">
        <v>26</v>
      </c>
      <c r="X23" t="s">
        <v>26</v>
      </c>
      <c r="Y23" s="16"/>
    </row>
    <row r="24" spans="1:25" hidden="1" x14ac:dyDescent="0.35">
      <c r="A24" s="18">
        <v>43190</v>
      </c>
      <c r="B24" s="19" t="s">
        <v>24</v>
      </c>
      <c r="C24" s="19" t="s">
        <v>27</v>
      </c>
      <c r="D24" s="14">
        <v>1037.0999999999999</v>
      </c>
      <c r="E24" s="14"/>
      <c r="F24" s="14"/>
      <c r="G24" s="20">
        <v>38.299999999999997</v>
      </c>
      <c r="H24" s="14">
        <v>126.1</v>
      </c>
      <c r="I24" s="14">
        <v>52.666510000000002</v>
      </c>
      <c r="J24" s="14">
        <v>3.4049999999999998</v>
      </c>
      <c r="K24" s="14">
        <f>11.847+7.692+0.358</f>
        <v>19.897000000000002</v>
      </c>
      <c r="L24" s="14">
        <v>25.87125</v>
      </c>
      <c r="M24" s="14"/>
      <c r="N24" s="14">
        <v>4.8</v>
      </c>
      <c r="O24" s="14"/>
      <c r="P24" s="14"/>
      <c r="Q24" s="14"/>
      <c r="R24" s="14"/>
      <c r="S24" s="14"/>
      <c r="T24" s="14"/>
      <c r="U24" s="15"/>
      <c r="Y24" s="16"/>
    </row>
    <row r="25" spans="1:25" x14ac:dyDescent="0.35">
      <c r="A25" s="10">
        <v>43555</v>
      </c>
      <c r="B25" s="11" t="s">
        <v>24</v>
      </c>
      <c r="C25" s="11" t="s">
        <v>25</v>
      </c>
      <c r="D25" s="22">
        <f>194.444+6.26</f>
        <v>200.70399999999998</v>
      </c>
      <c r="E25" s="22">
        <v>24.93722</v>
      </c>
      <c r="F25" s="22">
        <v>0.63763000000000003</v>
      </c>
      <c r="G25" s="22">
        <v>6.78</v>
      </c>
      <c r="H25" s="22">
        <v>45.39922</v>
      </c>
      <c r="I25" s="22">
        <v>35.625970000000002</v>
      </c>
      <c r="J25" s="22">
        <v>4.5931499999999996</v>
      </c>
      <c r="K25" s="22">
        <f>9.10383+0.1383</f>
        <v>9.2421299999999995</v>
      </c>
      <c r="L25" s="22">
        <f>28.18071</f>
        <v>28.180710000000001</v>
      </c>
      <c r="M25" s="22"/>
      <c r="N25" s="22"/>
      <c r="O25" s="14"/>
      <c r="P25" s="14"/>
      <c r="Q25" s="14"/>
      <c r="R25" s="14"/>
      <c r="S25" s="14"/>
      <c r="T25" s="14"/>
      <c r="U25" s="15"/>
      <c r="Y25" s="16"/>
    </row>
    <row r="26" spans="1:25" s="24" customFormat="1" x14ac:dyDescent="0.35">
      <c r="A26" s="18">
        <v>43555</v>
      </c>
      <c r="B26" s="19" t="s">
        <v>24</v>
      </c>
      <c r="C26" s="19" t="s">
        <v>25</v>
      </c>
      <c r="D26" s="14">
        <v>226.3</v>
      </c>
      <c r="E26" s="14"/>
      <c r="F26" s="14"/>
      <c r="G26" s="20">
        <v>6.8</v>
      </c>
      <c r="H26" s="14">
        <v>45.4</v>
      </c>
      <c r="I26" s="14"/>
      <c r="J26" s="14"/>
      <c r="K26" s="14"/>
      <c r="L26" s="14"/>
      <c r="M26" s="14">
        <v>77.599999999999994</v>
      </c>
      <c r="N26" s="14"/>
      <c r="O26" s="14"/>
      <c r="P26" s="14"/>
      <c r="Q26" s="14"/>
      <c r="R26" s="14"/>
      <c r="S26" s="14"/>
      <c r="T26" s="14"/>
      <c r="U26" s="15"/>
      <c r="V26"/>
      <c r="W26" t="s">
        <v>26</v>
      </c>
      <c r="X26" t="s">
        <v>26</v>
      </c>
      <c r="Y26" s="16"/>
    </row>
    <row r="27" spans="1:25" hidden="1" x14ac:dyDescent="0.35">
      <c r="A27" s="18">
        <v>43555</v>
      </c>
      <c r="B27" s="19" t="s">
        <v>24</v>
      </c>
      <c r="C27" s="19" t="s">
        <v>27</v>
      </c>
      <c r="D27" s="14">
        <v>1072.2</v>
      </c>
      <c r="E27" s="14"/>
      <c r="F27" s="14"/>
      <c r="G27" s="20">
        <v>37.799999999999997</v>
      </c>
      <c r="H27" s="14">
        <v>134.9</v>
      </c>
      <c r="I27" s="14">
        <v>62.036000000000001</v>
      </c>
      <c r="J27" s="14">
        <v>8.7029999999999994</v>
      </c>
      <c r="K27" s="14">
        <f>13.563+2.764+0.425</f>
        <v>16.752000000000002</v>
      </c>
      <c r="L27" s="14">
        <v>39.268000000000001</v>
      </c>
      <c r="M27" s="14"/>
      <c r="N27" s="14">
        <v>4.4000000000000004</v>
      </c>
      <c r="O27" s="14"/>
      <c r="P27" s="14"/>
      <c r="Q27" s="14"/>
      <c r="R27" s="14"/>
      <c r="S27" s="14"/>
      <c r="T27" s="14"/>
      <c r="U27" s="15"/>
      <c r="Y27" s="16"/>
    </row>
    <row r="28" spans="1:25" x14ac:dyDescent="0.35">
      <c r="A28" s="10">
        <v>43921</v>
      </c>
      <c r="B28" s="11" t="s">
        <v>24</v>
      </c>
      <c r="C28" s="11" t="s">
        <v>25</v>
      </c>
      <c r="D28" s="25">
        <f>198.73455+6.61</f>
        <v>205.34455000000003</v>
      </c>
      <c r="E28" s="25">
        <v>24.955359999999999</v>
      </c>
      <c r="F28" s="25">
        <v>0.50971</v>
      </c>
      <c r="G28" s="25">
        <v>6.78</v>
      </c>
      <c r="H28" s="25">
        <v>46.059220000000003</v>
      </c>
      <c r="I28" s="26">
        <v>37.669249999999998</v>
      </c>
      <c r="J28" s="25">
        <v>4.68316</v>
      </c>
      <c r="K28" s="25">
        <f>9.86131+0.1398</f>
        <v>10.001109999999999</v>
      </c>
      <c r="L28" s="25">
        <v>34.405670000000001</v>
      </c>
      <c r="M28" s="22"/>
      <c r="N28" s="22"/>
      <c r="O28" s="14"/>
      <c r="P28" s="14"/>
      <c r="Q28" s="14"/>
      <c r="R28" s="14"/>
      <c r="S28" s="14"/>
      <c r="T28" s="14"/>
      <c r="U28" s="15"/>
      <c r="Y28" s="16"/>
    </row>
    <row r="29" spans="1:25" s="28" customFormat="1" hidden="1" x14ac:dyDescent="0.35">
      <c r="A29" s="27">
        <v>43921</v>
      </c>
      <c r="B29" s="11" t="s">
        <v>28</v>
      </c>
      <c r="C29" s="11" t="s">
        <v>25</v>
      </c>
      <c r="D29" s="14">
        <v>4282</v>
      </c>
      <c r="E29" s="14"/>
      <c r="F29" s="14"/>
      <c r="G29" s="14">
        <v>369</v>
      </c>
      <c r="H29" s="14">
        <v>1140</v>
      </c>
      <c r="I29" s="14">
        <v>622</v>
      </c>
      <c r="J29" s="14"/>
      <c r="K29" s="14">
        <v>136</v>
      </c>
      <c r="L29" s="14">
        <v>587</v>
      </c>
      <c r="M29" s="14">
        <v>16</v>
      </c>
      <c r="N29" s="14"/>
      <c r="O29" s="14"/>
      <c r="P29" s="14"/>
      <c r="Q29" s="14"/>
      <c r="R29" s="14"/>
      <c r="S29" s="14">
        <v>168</v>
      </c>
      <c r="T29" s="14"/>
      <c r="U29" s="15"/>
      <c r="V29"/>
      <c r="W29"/>
      <c r="X29"/>
      <c r="Y29" s="16"/>
    </row>
    <row r="30" spans="1:25" x14ac:dyDescent="0.35">
      <c r="A30" s="18">
        <v>43921</v>
      </c>
      <c r="B30" s="19" t="s">
        <v>24</v>
      </c>
      <c r="C30" s="19" t="s">
        <v>25</v>
      </c>
      <c r="D30" s="14">
        <v>230.6</v>
      </c>
      <c r="E30" s="14"/>
      <c r="F30" s="14"/>
      <c r="G30" s="20">
        <v>6.8</v>
      </c>
      <c r="H30" s="14">
        <v>45.7</v>
      </c>
      <c r="I30" s="14"/>
      <c r="J30" s="14"/>
      <c r="K30" s="14"/>
      <c r="L30" s="14"/>
      <c r="M30" s="14">
        <v>87</v>
      </c>
      <c r="N30" s="14"/>
      <c r="O30" s="14"/>
      <c r="P30" s="14"/>
      <c r="Q30" s="14"/>
      <c r="R30" s="14"/>
      <c r="S30" s="14"/>
      <c r="T30" s="14"/>
      <c r="U30" s="15"/>
      <c r="W30" t="s">
        <v>26</v>
      </c>
      <c r="X30" t="s">
        <v>26</v>
      </c>
      <c r="Y30" s="16"/>
    </row>
    <row r="31" spans="1:25" hidden="1" x14ac:dyDescent="0.35">
      <c r="A31" s="18">
        <v>43921</v>
      </c>
      <c r="B31" s="19" t="s">
        <v>24</v>
      </c>
      <c r="C31" s="19" t="s">
        <v>27</v>
      </c>
      <c r="D31" s="14">
        <v>1042.7</v>
      </c>
      <c r="E31" s="14"/>
      <c r="F31" s="14"/>
      <c r="G31" s="20">
        <v>49.5</v>
      </c>
      <c r="H31" s="14">
        <v>155.80000000000001</v>
      </c>
      <c r="I31" s="14">
        <v>64.599999999999994</v>
      </c>
      <c r="J31" s="14">
        <v>9.4</v>
      </c>
      <c r="K31" s="14">
        <v>14.21</v>
      </c>
      <c r="L31" s="14">
        <v>50.1</v>
      </c>
      <c r="M31" s="14"/>
      <c r="N31" s="14">
        <v>5.8</v>
      </c>
      <c r="O31" s="14"/>
      <c r="P31" s="14"/>
      <c r="Q31" s="14"/>
      <c r="R31" s="14"/>
      <c r="S31" s="14"/>
      <c r="T31" s="14"/>
      <c r="U31" s="15"/>
      <c r="Y31" s="16"/>
    </row>
    <row r="32" spans="1:25" s="30" customFormat="1" x14ac:dyDescent="0.35">
      <c r="A32" s="29">
        <v>44227</v>
      </c>
      <c r="B32" s="11" t="s">
        <v>24</v>
      </c>
      <c r="C32" s="11" t="s">
        <v>25</v>
      </c>
      <c r="D32" s="25">
        <f>200.2845+6.12</f>
        <v>206.40450000000001</v>
      </c>
      <c r="E32" s="25">
        <v>24.956510000000002</v>
      </c>
      <c r="F32" s="25">
        <v>0.50971</v>
      </c>
      <c r="G32" s="25">
        <v>6.78</v>
      </c>
      <c r="H32" s="25">
        <v>45.798220000000001</v>
      </c>
      <c r="I32" s="26">
        <v>38.62415</v>
      </c>
      <c r="J32" s="25">
        <v>4.7504600000000003</v>
      </c>
      <c r="K32" s="25">
        <f>10.14592+0.16864</f>
        <v>10.31456</v>
      </c>
      <c r="L32" s="25">
        <v>37.464640000000003</v>
      </c>
      <c r="M32" s="22"/>
      <c r="N32" s="22"/>
      <c r="O32" s="14">
        <v>103.62839</v>
      </c>
      <c r="P32" s="14">
        <v>178.89536000000001</v>
      </c>
      <c r="Q32" s="14">
        <v>94.736930000000001</v>
      </c>
      <c r="R32" s="14"/>
      <c r="S32" s="14"/>
      <c r="T32" s="14"/>
      <c r="U32" s="15"/>
      <c r="V32"/>
      <c r="W32" t="s">
        <v>26</v>
      </c>
      <c r="X32" t="s">
        <v>26</v>
      </c>
      <c r="Y32" s="16"/>
    </row>
    <row r="33" spans="1:25" hidden="1" x14ac:dyDescent="0.35">
      <c r="A33" s="10">
        <v>44227</v>
      </c>
      <c r="B33" s="11" t="s">
        <v>29</v>
      </c>
      <c r="C33" s="11" t="s">
        <v>25</v>
      </c>
      <c r="D33" s="14">
        <v>27.286999999999999</v>
      </c>
      <c r="E33" s="14">
        <v>0.1</v>
      </c>
      <c r="F33" s="14"/>
      <c r="G33" s="14"/>
      <c r="H33" s="14">
        <v>4.6391200000000001</v>
      </c>
      <c r="I33" s="14"/>
      <c r="J33" s="14"/>
      <c r="K33" s="14"/>
      <c r="L33" s="14"/>
      <c r="M33" s="14">
        <v>1.5798000000000001</v>
      </c>
      <c r="N33" s="14"/>
      <c r="O33" s="14">
        <v>11.36303</v>
      </c>
      <c r="P33" s="14">
        <v>7.5436899999999998</v>
      </c>
      <c r="Q33" s="14">
        <v>14.699249999999999</v>
      </c>
      <c r="R33" s="14"/>
      <c r="S33" s="14"/>
      <c r="T33" s="14"/>
      <c r="U33" s="15"/>
      <c r="Y33" s="16"/>
    </row>
    <row r="34" spans="1:25" hidden="1" x14ac:dyDescent="0.35">
      <c r="A34" s="10">
        <v>44227</v>
      </c>
      <c r="B34" s="11" t="s">
        <v>30</v>
      </c>
      <c r="C34" s="11" t="s">
        <v>25</v>
      </c>
      <c r="D34" s="14">
        <v>0.77002000000000004</v>
      </c>
      <c r="E34" s="14">
        <v>1.7769600000000001</v>
      </c>
      <c r="F34" s="14">
        <v>3.5999999999999997E-2</v>
      </c>
      <c r="G34" s="14">
        <v>0</v>
      </c>
      <c r="H34" s="14">
        <v>1.8146</v>
      </c>
      <c r="I34" s="14"/>
      <c r="J34" s="14"/>
      <c r="K34" s="14"/>
      <c r="L34" s="14"/>
      <c r="M34" s="14">
        <v>0.36917</v>
      </c>
      <c r="N34" s="14"/>
      <c r="O34" s="14">
        <v>1.1900999999999999</v>
      </c>
      <c r="P34" s="14">
        <v>0.13042000000000001</v>
      </c>
      <c r="Q34" s="14">
        <v>3.4462199999999998</v>
      </c>
      <c r="R34" s="14"/>
      <c r="S34" s="14"/>
      <c r="T34" s="14"/>
      <c r="U34" s="15"/>
      <c r="Y34" s="16"/>
    </row>
    <row r="35" spans="1:25" x14ac:dyDescent="0.35">
      <c r="A35" s="10">
        <v>44255</v>
      </c>
      <c r="B35" s="11" t="s">
        <v>24</v>
      </c>
      <c r="C35" s="11" t="s">
        <v>25</v>
      </c>
      <c r="D35" s="25">
        <f>201.0845+6.62</f>
        <v>207.7045</v>
      </c>
      <c r="E35" s="25">
        <v>24.956510000000002</v>
      </c>
      <c r="F35" s="25">
        <v>0.50971</v>
      </c>
      <c r="G35" s="25">
        <v>6.78</v>
      </c>
      <c r="H35" s="25">
        <v>46.209220000000002</v>
      </c>
      <c r="I35" s="26">
        <v>38.789149999999999</v>
      </c>
      <c r="J35" s="25">
        <v>4.7830599999999999</v>
      </c>
      <c r="K35" s="25">
        <f>10.14592+0.16864</f>
        <v>10.31456</v>
      </c>
      <c r="L35" s="25">
        <v>39.083710000000004</v>
      </c>
      <c r="M35" s="22"/>
      <c r="N35" s="22"/>
      <c r="O35" s="25">
        <v>103.62839</v>
      </c>
      <c r="P35" s="25">
        <v>179.3151</v>
      </c>
      <c r="Q35" s="25">
        <v>96.186930000000004</v>
      </c>
      <c r="R35" s="25"/>
      <c r="S35" s="14"/>
      <c r="T35" s="14"/>
      <c r="U35" s="15"/>
      <c r="W35" t="s">
        <v>26</v>
      </c>
      <c r="X35" t="s">
        <v>26</v>
      </c>
      <c r="Y35" s="16"/>
    </row>
    <row r="36" spans="1:25" x14ac:dyDescent="0.35">
      <c r="A36" s="10">
        <v>44286</v>
      </c>
      <c r="B36" s="31" t="s">
        <v>24</v>
      </c>
      <c r="C36" s="11" t="s">
        <v>25</v>
      </c>
      <c r="D36" s="32">
        <f>202.6745+6.62</f>
        <v>209.2945</v>
      </c>
      <c r="E36" s="32">
        <v>24.924009999999999</v>
      </c>
      <c r="F36" s="32">
        <v>0.50971</v>
      </c>
      <c r="G36" s="32">
        <v>6.78</v>
      </c>
      <c r="H36" s="32">
        <v>46.209000000000003</v>
      </c>
      <c r="I36" s="32">
        <v>39.247050000000002</v>
      </c>
      <c r="J36" s="32">
        <v>4.78681</v>
      </c>
      <c r="K36" s="32">
        <f>10.14592+0.16864</f>
        <v>10.31456</v>
      </c>
      <c r="L36" s="32">
        <v>40.085369999999998</v>
      </c>
      <c r="M36" s="33"/>
      <c r="N36" s="33"/>
      <c r="O36" s="32">
        <v>103.86964</v>
      </c>
      <c r="P36" s="32">
        <v>180.77466000000001</v>
      </c>
      <c r="Q36" s="32">
        <v>97.506929999999997</v>
      </c>
      <c r="R36" s="32"/>
      <c r="S36" s="14"/>
      <c r="T36" s="14"/>
      <c r="U36" s="15"/>
      <c r="Y36" s="16"/>
    </row>
    <row r="37" spans="1:25" x14ac:dyDescent="0.35">
      <c r="A37" s="18">
        <v>44286</v>
      </c>
      <c r="B37" s="19" t="s">
        <v>24</v>
      </c>
      <c r="C37" s="19" t="s">
        <v>25</v>
      </c>
      <c r="D37" s="14">
        <v>234.8</v>
      </c>
      <c r="E37" s="14"/>
      <c r="F37" s="14"/>
      <c r="G37" s="20">
        <v>6.8</v>
      </c>
      <c r="H37" s="14">
        <v>46.2</v>
      </c>
      <c r="I37" s="14"/>
      <c r="J37" s="14"/>
      <c r="K37" s="14"/>
      <c r="L37" s="14"/>
      <c r="M37" s="14">
        <v>94.4</v>
      </c>
      <c r="N37" s="14"/>
      <c r="O37" s="14"/>
      <c r="P37" s="14"/>
      <c r="Q37" s="14"/>
      <c r="R37" s="14"/>
      <c r="S37" s="14"/>
      <c r="T37" s="14"/>
      <c r="U37" s="15"/>
      <c r="W37" t="s">
        <v>26</v>
      </c>
      <c r="X37" t="s">
        <v>26</v>
      </c>
      <c r="Y37" s="16"/>
    </row>
    <row r="38" spans="1:25" hidden="1" x14ac:dyDescent="0.35">
      <c r="A38" s="18">
        <v>44286</v>
      </c>
      <c r="B38" s="19" t="s">
        <v>24</v>
      </c>
      <c r="C38" s="19" t="s">
        <v>27</v>
      </c>
      <c r="D38" s="14">
        <v>1032.4000000000001</v>
      </c>
      <c r="E38" s="14"/>
      <c r="F38" s="14"/>
      <c r="G38" s="20">
        <v>42.9</v>
      </c>
      <c r="H38" s="14">
        <v>150.30000000000001</v>
      </c>
      <c r="I38" s="14">
        <v>60.149949999999997</v>
      </c>
      <c r="J38" s="14">
        <v>10.25841</v>
      </c>
      <c r="K38" s="14">
        <f>3.51298+11.302+1.62106</f>
        <v>16.436039999999998</v>
      </c>
      <c r="L38" s="14">
        <v>60.402250000000002</v>
      </c>
      <c r="M38" s="14"/>
      <c r="N38" s="14">
        <v>8.8000000000000007</v>
      </c>
      <c r="O38" s="14"/>
      <c r="P38" s="14"/>
      <c r="Q38" s="14"/>
      <c r="R38" s="14"/>
      <c r="S38" s="14"/>
      <c r="T38" s="14"/>
      <c r="U38" s="15"/>
      <c r="Y38" s="16"/>
    </row>
    <row r="39" spans="1:25" x14ac:dyDescent="0.35">
      <c r="A39" s="34">
        <v>44316</v>
      </c>
      <c r="B39" s="35" t="s">
        <v>24</v>
      </c>
      <c r="C39" s="11" t="s">
        <v>25</v>
      </c>
      <c r="D39" s="36">
        <f>202.6745+6.62</f>
        <v>209.2945</v>
      </c>
      <c r="E39" s="36">
        <v>24.924009999999999</v>
      </c>
      <c r="F39" s="36">
        <v>0.50971</v>
      </c>
      <c r="G39" s="36">
        <v>6.78</v>
      </c>
      <c r="H39" s="36">
        <v>46.209220000000002</v>
      </c>
      <c r="I39" s="36">
        <v>39.410449999999997</v>
      </c>
      <c r="J39" s="36">
        <v>4.78681</v>
      </c>
      <c r="K39" s="36">
        <f>10.14592+0.16864</f>
        <v>10.31456</v>
      </c>
      <c r="L39" s="36">
        <v>40.500770000000003</v>
      </c>
      <c r="M39" s="37"/>
      <c r="N39" s="37"/>
      <c r="O39" s="36">
        <v>103.86964</v>
      </c>
      <c r="P39" s="36">
        <v>181.35346000000001</v>
      </c>
      <c r="Q39" s="36">
        <v>97.506929999999997</v>
      </c>
      <c r="R39" s="36"/>
      <c r="S39" s="36"/>
      <c r="T39" s="36"/>
      <c r="U39" s="15"/>
      <c r="W39" t="s">
        <v>26</v>
      </c>
      <c r="X39" t="s">
        <v>26</v>
      </c>
      <c r="Y39" s="38"/>
    </row>
    <row r="40" spans="1:25" x14ac:dyDescent="0.35">
      <c r="A40" s="18">
        <v>44408</v>
      </c>
      <c r="B40" s="11" t="s">
        <v>24</v>
      </c>
      <c r="C40" s="11" t="s">
        <v>25</v>
      </c>
      <c r="D40" s="36">
        <f>202.8045+6.62</f>
        <v>209.42449999999999</v>
      </c>
      <c r="E40" s="36">
        <v>24.924009999999999</v>
      </c>
      <c r="F40" s="36">
        <v>0.50971</v>
      </c>
      <c r="G40" s="36">
        <v>6.78</v>
      </c>
      <c r="H40" s="36">
        <v>46.367220000000003</v>
      </c>
      <c r="I40" s="36">
        <v>39.588850000000001</v>
      </c>
      <c r="J40" s="36">
        <v>4.7946099999999996</v>
      </c>
      <c r="K40" s="36">
        <f>9.39887+0.77205+0.16864+0.21959</f>
        <v>10.559150000000001</v>
      </c>
      <c r="L40" s="36">
        <f>37.54409+5.09892+1.29711</f>
        <v>43.940119999999993</v>
      </c>
      <c r="M40" s="37"/>
      <c r="N40" s="37"/>
      <c r="O40" s="36">
        <v>103.87564</v>
      </c>
      <c r="P40" s="36">
        <v>185.37558999999999</v>
      </c>
      <c r="Q40" s="36">
        <v>97.636930000000007</v>
      </c>
      <c r="R40" s="36"/>
      <c r="S40" s="14"/>
      <c r="T40" s="14"/>
      <c r="U40" s="15"/>
      <c r="W40" t="s">
        <v>26</v>
      </c>
      <c r="X40" t="s">
        <v>26</v>
      </c>
      <c r="Y40" s="16"/>
    </row>
    <row r="41" spans="1:25" x14ac:dyDescent="0.35">
      <c r="A41" s="18">
        <v>44469</v>
      </c>
      <c r="B41" s="11" t="s">
        <v>24</v>
      </c>
      <c r="C41" s="11" t="s">
        <v>25</v>
      </c>
      <c r="D41" s="36">
        <f>201.9945+6.62</f>
        <v>208.61449999999999</v>
      </c>
      <c r="E41" s="36">
        <v>24.899509999999999</v>
      </c>
      <c r="F41" s="36">
        <v>0.50971</v>
      </c>
      <c r="G41" s="36">
        <v>6.78</v>
      </c>
      <c r="H41" s="36">
        <v>46.512219999999999</v>
      </c>
      <c r="I41" s="36">
        <v>39.870449999999998</v>
      </c>
      <c r="J41" s="36">
        <v>4.8098099999999997</v>
      </c>
      <c r="K41" s="36">
        <f>10.17561+0.40184</f>
        <v>10.577450000000001</v>
      </c>
      <c r="L41" s="36">
        <v>46.27514</v>
      </c>
      <c r="M41" s="37"/>
      <c r="N41" s="37"/>
      <c r="O41" s="36">
        <v>103.71263999999999</v>
      </c>
      <c r="P41" s="36">
        <v>187.49922000000001</v>
      </c>
      <c r="Q41" s="36">
        <v>97.636930000000007</v>
      </c>
      <c r="R41" s="36"/>
      <c r="S41" s="14"/>
      <c r="T41" s="14"/>
      <c r="U41" s="15"/>
      <c r="V41" s="24"/>
      <c r="W41" s="24" t="s">
        <v>26</v>
      </c>
      <c r="X41" s="24" t="s">
        <v>26</v>
      </c>
      <c r="Y41" s="16"/>
    </row>
    <row r="42" spans="1:25" x14ac:dyDescent="0.35">
      <c r="A42" s="39">
        <v>44561</v>
      </c>
      <c r="B42" s="40" t="s">
        <v>24</v>
      </c>
      <c r="C42" s="11" t="s">
        <v>25</v>
      </c>
      <c r="D42" s="41">
        <v>209.80950000000001</v>
      </c>
      <c r="E42" s="41">
        <v>24.899508999999998</v>
      </c>
      <c r="F42" s="41">
        <v>0.50970899999999997</v>
      </c>
      <c r="G42" s="41">
        <v>6.78</v>
      </c>
      <c r="H42" s="41">
        <v>46.512219999999999</v>
      </c>
      <c r="I42" s="42">
        <v>40.082700000000003</v>
      </c>
      <c r="J42" s="42">
        <v>4.8394000000000004</v>
      </c>
      <c r="K42" s="42">
        <f>10.17561+0.43411</f>
        <v>10.609720000000001</v>
      </c>
      <c r="L42" s="42">
        <v>49.346710000000002</v>
      </c>
      <c r="M42" s="41"/>
      <c r="N42" s="41"/>
      <c r="O42" s="42">
        <v>104.383675</v>
      </c>
      <c r="P42" s="42">
        <v>190.45885799999999</v>
      </c>
      <c r="Q42" s="42">
        <v>98.546930000000003</v>
      </c>
      <c r="R42" s="42"/>
      <c r="S42" s="42"/>
      <c r="T42" s="42"/>
      <c r="U42" s="15"/>
      <c r="W42" t="s">
        <v>26</v>
      </c>
      <c r="X42" t="s">
        <v>26</v>
      </c>
      <c r="Y42" s="43"/>
    </row>
    <row r="43" spans="1:25" hidden="1" x14ac:dyDescent="0.35">
      <c r="A43" s="18">
        <v>44561</v>
      </c>
      <c r="B43" s="11" t="s">
        <v>29</v>
      </c>
      <c r="C43" s="11" t="s">
        <v>31</v>
      </c>
      <c r="D43" s="14">
        <v>27866.375</v>
      </c>
      <c r="E43" s="14">
        <v>100</v>
      </c>
      <c r="F43" s="14">
        <v>0</v>
      </c>
      <c r="G43" s="14">
        <v>0</v>
      </c>
      <c r="H43" s="14">
        <v>4752.12</v>
      </c>
      <c r="I43" s="14"/>
      <c r="J43" s="14"/>
      <c r="K43" s="14"/>
      <c r="L43" s="14"/>
      <c r="M43" s="14">
        <v>1722.0700000000002</v>
      </c>
      <c r="N43" s="14"/>
      <c r="O43" s="14">
        <v>11363.029999999999</v>
      </c>
      <c r="P43" s="14">
        <v>7198.9599999999991</v>
      </c>
      <c r="Q43" s="14">
        <v>15878.575000000001</v>
      </c>
      <c r="R43" s="14"/>
      <c r="S43" s="14"/>
      <c r="T43" s="14"/>
      <c r="U43" s="15"/>
      <c r="Y43" s="16"/>
    </row>
    <row r="44" spans="1:25" hidden="1" x14ac:dyDescent="0.35">
      <c r="A44" s="18">
        <v>44561</v>
      </c>
      <c r="B44" s="11" t="s">
        <v>30</v>
      </c>
      <c r="C44" s="11" t="s">
        <v>31</v>
      </c>
      <c r="D44" s="14">
        <v>770.02</v>
      </c>
      <c r="E44" s="14">
        <v>1719.9549999999999</v>
      </c>
      <c r="F44" s="14">
        <v>36</v>
      </c>
      <c r="G44" s="14">
        <v>0</v>
      </c>
      <c r="H44" s="14">
        <v>1944</v>
      </c>
      <c r="I44" s="14"/>
      <c r="J44" s="14"/>
      <c r="K44" s="14"/>
      <c r="L44" s="14"/>
      <c r="M44" s="14">
        <v>424.06499999999994</v>
      </c>
      <c r="N44" s="14"/>
      <c r="O44" s="14">
        <v>1157.5999999999999</v>
      </c>
      <c r="P44" s="14">
        <v>160.82</v>
      </c>
      <c r="Q44" s="14">
        <v>3575.6199999999994</v>
      </c>
      <c r="R44" s="14"/>
      <c r="S44" s="14"/>
      <c r="T44" s="14"/>
      <c r="U44" s="15"/>
      <c r="V44" s="44"/>
      <c r="W44" s="44"/>
      <c r="X44" s="44"/>
      <c r="Y44" s="16"/>
    </row>
    <row r="45" spans="1:25" hidden="1" x14ac:dyDescent="0.35">
      <c r="A45" s="18">
        <v>44561</v>
      </c>
      <c r="B45" s="11" t="s">
        <v>32</v>
      </c>
      <c r="C45" s="11" t="s">
        <v>31</v>
      </c>
      <c r="D45" s="14">
        <v>56987.309000000001</v>
      </c>
      <c r="E45" s="14">
        <v>5781.26</v>
      </c>
      <c r="F45" s="14">
        <v>0</v>
      </c>
      <c r="G45" s="14">
        <v>1620.0000000000002</v>
      </c>
      <c r="H45" s="14">
        <v>20433.770000000004</v>
      </c>
      <c r="I45" s="14"/>
      <c r="J45" s="14"/>
      <c r="K45" s="14"/>
      <c r="L45" s="14"/>
      <c r="M45" s="14">
        <v>24245.68</v>
      </c>
      <c r="N45" s="14"/>
      <c r="O45" s="14">
        <v>27067.8</v>
      </c>
      <c r="P45" s="14">
        <v>50260.159999999989</v>
      </c>
      <c r="Q45" s="14">
        <v>31740.059000000001</v>
      </c>
      <c r="R45" s="14"/>
      <c r="S45" s="14"/>
      <c r="T45" s="14"/>
      <c r="U45" s="15"/>
      <c r="V45" s="44"/>
      <c r="W45" s="44"/>
      <c r="X45" s="44"/>
      <c r="Y45" s="16"/>
    </row>
    <row r="46" spans="1:25" s="44" customFormat="1" ht="37.5" hidden="1" customHeight="1" x14ac:dyDescent="0.35">
      <c r="A46" s="18">
        <v>44561</v>
      </c>
      <c r="B46" s="11" t="s">
        <v>33</v>
      </c>
      <c r="C46" s="11" t="s">
        <v>31</v>
      </c>
      <c r="D46" s="14">
        <v>49069.524000000005</v>
      </c>
      <c r="E46" s="14">
        <v>6491.8040000000001</v>
      </c>
      <c r="F46" s="14">
        <v>433.66100000000006</v>
      </c>
      <c r="G46" s="14">
        <v>3320</v>
      </c>
      <c r="H46" s="14">
        <v>11819.83</v>
      </c>
      <c r="I46" s="14"/>
      <c r="J46" s="14"/>
      <c r="K46" s="14"/>
      <c r="L46" s="14"/>
      <c r="M46" s="14">
        <v>46096.130000000005</v>
      </c>
      <c r="N46" s="14"/>
      <c r="O46" s="14">
        <v>33692.146999999997</v>
      </c>
      <c r="P46" s="14">
        <v>64092.298000000003</v>
      </c>
      <c r="Q46" s="14">
        <v>19446.504000000001</v>
      </c>
      <c r="R46" s="14"/>
      <c r="S46" s="14"/>
      <c r="T46" s="14"/>
      <c r="U46" s="15"/>
      <c r="V46"/>
      <c r="W46"/>
      <c r="X46"/>
      <c r="Y46" s="16"/>
    </row>
    <row r="47" spans="1:25" s="44" customFormat="1" hidden="1" x14ac:dyDescent="0.35">
      <c r="A47" s="18">
        <v>44561</v>
      </c>
      <c r="B47" s="11" t="s">
        <v>34</v>
      </c>
      <c r="C47" s="11" t="s">
        <v>31</v>
      </c>
      <c r="D47" s="14">
        <v>75116.271999999997</v>
      </c>
      <c r="E47" s="14">
        <v>10806.49</v>
      </c>
      <c r="F47" s="14">
        <v>0</v>
      </c>
      <c r="G47" s="14">
        <v>1840</v>
      </c>
      <c r="H47" s="14">
        <v>7562.5</v>
      </c>
      <c r="I47" s="14"/>
      <c r="J47" s="14"/>
      <c r="K47" s="14"/>
      <c r="L47" s="14"/>
      <c r="M47" s="14">
        <v>32352.57</v>
      </c>
      <c r="N47" s="14"/>
      <c r="O47" s="14">
        <v>31057.8</v>
      </c>
      <c r="P47" s="14">
        <v>68718.960000000006</v>
      </c>
      <c r="Q47" s="14">
        <v>27901.072000000004</v>
      </c>
      <c r="R47" s="14"/>
      <c r="S47" s="14"/>
      <c r="T47" s="14"/>
      <c r="U47" s="15"/>
      <c r="V47"/>
      <c r="W47"/>
      <c r="X47"/>
      <c r="Y47" s="16"/>
    </row>
    <row r="48" spans="1:25" s="44" customFormat="1" x14ac:dyDescent="0.35">
      <c r="A48" s="45">
        <v>44592</v>
      </c>
      <c r="B48" s="46" t="s">
        <v>24</v>
      </c>
      <c r="C48" s="11" t="s">
        <v>25</v>
      </c>
      <c r="D48" s="47">
        <f>203.8995+6.62</f>
        <v>210.51949999999999</v>
      </c>
      <c r="E48" s="48">
        <v>24.899509999999999</v>
      </c>
      <c r="F48" s="48">
        <v>0.50970899999999997</v>
      </c>
      <c r="G48" s="47">
        <v>6.78</v>
      </c>
      <c r="H48" s="48">
        <v>46.512219999999999</v>
      </c>
      <c r="I48" s="47">
        <v>40.100929999999998</v>
      </c>
      <c r="J48" s="47">
        <v>4.8399000000000001</v>
      </c>
      <c r="K48" s="47">
        <f>10.17561+0.43411</f>
        <v>10.609720000000001</v>
      </c>
      <c r="L48" s="47">
        <v>50.303579999999997</v>
      </c>
      <c r="M48" s="47">
        <v>0</v>
      </c>
      <c r="N48" s="47"/>
      <c r="O48" s="47">
        <v>105.31368000000001</v>
      </c>
      <c r="P48" s="47">
        <v>191.43446</v>
      </c>
      <c r="Q48" s="47">
        <v>98.326930000000004</v>
      </c>
      <c r="R48" s="47"/>
      <c r="S48" s="47"/>
      <c r="T48" s="47"/>
      <c r="U48" s="15"/>
      <c r="V48"/>
      <c r="W48" t="s">
        <v>26</v>
      </c>
      <c r="X48" t="s">
        <v>26</v>
      </c>
      <c r="Y48" s="49"/>
    </row>
    <row r="49" spans="1:25" s="44" customFormat="1" hidden="1" x14ac:dyDescent="0.35">
      <c r="A49" s="50">
        <v>44592</v>
      </c>
      <c r="B49" s="11" t="s">
        <v>29</v>
      </c>
      <c r="C49" s="11" t="s">
        <v>31</v>
      </c>
      <c r="D49" s="14">
        <v>27646.38</v>
      </c>
      <c r="E49" s="14">
        <v>100</v>
      </c>
      <c r="F49" s="14">
        <v>0</v>
      </c>
      <c r="G49" s="14">
        <v>0</v>
      </c>
      <c r="H49" s="14">
        <v>4752.12</v>
      </c>
      <c r="I49" s="14"/>
      <c r="J49" s="14"/>
      <c r="K49" s="14"/>
      <c r="L49" s="14"/>
      <c r="M49" s="14">
        <v>1724.18</v>
      </c>
      <c r="N49" s="14"/>
      <c r="O49" s="14">
        <v>11363.029999999999</v>
      </c>
      <c r="P49" s="14">
        <v>7201.07</v>
      </c>
      <c r="Q49" s="14">
        <v>15658.58</v>
      </c>
      <c r="R49" s="14">
        <f>SUM(O49:Q49)</f>
        <v>34222.68</v>
      </c>
      <c r="S49" s="14"/>
      <c r="T49" s="14"/>
      <c r="U49" s="15">
        <v>26019</v>
      </c>
      <c r="V49"/>
      <c r="W49"/>
      <c r="X49"/>
      <c r="Y49" s="16"/>
    </row>
    <row r="50" spans="1:25" s="44" customFormat="1" hidden="1" x14ac:dyDescent="0.35">
      <c r="A50" s="50">
        <v>44592</v>
      </c>
      <c r="B50" s="11" t="s">
        <v>30</v>
      </c>
      <c r="C50" s="11" t="s">
        <v>31</v>
      </c>
      <c r="D50" s="14">
        <v>770.02</v>
      </c>
      <c r="E50" s="14">
        <v>1719.9549999999999</v>
      </c>
      <c r="F50" s="14">
        <v>36</v>
      </c>
      <c r="G50" s="14">
        <v>0</v>
      </c>
      <c r="H50" s="14">
        <v>1944</v>
      </c>
      <c r="I50" s="14"/>
      <c r="J50" s="14"/>
      <c r="K50" s="14"/>
      <c r="L50" s="14"/>
      <c r="M50" s="14">
        <v>424.13</v>
      </c>
      <c r="N50" s="14"/>
      <c r="O50" s="14">
        <v>1157.5999999999999</v>
      </c>
      <c r="P50" s="14">
        <v>160.82</v>
      </c>
      <c r="Q50" s="14">
        <v>3575.6199999999994</v>
      </c>
      <c r="R50" s="14">
        <f>SUM(O50:Q50)</f>
        <v>4894.0399999999991</v>
      </c>
      <c r="S50" s="14"/>
      <c r="T50" s="14"/>
      <c r="U50" s="15">
        <v>3427</v>
      </c>
      <c r="V50"/>
      <c r="W50"/>
      <c r="X50"/>
      <c r="Y50" s="16"/>
    </row>
    <row r="51" spans="1:25" s="44" customFormat="1" hidden="1" x14ac:dyDescent="0.35">
      <c r="A51" s="50">
        <v>44592</v>
      </c>
      <c r="B51" s="11" t="s">
        <v>32</v>
      </c>
      <c r="C51" s="11" t="s">
        <v>31</v>
      </c>
      <c r="D51" s="14">
        <f>56192.31+1580</f>
        <v>57772.31</v>
      </c>
      <c r="E51" s="14">
        <v>5781.26</v>
      </c>
      <c r="F51" s="14">
        <v>0</v>
      </c>
      <c r="G51" s="14">
        <v>1620.0000000000002</v>
      </c>
      <c r="H51" s="14">
        <v>20433.770000000004</v>
      </c>
      <c r="I51" s="14"/>
      <c r="J51" s="14"/>
      <c r="K51" s="14"/>
      <c r="L51" s="14"/>
      <c r="M51" s="14">
        <v>24782.92</v>
      </c>
      <c r="N51" s="14"/>
      <c r="O51" s="14">
        <v>27727.8</v>
      </c>
      <c r="P51" s="14">
        <v>50797.4</v>
      </c>
      <c r="Q51" s="14">
        <v>31865.06</v>
      </c>
      <c r="R51" s="14">
        <f>SUM(O51:Q51)</f>
        <v>110390.26</v>
      </c>
      <c r="S51" s="14"/>
      <c r="T51" s="14"/>
      <c r="U51" s="15">
        <v>73305</v>
      </c>
      <c r="Y51" s="16"/>
    </row>
    <row r="52" spans="1:25" s="44" customFormat="1" hidden="1" x14ac:dyDescent="0.35">
      <c r="A52" s="50">
        <v>44592</v>
      </c>
      <c r="B52" s="11" t="s">
        <v>33</v>
      </c>
      <c r="C52" s="11" t="s">
        <v>31</v>
      </c>
      <c r="D52" s="14">
        <f>45699.52+3640</f>
        <v>49339.519999999997</v>
      </c>
      <c r="E52" s="14">
        <v>6491.8040000000001</v>
      </c>
      <c r="F52" s="14">
        <v>433.66100000000006</v>
      </c>
      <c r="G52" s="14">
        <v>3320</v>
      </c>
      <c r="H52" s="14">
        <v>11819.83</v>
      </c>
      <c r="I52" s="14"/>
      <c r="J52" s="14"/>
      <c r="K52" s="14"/>
      <c r="L52" s="14"/>
      <c r="M52" s="14">
        <v>46374.78</v>
      </c>
      <c r="N52" s="14"/>
      <c r="O52" s="14">
        <v>33692.146999999997</v>
      </c>
      <c r="P52" s="14">
        <v>64370.95</v>
      </c>
      <c r="Q52" s="14">
        <v>19446.504000000001</v>
      </c>
      <c r="R52" s="14">
        <f>SUM(O52:Q52)</f>
        <v>117509.601</v>
      </c>
      <c r="S52" s="14"/>
      <c r="T52" s="14"/>
      <c r="U52" s="15">
        <v>58430</v>
      </c>
      <c r="V52"/>
      <c r="W52"/>
      <c r="X52"/>
      <c r="Y52" s="16"/>
    </row>
    <row r="53" spans="1:25" hidden="1" x14ac:dyDescent="0.35">
      <c r="A53" s="50">
        <v>44592</v>
      </c>
      <c r="B53" s="11" t="s">
        <v>34</v>
      </c>
      <c r="C53" s="11" t="s">
        <v>31</v>
      </c>
      <c r="D53" s="14">
        <f>73591.27+1400</f>
        <v>74991.27</v>
      </c>
      <c r="E53" s="14">
        <v>10806.49</v>
      </c>
      <c r="F53" s="14">
        <v>0</v>
      </c>
      <c r="G53" s="14">
        <v>1840</v>
      </c>
      <c r="H53" s="14">
        <v>7562.5</v>
      </c>
      <c r="I53" s="14"/>
      <c r="J53" s="14"/>
      <c r="K53" s="14"/>
      <c r="L53" s="14"/>
      <c r="M53" s="14">
        <v>32510.11</v>
      </c>
      <c r="N53" s="14"/>
      <c r="O53" s="14">
        <v>31057.8</v>
      </c>
      <c r="P53" s="14">
        <v>68876.5</v>
      </c>
      <c r="Q53" s="14">
        <v>27776.07</v>
      </c>
      <c r="R53" s="14">
        <f>SUM(O53:Q53)</f>
        <v>127710.37</v>
      </c>
      <c r="S53" s="14"/>
      <c r="T53" s="14"/>
      <c r="U53" s="15">
        <v>63636</v>
      </c>
      <c r="Y53" s="16"/>
    </row>
    <row r="54" spans="1:25" x14ac:dyDescent="0.35">
      <c r="A54" s="45">
        <v>44651</v>
      </c>
      <c r="B54" s="46" t="s">
        <v>24</v>
      </c>
      <c r="C54" s="11" t="s">
        <v>25</v>
      </c>
      <c r="D54" s="47">
        <f>204.0795+6.62</f>
        <v>210.6995</v>
      </c>
      <c r="E54" s="48">
        <v>24.899509999999999</v>
      </c>
      <c r="F54" s="48">
        <v>0.50970899999999997</v>
      </c>
      <c r="G54" s="47">
        <v>6.78</v>
      </c>
      <c r="H54" s="48">
        <v>46.722520000000003</v>
      </c>
      <c r="I54" s="47">
        <v>40.528080000000003</v>
      </c>
      <c r="J54" s="47">
        <v>4.8509000000000002</v>
      </c>
      <c r="K54" s="47">
        <f>10.20561+0.47675</f>
        <v>10.682359999999999</v>
      </c>
      <c r="L54" s="47">
        <v>55.33766</v>
      </c>
      <c r="M54" s="47">
        <v>0</v>
      </c>
      <c r="N54" s="47"/>
      <c r="O54" s="47">
        <v>104.85697999999999</v>
      </c>
      <c r="P54" s="47">
        <v>197.14832999999999</v>
      </c>
      <c r="Q54" s="47">
        <v>99.004930000000002</v>
      </c>
      <c r="R54" s="47"/>
      <c r="S54" s="47"/>
      <c r="T54" s="47"/>
      <c r="U54" s="15">
        <v>203.17400000000001</v>
      </c>
      <c r="V54" s="28"/>
      <c r="W54" s="28"/>
      <c r="X54" s="28"/>
      <c r="Y54" s="49"/>
    </row>
    <row r="55" spans="1:25" hidden="1" x14ac:dyDescent="0.35">
      <c r="A55" s="18">
        <v>44651</v>
      </c>
      <c r="B55" s="19" t="s">
        <v>32</v>
      </c>
      <c r="C55" s="19" t="s">
        <v>31</v>
      </c>
      <c r="D55" s="14"/>
      <c r="E55" s="14"/>
      <c r="F55" s="14"/>
      <c r="G55" s="20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5">
        <v>73423</v>
      </c>
      <c r="Y55" s="16"/>
    </row>
    <row r="56" spans="1:25" hidden="1" x14ac:dyDescent="0.35">
      <c r="A56" s="18">
        <v>44651</v>
      </c>
      <c r="B56" s="19" t="s">
        <v>34</v>
      </c>
      <c r="C56" s="19" t="s">
        <v>31</v>
      </c>
      <c r="D56" s="14"/>
      <c r="E56" s="14"/>
      <c r="F56" s="14"/>
      <c r="G56" s="20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5">
        <v>65470</v>
      </c>
      <c r="Y56" s="16"/>
    </row>
    <row r="57" spans="1:25" hidden="1" x14ac:dyDescent="0.35">
      <c r="A57" s="18">
        <v>44651</v>
      </c>
      <c r="B57" s="19" t="s">
        <v>33</v>
      </c>
      <c r="C57" s="19" t="s">
        <v>31</v>
      </c>
      <c r="D57" s="14"/>
      <c r="E57" s="14"/>
      <c r="F57" s="14"/>
      <c r="G57" s="20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5">
        <v>61150</v>
      </c>
      <c r="Y57" s="16"/>
    </row>
    <row r="58" spans="1:25" hidden="1" x14ac:dyDescent="0.35">
      <c r="A58" s="18">
        <v>44651</v>
      </c>
      <c r="B58" s="19" t="s">
        <v>35</v>
      </c>
      <c r="C58" s="19" t="s">
        <v>31</v>
      </c>
      <c r="D58" s="14"/>
      <c r="E58" s="14"/>
      <c r="F58" s="14"/>
      <c r="G58" s="20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5">
        <v>60</v>
      </c>
      <c r="Y58" s="16"/>
    </row>
    <row r="59" spans="1:25" hidden="1" x14ac:dyDescent="0.35">
      <c r="A59" s="18">
        <v>44651</v>
      </c>
      <c r="B59" s="19" t="s">
        <v>36</v>
      </c>
      <c r="C59" s="19" t="s">
        <v>31</v>
      </c>
      <c r="D59" s="14"/>
      <c r="E59" s="14"/>
      <c r="F59" s="14"/>
      <c r="G59" s="20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5">
        <v>6923</v>
      </c>
      <c r="Y59" s="16"/>
    </row>
    <row r="60" spans="1:25" hidden="1" x14ac:dyDescent="0.35">
      <c r="A60" s="18">
        <v>44651</v>
      </c>
      <c r="B60" s="51" t="s">
        <v>37</v>
      </c>
      <c r="C60" s="51" t="s">
        <v>31</v>
      </c>
      <c r="E60" s="52"/>
      <c r="F60" s="52"/>
      <c r="G60" s="53"/>
      <c r="H60" s="52"/>
      <c r="M60" s="52"/>
      <c r="N60" s="52"/>
      <c r="O60" s="52"/>
      <c r="P60" s="52"/>
      <c r="Q60" s="52"/>
      <c r="R60" s="14"/>
      <c r="U60" s="54">
        <v>3074</v>
      </c>
      <c r="Y60" s="55"/>
    </row>
    <row r="61" spans="1:25" hidden="1" x14ac:dyDescent="0.35">
      <c r="A61" s="18">
        <v>44651</v>
      </c>
      <c r="B61" s="51" t="s">
        <v>38</v>
      </c>
      <c r="C61" s="51" t="s">
        <v>31</v>
      </c>
      <c r="E61" s="52"/>
      <c r="F61" s="52"/>
      <c r="H61" s="52"/>
      <c r="M61" s="52"/>
      <c r="N61" s="52"/>
      <c r="O61" s="52"/>
      <c r="P61" s="52"/>
      <c r="Q61" s="52"/>
      <c r="R61" s="52"/>
      <c r="U61" s="54">
        <v>2835</v>
      </c>
      <c r="Y61" s="55"/>
    </row>
    <row r="62" spans="1:25" hidden="1" x14ac:dyDescent="0.35">
      <c r="A62" s="18">
        <v>44651</v>
      </c>
      <c r="B62" s="51" t="s">
        <v>39</v>
      </c>
      <c r="C62" s="51" t="s">
        <v>31</v>
      </c>
      <c r="E62" s="52"/>
      <c r="F62" s="52"/>
      <c r="H62" s="52"/>
      <c r="M62" s="52"/>
      <c r="N62" s="52"/>
      <c r="O62" s="52"/>
      <c r="P62" s="52"/>
      <c r="Q62" s="52"/>
      <c r="R62" s="52"/>
      <c r="U62" s="54">
        <v>5645</v>
      </c>
      <c r="Y62" s="55"/>
    </row>
    <row r="63" spans="1:25" hidden="1" x14ac:dyDescent="0.35">
      <c r="A63" s="18">
        <v>44651</v>
      </c>
      <c r="B63" s="51" t="s">
        <v>40</v>
      </c>
      <c r="C63" s="51" t="s">
        <v>31</v>
      </c>
      <c r="E63" s="52"/>
      <c r="F63" s="52"/>
      <c r="H63" s="52"/>
      <c r="M63" s="52"/>
      <c r="N63" s="52"/>
      <c r="O63" s="52"/>
      <c r="P63" s="52"/>
      <c r="Q63" s="52"/>
      <c r="R63" s="52"/>
      <c r="U63" s="54">
        <v>134</v>
      </c>
      <c r="Y63" s="55"/>
    </row>
    <row r="64" spans="1:25" hidden="1" x14ac:dyDescent="0.35">
      <c r="A64" s="18">
        <v>44651</v>
      </c>
      <c r="B64" s="51" t="s">
        <v>41</v>
      </c>
      <c r="C64" s="51" t="s">
        <v>31</v>
      </c>
      <c r="E64" s="52"/>
      <c r="F64" s="52"/>
      <c r="H64" s="52"/>
      <c r="M64" s="52"/>
      <c r="N64" s="52"/>
      <c r="O64" s="52"/>
      <c r="P64" s="52"/>
      <c r="Q64" s="52"/>
      <c r="R64" s="52"/>
      <c r="U64" s="54">
        <v>9090</v>
      </c>
      <c r="Y64" s="55"/>
    </row>
    <row r="65" spans="1:25" hidden="1" x14ac:dyDescent="0.35">
      <c r="A65" s="18">
        <v>44651</v>
      </c>
      <c r="B65" s="51" t="s">
        <v>29</v>
      </c>
      <c r="C65" s="51" t="s">
        <v>31</v>
      </c>
      <c r="E65" s="52"/>
      <c r="F65" s="52"/>
      <c r="H65" s="52"/>
      <c r="M65" s="52"/>
      <c r="N65" s="52"/>
      <c r="O65" s="52"/>
      <c r="P65" s="52"/>
      <c r="Q65" s="52"/>
      <c r="R65" s="52"/>
      <c r="U65" s="54">
        <v>26036</v>
      </c>
      <c r="Y65" s="55"/>
    </row>
    <row r="66" spans="1:25" hidden="1" x14ac:dyDescent="0.35">
      <c r="A66" s="18">
        <v>44651</v>
      </c>
      <c r="B66" s="51" t="s">
        <v>42</v>
      </c>
      <c r="C66" s="51" t="s">
        <v>31</v>
      </c>
      <c r="E66" s="52"/>
      <c r="F66" s="52"/>
      <c r="H66" s="52"/>
      <c r="M66" s="52"/>
      <c r="N66" s="52"/>
      <c r="O66" s="52"/>
      <c r="P66" s="52"/>
      <c r="Q66" s="52"/>
      <c r="R66" s="52"/>
      <c r="U66" s="54">
        <v>170</v>
      </c>
      <c r="Y66" s="55"/>
    </row>
    <row r="67" spans="1:25" hidden="1" x14ac:dyDescent="0.35">
      <c r="A67" s="56">
        <v>44651</v>
      </c>
      <c r="B67" s="51" t="s">
        <v>43</v>
      </c>
      <c r="C67" s="51" t="s">
        <v>31</v>
      </c>
      <c r="U67" s="54">
        <v>2138</v>
      </c>
      <c r="Y67" s="55"/>
    </row>
    <row r="68" spans="1:25" hidden="1" x14ac:dyDescent="0.35">
      <c r="A68" s="56">
        <v>44651</v>
      </c>
      <c r="B68" s="51" t="s">
        <v>44</v>
      </c>
      <c r="C68" s="51" t="s">
        <v>31</v>
      </c>
      <c r="U68" s="57">
        <v>260</v>
      </c>
      <c r="Y68" s="55"/>
    </row>
    <row r="69" spans="1:25" hidden="1" x14ac:dyDescent="0.35">
      <c r="A69" s="56">
        <v>44651</v>
      </c>
      <c r="B69" s="51" t="s">
        <v>45</v>
      </c>
      <c r="C69" s="51" t="s">
        <v>31</v>
      </c>
      <c r="U69" s="57">
        <v>408</v>
      </c>
      <c r="Y69" s="55"/>
    </row>
    <row r="70" spans="1:25" hidden="1" x14ac:dyDescent="0.35">
      <c r="A70" s="56">
        <v>44651</v>
      </c>
      <c r="B70" s="51" t="s">
        <v>46</v>
      </c>
      <c r="C70" s="51" t="s">
        <v>31</v>
      </c>
      <c r="U70" s="57">
        <v>157</v>
      </c>
      <c r="Y70" s="55"/>
    </row>
    <row r="71" spans="1:25" hidden="1" x14ac:dyDescent="0.35">
      <c r="A71" s="56">
        <v>44651</v>
      </c>
      <c r="B71" s="51" t="s">
        <v>47</v>
      </c>
      <c r="C71" s="51" t="s">
        <v>31</v>
      </c>
      <c r="U71" s="57">
        <v>155</v>
      </c>
      <c r="Y71" s="55"/>
    </row>
    <row r="72" spans="1:25" hidden="1" x14ac:dyDescent="0.35">
      <c r="A72" s="56">
        <v>44651</v>
      </c>
      <c r="B72" s="51" t="s">
        <v>48</v>
      </c>
      <c r="C72" s="51" t="s">
        <v>31</v>
      </c>
      <c r="U72" s="57">
        <v>329</v>
      </c>
      <c r="Y72" s="55"/>
    </row>
    <row r="73" spans="1:25" hidden="1" x14ac:dyDescent="0.35">
      <c r="A73" s="56">
        <v>44651</v>
      </c>
      <c r="B73" s="51" t="s">
        <v>30</v>
      </c>
      <c r="C73" s="51" t="s">
        <v>31</v>
      </c>
      <c r="U73" s="57">
        <v>3437</v>
      </c>
      <c r="Y73" s="55"/>
    </row>
    <row r="74" spans="1:25" hidden="1" x14ac:dyDescent="0.35">
      <c r="A74" s="56">
        <v>44651</v>
      </c>
      <c r="B74" s="51" t="s">
        <v>24</v>
      </c>
      <c r="C74" s="51" t="s">
        <v>27</v>
      </c>
      <c r="D74">
        <v>1114.7</v>
      </c>
      <c r="G74" s="21">
        <v>47.1</v>
      </c>
      <c r="H74">
        <v>151.6</v>
      </c>
      <c r="I74">
        <v>68.640069999999994</v>
      </c>
      <c r="J74">
        <v>10.46354</v>
      </c>
      <c r="K74">
        <f>3.4827+12.53788+2.26817</f>
        <v>18.28875</v>
      </c>
      <c r="L74">
        <v>73.483940000000004</v>
      </c>
      <c r="N74">
        <v>7.5</v>
      </c>
      <c r="Y74" s="55"/>
    </row>
    <row r="75" spans="1:25" hidden="1" x14ac:dyDescent="0.35">
      <c r="A75" s="58">
        <v>44742</v>
      </c>
      <c r="B75" s="51" t="s">
        <v>49</v>
      </c>
      <c r="C75" s="51" t="s">
        <v>25</v>
      </c>
      <c r="D75">
        <f>(37.05+0)/1000</f>
        <v>3.705E-2</v>
      </c>
      <c r="E75" s="44">
        <v>4.6820000000000001E-2</v>
      </c>
      <c r="F75" s="44">
        <v>0</v>
      </c>
      <c r="G75" s="59">
        <v>0</v>
      </c>
      <c r="H75" s="44">
        <v>0.54454999999999998</v>
      </c>
      <c r="M75" s="44">
        <v>0.14434</v>
      </c>
      <c r="N75" s="44"/>
      <c r="O75" s="44">
        <v>0.10911</v>
      </c>
      <c r="P75" s="44">
        <v>3.5229999999999997E-2</v>
      </c>
      <c r="Q75" s="44">
        <v>0.62841999999999998</v>
      </c>
      <c r="R75">
        <f t="shared" ref="R75:R96" si="0">SUM(O75:Q75)</f>
        <v>0.77276</v>
      </c>
      <c r="U75" s="57">
        <v>0.158</v>
      </c>
      <c r="Y75" s="55"/>
    </row>
    <row r="76" spans="1:25" hidden="1" x14ac:dyDescent="0.35">
      <c r="A76" s="58">
        <v>44742</v>
      </c>
      <c r="B76" s="51" t="s">
        <v>43</v>
      </c>
      <c r="D76">
        <f>(402.52+0)/1000</f>
        <v>0.40251999999999999</v>
      </c>
      <c r="E76" s="44">
        <v>0.74192000000000002</v>
      </c>
      <c r="F76" s="44">
        <v>0</v>
      </c>
      <c r="G76" s="21">
        <v>0</v>
      </c>
      <c r="H76" s="44">
        <v>0.52207999999999999</v>
      </c>
      <c r="M76" s="44">
        <v>0.17904999999999999</v>
      </c>
      <c r="N76" s="44"/>
      <c r="O76" s="44">
        <v>0.41137000000000001</v>
      </c>
      <c r="P76" s="44">
        <v>0.14904000000000001</v>
      </c>
      <c r="Q76" s="44">
        <v>1.2851600000000001</v>
      </c>
      <c r="R76">
        <f t="shared" si="0"/>
        <v>1.8455700000000002</v>
      </c>
      <c r="U76" s="57">
        <v>2.1440000000000001</v>
      </c>
      <c r="Y76" s="55"/>
    </row>
    <row r="77" spans="1:25" hidden="1" x14ac:dyDescent="0.35">
      <c r="A77" s="58">
        <v>44742</v>
      </c>
      <c r="B77" s="51" t="s">
        <v>44</v>
      </c>
      <c r="D77">
        <f>(15.68+0)/1000</f>
        <v>1.5679999999999999E-2</v>
      </c>
      <c r="E77" s="44">
        <v>8.158E-2</v>
      </c>
      <c r="F77" s="44">
        <v>3.5999999999999997E-2</v>
      </c>
      <c r="G77" s="21">
        <v>0</v>
      </c>
      <c r="H77" s="44">
        <v>9.5339999999999994E-2</v>
      </c>
      <c r="M77" s="44">
        <v>1.771E-2</v>
      </c>
      <c r="N77" s="44"/>
      <c r="O77" s="44">
        <v>4.1450000000000001E-2</v>
      </c>
      <c r="P77" s="44">
        <v>1.226E-2</v>
      </c>
      <c r="Q77" s="44">
        <v>0.19259999999999999</v>
      </c>
      <c r="R77">
        <f t="shared" si="0"/>
        <v>0.24631</v>
      </c>
      <c r="U77" s="57">
        <v>0.20200000000000001</v>
      </c>
      <c r="Y77" s="55"/>
    </row>
    <row r="78" spans="1:25" hidden="1" x14ac:dyDescent="0.35">
      <c r="A78" s="58">
        <v>44742</v>
      </c>
      <c r="B78" s="51" t="s">
        <v>45</v>
      </c>
      <c r="D78">
        <v>0</v>
      </c>
      <c r="E78" s="44">
        <v>0.10969</v>
      </c>
      <c r="F78" s="44">
        <v>0</v>
      </c>
      <c r="G78" s="21">
        <v>0</v>
      </c>
      <c r="H78" s="44">
        <v>0.40927000000000002</v>
      </c>
      <c r="M78" s="44">
        <v>5.049E-2</v>
      </c>
      <c r="N78" s="44"/>
      <c r="O78" s="44">
        <v>0.35453000000000001</v>
      </c>
      <c r="P78" s="44">
        <v>1.796E-2</v>
      </c>
      <c r="Q78" s="44">
        <v>0.19696</v>
      </c>
      <c r="R78">
        <f t="shared" si="0"/>
        <v>0.56945000000000001</v>
      </c>
      <c r="U78" s="57">
        <v>0.35899999999999999</v>
      </c>
      <c r="Y78" s="55"/>
    </row>
    <row r="79" spans="1:25" hidden="1" x14ac:dyDescent="0.35">
      <c r="A79" s="58">
        <v>44742</v>
      </c>
      <c r="B79" s="51" t="s">
        <v>46</v>
      </c>
      <c r="D79">
        <f>(10.35+0)/1000</f>
        <v>1.035E-2</v>
      </c>
      <c r="E79" s="44">
        <v>6.046E-2</v>
      </c>
      <c r="F79" s="44">
        <v>0</v>
      </c>
      <c r="G79" s="21">
        <v>0</v>
      </c>
      <c r="H79" s="44">
        <v>9.7939999999999999E-2</v>
      </c>
      <c r="M79" s="44">
        <v>4.4479999999999999E-2</v>
      </c>
      <c r="N79" s="44"/>
      <c r="O79" s="44">
        <v>3.6470000000000002E-2</v>
      </c>
      <c r="P79" s="44">
        <v>8.0099999999999998E-3</v>
      </c>
      <c r="Q79" s="44">
        <v>0.16875000000000001</v>
      </c>
      <c r="R79">
        <f t="shared" si="0"/>
        <v>0.21323000000000003</v>
      </c>
      <c r="U79" s="57">
        <v>0.11799999999999999</v>
      </c>
      <c r="Y79" s="55"/>
    </row>
    <row r="80" spans="1:25" hidden="1" x14ac:dyDescent="0.35">
      <c r="A80" s="58">
        <v>44742</v>
      </c>
      <c r="B80" s="51" t="s">
        <v>47</v>
      </c>
      <c r="D80">
        <f>(32.1+0)/1000</f>
        <v>3.2100000000000004E-2</v>
      </c>
      <c r="E80" s="44">
        <v>7.3929999999999996E-2</v>
      </c>
      <c r="F80" s="44">
        <v>0</v>
      </c>
      <c r="G80" s="21">
        <v>0</v>
      </c>
      <c r="H80" s="44">
        <v>6.633E-2</v>
      </c>
      <c r="M80" s="44">
        <v>3.4709999999999998E-2</v>
      </c>
      <c r="N80" s="44"/>
      <c r="O80" s="44">
        <v>3.1669999999999997E-2</v>
      </c>
      <c r="P80" s="44">
        <v>3.0400000000000002E-3</v>
      </c>
      <c r="Q80" s="44">
        <v>0.17236000000000001</v>
      </c>
      <c r="R80">
        <f t="shared" si="0"/>
        <v>0.20707</v>
      </c>
      <c r="U80" s="57">
        <v>0.15</v>
      </c>
      <c r="Y80" s="55"/>
    </row>
    <row r="81" spans="1:25" hidden="1" x14ac:dyDescent="0.35">
      <c r="A81" s="58">
        <v>44742</v>
      </c>
      <c r="B81" s="51" t="s">
        <v>48</v>
      </c>
      <c r="D81">
        <v>0</v>
      </c>
      <c r="E81" s="44">
        <v>0.51893999999999996</v>
      </c>
      <c r="F81" s="44">
        <v>0</v>
      </c>
      <c r="G81" s="21">
        <v>0</v>
      </c>
      <c r="H81" s="44">
        <v>6.8489999999999995E-2</v>
      </c>
      <c r="M81" s="44">
        <v>3.1879999999999999E-2</v>
      </c>
      <c r="N81" s="44"/>
      <c r="O81" s="44">
        <v>0.15301000000000001</v>
      </c>
      <c r="P81" s="44">
        <v>1.0869999999999999E-2</v>
      </c>
      <c r="Q81" s="44">
        <v>0.45543</v>
      </c>
      <c r="R81">
        <f t="shared" si="0"/>
        <v>0.61931000000000003</v>
      </c>
      <c r="U81" s="57">
        <v>0.316</v>
      </c>
      <c r="Y81" s="55"/>
    </row>
    <row r="82" spans="1:25" hidden="1" x14ac:dyDescent="0.35">
      <c r="A82" s="58">
        <v>44772</v>
      </c>
      <c r="B82" s="60" t="s">
        <v>36</v>
      </c>
      <c r="C82" s="60" t="s">
        <v>25</v>
      </c>
      <c r="D82" s="44">
        <v>6.8257099999999999</v>
      </c>
      <c r="E82" s="44">
        <v>0</v>
      </c>
      <c r="F82" s="44">
        <v>0</v>
      </c>
      <c r="G82" s="59">
        <v>0</v>
      </c>
      <c r="H82" s="44">
        <v>0.11</v>
      </c>
      <c r="I82" s="44">
        <v>0.38740999999999998</v>
      </c>
      <c r="J82" s="44"/>
      <c r="K82" s="44"/>
      <c r="L82" s="44"/>
      <c r="M82" s="44">
        <v>0</v>
      </c>
      <c r="N82" s="44"/>
      <c r="O82" s="44">
        <v>7.0699999999999999E-2</v>
      </c>
      <c r="P82" s="44">
        <v>1.01671</v>
      </c>
      <c r="Q82" s="44">
        <v>6.2357100000000001</v>
      </c>
      <c r="R82">
        <f t="shared" si="0"/>
        <v>7.3231200000000003</v>
      </c>
      <c r="U82" s="57">
        <v>6.8310000000000004</v>
      </c>
      <c r="Y82" s="55"/>
    </row>
    <row r="83" spans="1:25" hidden="1" x14ac:dyDescent="0.35">
      <c r="A83" s="58">
        <v>44772</v>
      </c>
      <c r="B83" s="51" t="s">
        <v>50</v>
      </c>
      <c r="C83" s="60" t="s">
        <v>25</v>
      </c>
      <c r="D83" s="44">
        <v>1.5393300000000001</v>
      </c>
      <c r="E83" s="44">
        <v>0</v>
      </c>
      <c r="F83" s="44">
        <v>0</v>
      </c>
      <c r="G83" s="59">
        <v>0</v>
      </c>
      <c r="H83" s="44">
        <v>8.5010000000000002E-2</v>
      </c>
      <c r="I83" s="44">
        <v>0</v>
      </c>
      <c r="J83" s="44"/>
      <c r="K83" s="44"/>
      <c r="L83" s="44"/>
      <c r="M83" s="44">
        <v>0</v>
      </c>
      <c r="N83" s="44"/>
      <c r="O83" s="44">
        <v>0</v>
      </c>
      <c r="P83" s="44">
        <v>0</v>
      </c>
      <c r="Q83" s="44">
        <v>1.6243399999999999</v>
      </c>
      <c r="R83">
        <f t="shared" si="0"/>
        <v>1.6243399999999999</v>
      </c>
      <c r="Y83" s="55"/>
    </row>
    <row r="84" spans="1:25" hidden="1" x14ac:dyDescent="0.35">
      <c r="A84" s="58">
        <v>44772</v>
      </c>
      <c r="B84" s="60" t="s">
        <v>37</v>
      </c>
      <c r="C84" s="60" t="s">
        <v>25</v>
      </c>
      <c r="D84" s="44">
        <v>3.2368000000000001</v>
      </c>
      <c r="E84" s="44">
        <v>0</v>
      </c>
      <c r="F84" s="44">
        <v>0</v>
      </c>
      <c r="G84" s="59">
        <v>0</v>
      </c>
      <c r="H84" s="44">
        <v>0.1862</v>
      </c>
      <c r="I84" s="44">
        <v>0</v>
      </c>
      <c r="J84" s="44"/>
      <c r="K84" s="44"/>
      <c r="L84" s="44"/>
      <c r="M84" s="44">
        <v>0</v>
      </c>
      <c r="N84" s="44"/>
      <c r="O84" s="44">
        <v>0</v>
      </c>
      <c r="P84" s="44">
        <v>0.15</v>
      </c>
      <c r="Q84" s="44">
        <v>3.2730000000000001</v>
      </c>
      <c r="R84">
        <f t="shared" si="0"/>
        <v>3.423</v>
      </c>
      <c r="U84" s="57">
        <v>3.4020000000000001</v>
      </c>
      <c r="Y84" s="55"/>
    </row>
    <row r="85" spans="1:25" hidden="1" x14ac:dyDescent="0.35">
      <c r="A85" s="58">
        <v>44772</v>
      </c>
      <c r="B85" s="60" t="s">
        <v>29</v>
      </c>
      <c r="C85" s="60" t="s">
        <v>25</v>
      </c>
      <c r="D85" s="44">
        <f>27.2497+0</f>
        <v>27.249700000000001</v>
      </c>
      <c r="E85" s="44">
        <v>0.08</v>
      </c>
      <c r="F85" s="44">
        <v>0</v>
      </c>
      <c r="G85" s="59">
        <v>0</v>
      </c>
      <c r="H85" s="44">
        <v>4.7640000000000002</v>
      </c>
      <c r="I85" s="44">
        <v>1.768</v>
      </c>
      <c r="J85" s="44"/>
      <c r="K85" s="44"/>
      <c r="L85" s="44"/>
      <c r="M85" s="44">
        <v>0</v>
      </c>
      <c r="N85" s="44"/>
      <c r="O85" s="44">
        <v>10.878</v>
      </c>
      <c r="P85" s="44">
        <v>7.242</v>
      </c>
      <c r="Q85" s="44">
        <v>15.741</v>
      </c>
      <c r="R85">
        <f t="shared" si="0"/>
        <v>33.861000000000004</v>
      </c>
      <c r="S85" s="44"/>
      <c r="T85" s="44"/>
      <c r="U85" s="61">
        <v>27.552</v>
      </c>
      <c r="Y85" s="62"/>
    </row>
    <row r="86" spans="1:25" hidden="1" x14ac:dyDescent="0.35">
      <c r="A86" s="58">
        <v>44772</v>
      </c>
      <c r="B86" s="60" t="s">
        <v>51</v>
      </c>
      <c r="C86" s="60" t="s">
        <v>25</v>
      </c>
      <c r="D86" s="44">
        <v>0</v>
      </c>
      <c r="E86" s="44">
        <v>0</v>
      </c>
      <c r="F86" s="44">
        <v>4.0050000000000002E-2</v>
      </c>
      <c r="G86" s="59">
        <v>0</v>
      </c>
      <c r="H86" s="44">
        <v>0</v>
      </c>
      <c r="I86" s="44">
        <v>3.8429999999999999E-2</v>
      </c>
      <c r="J86" s="44"/>
      <c r="K86" s="44"/>
      <c r="L86" s="44"/>
      <c r="M86" s="44">
        <v>0</v>
      </c>
      <c r="N86" s="44"/>
      <c r="O86" s="44">
        <v>4.53E-2</v>
      </c>
      <c r="P86" s="44">
        <v>2.8080000000000001E-2</v>
      </c>
      <c r="Q86" s="44">
        <v>5.1000000000000004E-3</v>
      </c>
      <c r="R86">
        <f t="shared" si="0"/>
        <v>7.8479999999999994E-2</v>
      </c>
      <c r="S86" s="44"/>
      <c r="T86" s="44"/>
      <c r="U86" s="61">
        <v>6.2E-2</v>
      </c>
      <c r="Y86" s="62"/>
    </row>
    <row r="87" spans="1:25" hidden="1" x14ac:dyDescent="0.35">
      <c r="A87" s="58">
        <v>44772</v>
      </c>
      <c r="B87" s="60" t="s">
        <v>38</v>
      </c>
      <c r="C87" s="60" t="s">
        <v>25</v>
      </c>
      <c r="D87" s="44">
        <v>2.1945999999999999</v>
      </c>
      <c r="E87" s="44">
        <v>0</v>
      </c>
      <c r="F87" s="44">
        <v>0</v>
      </c>
      <c r="G87" s="59">
        <v>0</v>
      </c>
      <c r="H87" s="44">
        <v>0.191</v>
      </c>
      <c r="I87" s="44">
        <v>9.7140000000000004E-2</v>
      </c>
      <c r="J87" s="44"/>
      <c r="K87" s="44"/>
      <c r="L87" s="44"/>
      <c r="M87" s="44">
        <v>0</v>
      </c>
      <c r="N87" s="44"/>
      <c r="O87" s="44">
        <v>0.55400000000000005</v>
      </c>
      <c r="P87" s="44">
        <v>0.67300000000000004</v>
      </c>
      <c r="Q87" s="44">
        <v>1.2549999999999999</v>
      </c>
      <c r="R87">
        <f t="shared" si="0"/>
        <v>2.4820000000000002</v>
      </c>
      <c r="U87" s="57">
        <v>2.1179999999999999</v>
      </c>
      <c r="Y87" s="55"/>
    </row>
    <row r="88" spans="1:25" hidden="1" x14ac:dyDescent="0.35">
      <c r="A88" s="58">
        <v>44772</v>
      </c>
      <c r="B88" s="60" t="s">
        <v>32</v>
      </c>
      <c r="C88" s="60" t="s">
        <v>25</v>
      </c>
      <c r="D88" s="44">
        <f>56.34117+1.58</f>
        <v>57.921169999999996</v>
      </c>
      <c r="E88" s="44">
        <v>5.7809600000000003</v>
      </c>
      <c r="F88" s="44">
        <v>0</v>
      </c>
      <c r="G88" s="59">
        <v>1.62</v>
      </c>
      <c r="H88" s="44">
        <v>20.75177</v>
      </c>
      <c r="I88" s="44">
        <v>29.230409999999999</v>
      </c>
      <c r="J88" s="44"/>
      <c r="K88" s="44"/>
      <c r="L88" s="44"/>
      <c r="M88" s="44">
        <v>0</v>
      </c>
      <c r="N88" s="44"/>
      <c r="O88" s="44">
        <v>27.852</v>
      </c>
      <c r="P88" s="44">
        <v>55.318890000000003</v>
      </c>
      <c r="Q88" s="44">
        <v>32.133420000000001</v>
      </c>
      <c r="R88">
        <f t="shared" si="0"/>
        <v>115.30431</v>
      </c>
      <c r="S88" s="44"/>
      <c r="T88" s="44"/>
      <c r="U88" s="61">
        <v>77.337000000000003</v>
      </c>
      <c r="V88" s="44"/>
      <c r="W88" s="44"/>
      <c r="X88" s="44"/>
      <c r="Y88" s="62"/>
    </row>
    <row r="89" spans="1:25" hidden="1" x14ac:dyDescent="0.35">
      <c r="A89" s="58">
        <v>44772</v>
      </c>
      <c r="B89" s="60" t="s">
        <v>39</v>
      </c>
      <c r="C89" s="60" t="s">
        <v>25</v>
      </c>
      <c r="D89" s="44">
        <v>4.85785</v>
      </c>
      <c r="E89" s="44">
        <v>0</v>
      </c>
      <c r="F89" s="44">
        <v>0</v>
      </c>
      <c r="G89" s="59">
        <v>0</v>
      </c>
      <c r="H89" s="44">
        <v>2.1632199999999999</v>
      </c>
      <c r="I89" s="44">
        <v>0.627</v>
      </c>
      <c r="J89" s="44"/>
      <c r="K89" s="44"/>
      <c r="L89" s="44"/>
      <c r="M89" s="44">
        <v>0</v>
      </c>
      <c r="N89" s="44"/>
      <c r="O89" s="44">
        <v>3.84</v>
      </c>
      <c r="P89" s="44">
        <v>2.2759999999999998</v>
      </c>
      <c r="Q89" s="44">
        <v>1.53085</v>
      </c>
      <c r="R89">
        <f t="shared" si="0"/>
        <v>7.6468499999999997</v>
      </c>
      <c r="U89" s="57">
        <v>6.4269999999999996</v>
      </c>
      <c r="V89" s="44"/>
      <c r="W89" s="44"/>
      <c r="X89" s="44"/>
      <c r="Y89" s="55"/>
    </row>
    <row r="90" spans="1:25" hidden="1" x14ac:dyDescent="0.35">
      <c r="A90" s="58">
        <v>44772</v>
      </c>
      <c r="B90" s="60" t="s">
        <v>40</v>
      </c>
      <c r="C90" s="60" t="s">
        <v>25</v>
      </c>
      <c r="D90" s="44">
        <v>1.192E-2</v>
      </c>
      <c r="E90" s="44">
        <v>0</v>
      </c>
      <c r="F90" s="44">
        <v>0</v>
      </c>
      <c r="G90" s="59">
        <v>0</v>
      </c>
      <c r="H90" s="44">
        <v>0.63300000000000001</v>
      </c>
      <c r="I90" s="44">
        <v>5.9799999999999999E-2</v>
      </c>
      <c r="J90" s="44"/>
      <c r="K90" s="44"/>
      <c r="L90" s="44"/>
      <c r="M90" s="44">
        <v>0</v>
      </c>
      <c r="N90" s="44"/>
      <c r="O90" s="44">
        <v>0.41510999999999998</v>
      </c>
      <c r="P90" s="44">
        <v>0.21368999999999999</v>
      </c>
      <c r="Q90" s="44">
        <v>7.5920000000000001E-2</v>
      </c>
      <c r="R90">
        <f t="shared" si="0"/>
        <v>0.70472000000000001</v>
      </c>
      <c r="U90" s="57">
        <v>0.11600000000000001</v>
      </c>
      <c r="V90" s="44"/>
      <c r="W90" s="44"/>
      <c r="X90" s="44"/>
      <c r="Y90" s="55"/>
    </row>
    <row r="91" spans="1:25" hidden="1" x14ac:dyDescent="0.35">
      <c r="A91" s="58">
        <v>44772</v>
      </c>
      <c r="B91" s="60" t="s">
        <v>33</v>
      </c>
      <c r="C91" s="60" t="s">
        <v>25</v>
      </c>
      <c r="D91" s="44">
        <f>45.3053+3.64</f>
        <v>48.945300000000003</v>
      </c>
      <c r="E91" s="44">
        <v>6.4917999999999996</v>
      </c>
      <c r="F91" s="44">
        <v>0.43365999999999999</v>
      </c>
      <c r="G91" s="59">
        <v>3.32</v>
      </c>
      <c r="H91" s="44">
        <v>11.82748</v>
      </c>
      <c r="I91" s="44">
        <v>48.137</v>
      </c>
      <c r="J91" s="44"/>
      <c r="K91" s="44"/>
      <c r="L91" s="44"/>
      <c r="M91" s="44">
        <v>0</v>
      </c>
      <c r="N91" s="44"/>
      <c r="O91" s="44">
        <v>33.993000000000002</v>
      </c>
      <c r="P91" s="44">
        <v>66.211020000000005</v>
      </c>
      <c r="Q91" s="44">
        <v>18.95</v>
      </c>
      <c r="R91">
        <f t="shared" si="0"/>
        <v>119.15402000000002</v>
      </c>
      <c r="S91" s="44"/>
      <c r="T91" s="44"/>
      <c r="U91" s="61">
        <v>61.061</v>
      </c>
      <c r="Y91" s="62"/>
    </row>
    <row r="92" spans="1:25" hidden="1" x14ac:dyDescent="0.35">
      <c r="A92" s="58">
        <v>44772</v>
      </c>
      <c r="B92" s="60" t="s">
        <v>41</v>
      </c>
      <c r="C92" s="60" t="s">
        <v>25</v>
      </c>
      <c r="D92" s="44">
        <v>8.5830000000000002</v>
      </c>
      <c r="E92" s="44">
        <v>0.08</v>
      </c>
      <c r="F92" s="44">
        <v>0</v>
      </c>
      <c r="G92" s="59">
        <v>0</v>
      </c>
      <c r="H92" s="44">
        <v>1.3959999999999999</v>
      </c>
      <c r="I92" s="44">
        <v>0.59696000000000005</v>
      </c>
      <c r="J92" s="44"/>
      <c r="K92" s="44"/>
      <c r="L92" s="44"/>
      <c r="O92" s="44">
        <v>5.9969999999999999</v>
      </c>
      <c r="P92" s="44">
        <v>2.9119999999999999</v>
      </c>
      <c r="Q92" s="44">
        <v>1.746</v>
      </c>
      <c r="R92">
        <f t="shared" si="0"/>
        <v>10.654999999999999</v>
      </c>
      <c r="U92" s="57">
        <v>10.125</v>
      </c>
      <c r="Y92" s="55"/>
    </row>
    <row r="93" spans="1:25" hidden="1" x14ac:dyDescent="0.35">
      <c r="A93" s="58">
        <v>44772</v>
      </c>
      <c r="B93" s="60" t="s">
        <v>34</v>
      </c>
      <c r="C93" s="60" t="s">
        <v>25</v>
      </c>
      <c r="D93" s="44">
        <f>74.57314+1.4</f>
        <v>75.973140000000001</v>
      </c>
      <c r="E93" s="44">
        <v>10.80649</v>
      </c>
      <c r="F93" s="44">
        <v>0</v>
      </c>
      <c r="G93" s="59">
        <v>1.84</v>
      </c>
      <c r="H93" s="44">
        <v>7.5625</v>
      </c>
      <c r="I93" s="44">
        <v>34.760240000000003</v>
      </c>
      <c r="J93" s="44"/>
      <c r="K93" s="44"/>
      <c r="L93" s="44"/>
      <c r="M93" s="44">
        <v>0</v>
      </c>
      <c r="N93" s="44"/>
      <c r="O93" s="44">
        <v>31.062000000000001</v>
      </c>
      <c r="P93" s="44">
        <v>71.122129999999999</v>
      </c>
      <c r="Q93" s="44">
        <v>28.757940000000001</v>
      </c>
      <c r="R93">
        <f t="shared" si="0"/>
        <v>130.94207</v>
      </c>
      <c r="S93" s="44"/>
      <c r="T93" s="44"/>
      <c r="U93" s="57">
        <v>70.581000000000003</v>
      </c>
      <c r="Y93" s="62"/>
    </row>
    <row r="94" spans="1:25" x14ac:dyDescent="0.35">
      <c r="A94" s="63">
        <v>44773</v>
      </c>
      <c r="B94" s="64" t="s">
        <v>24</v>
      </c>
      <c r="C94" s="60" t="s">
        <v>25</v>
      </c>
      <c r="D94" s="65">
        <f>204.0795+6.62</f>
        <v>210.6995</v>
      </c>
      <c r="E94" s="66">
        <v>24.856210000000001</v>
      </c>
      <c r="F94" s="66">
        <v>0.50970899999999997</v>
      </c>
      <c r="G94" s="59">
        <v>6.78</v>
      </c>
      <c r="H94" s="66">
        <v>46.850169999999999</v>
      </c>
      <c r="I94" s="67">
        <v>40.893000000000001</v>
      </c>
      <c r="J94" s="67">
        <v>4.8879000000000001</v>
      </c>
      <c r="K94" s="67">
        <f>10.20561+0.47675</f>
        <v>10.682359999999999</v>
      </c>
      <c r="L94" s="67">
        <v>57.973779999999998</v>
      </c>
      <c r="M94" s="44">
        <v>0</v>
      </c>
      <c r="N94" s="44"/>
      <c r="O94" s="65">
        <v>104.96933</v>
      </c>
      <c r="P94" s="65">
        <v>200.15870000000001</v>
      </c>
      <c r="Q94" s="65">
        <v>99.004930000000002</v>
      </c>
      <c r="R94">
        <f t="shared" si="0"/>
        <v>404.13296000000003</v>
      </c>
      <c r="S94" s="65"/>
      <c r="T94" s="65"/>
      <c r="U94" s="61">
        <v>215.88800000000001</v>
      </c>
      <c r="W94" t="s">
        <v>26</v>
      </c>
      <c r="Y94" s="68"/>
    </row>
    <row r="95" spans="1:25" hidden="1" x14ac:dyDescent="0.35">
      <c r="A95" s="58">
        <v>44773</v>
      </c>
      <c r="B95" s="60" t="s">
        <v>30</v>
      </c>
      <c r="C95" s="60" t="s">
        <v>25</v>
      </c>
      <c r="D95" s="44">
        <v>0.61019999999999996</v>
      </c>
      <c r="E95" s="44">
        <v>1.69696</v>
      </c>
      <c r="F95" s="44">
        <v>3.5999999999999997E-2</v>
      </c>
      <c r="G95" s="59">
        <v>0</v>
      </c>
      <c r="H95" s="44">
        <v>1.944</v>
      </c>
      <c r="I95" s="44">
        <v>0.50266</v>
      </c>
      <c r="J95" s="44"/>
      <c r="K95" s="44"/>
      <c r="L95" s="44"/>
      <c r="M95" s="44">
        <v>0</v>
      </c>
      <c r="N95" s="44"/>
      <c r="O95" s="44">
        <v>1.1375999999999999</v>
      </c>
      <c r="P95" s="44">
        <v>0.23641000000000001</v>
      </c>
      <c r="Q95" s="44">
        <v>3.4157999999999999</v>
      </c>
      <c r="R95">
        <f t="shared" si="0"/>
        <v>4.7898100000000001</v>
      </c>
      <c r="S95" s="44"/>
      <c r="T95" s="44"/>
      <c r="U95" s="61">
        <v>3.242</v>
      </c>
      <c r="V95" s="44"/>
      <c r="W95" s="44"/>
      <c r="X95" s="44"/>
      <c r="Y95" s="62"/>
    </row>
    <row r="96" spans="1:25" x14ac:dyDescent="0.35">
      <c r="A96" s="63">
        <v>44834</v>
      </c>
      <c r="B96" s="64" t="s">
        <v>24</v>
      </c>
      <c r="C96" s="60" t="s">
        <v>25</v>
      </c>
      <c r="D96" s="65">
        <f>204.0795+6.62</f>
        <v>210.6995</v>
      </c>
      <c r="E96" s="66">
        <v>24.824210000000001</v>
      </c>
      <c r="F96" s="66">
        <v>0.56237000000000004</v>
      </c>
      <c r="G96" s="59">
        <v>6.78</v>
      </c>
      <c r="H96" s="66">
        <v>46.850180000000002</v>
      </c>
      <c r="I96" s="67">
        <v>41.666080000000001</v>
      </c>
      <c r="J96" s="67">
        <v>4.8994999999999997</v>
      </c>
      <c r="K96" s="67">
        <f>10.20561+0.49523</f>
        <v>10.700839999999999</v>
      </c>
      <c r="L96" s="67">
        <v>60.813899999999997</v>
      </c>
      <c r="M96" s="44">
        <v>0</v>
      </c>
      <c r="N96" s="44"/>
      <c r="O96" s="65">
        <v>104.96639999999999</v>
      </c>
      <c r="P96" s="65">
        <v>203.82524000000001</v>
      </c>
      <c r="Q96" s="65">
        <v>99.004930000000002</v>
      </c>
      <c r="R96">
        <f t="shared" si="0"/>
        <v>407.79657000000003</v>
      </c>
      <c r="S96" s="65"/>
      <c r="T96" s="65"/>
      <c r="U96" s="61">
        <v>215.88800000000001</v>
      </c>
      <c r="W96" t="s">
        <v>26</v>
      </c>
      <c r="X96" t="s">
        <v>52</v>
      </c>
      <c r="Y96" s="68"/>
    </row>
    <row r="97" spans="1:25" x14ac:dyDescent="0.35">
      <c r="A97" s="56">
        <v>44957</v>
      </c>
      <c r="B97" s="51" t="s">
        <v>24</v>
      </c>
      <c r="C97" s="51" t="s">
        <v>25</v>
      </c>
      <c r="D97" s="65">
        <f>204.435+6.62</f>
        <v>211.05500000000001</v>
      </c>
      <c r="E97" s="66">
        <v>24.824210000000001</v>
      </c>
      <c r="F97" s="66">
        <v>0.58919999999999995</v>
      </c>
      <c r="G97" s="59">
        <v>6.78</v>
      </c>
      <c r="H97" s="66">
        <v>46.850180000000002</v>
      </c>
      <c r="I97" s="67">
        <v>41.98319</v>
      </c>
      <c r="J97" s="67">
        <v>4.9396500000000003</v>
      </c>
      <c r="K97" s="67">
        <f>10.20981+0.52305</f>
        <v>10.732859999999999</v>
      </c>
      <c r="L97" s="67">
        <v>63.893830000000001</v>
      </c>
      <c r="M97" s="44">
        <v>0</v>
      </c>
      <c r="N97" s="44"/>
      <c r="O97" s="65">
        <v>104.92178699999999</v>
      </c>
      <c r="P97" s="65">
        <v>207.27189000000001</v>
      </c>
      <c r="Q97" s="65">
        <v>99.454930000000004</v>
      </c>
      <c r="R97">
        <f>SUM(O97:Q97)</f>
        <v>411.64860699999997</v>
      </c>
      <c r="S97" s="65"/>
      <c r="T97" s="65"/>
      <c r="U97" s="61">
        <v>215.88800000000001</v>
      </c>
      <c r="W97" t="s">
        <v>26</v>
      </c>
      <c r="X97" t="s">
        <v>52</v>
      </c>
      <c r="Y97" s="55"/>
    </row>
    <row r="98" spans="1:25" hidden="1" x14ac:dyDescent="0.35">
      <c r="A98" s="56">
        <v>45016</v>
      </c>
      <c r="B98" s="51" t="s">
        <v>43</v>
      </c>
      <c r="C98" s="51" t="s">
        <v>25</v>
      </c>
      <c r="D98" s="69">
        <v>1.421</v>
      </c>
      <c r="H98">
        <f>(0.576+0.405)</f>
        <v>0.98099999999999998</v>
      </c>
      <c r="I98">
        <v>0.1</v>
      </c>
      <c r="L98">
        <v>0.114</v>
      </c>
      <c r="Y98" s="55"/>
    </row>
    <row r="99" spans="1:25" x14ac:dyDescent="0.35">
      <c r="A99" s="56">
        <v>45016</v>
      </c>
      <c r="B99" s="51" t="s">
        <v>24</v>
      </c>
      <c r="C99" s="51" t="s">
        <v>25</v>
      </c>
      <c r="D99" s="65">
        <f>205.2355+6.62</f>
        <v>211.85550000000001</v>
      </c>
      <c r="E99" s="66">
        <v>24.824210000000001</v>
      </c>
      <c r="F99" s="66">
        <v>0.58919999999999995</v>
      </c>
      <c r="G99" s="59">
        <v>6.78</v>
      </c>
      <c r="H99" s="66">
        <v>46.850180000000002</v>
      </c>
      <c r="I99" s="67">
        <v>42.633130000000001</v>
      </c>
      <c r="J99" s="67">
        <v>4.9443000000000001</v>
      </c>
      <c r="K99" s="67">
        <f>10.24801+0.55403</f>
        <v>10.802040000000002</v>
      </c>
      <c r="L99" s="67">
        <v>66.780339999999995</v>
      </c>
      <c r="M99" s="44">
        <v>0</v>
      </c>
      <c r="N99" s="44"/>
      <c r="O99" s="65">
        <v>105.72642999999999</v>
      </c>
      <c r="P99" s="65">
        <v>210.27753000000001</v>
      </c>
      <c r="Q99" s="65">
        <v>100.05493</v>
      </c>
      <c r="R99">
        <f>SUM(O99:Q99)</f>
        <v>416.05889000000002</v>
      </c>
      <c r="S99" s="65"/>
      <c r="T99" s="65"/>
      <c r="U99" s="61">
        <v>215.88800000000001</v>
      </c>
      <c r="X99" t="s">
        <v>52</v>
      </c>
      <c r="Y99" s="55"/>
    </row>
    <row r="100" spans="1:25" s="57" customFormat="1" x14ac:dyDescent="0.35">
      <c r="A100" s="56">
        <v>45077</v>
      </c>
      <c r="B100" s="70" t="s">
        <v>24</v>
      </c>
      <c r="C100" s="70" t="s">
        <v>25</v>
      </c>
      <c r="D100" s="61">
        <f>205.235+6.62</f>
        <v>211.85500000000002</v>
      </c>
      <c r="E100" s="71">
        <v>24.824210000000001</v>
      </c>
      <c r="F100" s="71">
        <v>0.58919999999999995</v>
      </c>
      <c r="G100" s="61">
        <v>6.78</v>
      </c>
      <c r="H100" s="71">
        <v>46.850180000000002</v>
      </c>
      <c r="I100" s="71">
        <v>43.198</v>
      </c>
      <c r="J100" s="71">
        <v>4.9443000000000001</v>
      </c>
      <c r="K100" s="71">
        <f>10.24801+0.55653</f>
        <v>10.804540000000001</v>
      </c>
      <c r="L100" s="71">
        <v>67.821219999999997</v>
      </c>
      <c r="M100" s="61">
        <v>0</v>
      </c>
      <c r="N100" s="61"/>
      <c r="O100" s="61">
        <v>105.726</v>
      </c>
      <c r="P100" s="61">
        <v>211.886</v>
      </c>
      <c r="Q100" s="61">
        <v>100.05493</v>
      </c>
      <c r="R100" s="57">
        <f>SUM(O100:Q100)</f>
        <v>417.66692999999998</v>
      </c>
      <c r="S100" s="61"/>
      <c r="T100" s="61"/>
      <c r="U100" s="61">
        <v>221.37</v>
      </c>
      <c r="W100" s="57" t="s">
        <v>26</v>
      </c>
      <c r="X100" s="57" t="s">
        <v>52</v>
      </c>
      <c r="Y100" s="72"/>
    </row>
    <row r="101" spans="1:25" x14ac:dyDescent="0.35">
      <c r="A101" s="73">
        <v>45169</v>
      </c>
      <c r="B101" s="51" t="s">
        <v>24</v>
      </c>
      <c r="C101" s="51" t="s">
        <v>25</v>
      </c>
      <c r="D101" s="61">
        <v>212.815</v>
      </c>
      <c r="E101" s="71">
        <v>25.038209999999999</v>
      </c>
      <c r="F101" s="71">
        <v>0.58919999999999995</v>
      </c>
      <c r="G101" s="61">
        <v>7.48</v>
      </c>
      <c r="H101" s="71">
        <v>46.850180000000002</v>
      </c>
      <c r="I101" s="71">
        <v>44.089680000000001</v>
      </c>
      <c r="J101" s="71">
        <v>4.9827500000000002</v>
      </c>
      <c r="K101" s="71">
        <v>10.832190000000001</v>
      </c>
      <c r="L101" s="71">
        <v>71.61</v>
      </c>
      <c r="M101" s="61">
        <v>0</v>
      </c>
      <c r="N101" s="61"/>
      <c r="O101" s="61">
        <v>105.74893</v>
      </c>
      <c r="P101" s="61">
        <v>217.12384</v>
      </c>
      <c r="Q101" s="61">
        <v>101.41493</v>
      </c>
      <c r="R101" s="57">
        <v>424.28769999999997</v>
      </c>
      <c r="S101" s="61"/>
      <c r="T101" s="61"/>
      <c r="U101" s="61">
        <v>224.10599999999999</v>
      </c>
      <c r="W101" t="s">
        <v>26</v>
      </c>
      <c r="X101" t="s">
        <v>52</v>
      </c>
      <c r="Y101" t="s">
        <v>53</v>
      </c>
    </row>
    <row r="102" spans="1:25" x14ac:dyDescent="0.35">
      <c r="A102" s="73">
        <v>45230</v>
      </c>
      <c r="B102" s="51" t="s">
        <v>24</v>
      </c>
      <c r="C102" s="51" t="s">
        <v>25</v>
      </c>
      <c r="D102">
        <v>213.44550000000001</v>
      </c>
      <c r="E102">
        <v>25.038209999999999</v>
      </c>
      <c r="F102">
        <v>0.58819999999999995</v>
      </c>
      <c r="G102" s="21">
        <v>7.48</v>
      </c>
      <c r="H102">
        <v>46.850169999999999</v>
      </c>
      <c r="I102" s="71">
        <v>44.292380000000001</v>
      </c>
      <c r="J102" s="71">
        <v>4.9867499999999998</v>
      </c>
      <c r="K102" s="71">
        <v>10.835270000000001</v>
      </c>
      <c r="L102" s="71">
        <v>72.018039999999999</v>
      </c>
      <c r="M102" s="74">
        <v>0</v>
      </c>
      <c r="O102">
        <v>105.53292999999999</v>
      </c>
      <c r="P102">
        <v>217.78765999999999</v>
      </c>
      <c r="Q102">
        <v>102.21493</v>
      </c>
      <c r="R102">
        <v>425.53552000000002</v>
      </c>
      <c r="W102" t="s">
        <v>26</v>
      </c>
      <c r="X102" t="s">
        <v>52</v>
      </c>
    </row>
    <row r="103" spans="1:25" x14ac:dyDescent="0.35">
      <c r="A103" s="73">
        <v>45322</v>
      </c>
      <c r="B103" s="51" t="s">
        <v>24</v>
      </c>
      <c r="C103" s="51" t="s">
        <v>25</v>
      </c>
      <c r="D103">
        <f>208.18946+6.62</f>
        <v>214.80946</v>
      </c>
      <c r="E103">
        <v>25.038209999999999</v>
      </c>
      <c r="F103">
        <v>0.58819999999999995</v>
      </c>
      <c r="G103" s="21">
        <v>7.48</v>
      </c>
      <c r="H103">
        <v>46.928170000000001</v>
      </c>
      <c r="I103" s="71">
        <v>44.969230000000003</v>
      </c>
      <c r="J103" s="71">
        <v>4.9947499999999998</v>
      </c>
      <c r="K103" s="71">
        <f>10.26191+0.58405</f>
        <v>10.84596</v>
      </c>
      <c r="L103" s="71">
        <v>74.306520000000006</v>
      </c>
      <c r="M103" s="74">
        <v>0</v>
      </c>
      <c r="O103">
        <v>106.34093</v>
      </c>
      <c r="P103">
        <v>221.32758000000001</v>
      </c>
      <c r="Q103">
        <v>102.29289</v>
      </c>
      <c r="R103">
        <f>SUBTOTAL(9,O103:Q103)</f>
        <v>429.96140000000003</v>
      </c>
      <c r="X103" t="s">
        <v>52</v>
      </c>
    </row>
    <row r="104" spans="1:25" x14ac:dyDescent="0.35">
      <c r="A104" s="56">
        <v>45382</v>
      </c>
      <c r="B104" s="51" t="s">
        <v>24</v>
      </c>
      <c r="C104" s="51" t="s">
        <v>25</v>
      </c>
      <c r="U104" s="57">
        <v>229</v>
      </c>
      <c r="W104" t="s">
        <v>26</v>
      </c>
      <c r="Y104" s="55"/>
    </row>
    <row r="105" spans="1:25" hidden="1" x14ac:dyDescent="0.35">
      <c r="A105" s="56">
        <v>45382</v>
      </c>
      <c r="B105" s="51" t="s">
        <v>43</v>
      </c>
      <c r="C105" s="51" t="s">
        <v>25</v>
      </c>
      <c r="D105" s="69">
        <v>1.421</v>
      </c>
      <c r="H105">
        <f>(0.814+0.525)</f>
        <v>1.339</v>
      </c>
      <c r="I105">
        <v>0.1</v>
      </c>
      <c r="L105">
        <v>0.184</v>
      </c>
      <c r="Y105" s="55"/>
    </row>
    <row r="106" spans="1:25" x14ac:dyDescent="0.35">
      <c r="A106" s="56">
        <v>45747</v>
      </c>
      <c r="B106" s="60" t="s">
        <v>24</v>
      </c>
      <c r="C106" s="60" t="s">
        <v>25</v>
      </c>
      <c r="D106">
        <f>67.82+117.47+48.13</f>
        <v>233.42</v>
      </c>
      <c r="F106">
        <v>18.77</v>
      </c>
      <c r="G106">
        <v>10.98</v>
      </c>
      <c r="H106">
        <v>55.66</v>
      </c>
      <c r="M106">
        <v>209.78</v>
      </c>
      <c r="U106" s="57">
        <v>242</v>
      </c>
      <c r="X106" t="s">
        <v>52</v>
      </c>
      <c r="Y106" s="55" t="s">
        <v>54</v>
      </c>
    </row>
    <row r="107" spans="1:25" hidden="1" x14ac:dyDescent="0.35">
      <c r="A107" s="56">
        <v>45747</v>
      </c>
      <c r="B107" s="51" t="s">
        <v>43</v>
      </c>
      <c r="C107" s="51" t="s">
        <v>25</v>
      </c>
      <c r="D107" s="69">
        <v>1.421</v>
      </c>
      <c r="H107">
        <f>(1.033+0.525)</f>
        <v>1.5579999999999998</v>
      </c>
      <c r="I107">
        <v>0.1</v>
      </c>
      <c r="L107">
        <v>0.184</v>
      </c>
      <c r="Y107" s="55"/>
    </row>
    <row r="108" spans="1:25" x14ac:dyDescent="0.35">
      <c r="A108" s="56">
        <v>46112</v>
      </c>
      <c r="B108" s="51" t="s">
        <v>24</v>
      </c>
      <c r="C108" s="51" t="s">
        <v>25</v>
      </c>
      <c r="U108" s="57">
        <v>257</v>
      </c>
      <c r="W108" t="s">
        <v>26</v>
      </c>
      <c r="Y108" s="55"/>
    </row>
    <row r="109" spans="1:25" hidden="1" x14ac:dyDescent="0.35">
      <c r="A109" s="56">
        <v>46112</v>
      </c>
      <c r="B109" s="51" t="s">
        <v>43</v>
      </c>
      <c r="C109" s="51" t="s">
        <v>25</v>
      </c>
      <c r="D109" s="69">
        <v>1.421</v>
      </c>
      <c r="H109">
        <f>(1.033+0.525)</f>
        <v>1.5579999999999998</v>
      </c>
      <c r="I109">
        <v>0.1</v>
      </c>
      <c r="L109">
        <v>0.184</v>
      </c>
      <c r="Y109" s="55"/>
    </row>
    <row r="110" spans="1:25" x14ac:dyDescent="0.35">
      <c r="A110" s="56">
        <v>46477</v>
      </c>
      <c r="B110" s="51" t="s">
        <v>24</v>
      </c>
      <c r="C110" s="51" t="s">
        <v>25</v>
      </c>
      <c r="D110">
        <v>260.5</v>
      </c>
      <c r="G110" s="21">
        <v>11.5</v>
      </c>
      <c r="H110">
        <v>71.099999999999994</v>
      </c>
      <c r="M110">
        <v>225</v>
      </c>
      <c r="U110" s="57">
        <v>272</v>
      </c>
      <c r="W110" t="s">
        <v>26</v>
      </c>
      <c r="X110" t="s">
        <v>52</v>
      </c>
      <c r="Y110" s="55"/>
    </row>
    <row r="111" spans="1:25" hidden="1" x14ac:dyDescent="0.35">
      <c r="A111" s="56">
        <v>46477</v>
      </c>
      <c r="B111" s="51" t="s">
        <v>43</v>
      </c>
      <c r="C111" s="51" t="s">
        <v>25</v>
      </c>
      <c r="D111" s="69">
        <v>1.421</v>
      </c>
      <c r="H111">
        <f>(1.033+0.525)</f>
        <v>1.5579999999999998</v>
      </c>
      <c r="I111">
        <v>0.1</v>
      </c>
      <c r="L111">
        <v>0.184</v>
      </c>
      <c r="Y111" s="55"/>
    </row>
    <row r="112" spans="1:25" x14ac:dyDescent="0.35">
      <c r="A112" s="56">
        <v>46477</v>
      </c>
      <c r="B112" s="51" t="s">
        <v>24</v>
      </c>
      <c r="C112" s="51" t="s">
        <v>25</v>
      </c>
      <c r="D112">
        <v>260.5</v>
      </c>
      <c r="G112" s="21">
        <v>11.5</v>
      </c>
      <c r="H112">
        <v>71.099999999999994</v>
      </c>
      <c r="M112">
        <v>225</v>
      </c>
      <c r="W112" t="s">
        <v>26</v>
      </c>
      <c r="Y112" s="55"/>
    </row>
    <row r="113" spans="1:25" hidden="1" x14ac:dyDescent="0.35">
      <c r="A113" s="56">
        <v>46477</v>
      </c>
      <c r="B113" s="51" t="s">
        <v>32</v>
      </c>
      <c r="C113" s="51" t="s">
        <v>31</v>
      </c>
      <c r="U113" s="57">
        <v>99801</v>
      </c>
      <c r="Y113" s="55"/>
    </row>
    <row r="114" spans="1:25" hidden="1" x14ac:dyDescent="0.35">
      <c r="A114" s="56">
        <v>46477</v>
      </c>
      <c r="B114" s="51" t="s">
        <v>34</v>
      </c>
      <c r="C114" s="51" t="s">
        <v>31</v>
      </c>
      <c r="U114" s="57">
        <v>87930</v>
      </c>
      <c r="Y114" s="55"/>
    </row>
    <row r="115" spans="1:25" hidden="1" x14ac:dyDescent="0.35">
      <c r="A115" s="56">
        <v>46477</v>
      </c>
      <c r="B115" s="51" t="s">
        <v>33</v>
      </c>
      <c r="C115" s="51" t="s">
        <v>31</v>
      </c>
      <c r="U115" s="57">
        <v>81954</v>
      </c>
      <c r="Y115" s="55"/>
    </row>
    <row r="116" spans="1:25" hidden="1" x14ac:dyDescent="0.35">
      <c r="A116" s="56">
        <v>46477</v>
      </c>
      <c r="B116" s="51" t="s">
        <v>35</v>
      </c>
      <c r="C116" s="51" t="s">
        <v>31</v>
      </c>
      <c r="U116" s="57">
        <v>67</v>
      </c>
      <c r="Y116" s="55"/>
    </row>
    <row r="117" spans="1:25" hidden="1" x14ac:dyDescent="0.35">
      <c r="A117" s="56">
        <v>46477</v>
      </c>
      <c r="B117" s="51" t="s">
        <v>36</v>
      </c>
      <c r="C117" s="51" t="s">
        <v>31</v>
      </c>
      <c r="U117" s="57">
        <v>10375</v>
      </c>
      <c r="Y117" s="55"/>
    </row>
    <row r="118" spans="1:25" hidden="1" x14ac:dyDescent="0.35">
      <c r="A118" s="56">
        <v>46477</v>
      </c>
      <c r="B118" s="51" t="s">
        <v>37</v>
      </c>
      <c r="C118" s="51" t="s">
        <v>31</v>
      </c>
      <c r="U118" s="57">
        <v>4127</v>
      </c>
      <c r="Y118" s="55"/>
    </row>
    <row r="119" spans="1:25" hidden="1" x14ac:dyDescent="0.35">
      <c r="A119" s="56">
        <v>46477</v>
      </c>
      <c r="B119" s="51" t="s">
        <v>38</v>
      </c>
      <c r="C119" s="51" t="s">
        <v>31</v>
      </c>
      <c r="U119" s="57">
        <v>3719</v>
      </c>
      <c r="Y119" s="55"/>
    </row>
    <row r="120" spans="1:25" hidden="1" x14ac:dyDescent="0.35">
      <c r="A120" s="56">
        <v>46477</v>
      </c>
      <c r="B120" s="51" t="s">
        <v>39</v>
      </c>
      <c r="C120" s="51" t="s">
        <v>31</v>
      </c>
      <c r="U120" s="57">
        <v>7093</v>
      </c>
      <c r="Y120" s="55"/>
    </row>
    <row r="121" spans="1:25" hidden="1" x14ac:dyDescent="0.35">
      <c r="A121" s="56">
        <v>46477</v>
      </c>
      <c r="B121" s="51" t="s">
        <v>40</v>
      </c>
      <c r="C121" s="51" t="s">
        <v>31</v>
      </c>
      <c r="U121" s="57">
        <v>179</v>
      </c>
      <c r="Y121" s="55"/>
    </row>
    <row r="122" spans="1:25" hidden="1" x14ac:dyDescent="0.35">
      <c r="A122" s="56">
        <v>46477</v>
      </c>
      <c r="B122" s="51" t="s">
        <v>41</v>
      </c>
      <c r="C122" s="51" t="s">
        <v>31</v>
      </c>
      <c r="U122" s="57">
        <v>12556</v>
      </c>
      <c r="Y122" s="55"/>
    </row>
    <row r="123" spans="1:25" hidden="1" x14ac:dyDescent="0.35">
      <c r="A123" s="56">
        <v>46477</v>
      </c>
      <c r="B123" s="51" t="s">
        <v>29</v>
      </c>
      <c r="C123" s="51" t="s">
        <v>31</v>
      </c>
      <c r="U123" s="57">
        <v>35933</v>
      </c>
      <c r="Y123" s="55"/>
    </row>
    <row r="124" spans="1:25" hidden="1" x14ac:dyDescent="0.35">
      <c r="A124" s="56">
        <v>46477</v>
      </c>
      <c r="B124" s="51" t="s">
        <v>42</v>
      </c>
      <c r="C124" s="51" t="s">
        <v>31</v>
      </c>
      <c r="U124" s="57">
        <v>223</v>
      </c>
      <c r="Y124" s="55"/>
    </row>
    <row r="125" spans="1:25" hidden="1" x14ac:dyDescent="0.35">
      <c r="A125" s="56">
        <v>46477</v>
      </c>
      <c r="B125" s="51" t="s">
        <v>43</v>
      </c>
      <c r="C125" s="51" t="s">
        <v>31</v>
      </c>
      <c r="U125" s="57">
        <v>2906</v>
      </c>
      <c r="Y125" s="55"/>
    </row>
    <row r="126" spans="1:25" hidden="1" x14ac:dyDescent="0.35">
      <c r="A126" s="56">
        <v>46477</v>
      </c>
      <c r="B126" s="51" t="s">
        <v>44</v>
      </c>
      <c r="C126" s="51" t="s">
        <v>31</v>
      </c>
      <c r="U126" s="57">
        <v>344</v>
      </c>
      <c r="Y126" s="55"/>
    </row>
    <row r="127" spans="1:25" hidden="1" x14ac:dyDescent="0.35">
      <c r="A127" s="56">
        <v>46477</v>
      </c>
      <c r="B127" s="51" t="s">
        <v>45</v>
      </c>
      <c r="C127" s="51" t="s">
        <v>31</v>
      </c>
      <c r="U127" s="57">
        <v>492</v>
      </c>
      <c r="Y127" s="55"/>
    </row>
    <row r="128" spans="1:25" hidden="1" x14ac:dyDescent="0.35">
      <c r="A128" s="56">
        <v>46477</v>
      </c>
      <c r="B128" s="51" t="s">
        <v>46</v>
      </c>
      <c r="C128" s="51" t="s">
        <v>31</v>
      </c>
      <c r="U128" s="57">
        <v>231</v>
      </c>
      <c r="Y128" s="55"/>
    </row>
    <row r="129" spans="1:25" hidden="1" x14ac:dyDescent="0.35">
      <c r="A129" s="56">
        <v>46477</v>
      </c>
      <c r="B129" s="51" t="s">
        <v>47</v>
      </c>
      <c r="C129" s="51" t="s">
        <v>31</v>
      </c>
      <c r="U129" s="57">
        <v>195</v>
      </c>
      <c r="Y129" s="55"/>
    </row>
    <row r="130" spans="1:25" hidden="1" x14ac:dyDescent="0.35">
      <c r="A130" s="56">
        <v>46477</v>
      </c>
      <c r="B130" s="51" t="s">
        <v>48</v>
      </c>
      <c r="C130" s="51" t="s">
        <v>31</v>
      </c>
      <c r="U130" s="57">
        <v>531</v>
      </c>
      <c r="Y130" s="55"/>
    </row>
    <row r="131" spans="1:25" hidden="1" x14ac:dyDescent="0.35">
      <c r="A131" s="56">
        <v>46477</v>
      </c>
      <c r="B131" s="51" t="s">
        <v>30</v>
      </c>
      <c r="C131" s="51" t="s">
        <v>31</v>
      </c>
      <c r="U131" s="57">
        <v>4699</v>
      </c>
      <c r="Y131" s="55"/>
    </row>
    <row r="132" spans="1:25" hidden="1" x14ac:dyDescent="0.35">
      <c r="A132" s="56">
        <v>46477</v>
      </c>
      <c r="B132" s="51" t="s">
        <v>24</v>
      </c>
      <c r="C132" s="51" t="s">
        <v>31</v>
      </c>
      <c r="U132" s="57">
        <v>277173</v>
      </c>
      <c r="V132" t="s">
        <v>55</v>
      </c>
      <c r="W132" t="s">
        <v>26</v>
      </c>
      <c r="X132" t="s">
        <v>56</v>
      </c>
      <c r="Y132" s="55"/>
    </row>
    <row r="133" spans="1:25" hidden="1" x14ac:dyDescent="0.35">
      <c r="A133" s="56">
        <v>45016</v>
      </c>
      <c r="B133" s="51" t="s">
        <v>24</v>
      </c>
      <c r="C133" s="51" t="s">
        <v>27</v>
      </c>
      <c r="D133">
        <v>1257.3879999999999</v>
      </c>
      <c r="G133" s="21">
        <v>43.323999999999998</v>
      </c>
      <c r="H133">
        <v>150.55099999999999</v>
      </c>
      <c r="I133">
        <v>71.814160000000001</v>
      </c>
      <c r="J133">
        <v>11.170109999999999</v>
      </c>
      <c r="K133">
        <f>3.16132+12.86316+2.52918</f>
        <v>18.553660000000001</v>
      </c>
      <c r="L133">
        <v>102.01424</v>
      </c>
      <c r="N133">
        <v>8</v>
      </c>
      <c r="Y133" s="55"/>
    </row>
    <row r="134" spans="1:25" hidden="1" x14ac:dyDescent="0.35">
      <c r="A134" s="56">
        <v>46477</v>
      </c>
      <c r="B134" s="51" t="s">
        <v>24</v>
      </c>
      <c r="C134" s="51" t="s">
        <v>27</v>
      </c>
      <c r="D134">
        <v>1128</v>
      </c>
      <c r="G134" s="21">
        <v>78.400000000000006</v>
      </c>
      <c r="H134">
        <v>236.7</v>
      </c>
      <c r="M134">
        <v>433.6</v>
      </c>
      <c r="N134">
        <v>12</v>
      </c>
      <c r="W134" t="s">
        <v>26</v>
      </c>
      <c r="Y134" s="55" t="s">
        <v>55</v>
      </c>
    </row>
    <row r="135" spans="1:25" x14ac:dyDescent="0.35">
      <c r="A135" s="56">
        <v>46843</v>
      </c>
      <c r="B135" s="51" t="s">
        <v>24</v>
      </c>
      <c r="C135" s="51" t="s">
        <v>25</v>
      </c>
      <c r="U135" s="57">
        <v>288</v>
      </c>
      <c r="W135" t="s">
        <v>26</v>
      </c>
      <c r="Y135" s="55"/>
    </row>
    <row r="136" spans="1:25" hidden="1" x14ac:dyDescent="0.35">
      <c r="A136" s="56">
        <v>46843</v>
      </c>
      <c r="B136" s="51" t="s">
        <v>43</v>
      </c>
      <c r="C136" s="51" t="s">
        <v>25</v>
      </c>
      <c r="D136" s="69">
        <v>1.421</v>
      </c>
      <c r="H136">
        <f>(1.033+0.525)</f>
        <v>1.5579999999999998</v>
      </c>
      <c r="I136">
        <v>0.1</v>
      </c>
      <c r="L136">
        <v>0.184</v>
      </c>
      <c r="Y136" s="55"/>
    </row>
    <row r="137" spans="1:25" x14ac:dyDescent="0.35">
      <c r="A137" s="56">
        <v>47208</v>
      </c>
      <c r="B137" s="51" t="s">
        <v>24</v>
      </c>
      <c r="C137" s="51" t="s">
        <v>25</v>
      </c>
      <c r="U137" s="57">
        <v>306</v>
      </c>
      <c r="W137" t="s">
        <v>26</v>
      </c>
      <c r="Y137" s="55"/>
    </row>
    <row r="138" spans="1:25" hidden="1" x14ac:dyDescent="0.35">
      <c r="A138" s="56">
        <v>47208</v>
      </c>
      <c r="B138" s="51" t="s">
        <v>43</v>
      </c>
      <c r="C138" s="51" t="s">
        <v>25</v>
      </c>
      <c r="D138" s="69">
        <v>1.421</v>
      </c>
      <c r="H138">
        <f>(1.033+0.525)</f>
        <v>1.5579999999999998</v>
      </c>
      <c r="I138">
        <v>0.1</v>
      </c>
      <c r="L138">
        <v>0.184</v>
      </c>
      <c r="Y138" s="55"/>
    </row>
    <row r="139" spans="1:25" ht="29" x14ac:dyDescent="0.35">
      <c r="A139" s="56">
        <v>47573</v>
      </c>
      <c r="B139" s="75" t="s">
        <v>24</v>
      </c>
      <c r="C139" s="75" t="s">
        <v>25</v>
      </c>
      <c r="D139" s="30">
        <v>266.911</v>
      </c>
      <c r="E139" s="30">
        <v>25.08</v>
      </c>
      <c r="F139" s="30"/>
      <c r="G139" s="30">
        <v>18.98</v>
      </c>
      <c r="H139" s="30">
        <v>60.976999999999997</v>
      </c>
      <c r="I139" s="30">
        <v>140</v>
      </c>
      <c r="J139" s="30">
        <v>5</v>
      </c>
      <c r="K139" s="30">
        <v>10</v>
      </c>
      <c r="L139" s="30">
        <v>280.15499999999997</v>
      </c>
      <c r="M139" s="30">
        <v>0</v>
      </c>
      <c r="N139" s="30"/>
      <c r="O139" s="30"/>
      <c r="P139" s="30"/>
      <c r="Q139" s="30"/>
      <c r="R139" s="30"/>
      <c r="S139" s="30">
        <v>10.151</v>
      </c>
      <c r="T139" s="30">
        <v>27</v>
      </c>
      <c r="V139" s="30"/>
      <c r="W139" s="30" t="s">
        <v>26</v>
      </c>
      <c r="X139" s="30" t="s">
        <v>56</v>
      </c>
      <c r="Y139" s="76" t="s">
        <v>57</v>
      </c>
    </row>
    <row r="140" spans="1:25" x14ac:dyDescent="0.35">
      <c r="A140" s="56">
        <v>47573</v>
      </c>
      <c r="B140" s="51" t="s">
        <v>24</v>
      </c>
      <c r="C140" s="51" t="s">
        <v>25</v>
      </c>
      <c r="D140">
        <v>272.2</v>
      </c>
      <c r="G140" s="21">
        <v>22.5</v>
      </c>
      <c r="H140">
        <v>82.9</v>
      </c>
      <c r="M140">
        <v>402.9</v>
      </c>
      <c r="U140" s="57">
        <v>325</v>
      </c>
      <c r="W140" t="s">
        <v>26</v>
      </c>
      <c r="X140" t="s">
        <v>58</v>
      </c>
      <c r="Y140" s="55" t="s">
        <v>59</v>
      </c>
    </row>
    <row r="141" spans="1:25" hidden="1" x14ac:dyDescent="0.35">
      <c r="A141" s="56">
        <v>47573</v>
      </c>
      <c r="B141" s="51" t="s">
        <v>43</v>
      </c>
      <c r="C141" s="51" t="s">
        <v>25</v>
      </c>
      <c r="D141" s="69">
        <v>1.421</v>
      </c>
      <c r="H141">
        <f>(1.033+0.525)</f>
        <v>1.5579999999999998</v>
      </c>
      <c r="I141">
        <v>0.1</v>
      </c>
      <c r="L141">
        <v>0.184</v>
      </c>
      <c r="Y141" s="55"/>
    </row>
    <row r="142" spans="1:25" s="74" customFormat="1" x14ac:dyDescent="0.35">
      <c r="A142" s="56">
        <v>47573</v>
      </c>
      <c r="B142" s="77" t="s">
        <v>24</v>
      </c>
      <c r="C142" s="77" t="s">
        <v>25</v>
      </c>
      <c r="D142" s="78">
        <v>248.27</v>
      </c>
      <c r="E142" s="78">
        <v>25.27</v>
      </c>
      <c r="F142" s="78">
        <v>0</v>
      </c>
      <c r="G142" s="78">
        <v>21.08</v>
      </c>
      <c r="H142" s="79">
        <v>68.41</v>
      </c>
      <c r="I142" s="78">
        <v>118.358</v>
      </c>
      <c r="K142" s="74">
        <v>21.08</v>
      </c>
      <c r="L142" s="78">
        <v>270.07600000000002</v>
      </c>
      <c r="S142" s="79">
        <v>14.526</v>
      </c>
      <c r="T142" s="74">
        <v>24.977</v>
      </c>
      <c r="U142" s="80">
        <v>325</v>
      </c>
      <c r="W142" s="74" t="s">
        <v>26</v>
      </c>
      <c r="X142" s="74" t="s">
        <v>52</v>
      </c>
      <c r="Y142" s="81" t="s">
        <v>60</v>
      </c>
    </row>
    <row r="143" spans="1:25" hidden="1" x14ac:dyDescent="0.35">
      <c r="A143" s="56">
        <v>47573</v>
      </c>
      <c r="B143" s="51" t="s">
        <v>24</v>
      </c>
      <c r="C143" s="51" t="s">
        <v>27</v>
      </c>
      <c r="D143">
        <v>878.5</v>
      </c>
      <c r="G143" s="21">
        <v>153.6</v>
      </c>
      <c r="H143">
        <v>276</v>
      </c>
      <c r="M143">
        <v>882.2</v>
      </c>
      <c r="N143">
        <v>14</v>
      </c>
      <c r="Y143" s="55" t="s">
        <v>55</v>
      </c>
    </row>
    <row r="144" spans="1:25" x14ac:dyDescent="0.35">
      <c r="A144" s="56">
        <v>47573</v>
      </c>
      <c r="B144" s="51" t="s">
        <v>24</v>
      </c>
      <c r="C144" s="51" t="s">
        <v>25</v>
      </c>
      <c r="D144" s="82">
        <v>248.27</v>
      </c>
      <c r="E144" s="82">
        <v>25.27</v>
      </c>
      <c r="F144" s="82">
        <v>0</v>
      </c>
      <c r="G144" s="82">
        <v>21.08</v>
      </c>
      <c r="H144" s="83">
        <v>72</v>
      </c>
      <c r="I144" s="82">
        <v>118.358</v>
      </c>
      <c r="K144">
        <v>21.08</v>
      </c>
      <c r="L144" s="82">
        <v>270.07600000000002</v>
      </c>
      <c r="S144" s="83">
        <v>14.526</v>
      </c>
      <c r="T144">
        <v>24.977</v>
      </c>
      <c r="U144" s="57">
        <v>344</v>
      </c>
      <c r="X144" t="s">
        <v>52</v>
      </c>
      <c r="Y144" s="55" t="s">
        <v>61</v>
      </c>
    </row>
    <row r="145" spans="1:25" x14ac:dyDescent="0.35">
      <c r="A145" s="56">
        <v>48304</v>
      </c>
      <c r="B145" s="84" t="s">
        <v>24</v>
      </c>
      <c r="C145" s="60" t="s">
        <v>25</v>
      </c>
      <c r="D145" s="85">
        <f>269.057-9.732</f>
        <v>259.32500000000005</v>
      </c>
      <c r="E145" s="85">
        <v>31.565000000000001</v>
      </c>
      <c r="F145" s="85">
        <v>1.0389999999999999</v>
      </c>
      <c r="G145" s="85">
        <v>10.08</v>
      </c>
      <c r="H145" s="85">
        <f>60.912-4.176</f>
        <v>56.735999999999997</v>
      </c>
      <c r="I145" s="85">
        <v>59.167000000000002</v>
      </c>
      <c r="J145" s="85">
        <f>J122</f>
        <v>0</v>
      </c>
      <c r="K145" s="85">
        <f>K122+5.055</f>
        <v>5.0549999999999997</v>
      </c>
      <c r="L145" s="85">
        <v>102.82</v>
      </c>
      <c r="M145" s="86"/>
      <c r="N145" s="86"/>
      <c r="Y145" s="55" t="s">
        <v>62</v>
      </c>
    </row>
    <row r="146" spans="1:25" hidden="1" x14ac:dyDescent="0.35">
      <c r="A146" s="56">
        <v>48304</v>
      </c>
      <c r="B146" s="51" t="s">
        <v>32</v>
      </c>
      <c r="C146" s="51" t="s">
        <v>31</v>
      </c>
      <c r="U146" s="57">
        <v>130717</v>
      </c>
      <c r="Y146" s="55"/>
    </row>
    <row r="147" spans="1:25" hidden="1" x14ac:dyDescent="0.35">
      <c r="A147" s="56">
        <v>48304</v>
      </c>
      <c r="B147" s="51" t="s">
        <v>34</v>
      </c>
      <c r="C147" s="51" t="s">
        <v>31</v>
      </c>
      <c r="U147" s="57">
        <v>109094</v>
      </c>
      <c r="Y147" s="55"/>
    </row>
    <row r="148" spans="1:25" hidden="1" x14ac:dyDescent="0.35">
      <c r="A148" s="56">
        <v>48304</v>
      </c>
      <c r="B148" s="51" t="s">
        <v>33</v>
      </c>
      <c r="C148" s="51" t="s">
        <v>31</v>
      </c>
      <c r="U148" s="57">
        <v>106784</v>
      </c>
      <c r="Y148" s="55"/>
    </row>
    <row r="149" spans="1:25" hidden="1" x14ac:dyDescent="0.35">
      <c r="A149" s="56">
        <v>48304</v>
      </c>
      <c r="B149" s="51" t="s">
        <v>35</v>
      </c>
      <c r="C149" s="51" t="s">
        <v>31</v>
      </c>
      <c r="U149" s="57">
        <v>75</v>
      </c>
      <c r="Y149" s="55"/>
    </row>
    <row r="150" spans="1:25" hidden="1" x14ac:dyDescent="0.35">
      <c r="A150" s="56">
        <v>48304</v>
      </c>
      <c r="B150" s="51" t="s">
        <v>36</v>
      </c>
      <c r="C150" s="51" t="s">
        <v>31</v>
      </c>
      <c r="U150" s="57">
        <v>14735</v>
      </c>
      <c r="Y150" s="55"/>
    </row>
    <row r="151" spans="1:25" hidden="1" x14ac:dyDescent="0.35">
      <c r="A151" s="56">
        <v>48304</v>
      </c>
      <c r="B151" s="51" t="s">
        <v>37</v>
      </c>
      <c r="C151" s="51" t="s">
        <v>31</v>
      </c>
      <c r="U151" s="57">
        <v>5415</v>
      </c>
      <c r="Y151" s="55"/>
    </row>
    <row r="152" spans="1:25" hidden="1" x14ac:dyDescent="0.35">
      <c r="A152" s="56">
        <v>48304</v>
      </c>
      <c r="B152" s="51" t="s">
        <v>38</v>
      </c>
      <c r="C152" s="51" t="s">
        <v>31</v>
      </c>
      <c r="U152" s="57">
        <v>4740</v>
      </c>
      <c r="Y152" s="55"/>
    </row>
    <row r="153" spans="1:25" hidden="1" x14ac:dyDescent="0.35">
      <c r="A153" s="56">
        <v>48304</v>
      </c>
      <c r="B153" s="51" t="s">
        <v>39</v>
      </c>
      <c r="C153" s="51" t="s">
        <v>31</v>
      </c>
      <c r="U153" s="57">
        <v>8590</v>
      </c>
      <c r="Y153" s="55"/>
    </row>
    <row r="154" spans="1:25" hidden="1" x14ac:dyDescent="0.35">
      <c r="A154" s="56">
        <v>48304</v>
      </c>
      <c r="B154" s="51" t="s">
        <v>40</v>
      </c>
      <c r="C154" s="51" t="s">
        <v>31</v>
      </c>
      <c r="U154" s="57">
        <v>241</v>
      </c>
      <c r="Y154" s="55"/>
    </row>
    <row r="155" spans="1:25" hidden="1" x14ac:dyDescent="0.35">
      <c r="A155" s="56">
        <v>48304</v>
      </c>
      <c r="B155" s="51" t="s">
        <v>41</v>
      </c>
      <c r="C155" s="51" t="s">
        <v>31</v>
      </c>
      <c r="U155" s="57">
        <v>15920</v>
      </c>
      <c r="Y155" s="55"/>
    </row>
    <row r="156" spans="1:25" hidden="1" x14ac:dyDescent="0.35">
      <c r="A156" s="56">
        <v>48304</v>
      </c>
      <c r="B156" s="51" t="s">
        <v>29</v>
      </c>
      <c r="C156" s="51" t="s">
        <v>31</v>
      </c>
      <c r="U156" s="57">
        <v>47104</v>
      </c>
      <c r="Y156" s="55"/>
    </row>
    <row r="157" spans="1:25" hidden="1" x14ac:dyDescent="0.35">
      <c r="A157" s="56">
        <v>48304</v>
      </c>
      <c r="B157" s="51" t="s">
        <v>42</v>
      </c>
      <c r="C157" s="51" t="s">
        <v>31</v>
      </c>
      <c r="U157" s="57">
        <v>282</v>
      </c>
      <c r="Y157" s="55"/>
    </row>
    <row r="158" spans="1:25" hidden="1" x14ac:dyDescent="0.35">
      <c r="A158" s="56">
        <v>48304</v>
      </c>
      <c r="B158" s="51" t="s">
        <v>43</v>
      </c>
      <c r="C158" s="51" t="s">
        <v>31</v>
      </c>
      <c r="U158" s="57">
        <v>3932</v>
      </c>
      <c r="Y158" s="55"/>
    </row>
    <row r="159" spans="1:25" hidden="1" x14ac:dyDescent="0.35">
      <c r="A159" s="56">
        <v>48304</v>
      </c>
      <c r="B159" s="51" t="s">
        <v>44</v>
      </c>
      <c r="C159" s="51" t="s">
        <v>31</v>
      </c>
      <c r="U159" s="57">
        <v>448</v>
      </c>
      <c r="Y159" s="55"/>
    </row>
    <row r="160" spans="1:25" hidden="1" x14ac:dyDescent="0.35">
      <c r="A160" s="56">
        <v>48304</v>
      </c>
      <c r="B160" s="51" t="s">
        <v>45</v>
      </c>
      <c r="C160" s="51" t="s">
        <v>31</v>
      </c>
      <c r="U160" s="57">
        <v>575</v>
      </c>
      <c r="Y160" s="55"/>
    </row>
    <row r="161" spans="1:25" hidden="1" x14ac:dyDescent="0.35">
      <c r="A161" s="56">
        <v>48304</v>
      </c>
      <c r="B161" s="51" t="s">
        <v>46</v>
      </c>
      <c r="C161" s="51" t="s">
        <v>31</v>
      </c>
      <c r="U161" s="57">
        <v>333</v>
      </c>
      <c r="Y161" s="55"/>
    </row>
    <row r="162" spans="1:25" hidden="1" x14ac:dyDescent="0.35">
      <c r="A162" s="56">
        <v>48304</v>
      </c>
      <c r="B162" s="51" t="s">
        <v>47</v>
      </c>
      <c r="C162" s="51" t="s">
        <v>31</v>
      </c>
      <c r="U162" s="57">
        <v>235</v>
      </c>
      <c r="Y162" s="55"/>
    </row>
    <row r="163" spans="1:25" hidden="1" x14ac:dyDescent="0.35">
      <c r="A163" s="56">
        <v>48304</v>
      </c>
      <c r="B163" s="51" t="s">
        <v>48</v>
      </c>
      <c r="C163" s="51" t="s">
        <v>31</v>
      </c>
      <c r="U163" s="57">
        <v>731</v>
      </c>
      <c r="Y163" s="55"/>
    </row>
    <row r="164" spans="1:25" hidden="1" x14ac:dyDescent="0.35">
      <c r="A164" s="56">
        <v>48304</v>
      </c>
      <c r="B164" s="51" t="s">
        <v>30</v>
      </c>
      <c r="C164" s="51" t="s">
        <v>31</v>
      </c>
      <c r="U164" s="57">
        <v>6271</v>
      </c>
      <c r="Y164" s="55"/>
    </row>
    <row r="165" spans="1:25" hidden="1" x14ac:dyDescent="0.35">
      <c r="A165" s="56">
        <v>48304</v>
      </c>
      <c r="B165" s="51" t="s">
        <v>24</v>
      </c>
      <c r="C165" s="51" t="s">
        <v>31</v>
      </c>
      <c r="U165" s="57">
        <v>360475</v>
      </c>
      <c r="Y165" s="55"/>
    </row>
    <row r="166" spans="1:25" hidden="1" x14ac:dyDescent="0.35">
      <c r="A166" s="56">
        <v>50130</v>
      </c>
      <c r="B166" s="51" t="s">
        <v>32</v>
      </c>
      <c r="C166" s="51" t="s">
        <v>31</v>
      </c>
      <c r="U166" s="57">
        <v>168028</v>
      </c>
      <c r="Y166" s="55"/>
    </row>
    <row r="167" spans="1:25" hidden="1" x14ac:dyDescent="0.35">
      <c r="A167" s="56">
        <v>50130</v>
      </c>
      <c r="B167" s="51" t="s">
        <v>34</v>
      </c>
      <c r="C167" s="51" t="s">
        <v>31</v>
      </c>
      <c r="U167" s="57">
        <v>132748</v>
      </c>
      <c r="Y167" s="55"/>
    </row>
    <row r="168" spans="1:25" hidden="1" x14ac:dyDescent="0.35">
      <c r="A168" s="56">
        <v>50130</v>
      </c>
      <c r="B168" s="51" t="s">
        <v>33</v>
      </c>
      <c r="C168" s="51" t="s">
        <v>31</v>
      </c>
      <c r="U168" s="57">
        <v>133642</v>
      </c>
      <c r="Y168" s="55"/>
    </row>
    <row r="169" spans="1:25" hidden="1" x14ac:dyDescent="0.35">
      <c r="A169" s="56">
        <v>50130</v>
      </c>
      <c r="B169" s="51" t="s">
        <v>35</v>
      </c>
      <c r="C169" s="51" t="s">
        <v>31</v>
      </c>
      <c r="U169" s="57">
        <v>82</v>
      </c>
      <c r="Y169" s="55"/>
    </row>
    <row r="170" spans="1:25" hidden="1" x14ac:dyDescent="0.35">
      <c r="A170" s="56">
        <v>50130</v>
      </c>
      <c r="B170" s="51" t="s">
        <v>36</v>
      </c>
      <c r="C170" s="51" t="s">
        <v>31</v>
      </c>
      <c r="U170" s="57">
        <v>20004</v>
      </c>
      <c r="Y170" s="55"/>
    </row>
    <row r="171" spans="1:25" hidden="1" x14ac:dyDescent="0.35">
      <c r="A171" s="56">
        <v>50130</v>
      </c>
      <c r="B171" s="51" t="s">
        <v>37</v>
      </c>
      <c r="C171" s="51" t="s">
        <v>31</v>
      </c>
      <c r="U171" s="57">
        <v>6893</v>
      </c>
      <c r="Y171" s="55"/>
    </row>
    <row r="172" spans="1:25" hidden="1" x14ac:dyDescent="0.35">
      <c r="A172" s="56">
        <v>50130</v>
      </c>
      <c r="B172" s="51" t="s">
        <v>38</v>
      </c>
      <c r="C172" s="51" t="s">
        <v>31</v>
      </c>
      <c r="U172" s="57">
        <v>5890</v>
      </c>
      <c r="Y172" s="55"/>
    </row>
    <row r="173" spans="1:25" hidden="1" x14ac:dyDescent="0.35">
      <c r="A173" s="56">
        <v>50130</v>
      </c>
      <c r="B173" s="51" t="s">
        <v>39</v>
      </c>
      <c r="C173" s="51" t="s">
        <v>31</v>
      </c>
      <c r="U173" s="57">
        <v>10334</v>
      </c>
      <c r="Y173" s="55"/>
    </row>
    <row r="174" spans="1:25" hidden="1" x14ac:dyDescent="0.35">
      <c r="A174" s="56">
        <v>50130</v>
      </c>
      <c r="B174" s="51" t="s">
        <v>40</v>
      </c>
      <c r="C174" s="51" t="s">
        <v>31</v>
      </c>
      <c r="U174" s="57">
        <v>324</v>
      </c>
      <c r="Y174" s="55"/>
    </row>
    <row r="175" spans="1:25" hidden="1" x14ac:dyDescent="0.35">
      <c r="A175" s="56">
        <v>50130</v>
      </c>
      <c r="B175" s="51" t="s">
        <v>41</v>
      </c>
      <c r="C175" s="51" t="s">
        <v>31</v>
      </c>
      <c r="U175" s="57">
        <v>19994</v>
      </c>
      <c r="Y175" s="55"/>
    </row>
    <row r="176" spans="1:25" hidden="1" x14ac:dyDescent="0.35">
      <c r="A176" s="56">
        <v>50130</v>
      </c>
      <c r="B176" s="51" t="s">
        <v>29</v>
      </c>
      <c r="C176" s="51" t="s">
        <v>31</v>
      </c>
      <c r="U176" s="57">
        <v>60744</v>
      </c>
      <c r="Y176" s="55"/>
    </row>
    <row r="177" spans="1:25" hidden="1" x14ac:dyDescent="0.35">
      <c r="A177" s="56">
        <v>50130</v>
      </c>
      <c r="B177" s="51" t="s">
        <v>42</v>
      </c>
      <c r="C177" s="51" t="s">
        <v>31</v>
      </c>
      <c r="U177" s="57">
        <v>350</v>
      </c>
      <c r="Y177" s="55"/>
    </row>
    <row r="178" spans="1:25" hidden="1" x14ac:dyDescent="0.35">
      <c r="A178" s="56">
        <v>50130</v>
      </c>
      <c r="B178" s="51" t="s">
        <v>43</v>
      </c>
      <c r="C178" s="51" t="s">
        <v>31</v>
      </c>
      <c r="U178" s="57">
        <v>5049</v>
      </c>
      <c r="Y178" s="55"/>
    </row>
    <row r="179" spans="1:25" hidden="1" x14ac:dyDescent="0.35">
      <c r="A179" s="56">
        <v>50130</v>
      </c>
      <c r="B179" s="51" t="s">
        <v>44</v>
      </c>
      <c r="C179" s="51" t="s">
        <v>31</v>
      </c>
      <c r="U179" s="57">
        <v>567</v>
      </c>
      <c r="Y179" s="55"/>
    </row>
    <row r="180" spans="1:25" hidden="1" x14ac:dyDescent="0.35">
      <c r="A180" s="56">
        <v>50130</v>
      </c>
      <c r="B180" s="51" t="s">
        <v>45</v>
      </c>
      <c r="C180" s="51" t="s">
        <v>31</v>
      </c>
      <c r="U180" s="57">
        <v>662</v>
      </c>
      <c r="Y180" s="55"/>
    </row>
    <row r="181" spans="1:25" hidden="1" x14ac:dyDescent="0.35">
      <c r="A181" s="56">
        <v>50130</v>
      </c>
      <c r="B181" s="51" t="s">
        <v>46</v>
      </c>
      <c r="C181" s="51" t="s">
        <v>31</v>
      </c>
      <c r="U181" s="57">
        <v>462</v>
      </c>
      <c r="Y181" s="55"/>
    </row>
    <row r="182" spans="1:25" hidden="1" x14ac:dyDescent="0.35">
      <c r="A182" s="56">
        <v>50130</v>
      </c>
      <c r="B182" s="51" t="s">
        <v>47</v>
      </c>
      <c r="C182" s="51" t="s">
        <v>31</v>
      </c>
      <c r="U182" s="57">
        <v>263</v>
      </c>
      <c r="Y182" s="55"/>
    </row>
    <row r="183" spans="1:25" hidden="1" x14ac:dyDescent="0.35">
      <c r="A183" s="56">
        <v>50130</v>
      </c>
      <c r="B183" s="51" t="s">
        <v>48</v>
      </c>
      <c r="C183" s="51" t="s">
        <v>31</v>
      </c>
      <c r="U183" s="57">
        <v>909</v>
      </c>
      <c r="Y183" s="55"/>
    </row>
    <row r="184" spans="1:25" hidden="1" x14ac:dyDescent="0.35">
      <c r="A184" s="56">
        <v>50130</v>
      </c>
      <c r="B184" s="51" t="s">
        <v>30</v>
      </c>
      <c r="C184" s="51" t="s">
        <v>31</v>
      </c>
      <c r="U184" s="57">
        <v>8061</v>
      </c>
      <c r="Y184" s="55"/>
    </row>
    <row r="185" spans="1:25" hidden="1" x14ac:dyDescent="0.35">
      <c r="A185" s="56">
        <v>50130</v>
      </c>
      <c r="B185" s="51" t="s">
        <v>24</v>
      </c>
      <c r="C185" s="51" t="s">
        <v>31</v>
      </c>
      <c r="U185" s="57">
        <v>453914</v>
      </c>
      <c r="Y185" s="55"/>
    </row>
    <row r="186" spans="1:25" hidden="1" x14ac:dyDescent="0.35">
      <c r="A186" s="56">
        <v>51956</v>
      </c>
      <c r="B186" s="51" t="s">
        <v>32</v>
      </c>
      <c r="C186" s="51" t="s">
        <v>31</v>
      </c>
      <c r="U186" s="57">
        <v>209003</v>
      </c>
      <c r="Y186" s="55"/>
    </row>
    <row r="187" spans="1:25" hidden="1" x14ac:dyDescent="0.35">
      <c r="A187" s="56">
        <v>51956</v>
      </c>
      <c r="B187" s="51" t="s">
        <v>34</v>
      </c>
      <c r="C187" s="51" t="s">
        <v>31</v>
      </c>
      <c r="U187" s="57">
        <v>158016</v>
      </c>
      <c r="Y187" s="55"/>
    </row>
    <row r="188" spans="1:25" hidden="1" x14ac:dyDescent="0.35">
      <c r="A188" s="56">
        <v>51956</v>
      </c>
      <c r="B188" s="51" t="s">
        <v>33</v>
      </c>
      <c r="C188" s="51" t="s">
        <v>31</v>
      </c>
      <c r="U188" s="57">
        <v>162299</v>
      </c>
      <c r="Y188" s="55"/>
    </row>
    <row r="189" spans="1:25" hidden="1" x14ac:dyDescent="0.35">
      <c r="A189" s="56">
        <v>51956</v>
      </c>
      <c r="B189" s="51" t="s">
        <v>35</v>
      </c>
      <c r="C189" s="51" t="s">
        <v>31</v>
      </c>
      <c r="U189" s="57">
        <v>90</v>
      </c>
      <c r="Y189" s="55"/>
    </row>
    <row r="190" spans="1:25" hidden="1" x14ac:dyDescent="0.35">
      <c r="A190" s="56">
        <v>51956</v>
      </c>
      <c r="B190" s="51" t="s">
        <v>36</v>
      </c>
      <c r="C190" s="51" t="s">
        <v>31</v>
      </c>
      <c r="U190" s="57">
        <v>26346</v>
      </c>
      <c r="Y190" s="55"/>
    </row>
    <row r="191" spans="1:25" hidden="1" x14ac:dyDescent="0.35">
      <c r="A191" s="56">
        <v>51956</v>
      </c>
      <c r="B191" s="51" t="s">
        <v>37</v>
      </c>
      <c r="C191" s="51" t="s">
        <v>31</v>
      </c>
      <c r="U191" s="57">
        <v>8606</v>
      </c>
      <c r="Y191" s="55"/>
    </row>
    <row r="192" spans="1:25" hidden="1" x14ac:dyDescent="0.35">
      <c r="A192" s="56">
        <v>51956</v>
      </c>
      <c r="B192" s="51" t="s">
        <v>38</v>
      </c>
      <c r="C192" s="51" t="s">
        <v>31</v>
      </c>
      <c r="U192" s="57">
        <v>7222</v>
      </c>
      <c r="Y192" s="55"/>
    </row>
    <row r="193" spans="1:25" hidden="1" x14ac:dyDescent="0.35">
      <c r="A193" s="56">
        <v>51956</v>
      </c>
      <c r="B193" s="51" t="s">
        <v>39</v>
      </c>
      <c r="C193" s="51" t="s">
        <v>31</v>
      </c>
      <c r="U193" s="57">
        <v>12380</v>
      </c>
      <c r="Y193" s="55"/>
    </row>
    <row r="194" spans="1:25" hidden="1" x14ac:dyDescent="0.35">
      <c r="A194" s="56">
        <v>51956</v>
      </c>
      <c r="B194" s="51" t="s">
        <v>40</v>
      </c>
      <c r="C194" s="51" t="s">
        <v>31</v>
      </c>
      <c r="U194" s="57">
        <v>434</v>
      </c>
      <c r="Y194" s="55"/>
    </row>
    <row r="195" spans="1:25" hidden="1" x14ac:dyDescent="0.35">
      <c r="A195" s="56">
        <v>51956</v>
      </c>
      <c r="B195" s="51" t="s">
        <v>41</v>
      </c>
      <c r="C195" s="51" t="s">
        <v>31</v>
      </c>
      <c r="U195" s="57">
        <v>24808</v>
      </c>
      <c r="Y195" s="55"/>
    </row>
    <row r="196" spans="1:25" hidden="1" x14ac:dyDescent="0.35">
      <c r="A196" s="56">
        <v>51956</v>
      </c>
      <c r="B196" s="51" t="s">
        <v>29</v>
      </c>
      <c r="C196" s="51" t="s">
        <v>31</v>
      </c>
      <c r="U196" s="57">
        <v>76482</v>
      </c>
      <c r="Y196" s="55"/>
    </row>
    <row r="197" spans="1:25" hidden="1" x14ac:dyDescent="0.35">
      <c r="A197" s="56">
        <v>51956</v>
      </c>
      <c r="B197" s="51" t="s">
        <v>42</v>
      </c>
      <c r="C197" s="51" t="s">
        <v>31</v>
      </c>
      <c r="U197" s="57">
        <v>429</v>
      </c>
      <c r="Y197" s="55"/>
    </row>
    <row r="198" spans="1:25" hidden="1" x14ac:dyDescent="0.35">
      <c r="A198" s="56">
        <v>51956</v>
      </c>
      <c r="B198" s="51" t="s">
        <v>43</v>
      </c>
      <c r="C198" s="51" t="s">
        <v>31</v>
      </c>
      <c r="U198" s="57">
        <v>6334</v>
      </c>
      <c r="Y198" s="55"/>
    </row>
    <row r="199" spans="1:25" hidden="1" x14ac:dyDescent="0.35">
      <c r="A199" s="56">
        <v>51956</v>
      </c>
      <c r="B199" s="51" t="s">
        <v>44</v>
      </c>
      <c r="C199" s="51" t="s">
        <v>31</v>
      </c>
      <c r="U199" s="57">
        <v>708</v>
      </c>
      <c r="Y199" s="55"/>
    </row>
    <row r="200" spans="1:25" hidden="1" x14ac:dyDescent="0.35">
      <c r="A200" s="56">
        <v>51956</v>
      </c>
      <c r="B200" s="51" t="s">
        <v>45</v>
      </c>
      <c r="C200" s="51" t="s">
        <v>31</v>
      </c>
      <c r="U200" s="57">
        <v>759</v>
      </c>
      <c r="Y200" s="55"/>
    </row>
    <row r="201" spans="1:25" hidden="1" x14ac:dyDescent="0.35">
      <c r="A201" s="56">
        <v>51956</v>
      </c>
      <c r="B201" s="51" t="s">
        <v>46</v>
      </c>
      <c r="C201" s="51" t="s">
        <v>31</v>
      </c>
      <c r="U201" s="57">
        <v>628</v>
      </c>
      <c r="Y201" s="55"/>
    </row>
    <row r="202" spans="1:25" hidden="1" x14ac:dyDescent="0.35">
      <c r="A202" s="56">
        <v>51956</v>
      </c>
      <c r="B202" s="51" t="s">
        <v>47</v>
      </c>
      <c r="C202" s="51" t="s">
        <v>31</v>
      </c>
      <c r="U202" s="57">
        <v>294</v>
      </c>
      <c r="Y202" s="55"/>
    </row>
    <row r="203" spans="1:25" hidden="1" x14ac:dyDescent="0.35">
      <c r="A203" s="56">
        <v>51956</v>
      </c>
      <c r="B203" s="51" t="s">
        <v>48</v>
      </c>
      <c r="C203" s="51" t="s">
        <v>31</v>
      </c>
      <c r="U203" s="57">
        <v>1057</v>
      </c>
      <c r="Y203" s="55"/>
    </row>
    <row r="204" spans="1:25" hidden="1" x14ac:dyDescent="0.35">
      <c r="A204" s="56">
        <v>51956</v>
      </c>
      <c r="B204" s="51" t="s">
        <v>30</v>
      </c>
      <c r="C204" s="51" t="s">
        <v>31</v>
      </c>
      <c r="U204" s="57">
        <v>9973</v>
      </c>
      <c r="Y204" s="55"/>
    </row>
    <row r="205" spans="1:25" hidden="1" x14ac:dyDescent="0.35">
      <c r="A205" s="56">
        <v>51956</v>
      </c>
      <c r="B205" s="51" t="s">
        <v>24</v>
      </c>
      <c r="C205" s="51" t="s">
        <v>31</v>
      </c>
      <c r="U205" s="57">
        <v>560493</v>
      </c>
      <c r="Y205" s="55"/>
    </row>
    <row r="206" spans="1:25" x14ac:dyDescent="0.35">
      <c r="A206" s="56">
        <v>53782</v>
      </c>
      <c r="B206" s="51" t="s">
        <v>24</v>
      </c>
      <c r="C206" s="51" t="s">
        <v>25</v>
      </c>
      <c r="D206">
        <v>189</v>
      </c>
      <c r="G206" s="21">
        <v>50</v>
      </c>
      <c r="H206">
        <v>121</v>
      </c>
      <c r="M206">
        <v>1027</v>
      </c>
      <c r="X206" t="s">
        <v>52</v>
      </c>
      <c r="Y206" s="55" t="s">
        <v>59</v>
      </c>
    </row>
    <row r="207" spans="1:25" ht="15" hidden="1" thickBot="1" x14ac:dyDescent="0.4">
      <c r="A207" s="87">
        <v>53782</v>
      </c>
      <c r="B207" s="88" t="s">
        <v>24</v>
      </c>
      <c r="C207" s="88" t="s">
        <v>27</v>
      </c>
      <c r="D207" s="89">
        <v>986.6</v>
      </c>
      <c r="E207" s="90"/>
      <c r="F207" s="90"/>
      <c r="G207" s="91">
        <v>350.4</v>
      </c>
      <c r="H207" s="90">
        <v>424</v>
      </c>
      <c r="I207" s="90"/>
      <c r="J207" s="90"/>
      <c r="K207" s="90"/>
      <c r="L207" s="90"/>
      <c r="M207" s="90">
        <v>2519</v>
      </c>
      <c r="N207" s="90">
        <v>20</v>
      </c>
      <c r="O207" s="90"/>
      <c r="P207" s="90"/>
      <c r="Q207" s="90"/>
      <c r="R207" s="90"/>
      <c r="S207" s="90"/>
      <c r="T207" s="90"/>
      <c r="U207" s="92"/>
      <c r="V207" s="90"/>
      <c r="W207" s="90" t="s">
        <v>26</v>
      </c>
      <c r="X207" s="90"/>
      <c r="Y207" s="93" t="s">
        <v>55</v>
      </c>
    </row>
    <row r="208" spans="1:25" hidden="1" x14ac:dyDescent="0.35">
      <c r="A208" s="56">
        <v>44957</v>
      </c>
      <c r="B208" s="51" t="s">
        <v>63</v>
      </c>
      <c r="C208" s="51" t="s">
        <v>25</v>
      </c>
      <c r="D208" s="65">
        <v>14.10219</v>
      </c>
      <c r="E208" s="66"/>
      <c r="F208" s="66"/>
      <c r="G208" s="59">
        <v>0.55674000000000001</v>
      </c>
      <c r="H208" s="66">
        <v>1.9419299999999999</v>
      </c>
      <c r="I208" s="67"/>
      <c r="J208" s="67"/>
      <c r="K208" s="67"/>
      <c r="L208" s="67"/>
      <c r="M208" s="44">
        <v>21.236499999999999</v>
      </c>
      <c r="N208" s="44"/>
      <c r="O208" s="65"/>
      <c r="P208" s="65"/>
      <c r="Q208" s="65"/>
      <c r="R208">
        <f>SUM(O208:Q208)</f>
        <v>0</v>
      </c>
      <c r="S208" s="65"/>
      <c r="T208" s="65"/>
      <c r="U208" s="61">
        <v>215.88800000000001</v>
      </c>
      <c r="X208" t="s">
        <v>52</v>
      </c>
      <c r="Y208" s="55"/>
    </row>
    <row r="209" spans="1:25" hidden="1" x14ac:dyDescent="0.35">
      <c r="A209" s="58">
        <v>45077</v>
      </c>
      <c r="B209" s="60" t="s">
        <v>29</v>
      </c>
      <c r="C209" s="60" t="s">
        <v>25</v>
      </c>
      <c r="D209" s="44">
        <v>27.6997</v>
      </c>
      <c r="E209" s="44">
        <v>0.08</v>
      </c>
      <c r="F209" s="44">
        <v>0</v>
      </c>
      <c r="G209" s="59">
        <v>0</v>
      </c>
      <c r="H209" s="44">
        <v>4.7644200000000003</v>
      </c>
      <c r="I209" s="44">
        <v>1.8540700000000001</v>
      </c>
      <c r="J209" s="44"/>
      <c r="K209" s="44"/>
      <c r="L209" s="44"/>
      <c r="M209" s="44">
        <v>0</v>
      </c>
      <c r="N209" s="44"/>
      <c r="O209" s="44"/>
      <c r="P209" s="44"/>
      <c r="Q209" s="44"/>
      <c r="R209">
        <f>SUM(O209:Q209)</f>
        <v>0</v>
      </c>
      <c r="S209" s="44"/>
      <c r="T209" s="44"/>
      <c r="U209" s="61">
        <v>29.359000000000002</v>
      </c>
      <c r="Y209" s="62"/>
    </row>
    <row r="210" spans="1:25" hidden="1" x14ac:dyDescent="0.35">
      <c r="A210" s="58">
        <v>45077</v>
      </c>
      <c r="B210" s="60" t="s">
        <v>30</v>
      </c>
      <c r="C210" s="60" t="s">
        <v>25</v>
      </c>
      <c r="D210" s="44">
        <v>0.61019999999999996</v>
      </c>
      <c r="E210" s="44">
        <f>1.66496</f>
        <v>1.66496</v>
      </c>
      <c r="F210" s="44">
        <v>3.5999999999999997E-2</v>
      </c>
      <c r="G210" s="59">
        <v>0</v>
      </c>
      <c r="H210" s="44">
        <v>1.944</v>
      </c>
      <c r="I210" s="44">
        <v>0.55027000000000004</v>
      </c>
      <c r="J210" s="44"/>
      <c r="K210" s="44"/>
      <c r="L210" s="44"/>
      <c r="M210" s="44">
        <v>0</v>
      </c>
      <c r="N210" s="44"/>
      <c r="O210" s="44"/>
      <c r="P210" s="44"/>
      <c r="Q210" s="44"/>
      <c r="S210" s="44"/>
      <c r="T210" s="44"/>
      <c r="U210" s="61">
        <v>3.5409999999999999</v>
      </c>
    </row>
    <row r="211" spans="1:25" hidden="1" x14ac:dyDescent="0.35">
      <c r="A211" s="58">
        <v>45077</v>
      </c>
      <c r="B211" s="60" t="s">
        <v>34</v>
      </c>
      <c r="C211" s="60" t="s">
        <v>25</v>
      </c>
      <c r="D211" s="44">
        <f>74.46259+1.4</f>
        <v>75.862590000000012</v>
      </c>
      <c r="E211" s="44">
        <v>10.80649</v>
      </c>
      <c r="F211" s="44">
        <v>0</v>
      </c>
      <c r="G211" s="59">
        <v>1.84</v>
      </c>
      <c r="H211" s="44">
        <v>7.5625</v>
      </c>
      <c r="I211" s="44">
        <v>40.389960000000002</v>
      </c>
      <c r="U211" s="57">
        <v>70.257000000000005</v>
      </c>
    </row>
    <row r="212" spans="1:25" hidden="1" x14ac:dyDescent="0.35">
      <c r="A212" s="58">
        <v>45077</v>
      </c>
      <c r="B212" s="60" t="s">
        <v>33</v>
      </c>
      <c r="C212" s="60" t="s">
        <v>25</v>
      </c>
      <c r="D212" s="44">
        <f>47.00534+3.64</f>
        <v>50.645339999999997</v>
      </c>
      <c r="E212" s="44">
        <v>6.4917999999999996</v>
      </c>
      <c r="F212" s="44">
        <v>0.43365999999999999</v>
      </c>
      <c r="G212" s="59">
        <v>3.32</v>
      </c>
      <c r="H212" s="44">
        <v>11.82748</v>
      </c>
      <c r="I212" s="44">
        <v>50.779260000000001</v>
      </c>
      <c r="U212" s="57">
        <v>63.939</v>
      </c>
    </row>
    <row r="213" spans="1:25" hidden="1" x14ac:dyDescent="0.35">
      <c r="A213" s="58">
        <v>45077</v>
      </c>
      <c r="B213" s="60" t="s">
        <v>32</v>
      </c>
      <c r="C213" s="60" t="s">
        <v>25</v>
      </c>
      <c r="D213" s="44">
        <f>55.45767+1.58</f>
        <v>57.037669999999999</v>
      </c>
      <c r="E213" s="44">
        <v>5.7809600000000003</v>
      </c>
      <c r="F213" s="44">
        <v>0</v>
      </c>
      <c r="G213" s="59">
        <v>1.62</v>
      </c>
      <c r="H213" s="44">
        <v>20.75177</v>
      </c>
      <c r="I213" s="44">
        <v>33.157049999999998</v>
      </c>
      <c r="U213" s="57">
        <v>72.625</v>
      </c>
    </row>
    <row r="214" spans="1:25" hidden="1" x14ac:dyDescent="0.35">
      <c r="A214" s="73">
        <v>45138</v>
      </c>
      <c r="B214" s="51" t="s">
        <v>29</v>
      </c>
      <c r="C214" s="51" t="s">
        <v>31</v>
      </c>
      <c r="D214">
        <v>6970</v>
      </c>
      <c r="E214" s="44">
        <v>80</v>
      </c>
      <c r="F214" s="44">
        <v>0</v>
      </c>
      <c r="G214" s="21">
        <v>0</v>
      </c>
      <c r="H214" s="44">
        <v>3550.22</v>
      </c>
      <c r="I214" s="44">
        <v>278.11</v>
      </c>
      <c r="M214">
        <v>0</v>
      </c>
      <c r="O214">
        <v>10878.33</v>
      </c>
      <c r="P214">
        <v>7345.9</v>
      </c>
      <c r="Q214">
        <v>16720.72</v>
      </c>
      <c r="U214" s="57">
        <v>29757</v>
      </c>
    </row>
    <row r="215" spans="1:25" hidden="1" x14ac:dyDescent="0.35">
      <c r="A215" s="73">
        <v>45138</v>
      </c>
      <c r="B215" s="51" t="s">
        <v>30</v>
      </c>
      <c r="C215" s="51" t="s">
        <v>31</v>
      </c>
      <c r="D215">
        <v>0</v>
      </c>
      <c r="E215" s="44">
        <v>411.36</v>
      </c>
      <c r="F215" s="44">
        <v>36</v>
      </c>
      <c r="G215" s="21">
        <v>0</v>
      </c>
      <c r="H215" s="44">
        <v>422</v>
      </c>
      <c r="I215" s="44">
        <v>1872.01</v>
      </c>
      <c r="M215">
        <v>0</v>
      </c>
      <c r="O215">
        <v>1138.0999999999999</v>
      </c>
      <c r="P215">
        <v>275.20999999999998</v>
      </c>
      <c r="Q215">
        <v>3575.63</v>
      </c>
      <c r="U215" s="57">
        <v>3516</v>
      </c>
    </row>
    <row r="216" spans="1:25" hidden="1" x14ac:dyDescent="0.35">
      <c r="A216" s="73">
        <v>45138</v>
      </c>
      <c r="B216" s="51" t="s">
        <v>36</v>
      </c>
      <c r="C216" s="51" t="s">
        <v>31</v>
      </c>
      <c r="D216">
        <v>0</v>
      </c>
      <c r="E216" s="44">
        <v>0</v>
      </c>
      <c r="F216" s="44">
        <v>0</v>
      </c>
      <c r="G216" s="21">
        <v>0</v>
      </c>
      <c r="H216" s="44">
        <v>0</v>
      </c>
      <c r="I216" s="44">
        <v>70.7</v>
      </c>
      <c r="M216">
        <v>0</v>
      </c>
      <c r="O216">
        <v>70.7</v>
      </c>
      <c r="P216">
        <v>1043.6199999999999</v>
      </c>
      <c r="Q216">
        <v>6806.74</v>
      </c>
      <c r="U216" s="57">
        <v>7600</v>
      </c>
    </row>
    <row r="217" spans="1:25" hidden="1" x14ac:dyDescent="0.35">
      <c r="A217" s="73">
        <v>45138</v>
      </c>
      <c r="B217" s="51" t="s">
        <v>38</v>
      </c>
      <c r="C217" s="51" t="s">
        <v>31</v>
      </c>
      <c r="D217">
        <v>420</v>
      </c>
      <c r="E217" s="44">
        <v>0</v>
      </c>
      <c r="F217" s="44">
        <v>0</v>
      </c>
      <c r="G217" s="21">
        <v>0</v>
      </c>
      <c r="H217" s="44">
        <v>130</v>
      </c>
      <c r="I217" s="44">
        <v>4.05</v>
      </c>
      <c r="M217">
        <v>0</v>
      </c>
      <c r="O217">
        <v>554.04999999999995</v>
      </c>
      <c r="P217">
        <v>704.04</v>
      </c>
      <c r="Q217">
        <v>1434.34</v>
      </c>
      <c r="U217" s="57">
        <v>1822</v>
      </c>
    </row>
    <row r="218" spans="1:25" hidden="1" x14ac:dyDescent="0.35">
      <c r="A218" s="73">
        <v>45138</v>
      </c>
      <c r="B218" s="51" t="s">
        <v>41</v>
      </c>
      <c r="C218" s="51" t="s">
        <v>31</v>
      </c>
      <c r="D218">
        <v>4810</v>
      </c>
      <c r="E218" s="44">
        <v>80</v>
      </c>
      <c r="F218" s="44">
        <v>0</v>
      </c>
      <c r="G218" s="21">
        <v>0</v>
      </c>
      <c r="H218" s="44">
        <v>986</v>
      </c>
      <c r="I218" s="44">
        <v>128.09</v>
      </c>
      <c r="M218">
        <v>0</v>
      </c>
      <c r="O218">
        <v>5997.95</v>
      </c>
      <c r="P218">
        <v>2951.08</v>
      </c>
      <c r="Q218">
        <v>1813.34</v>
      </c>
      <c r="U218" s="57">
        <v>10316</v>
      </c>
    </row>
    <row r="219" spans="1:25" hidden="1" x14ac:dyDescent="0.35">
      <c r="A219" s="73">
        <v>45138</v>
      </c>
      <c r="B219" s="51" t="s">
        <v>37</v>
      </c>
      <c r="C219" s="51" t="s">
        <v>31</v>
      </c>
      <c r="D219">
        <v>0</v>
      </c>
      <c r="E219" s="44">
        <v>0</v>
      </c>
      <c r="F219" s="44">
        <v>0</v>
      </c>
      <c r="G219" s="21">
        <v>0</v>
      </c>
      <c r="H219" s="44">
        <v>0</v>
      </c>
      <c r="I219" s="44">
        <v>0</v>
      </c>
      <c r="J219" s="44"/>
      <c r="M219">
        <v>0</v>
      </c>
      <c r="O219">
        <v>0</v>
      </c>
      <c r="P219">
        <v>150</v>
      </c>
      <c r="Q219">
        <v>3073.21</v>
      </c>
      <c r="U219" s="57">
        <v>3317</v>
      </c>
    </row>
    <row r="220" spans="1:25" hidden="1" x14ac:dyDescent="0.35">
      <c r="A220" s="73">
        <v>45138</v>
      </c>
      <c r="B220" s="51" t="s">
        <v>39</v>
      </c>
      <c r="C220" s="51" t="s">
        <v>31</v>
      </c>
      <c r="D220">
        <v>1740</v>
      </c>
      <c r="E220" s="44">
        <v>0</v>
      </c>
      <c r="F220" s="44">
        <v>0</v>
      </c>
      <c r="G220" s="21">
        <v>0</v>
      </c>
      <c r="H220" s="44">
        <v>2074.2199999999998</v>
      </c>
      <c r="I220" s="44">
        <v>26.3</v>
      </c>
      <c r="M220">
        <v>0</v>
      </c>
      <c r="O220">
        <v>3840.52</v>
      </c>
      <c r="P220">
        <v>2283.48</v>
      </c>
      <c r="Q220">
        <v>1692.88</v>
      </c>
      <c r="U220" s="57">
        <v>6947</v>
      </c>
    </row>
    <row r="221" spans="1:25" hidden="1" x14ac:dyDescent="0.35">
      <c r="A221" s="73">
        <v>45138</v>
      </c>
      <c r="B221" s="51" t="s">
        <v>40</v>
      </c>
      <c r="C221" s="51" t="s">
        <v>31</v>
      </c>
      <c r="D221">
        <v>5019.88</v>
      </c>
      <c r="E221" s="44">
        <v>0</v>
      </c>
      <c r="F221" s="44">
        <v>0</v>
      </c>
      <c r="G221" s="21">
        <v>0</v>
      </c>
      <c r="H221" s="44">
        <v>2163.2199999999998</v>
      </c>
      <c r="I221" s="44">
        <v>633.78</v>
      </c>
      <c r="M221">
        <v>0</v>
      </c>
      <c r="O221">
        <v>415.11</v>
      </c>
      <c r="P221">
        <v>213.68</v>
      </c>
      <c r="Q221">
        <v>77.87</v>
      </c>
      <c r="U221" s="57">
        <v>96</v>
      </c>
    </row>
    <row r="222" spans="1:25" hidden="1" x14ac:dyDescent="0.35">
      <c r="A222" s="73">
        <v>45138</v>
      </c>
      <c r="B222" s="51" t="s">
        <v>64</v>
      </c>
      <c r="C222" s="51" t="s">
        <v>31</v>
      </c>
      <c r="D222">
        <v>0</v>
      </c>
      <c r="E222" s="44">
        <v>306.36</v>
      </c>
      <c r="F222" s="44">
        <v>0</v>
      </c>
      <c r="G222" s="21">
        <v>0</v>
      </c>
      <c r="H222" s="44">
        <v>100</v>
      </c>
      <c r="I222" s="44">
        <v>5.01</v>
      </c>
      <c r="M222">
        <v>0</v>
      </c>
      <c r="O222">
        <v>411.37</v>
      </c>
      <c r="P222">
        <v>161.9</v>
      </c>
      <c r="Q222">
        <v>1285.1600000000001</v>
      </c>
      <c r="U222" s="57">
        <v>2390</v>
      </c>
    </row>
    <row r="223" spans="1:25" hidden="1" x14ac:dyDescent="0.35">
      <c r="A223" s="73">
        <v>45138</v>
      </c>
      <c r="B223" s="51" t="s">
        <v>49</v>
      </c>
      <c r="C223" s="51" t="s">
        <v>31</v>
      </c>
      <c r="D223">
        <v>0</v>
      </c>
      <c r="E223" s="44">
        <v>0</v>
      </c>
      <c r="F223" s="44">
        <v>0</v>
      </c>
      <c r="G223" s="21">
        <v>0</v>
      </c>
      <c r="H223" s="44">
        <v>0</v>
      </c>
      <c r="I223" s="44">
        <v>109.11</v>
      </c>
      <c r="M223">
        <v>0</v>
      </c>
      <c r="O223">
        <v>109.11</v>
      </c>
      <c r="P223">
        <v>35.75</v>
      </c>
      <c r="Q223">
        <v>628.41999999999996</v>
      </c>
      <c r="U223" s="57">
        <v>151</v>
      </c>
    </row>
    <row r="224" spans="1:25" hidden="1" x14ac:dyDescent="0.35">
      <c r="A224" s="73">
        <v>45138</v>
      </c>
      <c r="B224" s="51" t="s">
        <v>45</v>
      </c>
      <c r="C224" s="51" t="s">
        <v>31</v>
      </c>
      <c r="D224">
        <v>0</v>
      </c>
      <c r="E224" s="44">
        <v>0</v>
      </c>
      <c r="F224" s="44">
        <v>0</v>
      </c>
      <c r="G224" s="21">
        <v>0</v>
      </c>
      <c r="H224" s="44">
        <v>322</v>
      </c>
      <c r="I224" s="44">
        <v>55.03</v>
      </c>
      <c r="M224">
        <v>0</v>
      </c>
      <c r="O224">
        <v>377.03</v>
      </c>
      <c r="P224">
        <v>17.95</v>
      </c>
      <c r="Q224">
        <v>256.67</v>
      </c>
      <c r="U224" s="57">
        <v>330</v>
      </c>
    </row>
    <row r="225" spans="1:25" hidden="1" x14ac:dyDescent="0.35">
      <c r="A225" s="73">
        <v>45138</v>
      </c>
      <c r="B225" s="51" t="s">
        <v>48</v>
      </c>
      <c r="C225" s="51" t="s">
        <v>31</v>
      </c>
      <c r="D225">
        <v>0</v>
      </c>
      <c r="E225" s="44">
        <v>105</v>
      </c>
      <c r="F225" s="44">
        <v>0</v>
      </c>
      <c r="G225" s="21">
        <v>0</v>
      </c>
      <c r="H225" s="44">
        <v>0</v>
      </c>
      <c r="I225" s="44">
        <v>16.010000000000002</v>
      </c>
      <c r="M225">
        <v>0</v>
      </c>
      <c r="O225">
        <v>121.01</v>
      </c>
      <c r="P225">
        <v>13.11</v>
      </c>
      <c r="Q225">
        <v>511.43</v>
      </c>
      <c r="U225" s="57">
        <v>343</v>
      </c>
    </row>
    <row r="226" spans="1:25" hidden="1" x14ac:dyDescent="0.35">
      <c r="A226" s="73">
        <v>45138</v>
      </c>
      <c r="B226" s="51" t="s">
        <v>44</v>
      </c>
      <c r="C226" s="51" t="s">
        <v>31</v>
      </c>
      <c r="D226">
        <v>0</v>
      </c>
      <c r="E226" s="44">
        <v>0</v>
      </c>
      <c r="F226" s="44">
        <v>36</v>
      </c>
      <c r="G226" s="21">
        <v>0</v>
      </c>
      <c r="H226" s="44">
        <v>0</v>
      </c>
      <c r="I226" s="44">
        <v>5.45</v>
      </c>
      <c r="M226">
        <v>0</v>
      </c>
      <c r="O226">
        <v>41.45</v>
      </c>
      <c r="P226">
        <v>13.04</v>
      </c>
      <c r="Q226">
        <v>215.92</v>
      </c>
      <c r="U226" s="57">
        <v>202</v>
      </c>
    </row>
    <row r="227" spans="1:25" hidden="1" x14ac:dyDescent="0.35">
      <c r="A227" s="73">
        <v>45138</v>
      </c>
      <c r="B227" s="51" t="s">
        <v>47</v>
      </c>
      <c r="C227" s="51" t="s">
        <v>31</v>
      </c>
      <c r="D227">
        <v>0</v>
      </c>
      <c r="E227" s="44">
        <v>0</v>
      </c>
      <c r="F227" s="44">
        <v>0</v>
      </c>
      <c r="G227" s="21">
        <v>0</v>
      </c>
      <c r="H227" s="44">
        <v>0</v>
      </c>
      <c r="I227" s="44">
        <v>32.67</v>
      </c>
      <c r="M227">
        <v>0</v>
      </c>
      <c r="O227">
        <v>32.67</v>
      </c>
      <c r="P227">
        <v>3.04</v>
      </c>
      <c r="Q227">
        <v>172.36</v>
      </c>
      <c r="U227" s="57">
        <v>167</v>
      </c>
    </row>
    <row r="228" spans="1:25" hidden="1" x14ac:dyDescent="0.35">
      <c r="A228" s="73">
        <v>45138</v>
      </c>
      <c r="B228" s="51" t="s">
        <v>46</v>
      </c>
      <c r="C228" s="51" t="s">
        <v>31</v>
      </c>
      <c r="D228">
        <v>0</v>
      </c>
      <c r="E228" s="44">
        <v>0</v>
      </c>
      <c r="F228" s="44">
        <v>0</v>
      </c>
      <c r="G228" s="21">
        <v>0</v>
      </c>
      <c r="H228" s="44">
        <v>0</v>
      </c>
      <c r="I228" s="44">
        <v>45.47</v>
      </c>
      <c r="M228">
        <v>0</v>
      </c>
      <c r="O228">
        <v>45.47</v>
      </c>
      <c r="P228">
        <v>30.42</v>
      </c>
      <c r="Q228">
        <v>189.45</v>
      </c>
      <c r="U228" s="57">
        <v>122</v>
      </c>
    </row>
    <row r="229" spans="1:25" hidden="1" x14ac:dyDescent="0.35">
      <c r="A229" s="56">
        <v>45322</v>
      </c>
      <c r="B229" s="60" t="s">
        <v>29</v>
      </c>
      <c r="C229" s="60" t="s">
        <v>25</v>
      </c>
      <c r="D229" s="44">
        <f>27.9325-E229</f>
        <v>27.852500000000003</v>
      </c>
      <c r="E229" s="44">
        <v>0.08</v>
      </c>
      <c r="F229" s="44">
        <v>0</v>
      </c>
      <c r="G229" s="59">
        <v>0</v>
      </c>
      <c r="H229" s="44">
        <v>4.7644200000000003</v>
      </c>
      <c r="J229" s="44"/>
      <c r="K229" s="44"/>
      <c r="L229" s="44"/>
      <c r="M229" s="44">
        <v>1.90584</v>
      </c>
      <c r="N229" s="44"/>
      <c r="O229" s="44"/>
      <c r="P229" s="44"/>
      <c r="Q229" s="44"/>
      <c r="R229">
        <f>SUM(O229:Q229)</f>
        <v>0</v>
      </c>
      <c r="S229" s="44"/>
      <c r="T229" s="44"/>
      <c r="U229" s="61">
        <v>30.256</v>
      </c>
      <c r="Y229" s="62"/>
    </row>
    <row r="230" spans="1:25" hidden="1" x14ac:dyDescent="0.35">
      <c r="A230" s="56">
        <v>45322</v>
      </c>
      <c r="B230" s="60" t="s">
        <v>30</v>
      </c>
      <c r="C230" s="60" t="s">
        <v>25</v>
      </c>
      <c r="D230" s="44">
        <v>0.61019999999999996</v>
      </c>
      <c r="E230" s="44">
        <f>2.64998-D230-F230</f>
        <v>2.0037799999999999</v>
      </c>
      <c r="F230" s="44">
        <v>3.5999999999999997E-2</v>
      </c>
      <c r="G230" s="59">
        <v>0</v>
      </c>
      <c r="H230" s="44">
        <v>1.944</v>
      </c>
      <c r="J230" s="44"/>
      <c r="K230" s="44"/>
      <c r="L230" s="44"/>
      <c r="M230" s="44">
        <v>0.57452999999999999</v>
      </c>
      <c r="N230" s="44"/>
      <c r="O230" s="44"/>
      <c r="P230" s="44"/>
      <c r="Q230" s="44"/>
      <c r="S230" s="44"/>
      <c r="T230" s="44"/>
      <c r="U230" s="61">
        <v>3.6779999999999999</v>
      </c>
    </row>
    <row r="231" spans="1:25" hidden="1" x14ac:dyDescent="0.35">
      <c r="A231" s="56">
        <v>45322</v>
      </c>
      <c r="B231" s="60" t="s">
        <v>34</v>
      </c>
      <c r="C231" s="60" t="s">
        <v>25</v>
      </c>
      <c r="D231" s="44">
        <f>86.869-E231</f>
        <v>76.062510000000003</v>
      </c>
      <c r="E231" s="44">
        <v>10.80649</v>
      </c>
      <c r="F231" s="44">
        <v>0</v>
      </c>
      <c r="G231" s="59">
        <v>2.54</v>
      </c>
      <c r="H231" s="44">
        <v>7.5625</v>
      </c>
      <c r="M231" s="44">
        <v>43.744819999999997</v>
      </c>
      <c r="U231" s="57">
        <v>76.05</v>
      </c>
    </row>
    <row r="232" spans="1:25" hidden="1" x14ac:dyDescent="0.35">
      <c r="A232" s="56">
        <v>45322</v>
      </c>
      <c r="B232" s="60" t="s">
        <v>33</v>
      </c>
      <c r="C232" s="60" t="s">
        <v>25</v>
      </c>
      <c r="D232" s="44">
        <f>59.65986-E232-F232</f>
        <v>52.734400000000001</v>
      </c>
      <c r="E232" s="44">
        <v>6.4917999999999996</v>
      </c>
      <c r="F232" s="44">
        <v>0.43365999999999999</v>
      </c>
      <c r="G232" s="59">
        <v>3.32</v>
      </c>
      <c r="H232" s="44">
        <v>11.82748</v>
      </c>
      <c r="M232" s="44">
        <v>53.341999999999999</v>
      </c>
      <c r="U232" s="57">
        <v>64.102999999999994</v>
      </c>
    </row>
    <row r="233" spans="1:25" hidden="1" x14ac:dyDescent="0.35">
      <c r="A233" s="56">
        <v>45322</v>
      </c>
      <c r="B233" s="60" t="s">
        <v>32</v>
      </c>
      <c r="C233" s="60" t="s">
        <v>25</v>
      </c>
      <c r="D233" s="44">
        <f>63.20591-E233</f>
        <v>57.424950000000003</v>
      </c>
      <c r="E233" s="44">
        <v>5.7809600000000003</v>
      </c>
      <c r="F233" s="44">
        <v>0</v>
      </c>
      <c r="G233" s="59">
        <v>1.62</v>
      </c>
      <c r="H233" s="44">
        <v>20.829000000000001</v>
      </c>
      <c r="M233" s="44">
        <v>35.509</v>
      </c>
      <c r="U233" s="57">
        <v>80.98</v>
      </c>
    </row>
  </sheetData>
  <autoFilter ref="A1:Y233" xr:uid="{00000000-0001-0000-0100-000000000000}">
    <filterColumn colId="1">
      <filters>
        <filter val="All India"/>
      </filters>
    </filterColumn>
    <filterColumn colId="2">
      <filters>
        <filter val="GW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Kumar {राजेश कुमार}</dc:creator>
  <cp:lastModifiedBy>Rajesh Kumar {राजेश कुमार}</cp:lastModifiedBy>
  <dcterms:created xsi:type="dcterms:W3CDTF">2024-03-25T16:20:06Z</dcterms:created>
  <dcterms:modified xsi:type="dcterms:W3CDTF">2024-03-25T16:20:43Z</dcterms:modified>
</cp:coreProperties>
</file>