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wnloads\3.Excel_course_Codebasics\"/>
    </mc:Choice>
  </mc:AlternateContent>
  <xr:revisionPtr revIDLastSave="0" documentId="13_ncr:1_{5F9554A9-1549-4BA8-81E2-392B053196FB}" xr6:coauthVersionLast="47" xr6:coauthVersionMax="47" xr10:uidLastSave="{00000000-0000-0000-0000-000000000000}"/>
  <bookViews>
    <workbookView xWindow="10140" yWindow="0" windowWidth="10455" windowHeight="10905" firstSheet="6" activeTab="7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Food_items" sheetId="6" r:id="rId6"/>
    <sheet name="Marvel_Financials" sheetId="7" r:id="rId7"/>
    <sheet name="Statistics" sheetId="9" r:id="rId8"/>
  </sheets>
  <definedNames>
    <definedName name="Judandamean">Statistics!$B$12</definedName>
    <definedName name="krancemean">Statistics!$H$12</definedName>
    <definedName name="krancemean4">Statistics!$H$12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9" l="1"/>
  <c r="D57" i="1"/>
  <c r="D56" i="1"/>
  <c r="J16" i="9"/>
  <c r="J15" i="9"/>
  <c r="J14" i="9"/>
  <c r="J13" i="9"/>
  <c r="J4" i="9"/>
  <c r="J5" i="9"/>
  <c r="J6" i="9"/>
  <c r="J7" i="9"/>
  <c r="J8" i="9"/>
  <c r="J9" i="9"/>
  <c r="J10" i="9"/>
  <c r="J3" i="9"/>
  <c r="I4" i="9"/>
  <c r="I5" i="9"/>
  <c r="I6" i="9"/>
  <c r="I7" i="9"/>
  <c r="I8" i="9"/>
  <c r="I9" i="9"/>
  <c r="I10" i="9"/>
  <c r="I3" i="9"/>
  <c r="D16" i="9"/>
  <c r="D15" i="9"/>
  <c r="D14" i="9"/>
  <c r="D13" i="9"/>
  <c r="D4" i="9"/>
  <c r="D5" i="9"/>
  <c r="D6" i="9"/>
  <c r="D7" i="9"/>
  <c r="D8" i="9"/>
  <c r="D9" i="9"/>
  <c r="D10" i="9"/>
  <c r="D3" i="9"/>
  <c r="C4" i="9"/>
  <c r="C5" i="9"/>
  <c r="C6" i="9"/>
  <c r="C7" i="9"/>
  <c r="C8" i="9"/>
  <c r="C9" i="9"/>
  <c r="C10" i="9"/>
  <c r="C3" i="9"/>
  <c r="B12" i="9"/>
  <c r="H12" i="9"/>
  <c r="D55" i="1"/>
  <c r="D54" i="1"/>
  <c r="D53" i="1"/>
  <c r="D2" i="7"/>
  <c r="E2" i="7" s="1"/>
  <c r="D3" i="7"/>
  <c r="E3" i="7" s="1"/>
  <c r="C5" i="7"/>
  <c r="B3" i="7"/>
  <c r="C45" i="1"/>
  <c r="C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D7" i="6"/>
  <c r="E6" i="6"/>
  <c r="E5" i="6"/>
  <c r="E4" i="6"/>
  <c r="L7" i="1" l="1"/>
  <c r="N7" i="1" s="1"/>
  <c r="L13" i="1"/>
  <c r="P13" i="1" s="1"/>
  <c r="M2" i="1"/>
  <c r="O2" i="1" s="1"/>
  <c r="M37" i="1"/>
  <c r="O37" i="1" s="1"/>
  <c r="M33" i="1"/>
  <c r="O33" i="1" s="1"/>
  <c r="M29" i="1"/>
  <c r="O29" i="1" s="1"/>
  <c r="M25" i="1"/>
  <c r="O25" i="1" s="1"/>
  <c r="M21" i="1"/>
  <c r="O21" i="1" s="1"/>
  <c r="M17" i="1"/>
  <c r="O17" i="1" s="1"/>
  <c r="M9" i="1"/>
  <c r="O9" i="1" s="1"/>
  <c r="M5" i="1"/>
  <c r="O5" i="1" s="1"/>
  <c r="M40" i="1"/>
  <c r="O40" i="1" s="1"/>
  <c r="M36" i="1"/>
  <c r="O36" i="1" s="1"/>
  <c r="M32" i="1"/>
  <c r="O32" i="1" s="1"/>
  <c r="M28" i="1"/>
  <c r="O28" i="1" s="1"/>
  <c r="M24" i="1"/>
  <c r="O24" i="1" s="1"/>
  <c r="M20" i="1"/>
  <c r="O20" i="1" s="1"/>
  <c r="M16" i="1"/>
  <c r="O16" i="1" s="1"/>
  <c r="M12" i="1"/>
  <c r="O12" i="1" s="1"/>
  <c r="M8" i="1"/>
  <c r="O8" i="1" s="1"/>
  <c r="M4" i="1"/>
  <c r="O4" i="1" s="1"/>
  <c r="L39" i="1"/>
  <c r="N39" i="1" s="1"/>
  <c r="L35" i="1"/>
  <c r="N35" i="1" s="1"/>
  <c r="L31" i="1"/>
  <c r="N31" i="1" s="1"/>
  <c r="L27" i="1"/>
  <c r="N27" i="1" s="1"/>
  <c r="L23" i="1"/>
  <c r="N23" i="1" s="1"/>
  <c r="L19" i="1"/>
  <c r="N19" i="1" s="1"/>
  <c r="L15" i="1"/>
  <c r="N15" i="1" s="1"/>
  <c r="L11" i="1"/>
  <c r="N11" i="1" s="1"/>
  <c r="L3" i="1"/>
  <c r="N3" i="1" s="1"/>
  <c r="L33" i="1"/>
  <c r="L17" i="1"/>
  <c r="M13" i="1"/>
  <c r="O13" i="1" s="1"/>
  <c r="L38" i="1"/>
  <c r="N38" i="1" s="1"/>
  <c r="L34" i="1"/>
  <c r="N34" i="1" s="1"/>
  <c r="L30" i="1"/>
  <c r="N30" i="1" s="1"/>
  <c r="L26" i="1"/>
  <c r="N26" i="1" s="1"/>
  <c r="L22" i="1"/>
  <c r="N22" i="1" s="1"/>
  <c r="L18" i="1"/>
  <c r="N18" i="1" s="1"/>
  <c r="L14" i="1"/>
  <c r="N14" i="1" s="1"/>
  <c r="L10" i="1"/>
  <c r="N10" i="1" s="1"/>
  <c r="L6" i="1"/>
  <c r="N6" i="1" s="1"/>
  <c r="M39" i="1"/>
  <c r="O39" i="1" s="1"/>
  <c r="M35" i="1"/>
  <c r="O35" i="1" s="1"/>
  <c r="M31" i="1"/>
  <c r="O31" i="1" s="1"/>
  <c r="M27" i="1"/>
  <c r="O27" i="1" s="1"/>
  <c r="M23" i="1"/>
  <c r="O23" i="1" s="1"/>
  <c r="M19" i="1"/>
  <c r="O19" i="1" s="1"/>
  <c r="M15" i="1"/>
  <c r="O15" i="1" s="1"/>
  <c r="M11" i="1"/>
  <c r="O11" i="1" s="1"/>
  <c r="M7" i="1"/>
  <c r="O7" i="1" s="1"/>
  <c r="M3" i="1"/>
  <c r="O3" i="1" s="1"/>
  <c r="L29" i="1"/>
  <c r="L25" i="1"/>
  <c r="L9" i="1"/>
  <c r="M38" i="1"/>
  <c r="O38" i="1" s="1"/>
  <c r="M34" i="1"/>
  <c r="O34" i="1" s="1"/>
  <c r="M30" i="1"/>
  <c r="O30" i="1" s="1"/>
  <c r="M26" i="1"/>
  <c r="O26" i="1" s="1"/>
  <c r="M22" i="1"/>
  <c r="O22" i="1" s="1"/>
  <c r="M18" i="1"/>
  <c r="O18" i="1" s="1"/>
  <c r="M14" i="1"/>
  <c r="O14" i="1" s="1"/>
  <c r="M10" i="1"/>
  <c r="O10" i="1" s="1"/>
  <c r="M6" i="1"/>
  <c r="O6" i="1" s="1"/>
  <c r="L37" i="1"/>
  <c r="L21" i="1"/>
  <c r="L5" i="1"/>
  <c r="L40" i="1"/>
  <c r="L36" i="1"/>
  <c r="L32" i="1"/>
  <c r="L28" i="1"/>
  <c r="L24" i="1"/>
  <c r="L20" i="1"/>
  <c r="L16" i="1"/>
  <c r="L12" i="1"/>
  <c r="L8" i="1"/>
  <c r="L4" i="1"/>
  <c r="L2" i="1"/>
  <c r="N2" i="1" s="1"/>
  <c r="P7" i="1" l="1"/>
  <c r="Q2" i="1"/>
  <c r="Q31" i="1"/>
  <c r="Q7" i="1"/>
  <c r="Q18" i="1"/>
  <c r="Q5" i="1"/>
  <c r="C46" i="1"/>
  <c r="Q12" i="1"/>
  <c r="Q21" i="1"/>
  <c r="N13" i="1"/>
  <c r="Q15" i="1"/>
  <c r="Q28" i="1"/>
  <c r="Q37" i="1"/>
  <c r="P27" i="1"/>
  <c r="Q19" i="1"/>
  <c r="Q35" i="1"/>
  <c r="Q30" i="1"/>
  <c r="Q16" i="1"/>
  <c r="Q32" i="1"/>
  <c r="Q14" i="1"/>
  <c r="Q9" i="1"/>
  <c r="Q25" i="1"/>
  <c r="Q6" i="1"/>
  <c r="P23" i="1"/>
  <c r="P3" i="1"/>
  <c r="P39" i="1"/>
  <c r="Q3" i="1"/>
  <c r="Q23" i="1"/>
  <c r="Q39" i="1"/>
  <c r="Q4" i="1"/>
  <c r="Q20" i="1"/>
  <c r="Q36" i="1"/>
  <c r="Q26" i="1"/>
  <c r="Q13" i="1"/>
  <c r="Q29" i="1"/>
  <c r="Q22" i="1"/>
  <c r="P11" i="1"/>
  <c r="P2" i="1"/>
  <c r="Q11" i="1"/>
  <c r="Q27" i="1"/>
  <c r="Q10" i="1"/>
  <c r="Q8" i="1"/>
  <c r="Q24" i="1"/>
  <c r="Q40" i="1"/>
  <c r="Q38" i="1"/>
  <c r="Q17" i="1"/>
  <c r="Q33" i="1"/>
  <c r="Q34" i="1"/>
  <c r="N8" i="1"/>
  <c r="P8" i="1"/>
  <c r="N24" i="1"/>
  <c r="P24" i="1"/>
  <c r="N40" i="1"/>
  <c r="P40" i="1"/>
  <c r="N17" i="1"/>
  <c r="P17" i="1"/>
  <c r="P14" i="1"/>
  <c r="P30" i="1"/>
  <c r="N12" i="1"/>
  <c r="P12" i="1"/>
  <c r="N28" i="1"/>
  <c r="P28" i="1"/>
  <c r="N5" i="1"/>
  <c r="P5" i="1"/>
  <c r="N9" i="1"/>
  <c r="P9" i="1"/>
  <c r="N33" i="1"/>
  <c r="P33" i="1"/>
  <c r="O43" i="1"/>
  <c r="P18" i="1"/>
  <c r="P34" i="1"/>
  <c r="N16" i="1"/>
  <c r="P16" i="1"/>
  <c r="N32" i="1"/>
  <c r="P32" i="1"/>
  <c r="N21" i="1"/>
  <c r="P21" i="1"/>
  <c r="N25" i="1"/>
  <c r="P25" i="1"/>
  <c r="P15" i="1"/>
  <c r="P31" i="1"/>
  <c r="P6" i="1"/>
  <c r="P22" i="1"/>
  <c r="P38" i="1"/>
  <c r="N4" i="1"/>
  <c r="P4" i="1"/>
  <c r="N20" i="1"/>
  <c r="P20" i="1"/>
  <c r="N36" i="1"/>
  <c r="P36" i="1"/>
  <c r="N37" i="1"/>
  <c r="P37" i="1"/>
  <c r="N29" i="1"/>
  <c r="P29" i="1"/>
  <c r="P19" i="1"/>
  <c r="P35" i="1"/>
  <c r="P10" i="1"/>
  <c r="P26" i="1"/>
  <c r="N43" i="1" l="1"/>
  <c r="N1048576" i="1" s="1"/>
  <c r="B2" i="7"/>
  <c r="C48" i="1"/>
  <c r="C47" i="1"/>
  <c r="Q43" i="1"/>
  <c r="P43" i="1"/>
  <c r="B6" i="7" l="1"/>
  <c r="D6" i="7" s="1"/>
  <c r="E6" i="7" s="1"/>
  <c r="B4" i="7"/>
  <c r="B5" i="7" l="1"/>
  <c r="D5" i="7" s="1"/>
  <c r="E5" i="7" s="1"/>
  <c r="D4" i="7"/>
  <c r="E4" i="7" s="1"/>
</calcChain>
</file>

<file path=xl/sharedStrings.xml><?xml version="1.0" encoding="utf-8"?>
<sst xmlns="http://schemas.openxmlformats.org/spreadsheetml/2006/main" count="378" uniqueCount="230">
  <si>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</si>
  <si>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</si>
  <si>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</si>
  <si>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</si>
  <si>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</si>
  <si>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</si>
  <si>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</si>
  <si>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</si>
  <si>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</si>
  <si>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</si>
  <si>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</si>
  <si>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</si>
  <si>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</si>
  <si>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</si>
  <si>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</si>
  <si>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</si>
  <si>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</si>
  <si>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</si>
  <si>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</si>
  <si>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</si>
  <si>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</si>
  <si>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</si>
  <si>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</si>
  <si>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</si>
  <si>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</si>
  <si>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</si>
  <si>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</si>
  <si>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</si>
  <si>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</si>
  <si>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</si>
  <si>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</si>
  <si>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</si>
  <si>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</si>
  <si>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</si>
  <si>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</si>
  <si>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</si>
  <si>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</si>
  <si>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</si>
  <si>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</si>
  <si>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</si>
  <si>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</si>
  <si>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</si>
  <si>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</si>
  <si>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</si>
  <si>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</si>
  <si>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</si>
  <si>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</si>
  <si>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</si>
  <si>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</si>
  <si>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</si>
  <si>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</si>
  <si>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</si>
  <si>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</si>
  <si>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</si>
  <si>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</si>
  <si>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</si>
  <si>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</si>
  <si>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</si>
  <si>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</si>
  <si>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</si>
  <si>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</si>
  <si>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</si>
  <si>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</si>
  <si>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</si>
  <si>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</si>
  <si>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</si>
  <si>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</si>
  <si>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</si>
  <si>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</si>
  <si>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</si>
  <si>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</si>
  <si>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</si>
  <si>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</si>
  <si>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</si>
  <si>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</si>
  <si>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</si>
  <si>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</si>
  <si>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</si>
  <si>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</si>
  <si>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</si>
  <si>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</si>
  <si>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</si>
  <si>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</si>
  <si>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</si>
  <si>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</si>
  <si>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</si>
  <si>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</si>
  <si>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</si>
  <si>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</si>
  <si>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</si>
  <si>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</si>
  <si>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</si>
  <si>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</si>
  <si>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</si>
  <si>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</si>
  <si>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</si>
  <si>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</si>
  <si>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</si>
  <si>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</si>
  <si>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</si>
  <si>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</si>
  <si>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</si>
  <si>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</si>
  <si>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</si>
  <si>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</si>
  <si>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</si>
  <si>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</si>
  <si>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</si>
  <si>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</si>
  <si>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</si>
  <si>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</si>
  <si>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</si>
  <si>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</si>
  <si>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</si>
  <si>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Not_Available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</si>
  <si>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</si>
  <si>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</si>
  <si>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</si>
  <si>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</si>
  <si>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</si>
  <si>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</si>
  <si>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</si>
  <si>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</si>
  <si>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</si>
  <si>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</si>
  <si>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</si>
  <si>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</si>
  <si>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</si>
  <si>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</si>
  <si>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</si>
  <si>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</si>
  <si>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</si>
  <si>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</si>
  <si>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</si>
  <si>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</si>
  <si>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</si>
  <si>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</si>
  <si>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</si>
  <si>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</si>
  <si>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</si>
  <si>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</si>
  <si>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</si>
  <si>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</si>
  <si>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</si>
  <si>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</si>
  <si>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</si>
  <si>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</si>
  <si>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</si>
  <si>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</si>
  <si>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</si>
  <si>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</si>
  <si>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</si>
  <si>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</si>
  <si>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</si>
  <si>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</si>
  <si>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</si>
  <si>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</si>
  <si>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</si>
  <si>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Revenue</t>
  </si>
  <si>
    <t>item</t>
  </si>
  <si>
    <t>price</t>
  </si>
  <si>
    <t>dosa</t>
  </si>
  <si>
    <t>burger</t>
  </si>
  <si>
    <t>dumplings</t>
  </si>
  <si>
    <t>samaosa</t>
  </si>
  <si>
    <t>Index_function</t>
  </si>
  <si>
    <t>Match_function</t>
  </si>
  <si>
    <t>Headers</t>
  </si>
  <si>
    <t>Budget(Mln)</t>
  </si>
  <si>
    <t>Revenue(Mln)</t>
  </si>
  <si>
    <t>Budget INR</t>
  </si>
  <si>
    <t>Revenue INR</t>
  </si>
  <si>
    <t>Budget USD</t>
  </si>
  <si>
    <t>Revenue USD</t>
  </si>
  <si>
    <t>Total Budget_INR</t>
  </si>
  <si>
    <t>Total_revenue_INR</t>
  </si>
  <si>
    <t>Total movies</t>
  </si>
  <si>
    <t>Total Bollywood movies</t>
  </si>
  <si>
    <t>Total Bollywood Revenue INR</t>
  </si>
  <si>
    <t>Average Bollywood Revene INR</t>
  </si>
  <si>
    <t>% Revenue from bollywood</t>
  </si>
  <si>
    <t>total_budget_USD</t>
  </si>
  <si>
    <t>total Revenue USD</t>
  </si>
  <si>
    <t>Questions</t>
  </si>
  <si>
    <t>answers</t>
  </si>
  <si>
    <t>Key Metrics</t>
  </si>
  <si>
    <t>Marvel consolidated P&amp;L</t>
  </si>
  <si>
    <t>Profit/Loss</t>
  </si>
  <si>
    <t>Profit/Loss%</t>
  </si>
  <si>
    <t>Market Share%</t>
  </si>
  <si>
    <t>Target</t>
  </si>
  <si>
    <t>Target_Actuals</t>
  </si>
  <si>
    <t>Target_Actuals%</t>
  </si>
  <si>
    <t>mean</t>
  </si>
  <si>
    <t>median</t>
  </si>
  <si>
    <t>mode</t>
  </si>
  <si>
    <t>Statastics</t>
  </si>
  <si>
    <t xml:space="preserve">Judanda Income Levels (In thousands $) </t>
  </si>
  <si>
    <t xml:space="preserve">yearly income </t>
  </si>
  <si>
    <t>income-mean</t>
  </si>
  <si>
    <t>nishith</t>
  </si>
  <si>
    <t>veeral</t>
  </si>
  <si>
    <t>angelina</t>
  </si>
  <si>
    <t>salma</t>
  </si>
  <si>
    <t>nitin</t>
  </si>
  <si>
    <t>dhaval</t>
  </si>
  <si>
    <t>venkat</t>
  </si>
  <si>
    <t>priya</t>
  </si>
  <si>
    <t>Krance Incomw Levels (In thousands $)</t>
  </si>
  <si>
    <t>mohan</t>
  </si>
  <si>
    <t>rita</t>
  </si>
  <si>
    <t>bhavin</t>
  </si>
  <si>
    <t>michael</t>
  </si>
  <si>
    <t>abdul</t>
  </si>
  <si>
    <t>kiran</t>
  </si>
  <si>
    <t>ahmed</t>
  </si>
  <si>
    <t>gayatri</t>
  </si>
  <si>
    <t>Square the income mean</t>
  </si>
  <si>
    <t>Total</t>
  </si>
  <si>
    <t>count</t>
  </si>
  <si>
    <t>Variance</t>
  </si>
  <si>
    <t>standard Deviation</t>
  </si>
  <si>
    <t>Square of income-mean</t>
  </si>
  <si>
    <t>variance</t>
  </si>
  <si>
    <t>std. dev</t>
  </si>
  <si>
    <t>std.Dev</t>
  </si>
  <si>
    <t>Square Ft</t>
  </si>
  <si>
    <t>Price (INR Cr)</t>
  </si>
  <si>
    <t>Property Price in Rajajinager, Banglore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</si>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</sst>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310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9" fontId="0" fillId="4" borderId="0" xfId="1" applyFont="1" applyFill="1"/>
    <xf numFmtId="9" fontId="0" fillId="0" borderId="0" xfId="1" applyFont="1"/>
    <xf numFmtId="165" fontId="0" fillId="0" borderId="0" xfId="1" applyNumberFormat="1" applyFont="1"/>
    <xf numFmtId="44" fontId="0" fillId="0" borderId="0" xfId="2" applyFont="1"/>
    <xf numFmtId="9" fontId="0" fillId="0" borderId="0" xfId="0" applyNumberFormat="1"/>
    <xf numFmtId="44" fontId="0" fillId="0" borderId="0" xfId="0" applyNumberFormat="1"/>
    <xf numFmtId="2" fontId="0" fillId="4" borderId="0" xfId="0" applyNumberFormat="1" applyFill="1"/>
    <xf numFmtId="1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6" borderId="0" xfId="0" applyFill="1"/>
    <xf numFmtId="0" fontId="0" fillId="8" borderId="0" xfId="0" applyFill="1"/>
    <xf numFmtId="164" fontId="0" fillId="8" borderId="0" xfId="0" applyNumberFormat="1" applyFill="1"/>
    <xf numFmtId="0" fontId="0" fillId="8" borderId="0" xfId="0" applyFill="1" applyAlignment="1"/>
    <xf numFmtId="0" fontId="0" fillId="9" borderId="0" xfId="0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9">
    <dxf>
      <numFmt numFmtId="34" formatCode="_(&quot;$&quot;* #,##0.00_);_(&quot;$&quot;* \(#,##0.00\);_(&quot;$&quot;* &quot;-&quot;??_);_(@_)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0" totalsRowShown="0" headerRowDxfId="17">
  <autoFilter ref="A1:Q40" xr:uid="{6A7FE39D-5614-4A7F-89B7-C167ABC0A251}"/>
  <tableColumns count="17">
    <tableColumn id="1" xr3:uid="{5E453F0D-B27C-433C-BF11-BA3FE1A6822E}" name="movie_id"/>
    <tableColumn id="10" xr3:uid="{2C6A377F-A75A-413F-881A-1A196F285434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1" xr3:uid="{55724B0F-3217-4ACA-90F1-37EBAA6FA853}" name="Budget" dataDxfId="16">
      <calculatedColumnFormula>IFERROR(VLOOKUP(Movies[[#This Row],[movie_id]:[movie_id]],Financials[],2,0),"Not_Available")</calculatedColumnFormula>
    </tableColumn>
    <tableColumn id="13" xr3:uid="{F82DC8F9-DBC9-4A5C-B3FA-F454B5E43202}" name="Revenue" dataDxfId="15">
      <calculatedColumnFormula>IFERROR(VLOOKUP(Movies[[#This Row],[movie_id]:[movie_id]],Financials[],3,0),"Not_Available")</calculatedColumnFormula>
    </tableColumn>
    <tableColumn id="14" xr3:uid="{C6F82AFD-5181-4529-B21A-55C6DAF34CFD}" name="unit" dataDxfId="14">
      <calculatedColumnFormula>IFERROR(VLOOKUP(Movies[[#This Row],[movie_id]:[movie_id]],Financials[],4,0),"Not_Available")</calculatedColumnFormula>
    </tableColumn>
    <tableColumn id="15" xr3:uid="{A84CC42B-5C04-4659-96BB-DC7B2A6E0DBB}" name="currency" dataDxfId="13">
      <calculatedColumnFormula>IFERROR(VLOOKUP(Movies[[#This Row],[movie_id]:[movie_id]],Financials[],5,0),"Not_Available")</calculatedColumnFormula>
    </tableColumn>
    <tableColumn id="2" xr3:uid="{4D5A9882-D0E6-44A9-B27E-943710A97E24}" name="Budget(Mln)" dataDxfId="12">
      <calculatedColumnFormula>IF(Movies[[#This Row],[unit]]="Billions",Movies[[#This Row],[Budget]]*1000,Movies[[#This Row],[Budget]])</calculatedColumnFormula>
    </tableColumn>
    <tableColumn id="8" xr3:uid="{C586477A-03FA-4C16-9714-32CA6C74F08B}" name="Revenue(Mln)" dataDxfId="11">
      <calculatedColumnFormula>IF(Movies[[#This Row],[unit]]="Billions",Movies[[#This Row],[Revenue]]*1000,Movies[[#This Row],[Revenue]])</calculatedColumnFormula>
    </tableColumn>
    <tableColumn id="9" xr3:uid="{8815AFBD-C763-4E73-9E44-4A1FDF9F143E}" name="Budget INR" dataDxfId="10">
      <calculatedColumnFormula>IF(Movies[[#This Row],[currency]]="usd",Movies[[#This Row],[Budget(Mln)]]*80,Movies[[#This Row],[Budget(Mln)]])</calculatedColumnFormula>
    </tableColumn>
    <tableColumn id="12" xr3:uid="{B6C842BB-D211-424E-97F3-24F5D94C96D3}" name="Revenue INR" dataDxfId="9">
      <calculatedColumnFormula>IF(Movies[[#This Row],[currency]]="USD",Movies[[#This Row],[Revenue(Mln)]]*80,Movies[[#This Row],[Revenue(Mln)]])</calculatedColumnFormula>
    </tableColumn>
    <tableColumn id="16" xr3:uid="{61CC4AB5-02CC-487C-A7C0-C8EF3F687E01}" name="Budget USD" dataDxfId="8">
      <calculatedColumnFormula>IF(Movies[[#This Row],[currency]]="INR",Movies[[#This Row],[Budget(Mln)]]/80,Movies[[#This Row],[Budget(Mln)]])</calculatedColumnFormula>
    </tableColumn>
    <tableColumn id="17" xr3:uid="{34245AAE-AD59-419C-9372-2109CDE8966B}" name="Revenue USD" dataDxfId="7">
      <calculatedColumnFormula>IF(Movies[[#This Row],[currency]]="INR",Movies[[#This Row],[Revenue(Mln)]]/80,Movies[[#This Row],[Revenue(Mln)]])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1AF180-F8E4-4E65-8031-138AC1610845}" name="foods" displayName="foods" ref="A1:B5" totalsRowShown="0">
  <autoFilter ref="A1:B5" xr:uid="{B31AF180-F8E4-4E65-8031-138AC1610845}"/>
  <tableColumns count="2">
    <tableColumn id="1" xr3:uid="{B2B9059C-7A02-45CD-B6F8-AC238391021B}" name="item"/>
    <tableColumn id="2" xr3:uid="{E5CCCA73-3328-451A-8256-50E515E5968A}" name="pr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6C5620-2683-467B-9EBA-E2FF423AD466}" name="Table7" displayName="Table7" ref="D3:E6" totalsRowShown="0">
  <autoFilter ref="D3:E6" xr:uid="{8C6C5620-2683-467B-9EBA-E2FF423AD466}"/>
  <tableColumns count="2">
    <tableColumn id="1" xr3:uid="{53929704-EC44-47C5-9DF2-D1B0B64BE51E}" name="Questions"/>
    <tableColumn id="2" xr3:uid="{6316E8C6-49B6-42F8-8FD4-C5B4E5848A47}" name="answer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32E17D-4D0E-4B52-AA2A-03581D66901C}" name="Table8" displayName="Table8" ref="A1:E6" totalsRowShown="0">
  <autoFilter ref="A1:E6" xr:uid="{8B32E17D-4D0E-4B52-AA2A-03581D66901C}"/>
  <tableColumns count="5">
    <tableColumn id="1" xr3:uid="{2F4EBBAC-0D4B-42F6-AB3F-A0DF4FDE0B28}" name="Key Metrics"/>
    <tableColumn id="2" xr3:uid="{0C72FF84-36DA-40C6-881B-E0AEE0AD2D97}" name="Marvel consolidated P&amp;L" dataDxfId="1">
      <calculatedColumnFormula>SUMIF(Movies[studio],"Marvel Studios",Movies[Revenue USD])</calculatedColumnFormula>
    </tableColumn>
    <tableColumn id="3" xr3:uid="{9D343239-6E8D-4B99-B603-A5E9B2C90283}" name="Target"/>
    <tableColumn id="4" xr3:uid="{FC3CA1AD-EA77-46C8-A7BE-ECE58732C47E}" name="Target_Actuals" dataDxfId="0">
      <calculatedColumnFormula>Table8[[#This Row],[Marvel consolidated P&amp;L]]-Table8[[#This Row],[Target]]</calculatedColumnFormula>
    </tableColumn>
    <tableColumn id="5" xr3:uid="{F19389CC-93B0-4AFA-89BD-A2AAEAB4754A}" name="Target_Actuals%" dataCellStyle="Percent">
      <calculatedColumnFormula>Table8[[#This Row],[Target_Actuals]]/Table8[[#This Row],[Marvel consolidated P&amp;L]]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opLeftCell="A44" zoomScaleNormal="100" workbookViewId="0">
      <selection activeCell="D58" sqref="D58"/>
    </sheetView>
  </sheetViews>
  <sheetFormatPr defaultRowHeight="15" x14ac:dyDescent="0.25"/>
  <cols>
    <col min="1" max="1" width="11.5703125" bestFit="1" customWidth="1"/>
    <col min="2" max="2" width="44.85546875" customWidth="1"/>
    <col min="3" max="3" width="10.5703125" bestFit="1" customWidth="1"/>
    <col min="4" max="4" width="14.7109375" customWidth="1"/>
    <col min="5" max="5" width="12.42578125" customWidth="1"/>
    <col min="6" max="6" width="26.42578125" bestFit="1" customWidth="1"/>
    <col min="7" max="7" width="14" bestFit="1" customWidth="1"/>
    <col min="8" max="8" width="9.5703125" bestFit="1" customWidth="1"/>
    <col min="9" max="9" width="13.7109375" bestFit="1" customWidth="1"/>
    <col min="11" max="11" width="10.85546875" bestFit="1" customWidth="1"/>
    <col min="12" max="12" width="14.5703125" bestFit="1" customWidth="1"/>
    <col min="13" max="13" width="16.28515625" bestFit="1" customWidth="1"/>
    <col min="14" max="14" width="16.85546875" customWidth="1"/>
    <col min="15" max="15" width="18.28515625" customWidth="1"/>
    <col min="16" max="16" width="19.85546875" customWidth="1"/>
    <col min="17" max="17" width="18.7109375" customWidth="1"/>
  </cols>
  <sheetData>
    <row r="1" spans="1:17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29</v>
      </c>
      <c r="K1" s="1" t="s">
        <v>30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</row>
    <row r="2" spans="1:17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IFERROR(VLOOKUP(Movies[[#This Row],[movie_id]:[movie_id]],Financials[],2,0),"Not_Available")</f>
        <v>1</v>
      </c>
      <c r="I2">
        <f>IFERROR(VLOOKUP(Movies[[#This Row],[movie_id]:[movie_id]],Financials[],3,0),"Not_Available")</f>
        <v>12.5</v>
      </c>
      <c r="J2" t="str">
        <f>IFERROR(VLOOKUP(Movies[[#This Row],[movie_id]:[movie_id]],Financials[],4,0),"Not_Available")</f>
        <v>Billions</v>
      </c>
      <c r="K2" t="str">
        <f>IFERROR(VLOOKUP(Movies[[#This Row],[movie_id]:[movie_id]],Financials[],5,0),"Not_Available")</f>
        <v>INR</v>
      </c>
      <c r="L2">
        <f>IF(Movies[[#This Row],[unit]]="Billions",Movies[[#This Row],[Budget]]*1000,Movies[[#This Row],[Budget]])</f>
        <v>1000</v>
      </c>
      <c r="M2">
        <f>IF(Movies[[#This Row],[unit]]="Billions",Movies[[#This Row],[Revenue]]*1000,Movies[[#This Row],[Revenue]])</f>
        <v>12500</v>
      </c>
      <c r="N2">
        <f>IF(Movies[[#This Row],[currency]]="usd",Movies[[#This Row],[Budget(Mln)]]*80,Movies[[#This Row],[Budget(Mln)]])</f>
        <v>1000</v>
      </c>
      <c r="O2">
        <f>IF(Movies[[#This Row],[currency]]="USD",Movies[[#This Row],[Revenue(Mln)]]*80,Movies[[#This Row],[Revenue(Mln)]])</f>
        <v>12500</v>
      </c>
      <c r="P2">
        <f>IF(Movies[[#This Row],[currency]]="INR",Movies[[#This Row],[Budget(Mln)]]/80,Movies[[#This Row],[Budget(Mln)]])</f>
        <v>12.5</v>
      </c>
      <c r="Q2">
        <f>IF(Movies[[#This Row],[currency]]="INR",Movies[[#This Row],[Revenue(Mln)]]/80,Movies[[#This Row],[Revenue(Mln)]])</f>
        <v>156.25</v>
      </c>
    </row>
    <row r="3" spans="1:17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IFERROR(VLOOKUP(Movies[[#This Row],[movie_id]:[movie_id]],Financials[],2,0),"Not_Available")</f>
        <v>200</v>
      </c>
      <c r="I3">
        <f>IFERROR(VLOOKUP(Movies[[#This Row],[movie_id]:[movie_id]],Financials[],3,0),"Not_Available")</f>
        <v>954.8</v>
      </c>
      <c r="J3" t="str">
        <f>IFERROR(VLOOKUP(Movies[[#This Row],[movie_id]:[movie_id]],Financials[],4,0),"Not_Available")</f>
        <v>Millions</v>
      </c>
      <c r="K3" t="str">
        <f>IFERROR(VLOOKUP(Movies[[#This Row],[movie_id]:[movie_id]],Financials[],5,0),"Not_Available")</f>
        <v>USD</v>
      </c>
      <c r="L3">
        <f>IF(Movies[[#This Row],[unit]]="Billions",Movies[[#This Row],[Budget]]*1000,Movies[[#This Row],[Budget]])</f>
        <v>200</v>
      </c>
      <c r="M3">
        <f>IF(Movies[[#This Row],[unit]]="Billions",Movies[[#This Row],[Revenue]]*1000,Movies[[#This Row],[Revenue]])</f>
        <v>954.8</v>
      </c>
      <c r="N3">
        <f>IF(Movies[[#This Row],[currency]]="usd",Movies[[#This Row],[Budget(Mln)]]*80,Movies[[#This Row],[Budget(Mln)]])</f>
        <v>16000</v>
      </c>
      <c r="O3">
        <f>IF(Movies[[#This Row],[currency]]="USD",Movies[[#This Row],[Revenue(Mln)]]*80,Movies[[#This Row],[Revenue(Mln)]])</f>
        <v>76384</v>
      </c>
      <c r="P3">
        <f>IF(Movies[[#This Row],[currency]]="INR",Movies[[#This Row],[Budget(Mln)]]/80,Movies[[#This Row],[Budget(Mln)]])</f>
        <v>200</v>
      </c>
      <c r="Q3">
        <f>IF(Movies[[#This Row],[currency]]="INR",Movies[[#This Row],[Revenue(Mln)]]/80,Movies[[#This Row],[Revenue(Mln)]])</f>
        <v>954.8</v>
      </c>
    </row>
    <row r="4" spans="1:17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IFERROR(VLOOKUP(Movies[[#This Row],[movie_id]:[movie_id]],Financials[],2,0),"Not_Available")</f>
        <v>165</v>
      </c>
      <c r="I4">
        <f>IFERROR(VLOOKUP(Movies[[#This Row],[movie_id]:[movie_id]],Financials[],3,0),"Not_Available")</f>
        <v>644.79999999999995</v>
      </c>
      <c r="J4" t="str">
        <f>IFERROR(VLOOKUP(Movies[[#This Row],[movie_id]:[movie_id]],Financials[],4,0),"Not_Available")</f>
        <v>Millions</v>
      </c>
      <c r="K4" t="str">
        <f>IFERROR(VLOOKUP(Movies[[#This Row],[movie_id]:[movie_id]],Financials[],5,0),"Not_Available")</f>
        <v>USD</v>
      </c>
      <c r="L4">
        <f>IF(Movies[[#This Row],[unit]]="Billions",Movies[[#This Row],[Budget]]*1000,Movies[[#This Row],[Budget]])</f>
        <v>165</v>
      </c>
      <c r="M4">
        <f>IF(Movies[[#This Row],[unit]]="Billions",Movies[[#This Row],[Revenue]]*1000,Movies[[#This Row],[Revenue]])</f>
        <v>644.79999999999995</v>
      </c>
      <c r="N4">
        <f>IF(Movies[[#This Row],[currency]]="usd",Movies[[#This Row],[Budget(Mln)]]*80,Movies[[#This Row],[Budget(Mln)]])</f>
        <v>13200</v>
      </c>
      <c r="O4">
        <f>IF(Movies[[#This Row],[currency]]="USD",Movies[[#This Row],[Revenue(Mln)]]*80,Movies[[#This Row],[Revenue(Mln)]])</f>
        <v>51584</v>
      </c>
      <c r="P4">
        <f>IF(Movies[[#This Row],[currency]]="INR",Movies[[#This Row],[Budget(Mln)]]/80,Movies[[#This Row],[Budget(Mln)]])</f>
        <v>165</v>
      </c>
      <c r="Q4">
        <f>IF(Movies[[#This Row],[currency]]="INR",Movies[[#This Row],[Revenue(Mln)]]/80,Movies[[#This Row],[Revenue(Mln)]])</f>
        <v>644.79999999999995</v>
      </c>
    </row>
    <row r="5" spans="1:17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IFERROR(VLOOKUP(Movies[[#This Row],[movie_id]:[movie_id]],Financials[],2,0),"Not_Available")</f>
        <v>180</v>
      </c>
      <c r="I5">
        <f>IFERROR(VLOOKUP(Movies[[#This Row],[movie_id]:[movie_id]],Financials[],3,0),"Not_Available")</f>
        <v>854</v>
      </c>
      <c r="J5" t="str">
        <f>IFERROR(VLOOKUP(Movies[[#This Row],[movie_id]:[movie_id]],Financials[],4,0),"Not_Available")</f>
        <v>Millions</v>
      </c>
      <c r="K5" t="str">
        <f>IFERROR(VLOOKUP(Movies[[#This Row],[movie_id]:[movie_id]],Financials[],5,0),"Not_Available")</f>
        <v>USD</v>
      </c>
      <c r="L5">
        <f>IF(Movies[[#This Row],[unit]]="Billions",Movies[[#This Row],[Budget]]*1000,Movies[[#This Row],[Budget]])</f>
        <v>180</v>
      </c>
      <c r="M5">
        <f>IF(Movies[[#This Row],[unit]]="Billions",Movies[[#This Row],[Revenue]]*1000,Movies[[#This Row],[Revenue]])</f>
        <v>854</v>
      </c>
      <c r="N5">
        <f>IF(Movies[[#This Row],[currency]]="usd",Movies[[#This Row],[Budget(Mln)]]*80,Movies[[#This Row],[Budget(Mln)]])</f>
        <v>14400</v>
      </c>
      <c r="O5">
        <f>IF(Movies[[#This Row],[currency]]="USD",Movies[[#This Row],[Revenue(Mln)]]*80,Movies[[#This Row],[Revenue(Mln)]])</f>
        <v>68320</v>
      </c>
      <c r="P5">
        <f>IF(Movies[[#This Row],[currency]]="INR",Movies[[#This Row],[Budget(Mln)]]/80,Movies[[#This Row],[Budget(Mln)]])</f>
        <v>180</v>
      </c>
      <c r="Q5">
        <f>IF(Movies[[#This Row],[currency]]="INR",Movies[[#This Row],[Revenue(Mln)]]/80,Movies[[#This Row],[Revenue(Mln)]])</f>
        <v>854</v>
      </c>
    </row>
    <row r="6" spans="1:17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IFERROR(VLOOKUP(Movies[[#This Row],[movie_id]:[movie_id]],Financials[],2,0),"Not_Available")</f>
        <v>250</v>
      </c>
      <c r="I6">
        <f>IFERROR(VLOOKUP(Movies[[#This Row],[movie_id]:[movie_id]],Financials[],3,0),"Not_Available")</f>
        <v>670</v>
      </c>
      <c r="J6" t="str">
        <f>IFERROR(VLOOKUP(Movies[[#This Row],[movie_id]:[movie_id]],Financials[],4,0),"Not_Available")</f>
        <v>Millions</v>
      </c>
      <c r="K6" t="str">
        <f>IFERROR(VLOOKUP(Movies[[#This Row],[movie_id]:[movie_id]],Financials[],5,0),"Not_Available")</f>
        <v>USD</v>
      </c>
      <c r="L6">
        <f>IF(Movies[[#This Row],[unit]]="Billions",Movies[[#This Row],[Budget]]*1000,Movies[[#This Row],[Budget]])</f>
        <v>250</v>
      </c>
      <c r="M6">
        <f>IF(Movies[[#This Row],[unit]]="Billions",Movies[[#This Row],[Revenue]]*1000,Movies[[#This Row],[Revenue]])</f>
        <v>670</v>
      </c>
      <c r="N6">
        <f>IF(Movies[[#This Row],[currency]]="usd",Movies[[#This Row],[Budget(Mln)]]*80,Movies[[#This Row],[Budget(Mln)]])</f>
        <v>20000</v>
      </c>
      <c r="O6">
        <f>IF(Movies[[#This Row],[currency]]="USD",Movies[[#This Row],[Revenue(Mln)]]*80,Movies[[#This Row],[Revenue(Mln)]])</f>
        <v>53600</v>
      </c>
      <c r="P6">
        <f>IF(Movies[[#This Row],[currency]]="INR",Movies[[#This Row],[Budget(Mln)]]/80,Movies[[#This Row],[Budget(Mln)]])</f>
        <v>250</v>
      </c>
      <c r="Q6">
        <f>IF(Movies[[#This Row],[currency]]="INR",Movies[[#This Row],[Revenue(Mln)]]/80,Movies[[#This Row],[Revenue(Mln)]])</f>
        <v>670</v>
      </c>
    </row>
    <row r="7" spans="1:17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IFERROR(VLOOKUP(Movies[[#This Row],[movie_id]:[movie_id]],Financials[],2,0),"Not_Available")</f>
        <v>Not_Available</v>
      </c>
      <c r="I7" t="str">
        <f>IFERROR(VLOOKUP(Movies[[#This Row],[movie_id]:[movie_id]],Financials[],3,0),"Not_Available")</f>
        <v>Not_Available</v>
      </c>
      <c r="J7" t="str">
        <f>IFERROR(VLOOKUP(Movies[[#This Row],[movie_id]:[movie_id]],Financials[],4,0),"Not_Available")</f>
        <v>Not_Available</v>
      </c>
      <c r="K7" t="str">
        <f>IFERROR(VLOOKUP(Movies[[#This Row],[movie_id]:[movie_id]],Financials[],5,0),"Not_Available")</f>
        <v>Not_Available</v>
      </c>
      <c r="L7" t="str">
        <f>IF(Movies[[#This Row],[unit]]="Billions",Movies[[#This Row],[Budget]]*1000,Movies[[#This Row],[Budget]])</f>
        <v>Not_Available</v>
      </c>
      <c r="M7" t="str">
        <f>IF(Movies[[#This Row],[unit]]="Billions",Movies[[#This Row],[Revenue]]*1000,Movies[[#This Row],[Revenue]])</f>
        <v>Not_Available</v>
      </c>
      <c r="N7" t="str">
        <f>IF(Movies[[#This Row],[currency]]="usd",Movies[[#This Row],[Budget(Mln)]]*80,Movies[[#This Row],[Budget(Mln)]])</f>
        <v>Not_Available</v>
      </c>
      <c r="O7" t="str">
        <f>IF(Movies[[#This Row],[currency]]="USD",Movies[[#This Row],[Revenue(Mln)]]*80,Movies[[#This Row],[Revenue(Mln)]])</f>
        <v>Not_Available</v>
      </c>
      <c r="P7" t="str">
        <f>IF(Movies[[#This Row],[currency]]="INR",Movies[[#This Row],[Budget(Mln)]]/80,Movies[[#This Row],[Budget(Mln)]])</f>
        <v>Not_Available</v>
      </c>
      <c r="Q7" t="str">
        <f>IF(Movies[[#This Row],[currency]]="INR",Movies[[#This Row],[Revenue(Mln)]]/80,Movies[[#This Row],[Revenue(Mln)]])</f>
        <v>Not_Available</v>
      </c>
    </row>
    <row r="8" spans="1:17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IFERROR(VLOOKUP(Movies[[#This Row],[movie_id]:[movie_id]],Financials[],2,0),"Not_Available")</f>
        <v>400</v>
      </c>
      <c r="I8">
        <f>IFERROR(VLOOKUP(Movies[[#This Row],[movie_id]:[movie_id]],Financials[],3,0),"Not_Available")</f>
        <v>2000</v>
      </c>
      <c r="J8" t="str">
        <f>IFERROR(VLOOKUP(Movies[[#This Row],[movie_id]:[movie_id]],Financials[],4,0),"Not_Available")</f>
        <v>Millions</v>
      </c>
      <c r="K8" t="str">
        <f>IFERROR(VLOOKUP(Movies[[#This Row],[movie_id]:[movie_id]],Financials[],5,0),"Not_Available")</f>
        <v>INR</v>
      </c>
      <c r="L8">
        <f>IF(Movies[[#This Row],[unit]]="Billions",Movies[[#This Row],[Budget]]*1000,Movies[[#This Row],[Budget]])</f>
        <v>400</v>
      </c>
      <c r="M8">
        <f>IF(Movies[[#This Row],[unit]]="Billions",Movies[[#This Row],[Revenue]]*1000,Movies[[#This Row],[Revenue]])</f>
        <v>2000</v>
      </c>
      <c r="N8">
        <f>IF(Movies[[#This Row],[currency]]="usd",Movies[[#This Row],[Budget(Mln)]]*80,Movies[[#This Row],[Budget(Mln)]])</f>
        <v>400</v>
      </c>
      <c r="O8">
        <f>IF(Movies[[#This Row],[currency]]="USD",Movies[[#This Row],[Revenue(Mln)]]*80,Movies[[#This Row],[Revenue(Mln)]])</f>
        <v>2000</v>
      </c>
      <c r="P8">
        <f>IF(Movies[[#This Row],[currency]]="INR",Movies[[#This Row],[Budget(Mln)]]/80,Movies[[#This Row],[Budget(Mln)]])</f>
        <v>5</v>
      </c>
      <c r="Q8">
        <f>IF(Movies[[#This Row],[currency]]="INR",Movies[[#This Row],[Revenue(Mln)]]/80,Movies[[#This Row],[Revenue(Mln)]])</f>
        <v>25</v>
      </c>
    </row>
    <row r="9" spans="1:17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IFERROR(VLOOKUP(Movies[[#This Row],[movie_id]:[movie_id]],Financials[],2,0),"Not_Available")</f>
        <v>550</v>
      </c>
      <c r="I9">
        <f>IFERROR(VLOOKUP(Movies[[#This Row],[movie_id]:[movie_id]],Financials[],3,0),"Not_Available")</f>
        <v>4000</v>
      </c>
      <c r="J9" t="str">
        <f>IFERROR(VLOOKUP(Movies[[#This Row],[movie_id]:[movie_id]],Financials[],4,0),"Not_Available")</f>
        <v>Millions</v>
      </c>
      <c r="K9" t="str">
        <f>IFERROR(VLOOKUP(Movies[[#This Row],[movie_id]:[movie_id]],Financials[],5,0),"Not_Available")</f>
        <v>INR</v>
      </c>
      <c r="L9">
        <f>IF(Movies[[#This Row],[unit]]="Billions",Movies[[#This Row],[Budget]]*1000,Movies[[#This Row],[Budget]])</f>
        <v>550</v>
      </c>
      <c r="M9">
        <f>IF(Movies[[#This Row],[unit]]="Billions",Movies[[#This Row],[Revenue]]*1000,Movies[[#This Row],[Revenue]])</f>
        <v>4000</v>
      </c>
      <c r="N9" s="3">
        <f>IF(Movies[[#This Row],[currency]]="usd",Movies[[#This Row],[Budget(Mln)]]*80,Movies[[#This Row],[Budget(Mln)]])</f>
        <v>550</v>
      </c>
      <c r="O9">
        <f>IF(Movies[[#This Row],[currency]]="USD",Movies[[#This Row],[Revenue(Mln)]]*80,Movies[[#This Row],[Revenue(Mln)]])</f>
        <v>4000</v>
      </c>
      <c r="P9">
        <f>IF(Movies[[#This Row],[currency]]="INR",Movies[[#This Row],[Budget(Mln)]]/80,Movies[[#This Row],[Budget(Mln)]])</f>
        <v>6.875</v>
      </c>
      <c r="Q9">
        <f>IF(Movies[[#This Row],[currency]]="INR",Movies[[#This Row],[Revenue(Mln)]]/80,Movies[[#This Row],[Revenue(Mln)]])</f>
        <v>50</v>
      </c>
    </row>
    <row r="10" spans="1:17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IFERROR(VLOOKUP(Movies[[#This Row],[movie_id]:[movie_id]],Financials[],2,0),"Not_Available")</f>
        <v>390</v>
      </c>
      <c r="I10">
        <f>IFERROR(VLOOKUP(Movies[[#This Row],[movie_id]:[movie_id]],Financials[],3,0),"Not_Available")</f>
        <v>1360</v>
      </c>
      <c r="J10" t="str">
        <f>IFERROR(VLOOKUP(Movies[[#This Row],[movie_id]:[movie_id]],Financials[],4,0),"Not_Available")</f>
        <v>Millions</v>
      </c>
      <c r="K10" t="str">
        <f>IFERROR(VLOOKUP(Movies[[#This Row],[movie_id]:[movie_id]],Financials[],5,0),"Not_Available")</f>
        <v>INR</v>
      </c>
      <c r="L10">
        <f>IF(Movies[[#This Row],[unit]]="Billions",Movies[[#This Row],[Budget]]*1000,Movies[[#This Row],[Budget]])</f>
        <v>390</v>
      </c>
      <c r="M10">
        <f>IF(Movies[[#This Row],[unit]]="Billions",Movies[[#This Row],[Revenue]]*1000,Movies[[#This Row],[Revenue]])</f>
        <v>1360</v>
      </c>
      <c r="N10">
        <f>IF(Movies[[#This Row],[currency]]="usd",Movies[[#This Row],[Budget(Mln)]]*80,Movies[[#This Row],[Budget(Mln)]])</f>
        <v>390</v>
      </c>
      <c r="O10">
        <f>IF(Movies[[#This Row],[currency]]="USD",Movies[[#This Row],[Revenue(Mln)]]*80,Movies[[#This Row],[Revenue(Mln)]])</f>
        <v>1360</v>
      </c>
      <c r="P10">
        <f>IF(Movies[[#This Row],[currency]]="INR",Movies[[#This Row],[Budget(Mln)]]/80,Movies[[#This Row],[Budget(Mln)]])</f>
        <v>4.875</v>
      </c>
      <c r="Q10">
        <f>IF(Movies[[#This Row],[currency]]="INR",Movies[[#This Row],[Revenue(Mln)]]/80,Movies[[#This Row],[Revenue(Mln)]])</f>
        <v>17</v>
      </c>
    </row>
    <row r="11" spans="1:17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IFERROR(VLOOKUP(Movies[[#This Row],[movie_id]:[movie_id]],Financials[],2,0),"Not_Available")</f>
        <v>1.4</v>
      </c>
      <c r="I11">
        <f>IFERROR(VLOOKUP(Movies[[#This Row],[movie_id]:[movie_id]],Financials[],3,0),"Not_Available")</f>
        <v>3.5</v>
      </c>
      <c r="J11" t="str">
        <f>IFERROR(VLOOKUP(Movies[[#This Row],[movie_id]:[movie_id]],Financials[],4,0),"Not_Available")</f>
        <v>Billions</v>
      </c>
      <c r="K11" t="str">
        <f>IFERROR(VLOOKUP(Movies[[#This Row],[movie_id]:[movie_id]],Financials[],5,0),"Not_Available")</f>
        <v>INR</v>
      </c>
      <c r="L11">
        <f>IF(Movies[[#This Row],[unit]]="Billions",Movies[[#This Row],[Budget]]*1000,Movies[[#This Row],[Budget]])</f>
        <v>1400</v>
      </c>
      <c r="M11">
        <f>IF(Movies[[#This Row],[unit]]="Billions",Movies[[#This Row],[Revenue]]*1000,Movies[[#This Row],[Revenue]])</f>
        <v>3500</v>
      </c>
      <c r="N11" s="3">
        <f>IF(Movies[[#This Row],[currency]]="usd",Movies[[#This Row],[Budget(Mln)]]*80,Movies[[#This Row],[Budget(Mln)]])</f>
        <v>1400</v>
      </c>
      <c r="O11">
        <f>IF(Movies[[#This Row],[currency]]="USD",Movies[[#This Row],[Revenue(Mln)]]*80,Movies[[#This Row],[Revenue(Mln)]])</f>
        <v>3500</v>
      </c>
      <c r="P11">
        <f>IF(Movies[[#This Row],[currency]]="INR",Movies[[#This Row],[Budget(Mln)]]/80,Movies[[#This Row],[Budget(Mln)]])</f>
        <v>17.5</v>
      </c>
      <c r="Q11">
        <f>IF(Movies[[#This Row],[currency]]="INR",Movies[[#This Row],[Revenue(Mln)]]/80,Movies[[#This Row],[Revenue(Mln)]])</f>
        <v>43.75</v>
      </c>
    </row>
    <row r="12" spans="1:17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IFERROR(VLOOKUP(Movies[[#This Row],[movie_id]:[movie_id]],Financials[],2,0),"Not_Available")</f>
        <v>25</v>
      </c>
      <c r="I12">
        <f>IFERROR(VLOOKUP(Movies[[#This Row],[movie_id]:[movie_id]],Financials[],3,0),"Not_Available")</f>
        <v>73.3</v>
      </c>
      <c r="J12" t="str">
        <f>IFERROR(VLOOKUP(Movies[[#This Row],[movie_id]:[movie_id]],Financials[],4,0),"Not_Available")</f>
        <v>Millions</v>
      </c>
      <c r="K12" t="str">
        <f>IFERROR(VLOOKUP(Movies[[#This Row],[movie_id]:[movie_id]],Financials[],5,0),"Not_Available")</f>
        <v>USD</v>
      </c>
      <c r="L12">
        <f>IF(Movies[[#This Row],[unit]]="Billions",Movies[[#This Row],[Budget]]*1000,Movies[[#This Row],[Budget]])</f>
        <v>25</v>
      </c>
      <c r="M12">
        <f>IF(Movies[[#This Row],[unit]]="Billions",Movies[[#This Row],[Revenue]]*1000,Movies[[#This Row],[Revenue]])</f>
        <v>73.3</v>
      </c>
      <c r="N12">
        <f>IF(Movies[[#This Row],[currency]]="usd",Movies[[#This Row],[Budget(Mln)]]*80,Movies[[#This Row],[Budget(Mln)]])</f>
        <v>2000</v>
      </c>
      <c r="O12">
        <f>IF(Movies[[#This Row],[currency]]="USD",Movies[[#This Row],[Revenue(Mln)]]*80,Movies[[#This Row],[Revenue(Mln)]])</f>
        <v>5864</v>
      </c>
      <c r="P12">
        <f>IF(Movies[[#This Row],[currency]]="INR",Movies[[#This Row],[Budget(Mln)]]/80,Movies[[#This Row],[Budget(Mln)]])</f>
        <v>25</v>
      </c>
      <c r="Q12">
        <f>IF(Movies[[#This Row],[currency]]="INR",Movies[[#This Row],[Revenue(Mln)]]/80,Movies[[#This Row],[Revenue(Mln)]])</f>
        <v>73.3</v>
      </c>
    </row>
    <row r="13" spans="1:17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IFERROR(VLOOKUP(Movies[[#This Row],[movie_id]:[movie_id]],Financials[],2,0),"Not_Available")</f>
        <v>Not_Available</v>
      </c>
      <c r="I13" t="str">
        <f>IFERROR(VLOOKUP(Movies[[#This Row],[movie_id]:[movie_id]],Financials[],3,0),"Not_Available")</f>
        <v>Not_Available</v>
      </c>
      <c r="J13" t="str">
        <f>IFERROR(VLOOKUP(Movies[[#This Row],[movie_id]:[movie_id]],Financials[],4,0),"Not_Available")</f>
        <v>Not_Available</v>
      </c>
      <c r="K13" t="str">
        <f>IFERROR(VLOOKUP(Movies[[#This Row],[movie_id]:[movie_id]],Financials[],5,0),"Not_Available")</f>
        <v>Not_Available</v>
      </c>
      <c r="L13" t="str">
        <f>IF(Movies[[#This Row],[unit]]="Billions",Movies[[#This Row],[Budget]]*1000,Movies[[#This Row],[Budget]])</f>
        <v>Not_Available</v>
      </c>
      <c r="M13" t="str">
        <f>IF(Movies[[#This Row],[unit]]="Billions",Movies[[#This Row],[Revenue]]*1000,Movies[[#This Row],[Revenue]])</f>
        <v>Not_Available</v>
      </c>
      <c r="N13" s="3" t="str">
        <f>IF(Movies[[#This Row],[currency]]="usd",Movies[[#This Row],[Budget(Mln)]]*80,Movies[[#This Row],[Budget(Mln)]])</f>
        <v>Not_Available</v>
      </c>
      <c r="O13" t="str">
        <f>IF(Movies[[#This Row],[currency]]="USD",Movies[[#This Row],[Revenue(Mln)]]*80,Movies[[#This Row],[Revenue(Mln)]])</f>
        <v>Not_Available</v>
      </c>
      <c r="P13" t="str">
        <f>IF(Movies[[#This Row],[currency]]="INR",Movies[[#This Row],[Budget(Mln)]]/80,Movies[[#This Row],[Budget(Mln)]])</f>
        <v>Not_Available</v>
      </c>
      <c r="Q13" t="str">
        <f>IF(Movies[[#This Row],[currency]]="INR",Movies[[#This Row],[Revenue(Mln)]]/80,Movies[[#This Row],[Revenue(Mln)]])</f>
        <v>Not_Available</v>
      </c>
    </row>
    <row r="14" spans="1:17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IFERROR(VLOOKUP(Movies[[#This Row],[movie_id]:[movie_id]],Financials[],2,0),"Not_Available")</f>
        <v>165</v>
      </c>
      <c r="I14">
        <f>IFERROR(VLOOKUP(Movies[[#This Row],[movie_id]:[movie_id]],Financials[],3,0),"Not_Available")</f>
        <v>701.8</v>
      </c>
      <c r="J14" t="str">
        <f>IFERROR(VLOOKUP(Movies[[#This Row],[movie_id]:[movie_id]],Financials[],4,0),"Not_Available")</f>
        <v>Millions</v>
      </c>
      <c r="K14" t="str">
        <f>IFERROR(VLOOKUP(Movies[[#This Row],[movie_id]:[movie_id]],Financials[],5,0),"Not_Available")</f>
        <v>USD</v>
      </c>
      <c r="L14">
        <f>IF(Movies[[#This Row],[unit]]="Billions",Movies[[#This Row],[Budget]]*1000,Movies[[#This Row],[Budget]])</f>
        <v>165</v>
      </c>
      <c r="M14">
        <f>IF(Movies[[#This Row],[unit]]="Billions",Movies[[#This Row],[Revenue]]*1000,Movies[[#This Row],[Revenue]])</f>
        <v>701.8</v>
      </c>
      <c r="N14">
        <f>IF(Movies[[#This Row],[currency]]="usd",Movies[[#This Row],[Budget(Mln)]]*80,Movies[[#This Row],[Budget(Mln)]])</f>
        <v>13200</v>
      </c>
      <c r="O14">
        <f>IF(Movies[[#This Row],[currency]]="USD",Movies[[#This Row],[Revenue(Mln)]]*80,Movies[[#This Row],[Revenue(Mln)]])</f>
        <v>56144</v>
      </c>
      <c r="P14">
        <f>IF(Movies[[#This Row],[currency]]="INR",Movies[[#This Row],[Budget(Mln)]]/80,Movies[[#This Row],[Budget(Mln)]])</f>
        <v>165</v>
      </c>
      <c r="Q14">
        <f>IF(Movies[[#This Row],[currency]]="INR",Movies[[#This Row],[Revenue(Mln)]]/80,Movies[[#This Row],[Revenue(Mln)]])</f>
        <v>701.8</v>
      </c>
    </row>
    <row r="15" spans="1:17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IFERROR(VLOOKUP(Movies[[#This Row],[movie_id]:[movie_id]],Financials[],2,0),"Not_Available")</f>
        <v>55</v>
      </c>
      <c r="I15">
        <f>IFERROR(VLOOKUP(Movies[[#This Row],[movie_id]:[movie_id]],Financials[],3,0),"Not_Available")</f>
        <v>307.10000000000002</v>
      </c>
      <c r="J15" t="str">
        <f>IFERROR(VLOOKUP(Movies[[#This Row],[movie_id]:[movie_id]],Financials[],4,0),"Not_Available")</f>
        <v>Millions</v>
      </c>
      <c r="K15" t="str">
        <f>IFERROR(VLOOKUP(Movies[[#This Row],[movie_id]:[movie_id]],Financials[],5,0),"Not_Available")</f>
        <v>USD</v>
      </c>
      <c r="L15">
        <f>IF(Movies[[#This Row],[unit]]="Billions",Movies[[#This Row],[Budget]]*1000,Movies[[#This Row],[Budget]])</f>
        <v>55</v>
      </c>
      <c r="M15">
        <f>IF(Movies[[#This Row],[unit]]="Billions",Movies[[#This Row],[Revenue]]*1000,Movies[[#This Row],[Revenue]])</f>
        <v>307.10000000000002</v>
      </c>
      <c r="N15" s="3">
        <f>IF(Movies[[#This Row],[currency]]="usd",Movies[[#This Row],[Budget(Mln)]]*80,Movies[[#This Row],[Budget(Mln)]])</f>
        <v>4400</v>
      </c>
      <c r="O15">
        <f>IF(Movies[[#This Row],[currency]]="USD",Movies[[#This Row],[Revenue(Mln)]]*80,Movies[[#This Row],[Revenue(Mln)]])</f>
        <v>24568</v>
      </c>
      <c r="P15">
        <f>IF(Movies[[#This Row],[currency]]="INR",Movies[[#This Row],[Budget(Mln)]]/80,Movies[[#This Row],[Budget(Mln)]])</f>
        <v>55</v>
      </c>
      <c r="Q15">
        <f>IF(Movies[[#This Row],[currency]]="INR",Movies[[#This Row],[Revenue(Mln)]]/80,Movies[[#This Row],[Revenue(Mln)]])</f>
        <v>307.10000000000002</v>
      </c>
    </row>
    <row r="16" spans="1:17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IFERROR(VLOOKUP(Movies[[#This Row],[movie_id]:[movie_id]],Financials[],2,0),"Not_Available")</f>
        <v>103</v>
      </c>
      <c r="I16">
        <f>IFERROR(VLOOKUP(Movies[[#This Row],[movie_id]:[movie_id]],Financials[],3,0),"Not_Available")</f>
        <v>460.5</v>
      </c>
      <c r="J16" t="str">
        <f>IFERROR(VLOOKUP(Movies[[#This Row],[movie_id]:[movie_id]],Financials[],4,0),"Not_Available")</f>
        <v>Millions</v>
      </c>
      <c r="K16" t="str">
        <f>IFERROR(VLOOKUP(Movies[[#This Row],[movie_id]:[movie_id]],Financials[],5,0),"Not_Available")</f>
        <v>USD</v>
      </c>
      <c r="L16">
        <f>IF(Movies[[#This Row],[unit]]="Billions",Movies[[#This Row],[Budget]]*1000,Movies[[#This Row],[Budget]])</f>
        <v>103</v>
      </c>
      <c r="M16">
        <f>IF(Movies[[#This Row],[unit]]="Billions",Movies[[#This Row],[Revenue]]*1000,Movies[[#This Row],[Revenue]])</f>
        <v>460.5</v>
      </c>
      <c r="N16">
        <f>IF(Movies[[#This Row],[currency]]="usd",Movies[[#This Row],[Budget(Mln)]]*80,Movies[[#This Row],[Budget(Mln)]])</f>
        <v>8240</v>
      </c>
      <c r="O16">
        <f>IF(Movies[[#This Row],[currency]]="USD",Movies[[#This Row],[Revenue(Mln)]]*80,Movies[[#This Row],[Revenue(Mln)]])</f>
        <v>36840</v>
      </c>
      <c r="P16">
        <f>IF(Movies[[#This Row],[currency]]="INR",Movies[[#This Row],[Budget(Mln)]]/80,Movies[[#This Row],[Budget(Mln)]])</f>
        <v>103</v>
      </c>
      <c r="Q16">
        <f>IF(Movies[[#This Row],[currency]]="INR",Movies[[#This Row],[Revenue(Mln)]]/80,Movies[[#This Row],[Revenue(Mln)]])</f>
        <v>460.5</v>
      </c>
    </row>
    <row r="17" spans="1:17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IFERROR(VLOOKUP(Movies[[#This Row],[movie_id]:[movie_id]],Financials[],2,0),"Not_Available")</f>
        <v>200</v>
      </c>
      <c r="I17">
        <f>IFERROR(VLOOKUP(Movies[[#This Row],[movie_id]:[movie_id]],Financials[],3,0),"Not_Available")</f>
        <v>2202</v>
      </c>
      <c r="J17" t="str">
        <f>IFERROR(VLOOKUP(Movies[[#This Row],[movie_id]:[movie_id]],Financials[],4,0),"Not_Available")</f>
        <v>Millions</v>
      </c>
      <c r="K17" t="str">
        <f>IFERROR(VLOOKUP(Movies[[#This Row],[movie_id]:[movie_id]],Financials[],5,0),"Not_Available")</f>
        <v>USD</v>
      </c>
      <c r="L17">
        <f>IF(Movies[[#This Row],[unit]]="Billions",Movies[[#This Row],[Budget]]*1000,Movies[[#This Row],[Budget]])</f>
        <v>200</v>
      </c>
      <c r="M17">
        <f>IF(Movies[[#This Row],[unit]]="Billions",Movies[[#This Row],[Revenue]]*1000,Movies[[#This Row],[Revenue]])</f>
        <v>2202</v>
      </c>
      <c r="N17">
        <f>IF(Movies[[#This Row],[currency]]="usd",Movies[[#This Row],[Budget(Mln)]]*80,Movies[[#This Row],[Budget(Mln)]])</f>
        <v>16000</v>
      </c>
      <c r="O17">
        <f>IF(Movies[[#This Row],[currency]]="USD",Movies[[#This Row],[Revenue(Mln)]]*80,Movies[[#This Row],[Revenue(Mln)]])</f>
        <v>176160</v>
      </c>
      <c r="P17">
        <f>IF(Movies[[#This Row],[currency]]="INR",Movies[[#This Row],[Budget(Mln)]]/80,Movies[[#This Row],[Budget(Mln)]])</f>
        <v>200</v>
      </c>
      <c r="Q17">
        <f>IF(Movies[[#This Row],[currency]]="INR",Movies[[#This Row],[Revenue(Mln)]]/80,Movies[[#This Row],[Revenue(Mln)]])</f>
        <v>2202</v>
      </c>
    </row>
    <row r="18" spans="1:17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IFERROR(VLOOKUP(Movies[[#This Row],[movie_id]:[movie_id]],Financials[],2,0),"Not_Available")</f>
        <v>3.18</v>
      </c>
      <c r="I18">
        <f>IFERROR(VLOOKUP(Movies[[#This Row],[movie_id]:[movie_id]],Financials[],3,0),"Not_Available")</f>
        <v>3.3</v>
      </c>
      <c r="J18" t="str">
        <f>IFERROR(VLOOKUP(Movies[[#This Row],[movie_id]:[movie_id]],Financials[],4,0),"Not_Available")</f>
        <v>Millions</v>
      </c>
      <c r="K18" t="str">
        <f>IFERROR(VLOOKUP(Movies[[#This Row],[movie_id]:[movie_id]],Financials[],5,0),"Not_Available")</f>
        <v>USD</v>
      </c>
      <c r="L18">
        <f>IF(Movies[[#This Row],[unit]]="Billions",Movies[[#This Row],[Budget]]*1000,Movies[[#This Row],[Budget]])</f>
        <v>3.18</v>
      </c>
      <c r="M18">
        <f>IF(Movies[[#This Row],[unit]]="Billions",Movies[[#This Row],[Revenue]]*1000,Movies[[#This Row],[Revenue]])</f>
        <v>3.3</v>
      </c>
      <c r="N18">
        <f>IF(Movies[[#This Row],[currency]]="usd",Movies[[#This Row],[Budget(Mln)]]*80,Movies[[#This Row],[Budget(Mln)]])</f>
        <v>254.4</v>
      </c>
      <c r="O18">
        <f>IF(Movies[[#This Row],[currency]]="USD",Movies[[#This Row],[Revenue(Mln)]]*80,Movies[[#This Row],[Revenue(Mln)]])</f>
        <v>264</v>
      </c>
      <c r="P18">
        <f>IF(Movies[[#This Row],[currency]]="INR",Movies[[#This Row],[Budget(Mln)]]/80,Movies[[#This Row],[Budget(Mln)]])</f>
        <v>3.18</v>
      </c>
      <c r="Q18">
        <f>IF(Movies[[#This Row],[currency]]="INR",Movies[[#This Row],[Revenue(Mln)]]/80,Movies[[#This Row],[Revenue(Mln)]])</f>
        <v>3.3</v>
      </c>
    </row>
    <row r="19" spans="1:17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IFERROR(VLOOKUP(Movies[[#This Row],[movie_id]:[movie_id]],Financials[],2,0),"Not_Available")</f>
        <v>237</v>
      </c>
      <c r="I19">
        <f>IFERROR(VLOOKUP(Movies[[#This Row],[movie_id]:[movie_id]],Financials[],3,0),"Not_Available")</f>
        <v>2847</v>
      </c>
      <c r="J19" t="str">
        <f>IFERROR(VLOOKUP(Movies[[#This Row],[movie_id]:[movie_id]],Financials[],4,0),"Not_Available")</f>
        <v>Millions</v>
      </c>
      <c r="K19" t="str">
        <f>IFERROR(VLOOKUP(Movies[[#This Row],[movie_id]:[movie_id]],Financials[],5,0),"Not_Available")</f>
        <v>USD</v>
      </c>
      <c r="L19">
        <f>IF(Movies[[#This Row],[unit]]="Billions",Movies[[#This Row],[Budget]]*1000,Movies[[#This Row],[Budget]])</f>
        <v>237</v>
      </c>
      <c r="M19">
        <f>IF(Movies[[#This Row],[unit]]="Billions",Movies[[#This Row],[Revenue]]*1000,Movies[[#This Row],[Revenue]])</f>
        <v>2847</v>
      </c>
      <c r="N19">
        <f>IF(Movies[[#This Row],[currency]]="usd",Movies[[#This Row],[Budget(Mln)]]*80,Movies[[#This Row],[Budget(Mln)]])</f>
        <v>18960</v>
      </c>
      <c r="O19">
        <f>IF(Movies[[#This Row],[currency]]="USD",Movies[[#This Row],[Revenue(Mln)]]*80,Movies[[#This Row],[Revenue(Mln)]])</f>
        <v>227760</v>
      </c>
      <c r="P19">
        <f>IF(Movies[[#This Row],[currency]]="INR",Movies[[#This Row],[Budget(Mln)]]/80,Movies[[#This Row],[Budget(Mln)]])</f>
        <v>237</v>
      </c>
      <c r="Q19">
        <f>IF(Movies[[#This Row],[currency]]="INR",Movies[[#This Row],[Revenue(Mln)]]/80,Movies[[#This Row],[Revenue(Mln)]])</f>
        <v>2847</v>
      </c>
    </row>
    <row r="20" spans="1:17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IFERROR(VLOOKUP(Movies[[#This Row],[movie_id]:[movie_id]],Financials[],2,0),"Not_Available")</f>
        <v>7.2</v>
      </c>
      <c r="I20">
        <f>IFERROR(VLOOKUP(Movies[[#This Row],[movie_id]:[movie_id]],Financials[],3,0),"Not_Available")</f>
        <v>291</v>
      </c>
      <c r="J20" t="str">
        <f>IFERROR(VLOOKUP(Movies[[#This Row],[movie_id]:[movie_id]],Financials[],4,0),"Not_Available")</f>
        <v>Millions</v>
      </c>
      <c r="K20" t="str">
        <f>IFERROR(VLOOKUP(Movies[[#This Row],[movie_id]:[movie_id]],Financials[],5,0),"Not_Available")</f>
        <v>USD</v>
      </c>
      <c r="L20">
        <f>IF(Movies[[#This Row],[unit]]="Billions",Movies[[#This Row],[Budget]]*1000,Movies[[#This Row],[Budget]])</f>
        <v>7.2</v>
      </c>
      <c r="M20">
        <f>IF(Movies[[#This Row],[unit]]="Billions",Movies[[#This Row],[Revenue]]*1000,Movies[[#This Row],[Revenue]])</f>
        <v>291</v>
      </c>
      <c r="N20">
        <f>IF(Movies[[#This Row],[currency]]="usd",Movies[[#This Row],[Budget(Mln)]]*80,Movies[[#This Row],[Budget(Mln)]])</f>
        <v>576</v>
      </c>
      <c r="O20">
        <f>IF(Movies[[#This Row],[currency]]="USD",Movies[[#This Row],[Revenue(Mln)]]*80,Movies[[#This Row],[Revenue(Mln)]])</f>
        <v>23280</v>
      </c>
      <c r="P20">
        <f>IF(Movies[[#This Row],[currency]]="INR",Movies[[#This Row],[Budget(Mln)]]/80,Movies[[#This Row],[Budget(Mln)]])</f>
        <v>7.2</v>
      </c>
      <c r="Q20">
        <f>IF(Movies[[#This Row],[currency]]="INR",Movies[[#This Row],[Revenue(Mln)]]/80,Movies[[#This Row],[Revenue(Mln)]])</f>
        <v>291</v>
      </c>
    </row>
    <row r="21" spans="1:17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IFERROR(VLOOKUP(Movies[[#This Row],[movie_id]:[movie_id]],Financials[],2,0),"Not_Available")</f>
        <v>185</v>
      </c>
      <c r="I21">
        <f>IFERROR(VLOOKUP(Movies[[#This Row],[movie_id]:[movie_id]],Financials[],3,0),"Not_Available")</f>
        <v>1006</v>
      </c>
      <c r="J21" t="str">
        <f>IFERROR(VLOOKUP(Movies[[#This Row],[movie_id]:[movie_id]],Financials[],4,0),"Not_Available")</f>
        <v>Millions</v>
      </c>
      <c r="K21" t="str">
        <f>IFERROR(VLOOKUP(Movies[[#This Row],[movie_id]:[movie_id]],Financials[],5,0),"Not_Available")</f>
        <v>USD</v>
      </c>
      <c r="L21">
        <f>IF(Movies[[#This Row],[unit]]="Billions",Movies[[#This Row],[Budget]]*1000,Movies[[#This Row],[Budget]])</f>
        <v>185</v>
      </c>
      <c r="M21">
        <f>IF(Movies[[#This Row],[unit]]="Billions",Movies[[#This Row],[Revenue]]*1000,Movies[[#This Row],[Revenue]])</f>
        <v>1006</v>
      </c>
      <c r="N21">
        <f>IF(Movies[[#This Row],[currency]]="usd",Movies[[#This Row],[Budget(Mln)]]*80,Movies[[#This Row],[Budget(Mln)]])</f>
        <v>14800</v>
      </c>
      <c r="O21">
        <f>IF(Movies[[#This Row],[currency]]="USD",Movies[[#This Row],[Revenue(Mln)]]*80,Movies[[#This Row],[Revenue(Mln)]])</f>
        <v>80480</v>
      </c>
      <c r="P21">
        <f>IF(Movies[[#This Row],[currency]]="INR",Movies[[#This Row],[Budget(Mln)]]/80,Movies[[#This Row],[Budget(Mln)]])</f>
        <v>185</v>
      </c>
      <c r="Q21">
        <f>IF(Movies[[#This Row],[currency]]="INR",Movies[[#This Row],[Revenue(Mln)]]/80,Movies[[#This Row],[Revenue(Mln)]])</f>
        <v>1006</v>
      </c>
    </row>
    <row r="22" spans="1:17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IFERROR(VLOOKUP(Movies[[#This Row],[movie_id]:[movie_id]],Financials[],2,0),"Not_Available")</f>
        <v>22</v>
      </c>
      <c r="I22">
        <f>IFERROR(VLOOKUP(Movies[[#This Row],[movie_id]:[movie_id]],Financials[],3,0),"Not_Available")</f>
        <v>322.2</v>
      </c>
      <c r="J22" t="str">
        <f>IFERROR(VLOOKUP(Movies[[#This Row],[movie_id]:[movie_id]],Financials[],4,0),"Not_Available")</f>
        <v>Millions</v>
      </c>
      <c r="K22" t="str">
        <f>IFERROR(VLOOKUP(Movies[[#This Row],[movie_id]:[movie_id]],Financials[],5,0),"Not_Available")</f>
        <v>USD</v>
      </c>
      <c r="L22">
        <f>IF(Movies[[#This Row],[unit]]="Billions",Movies[[#This Row],[Budget]]*1000,Movies[[#This Row],[Budget]])</f>
        <v>22</v>
      </c>
      <c r="M22">
        <f>IF(Movies[[#This Row],[unit]]="Billions",Movies[[#This Row],[Revenue]]*1000,Movies[[#This Row],[Revenue]])</f>
        <v>322.2</v>
      </c>
      <c r="N22">
        <f>IF(Movies[[#This Row],[currency]]="usd",Movies[[#This Row],[Budget(Mln)]]*80,Movies[[#This Row],[Budget(Mln)]])</f>
        <v>1760</v>
      </c>
      <c r="O22">
        <f>IF(Movies[[#This Row],[currency]]="USD",Movies[[#This Row],[Revenue(Mln)]]*80,Movies[[#This Row],[Revenue(Mln)]])</f>
        <v>25776</v>
      </c>
      <c r="P22">
        <f>IF(Movies[[#This Row],[currency]]="INR",Movies[[#This Row],[Budget(Mln)]]/80,Movies[[#This Row],[Budget(Mln)]])</f>
        <v>22</v>
      </c>
      <c r="Q22">
        <f>IF(Movies[[#This Row],[currency]]="INR",Movies[[#This Row],[Revenue(Mln)]]/80,Movies[[#This Row],[Revenue(Mln)]])</f>
        <v>322.2</v>
      </c>
    </row>
    <row r="23" spans="1:17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IFERROR(VLOOKUP(Movies[[#This Row],[movie_id]:[movie_id]],Financials[],2,0),"Not_Available")</f>
        <v>63</v>
      </c>
      <c r="I23">
        <f>IFERROR(VLOOKUP(Movies[[#This Row],[movie_id]:[movie_id]],Financials[],3,0),"Not_Available")</f>
        <v>1046</v>
      </c>
      <c r="J23" t="str">
        <f>IFERROR(VLOOKUP(Movies[[#This Row],[movie_id]:[movie_id]],Financials[],4,0),"Not_Available")</f>
        <v>Millions</v>
      </c>
      <c r="K23" t="str">
        <f>IFERROR(VLOOKUP(Movies[[#This Row],[movie_id]:[movie_id]],Financials[],5,0),"Not_Available")</f>
        <v>USD</v>
      </c>
      <c r="L23">
        <f>IF(Movies[[#This Row],[unit]]="Billions",Movies[[#This Row],[Budget]]*1000,Movies[[#This Row],[Budget]])</f>
        <v>63</v>
      </c>
      <c r="M23">
        <f>IF(Movies[[#This Row],[unit]]="Billions",Movies[[#This Row],[Revenue]]*1000,Movies[[#This Row],[Revenue]])</f>
        <v>1046</v>
      </c>
      <c r="N23">
        <f>IF(Movies[[#This Row],[currency]]="usd",Movies[[#This Row],[Budget(Mln)]]*80,Movies[[#This Row],[Budget(Mln)]])</f>
        <v>5040</v>
      </c>
      <c r="O23">
        <f>IF(Movies[[#This Row],[currency]]="USD",Movies[[#This Row],[Revenue(Mln)]]*80,Movies[[#This Row],[Revenue(Mln)]])</f>
        <v>83680</v>
      </c>
      <c r="P23">
        <f>IF(Movies[[#This Row],[currency]]="INR",Movies[[#This Row],[Budget(Mln)]]/80,Movies[[#This Row],[Budget(Mln)]])</f>
        <v>63</v>
      </c>
      <c r="Q23">
        <f>IF(Movies[[#This Row],[currency]]="INR",Movies[[#This Row],[Revenue(Mln)]]/80,Movies[[#This Row],[Revenue(Mln)]])</f>
        <v>1046</v>
      </c>
    </row>
    <row r="24" spans="1:17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IFERROR(VLOOKUP(Movies[[#This Row],[movie_id]:[movie_id]],Financials[],2,0),"Not_Available")</f>
        <v>15.5</v>
      </c>
      <c r="I24">
        <f>IFERROR(VLOOKUP(Movies[[#This Row],[movie_id]:[movie_id]],Financials[],3,0),"Not_Available")</f>
        <v>263.10000000000002</v>
      </c>
      <c r="J24" t="str">
        <f>IFERROR(VLOOKUP(Movies[[#This Row],[movie_id]:[movie_id]],Financials[],4,0),"Not_Available")</f>
        <v>Millions</v>
      </c>
      <c r="K24" t="str">
        <f>IFERROR(VLOOKUP(Movies[[#This Row],[movie_id]:[movie_id]],Financials[],5,0),"Not_Available")</f>
        <v>USD</v>
      </c>
      <c r="L24">
        <f>IF(Movies[[#This Row],[unit]]="Billions",Movies[[#This Row],[Budget]]*1000,Movies[[#This Row],[Budget]])</f>
        <v>15.5</v>
      </c>
      <c r="M24">
        <f>IF(Movies[[#This Row],[unit]]="Billions",Movies[[#This Row],[Revenue]]*1000,Movies[[#This Row],[Revenue]])</f>
        <v>263.10000000000002</v>
      </c>
      <c r="N24">
        <f>IF(Movies[[#This Row],[currency]]="usd",Movies[[#This Row],[Budget(Mln)]]*80,Movies[[#This Row],[Budget(Mln)]])</f>
        <v>1240</v>
      </c>
      <c r="O24">
        <f>IF(Movies[[#This Row],[currency]]="USD",Movies[[#This Row],[Revenue(Mln)]]*80,Movies[[#This Row],[Revenue(Mln)]])</f>
        <v>21048</v>
      </c>
      <c r="P24">
        <f>IF(Movies[[#This Row],[currency]]="INR",Movies[[#This Row],[Budget(Mln)]]/80,Movies[[#This Row],[Budget(Mln)]])</f>
        <v>15.5</v>
      </c>
      <c r="Q24">
        <f>IF(Movies[[#This Row],[currency]]="INR",Movies[[#This Row],[Revenue(Mln)]]/80,Movies[[#This Row],[Revenue(Mln)]])</f>
        <v>263.10000000000002</v>
      </c>
    </row>
    <row r="25" spans="1:17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IFERROR(VLOOKUP(Movies[[#This Row],[movie_id]:[movie_id]],Financials[],2,0),"Not_Available")</f>
        <v>400</v>
      </c>
      <c r="I25">
        <f>IFERROR(VLOOKUP(Movies[[#This Row],[movie_id]:[movie_id]],Financials[],3,0),"Not_Available")</f>
        <v>2798</v>
      </c>
      <c r="J25" t="str">
        <f>IFERROR(VLOOKUP(Movies[[#This Row],[movie_id]:[movie_id]],Financials[],4,0),"Not_Available")</f>
        <v>Millions</v>
      </c>
      <c r="K25" t="str">
        <f>IFERROR(VLOOKUP(Movies[[#This Row],[movie_id]:[movie_id]],Financials[],5,0),"Not_Available")</f>
        <v>USD</v>
      </c>
      <c r="L25">
        <f>IF(Movies[[#This Row],[unit]]="Billions",Movies[[#This Row],[Budget]]*1000,Movies[[#This Row],[Budget]])</f>
        <v>400</v>
      </c>
      <c r="M25">
        <f>IF(Movies[[#This Row],[unit]]="Billions",Movies[[#This Row],[Revenue]]*1000,Movies[[#This Row],[Revenue]])</f>
        <v>2798</v>
      </c>
      <c r="N25">
        <f>IF(Movies[[#This Row],[currency]]="usd",Movies[[#This Row],[Budget(Mln)]]*80,Movies[[#This Row],[Budget(Mln)]])</f>
        <v>32000</v>
      </c>
      <c r="O25">
        <f>IF(Movies[[#This Row],[currency]]="USD",Movies[[#This Row],[Revenue(Mln)]]*80,Movies[[#This Row],[Revenue(Mln)]])</f>
        <v>223840</v>
      </c>
      <c r="P25">
        <f>IF(Movies[[#This Row],[currency]]="INR",Movies[[#This Row],[Budget(Mln)]]/80,Movies[[#This Row],[Budget(Mln)]])</f>
        <v>400</v>
      </c>
      <c r="Q25">
        <f>IF(Movies[[#This Row],[currency]]="INR",Movies[[#This Row],[Revenue(Mln)]]/80,Movies[[#This Row],[Revenue(Mln)]])</f>
        <v>2798</v>
      </c>
    </row>
    <row r="26" spans="1:17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IFERROR(VLOOKUP(Movies[[#This Row],[movie_id]:[movie_id]],Financials[],2,0),"Not_Available")</f>
        <v>400</v>
      </c>
      <c r="I26">
        <f>IFERROR(VLOOKUP(Movies[[#This Row],[movie_id]:[movie_id]],Financials[],3,0),"Not_Available")</f>
        <v>2048</v>
      </c>
      <c r="J26" t="str">
        <f>IFERROR(VLOOKUP(Movies[[#This Row],[movie_id]:[movie_id]],Financials[],4,0),"Not_Available")</f>
        <v>Millions</v>
      </c>
      <c r="K26" t="str">
        <f>IFERROR(VLOOKUP(Movies[[#This Row],[movie_id]:[movie_id]],Financials[],5,0),"Not_Available")</f>
        <v>USD</v>
      </c>
      <c r="L26">
        <f>IF(Movies[[#This Row],[unit]]="Billions",Movies[[#This Row],[Budget]]*1000,Movies[[#This Row],[Budget]])</f>
        <v>400</v>
      </c>
      <c r="M26">
        <f>IF(Movies[[#This Row],[unit]]="Billions",Movies[[#This Row],[Revenue]]*1000,Movies[[#This Row],[Revenue]])</f>
        <v>2048</v>
      </c>
      <c r="N26">
        <f>IF(Movies[[#This Row],[currency]]="usd",Movies[[#This Row],[Budget(Mln)]]*80,Movies[[#This Row],[Budget(Mln)]])</f>
        <v>32000</v>
      </c>
      <c r="O26">
        <f>IF(Movies[[#This Row],[currency]]="USD",Movies[[#This Row],[Revenue(Mln)]]*80,Movies[[#This Row],[Revenue(Mln)]])</f>
        <v>163840</v>
      </c>
      <c r="P26">
        <f>IF(Movies[[#This Row],[currency]]="INR",Movies[[#This Row],[Budget(Mln)]]/80,Movies[[#This Row],[Budget(Mln)]])</f>
        <v>400</v>
      </c>
      <c r="Q26">
        <f>IF(Movies[[#This Row],[currency]]="INR",Movies[[#This Row],[Revenue(Mln)]]/80,Movies[[#This Row],[Revenue(Mln)]])</f>
        <v>2048</v>
      </c>
    </row>
    <row r="27" spans="1:17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IFERROR(VLOOKUP(Movies[[#This Row],[movie_id]:[movie_id]],Financials[],2,0),"Not_Available")</f>
        <v>70</v>
      </c>
      <c r="I27">
        <f>IFERROR(VLOOKUP(Movies[[#This Row],[movie_id]:[movie_id]],Financials[],3,0),"Not_Available")</f>
        <v>100</v>
      </c>
      <c r="J27" t="str">
        <f>IFERROR(VLOOKUP(Movies[[#This Row],[movie_id]:[movie_id]],Financials[],4,0),"Not_Available")</f>
        <v>Millions</v>
      </c>
      <c r="K27" t="str">
        <f>IFERROR(VLOOKUP(Movies[[#This Row],[movie_id]:[movie_id]],Financials[],5,0),"Not_Available")</f>
        <v>INR</v>
      </c>
      <c r="L27">
        <f>IF(Movies[[#This Row],[unit]]="Billions",Movies[[#This Row],[Budget]]*1000,Movies[[#This Row],[Budget]])</f>
        <v>70</v>
      </c>
      <c r="M27">
        <f>IF(Movies[[#This Row],[unit]]="Billions",Movies[[#This Row],[Revenue]]*1000,Movies[[#This Row],[Revenue]])</f>
        <v>100</v>
      </c>
      <c r="N27">
        <f>IF(Movies[[#This Row],[currency]]="usd",Movies[[#This Row],[Budget(Mln)]]*80,Movies[[#This Row],[Budget(Mln)]])</f>
        <v>70</v>
      </c>
      <c r="O27">
        <f>IF(Movies[[#This Row],[currency]]="USD",Movies[[#This Row],[Revenue(Mln)]]*80,Movies[[#This Row],[Revenue(Mln)]])</f>
        <v>100</v>
      </c>
      <c r="P27">
        <f>IF(Movies[[#This Row],[currency]]="INR",Movies[[#This Row],[Budget(Mln)]]/80,Movies[[#This Row],[Budget(Mln)]])</f>
        <v>0.875</v>
      </c>
      <c r="Q27">
        <f>IF(Movies[[#This Row],[currency]]="INR",Movies[[#This Row],[Revenue(Mln)]]/80,Movies[[#This Row],[Revenue(Mln)]])</f>
        <v>1.25</v>
      </c>
    </row>
    <row r="28" spans="1:17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IFERROR(VLOOKUP(Movies[[#This Row],[movie_id]:[movie_id]],Financials[],2,0),"Not_Available")</f>
        <v>120</v>
      </c>
      <c r="I28">
        <f>IFERROR(VLOOKUP(Movies[[#This Row],[movie_id]:[movie_id]],Financials[],3,0),"Not_Available")</f>
        <v>1350</v>
      </c>
      <c r="J28" t="str">
        <f>IFERROR(VLOOKUP(Movies[[#This Row],[movie_id]:[movie_id]],Financials[],4,0),"Not_Available")</f>
        <v>Millions</v>
      </c>
      <c r="K28" t="str">
        <f>IFERROR(VLOOKUP(Movies[[#This Row],[movie_id]:[movie_id]],Financials[],5,0),"Not_Available")</f>
        <v>INR</v>
      </c>
      <c r="L28">
        <f>IF(Movies[[#This Row],[unit]]="Billions",Movies[[#This Row],[Budget]]*1000,Movies[[#This Row],[Budget]])</f>
        <v>120</v>
      </c>
      <c r="M28">
        <f>IF(Movies[[#This Row],[unit]]="Billions",Movies[[#This Row],[Revenue]]*1000,Movies[[#This Row],[Revenue]])</f>
        <v>1350</v>
      </c>
      <c r="N28">
        <f>IF(Movies[[#This Row],[currency]]="usd",Movies[[#This Row],[Budget(Mln)]]*80,Movies[[#This Row],[Budget(Mln)]])</f>
        <v>120</v>
      </c>
      <c r="O28">
        <f>IF(Movies[[#This Row],[currency]]="USD",Movies[[#This Row],[Revenue(Mln)]]*80,Movies[[#This Row],[Revenue(Mln)]])</f>
        <v>1350</v>
      </c>
      <c r="P28">
        <f>IF(Movies[[#This Row],[currency]]="INR",Movies[[#This Row],[Budget(Mln)]]/80,Movies[[#This Row],[Budget(Mln)]])</f>
        <v>1.5</v>
      </c>
      <c r="Q28">
        <f>IF(Movies[[#This Row],[currency]]="INR",Movies[[#This Row],[Revenue(Mln)]]/80,Movies[[#This Row],[Revenue(Mln)]])</f>
        <v>16.875</v>
      </c>
    </row>
    <row r="29" spans="1:17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IFERROR(VLOOKUP(Movies[[#This Row],[movie_id]:[movie_id]],Financials[],2,0),"Not_Available")</f>
        <v>100</v>
      </c>
      <c r="I29">
        <f>IFERROR(VLOOKUP(Movies[[#This Row],[movie_id]:[movie_id]],Financials[],3,0),"Not_Available")</f>
        <v>410</v>
      </c>
      <c r="J29" t="str">
        <f>IFERROR(VLOOKUP(Movies[[#This Row],[movie_id]:[movie_id]],Financials[],4,0),"Not_Available")</f>
        <v>Millions</v>
      </c>
      <c r="K29" t="str">
        <f>IFERROR(VLOOKUP(Movies[[#This Row],[movie_id]:[movie_id]],Financials[],5,0),"Not_Available")</f>
        <v>INR</v>
      </c>
      <c r="L29">
        <f>IF(Movies[[#This Row],[unit]]="Billions",Movies[[#This Row],[Budget]]*1000,Movies[[#This Row],[Budget]])</f>
        <v>100</v>
      </c>
      <c r="M29">
        <f>IF(Movies[[#This Row],[unit]]="Billions",Movies[[#This Row],[Revenue]]*1000,Movies[[#This Row],[Revenue]])</f>
        <v>410</v>
      </c>
      <c r="N29">
        <f>IF(Movies[[#This Row],[currency]]="usd",Movies[[#This Row],[Budget(Mln)]]*80,Movies[[#This Row],[Budget(Mln)]])</f>
        <v>100</v>
      </c>
      <c r="O29">
        <f>IF(Movies[[#This Row],[currency]]="USD",Movies[[#This Row],[Revenue(Mln)]]*80,Movies[[#This Row],[Revenue(Mln)]])</f>
        <v>410</v>
      </c>
      <c r="P29">
        <f>IF(Movies[[#This Row],[currency]]="INR",Movies[[#This Row],[Budget(Mln)]]/80,Movies[[#This Row],[Budget(Mln)]])</f>
        <v>1.25</v>
      </c>
      <c r="Q29">
        <f>IF(Movies[[#This Row],[currency]]="INR",Movies[[#This Row],[Revenue(Mln)]]/80,Movies[[#This Row],[Revenue(Mln)]])</f>
        <v>5.125</v>
      </c>
    </row>
    <row r="30" spans="1:17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IFERROR(VLOOKUP(Movies[[#This Row],[movie_id]:[movie_id]],Financials[],2,0),"Not_Available")</f>
        <v>850</v>
      </c>
      <c r="I30">
        <f>IFERROR(VLOOKUP(Movies[[#This Row],[movie_id]:[movie_id]],Financials[],3,0),"Not_Available")</f>
        <v>8540</v>
      </c>
      <c r="J30" t="str">
        <f>IFERROR(VLOOKUP(Movies[[#This Row],[movie_id]:[movie_id]],Financials[],4,0),"Not_Available")</f>
        <v>Millions</v>
      </c>
      <c r="K30" t="str">
        <f>IFERROR(VLOOKUP(Movies[[#This Row],[movie_id]:[movie_id]],Financials[],5,0),"Not_Available")</f>
        <v>INR</v>
      </c>
      <c r="L30">
        <f>IF(Movies[[#This Row],[unit]]="Billions",Movies[[#This Row],[Budget]]*1000,Movies[[#This Row],[Budget]])</f>
        <v>850</v>
      </c>
      <c r="M30">
        <f>IF(Movies[[#This Row],[unit]]="Billions",Movies[[#This Row],[Revenue]]*1000,Movies[[#This Row],[Revenue]])</f>
        <v>8540</v>
      </c>
      <c r="N30">
        <f>IF(Movies[[#This Row],[currency]]="usd",Movies[[#This Row],[Budget(Mln)]]*80,Movies[[#This Row],[Budget(Mln)]])</f>
        <v>850</v>
      </c>
      <c r="O30">
        <f>IF(Movies[[#This Row],[currency]]="USD",Movies[[#This Row],[Revenue(Mln)]]*80,Movies[[#This Row],[Revenue(Mln)]])</f>
        <v>8540</v>
      </c>
      <c r="P30">
        <f>IF(Movies[[#This Row],[currency]]="INR",Movies[[#This Row],[Budget(Mln)]]/80,Movies[[#This Row],[Budget(Mln)]])</f>
        <v>10.625</v>
      </c>
      <c r="Q30">
        <f>IF(Movies[[#This Row],[currency]]="INR",Movies[[#This Row],[Revenue(Mln)]]/80,Movies[[#This Row],[Revenue(Mln)]])</f>
        <v>106.75</v>
      </c>
    </row>
    <row r="31" spans="1:17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IFERROR(VLOOKUP(Movies[[#This Row],[movie_id]:[movie_id]],Financials[],2,0),"Not_Available")</f>
        <v>1</v>
      </c>
      <c r="I31">
        <f>IFERROR(VLOOKUP(Movies[[#This Row],[movie_id]:[movie_id]],Financials[],3,0),"Not_Available")</f>
        <v>5.9</v>
      </c>
      <c r="J31" t="str">
        <f>IFERROR(VLOOKUP(Movies[[#This Row],[movie_id]:[movie_id]],Financials[],4,0),"Not_Available")</f>
        <v>Billions</v>
      </c>
      <c r="K31" t="str">
        <f>IFERROR(VLOOKUP(Movies[[#This Row],[movie_id]:[movie_id]],Financials[],5,0),"Not_Available")</f>
        <v>INR</v>
      </c>
      <c r="L31">
        <f>IF(Movies[[#This Row],[unit]]="Billions",Movies[[#This Row],[Budget]]*1000,Movies[[#This Row],[Budget]])</f>
        <v>1000</v>
      </c>
      <c r="M31">
        <f>IF(Movies[[#This Row],[unit]]="Billions",Movies[[#This Row],[Revenue]]*1000,Movies[[#This Row],[Revenue]])</f>
        <v>5900</v>
      </c>
      <c r="N31">
        <f>IF(Movies[[#This Row],[currency]]="usd",Movies[[#This Row],[Budget(Mln)]]*80,Movies[[#This Row],[Budget(Mln)]])</f>
        <v>1000</v>
      </c>
      <c r="O31">
        <f>IF(Movies[[#This Row],[currency]]="USD",Movies[[#This Row],[Revenue(Mln)]]*80,Movies[[#This Row],[Revenue(Mln)]])</f>
        <v>5900</v>
      </c>
      <c r="P31">
        <f>IF(Movies[[#This Row],[currency]]="INR",Movies[[#This Row],[Budget(Mln)]]/80,Movies[[#This Row],[Budget(Mln)]])</f>
        <v>12.5</v>
      </c>
      <c r="Q31">
        <f>IF(Movies[[#This Row],[currency]]="INR",Movies[[#This Row],[Revenue(Mln)]]/80,Movies[[#This Row],[Revenue(Mln)]])</f>
        <v>73.75</v>
      </c>
    </row>
    <row r="32" spans="1:17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IFERROR(VLOOKUP(Movies[[#This Row],[movie_id]:[movie_id]],Financials[],2,0),"Not_Available")</f>
        <v>2</v>
      </c>
      <c r="I32">
        <f>IFERROR(VLOOKUP(Movies[[#This Row],[movie_id]:[movie_id]],Financials[],3,0),"Not_Available")</f>
        <v>3.6</v>
      </c>
      <c r="J32" t="str">
        <f>IFERROR(VLOOKUP(Movies[[#This Row],[movie_id]:[movie_id]],Financials[],4,0),"Not_Available")</f>
        <v>Billions</v>
      </c>
      <c r="K32" t="str">
        <f>IFERROR(VLOOKUP(Movies[[#This Row],[movie_id]:[movie_id]],Financials[],5,0),"Not_Available")</f>
        <v>INR</v>
      </c>
      <c r="L32">
        <f>IF(Movies[[#This Row],[unit]]="Billions",Movies[[#This Row],[Budget]]*1000,Movies[[#This Row],[Budget]])</f>
        <v>2000</v>
      </c>
      <c r="M32">
        <f>IF(Movies[[#This Row],[unit]]="Billions",Movies[[#This Row],[Revenue]]*1000,Movies[[#This Row],[Revenue]])</f>
        <v>3600</v>
      </c>
      <c r="N32">
        <f>IF(Movies[[#This Row],[currency]]="usd",Movies[[#This Row],[Budget(Mln)]]*80,Movies[[#This Row],[Budget(Mln)]])</f>
        <v>2000</v>
      </c>
      <c r="O32">
        <f>IF(Movies[[#This Row],[currency]]="USD",Movies[[#This Row],[Revenue(Mln)]]*80,Movies[[#This Row],[Revenue(Mln)]])</f>
        <v>3600</v>
      </c>
      <c r="P32">
        <f>IF(Movies[[#This Row],[currency]]="INR",Movies[[#This Row],[Budget(Mln)]]/80,Movies[[#This Row],[Budget(Mln)]])</f>
        <v>25</v>
      </c>
      <c r="Q32">
        <f>IF(Movies[[#This Row],[currency]]="INR",Movies[[#This Row],[Revenue(Mln)]]/80,Movies[[#This Row],[Revenue(Mln)]])</f>
        <v>45</v>
      </c>
    </row>
    <row r="33" spans="1:17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IFERROR(VLOOKUP(Movies[[#This Row],[movie_id]:[movie_id]],Financials[],2,0),"Not_Available")</f>
        <v>5.5</v>
      </c>
      <c r="I33">
        <f>IFERROR(VLOOKUP(Movies[[#This Row],[movie_id]:[movie_id]],Financials[],3,0),"Not_Available")</f>
        <v>12</v>
      </c>
      <c r="J33" t="str">
        <f>IFERROR(VLOOKUP(Movies[[#This Row],[movie_id]:[movie_id]],Financials[],4,0),"Not_Available")</f>
        <v>Billions</v>
      </c>
      <c r="K33" t="str">
        <f>IFERROR(VLOOKUP(Movies[[#This Row],[movie_id]:[movie_id]],Financials[],5,0),"Not_Available")</f>
        <v>INR</v>
      </c>
      <c r="L33">
        <f>IF(Movies[[#This Row],[unit]]="Billions",Movies[[#This Row],[Budget]]*1000,Movies[[#This Row],[Budget]])</f>
        <v>5500</v>
      </c>
      <c r="M33">
        <f>IF(Movies[[#This Row],[unit]]="Billions",Movies[[#This Row],[Revenue]]*1000,Movies[[#This Row],[Revenue]])</f>
        <v>12000</v>
      </c>
      <c r="N33">
        <f>IF(Movies[[#This Row],[currency]]="usd",Movies[[#This Row],[Budget(Mln)]]*80,Movies[[#This Row],[Budget(Mln)]])</f>
        <v>5500</v>
      </c>
      <c r="O33">
        <f>IF(Movies[[#This Row],[currency]]="USD",Movies[[#This Row],[Revenue(Mln)]]*80,Movies[[#This Row],[Revenue(Mln)]])</f>
        <v>12000</v>
      </c>
      <c r="P33">
        <f>IF(Movies[[#This Row],[currency]]="INR",Movies[[#This Row],[Budget(Mln)]]/80,Movies[[#This Row],[Budget(Mln)]])</f>
        <v>68.75</v>
      </c>
      <c r="Q33">
        <f>IF(Movies[[#This Row],[currency]]="INR",Movies[[#This Row],[Revenue(Mln)]]/80,Movies[[#This Row],[Revenue(Mln)]])</f>
        <v>150</v>
      </c>
    </row>
    <row r="34" spans="1:17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IFERROR(VLOOKUP(Movies[[#This Row],[movie_id]:[movie_id]],Financials[],2,0),"Not_Available")</f>
        <v>1.8</v>
      </c>
      <c r="I34">
        <f>IFERROR(VLOOKUP(Movies[[#This Row],[movie_id]:[movie_id]],Financials[],3,0),"Not_Available")</f>
        <v>6.5</v>
      </c>
      <c r="J34" t="str">
        <f>IFERROR(VLOOKUP(Movies[[#This Row],[movie_id]:[movie_id]],Financials[],4,0),"Not_Available")</f>
        <v>Billions</v>
      </c>
      <c r="K34" t="str">
        <f>IFERROR(VLOOKUP(Movies[[#This Row],[movie_id]:[movie_id]],Financials[],5,0),"Not_Available")</f>
        <v>INR</v>
      </c>
      <c r="L34">
        <f>IF(Movies[[#This Row],[unit]]="Billions",Movies[[#This Row],[Budget]]*1000,Movies[[#This Row],[Budget]])</f>
        <v>1800</v>
      </c>
      <c r="M34">
        <f>IF(Movies[[#This Row],[unit]]="Billions",Movies[[#This Row],[Revenue]]*1000,Movies[[#This Row],[Revenue]])</f>
        <v>6500</v>
      </c>
      <c r="N34">
        <f>IF(Movies[[#This Row],[currency]]="usd",Movies[[#This Row],[Budget(Mln)]]*80,Movies[[#This Row],[Budget(Mln)]])</f>
        <v>1800</v>
      </c>
      <c r="O34">
        <f>IF(Movies[[#This Row],[currency]]="USD",Movies[[#This Row],[Revenue(Mln)]]*80,Movies[[#This Row],[Revenue(Mln)]])</f>
        <v>6500</v>
      </c>
      <c r="P34">
        <f>IF(Movies[[#This Row],[currency]]="INR",Movies[[#This Row],[Budget(Mln)]]/80,Movies[[#This Row],[Budget(Mln)]])</f>
        <v>22.5</v>
      </c>
      <c r="Q34">
        <f>IF(Movies[[#This Row],[currency]]="INR",Movies[[#This Row],[Revenue(Mln)]]/80,Movies[[#This Row],[Revenue(Mln)]])</f>
        <v>81.25</v>
      </c>
    </row>
    <row r="35" spans="1:17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IFERROR(VLOOKUP(Movies[[#This Row],[movie_id]:[movie_id]],Financials[],2,0),"Not_Available")</f>
        <v>250</v>
      </c>
      <c r="I35">
        <f>IFERROR(VLOOKUP(Movies[[#This Row],[movie_id]:[movie_id]],Financials[],3,0),"Not_Available")</f>
        <v>3409</v>
      </c>
      <c r="J35" t="str">
        <f>IFERROR(VLOOKUP(Movies[[#This Row],[movie_id]:[movie_id]],Financials[],4,0),"Not_Available")</f>
        <v>Millions</v>
      </c>
      <c r="K35" t="str">
        <f>IFERROR(VLOOKUP(Movies[[#This Row],[movie_id]:[movie_id]],Financials[],5,0),"Not_Available")</f>
        <v>INR</v>
      </c>
      <c r="L35">
        <f>IF(Movies[[#This Row],[unit]]="Billions",Movies[[#This Row],[Budget]]*1000,Movies[[#This Row],[Budget]])</f>
        <v>250</v>
      </c>
      <c r="M35">
        <f>IF(Movies[[#This Row],[unit]]="Billions",Movies[[#This Row],[Revenue]]*1000,Movies[[#This Row],[Revenue]])</f>
        <v>3409</v>
      </c>
      <c r="N35">
        <f>IF(Movies[[#This Row],[currency]]="usd",Movies[[#This Row],[Budget(Mln)]]*80,Movies[[#This Row],[Budget(Mln)]])</f>
        <v>250</v>
      </c>
      <c r="O35">
        <f>IF(Movies[[#This Row],[currency]]="USD",Movies[[#This Row],[Revenue(Mln)]]*80,Movies[[#This Row],[Revenue(Mln)]])</f>
        <v>3409</v>
      </c>
      <c r="P35">
        <f>IF(Movies[[#This Row],[currency]]="INR",Movies[[#This Row],[Budget(Mln)]]/80,Movies[[#This Row],[Budget(Mln)]])</f>
        <v>3.125</v>
      </c>
      <c r="Q35">
        <f>IF(Movies[[#This Row],[currency]]="INR",Movies[[#This Row],[Revenue(Mln)]]/80,Movies[[#This Row],[Revenue(Mln)]])</f>
        <v>42.612499999999997</v>
      </c>
    </row>
    <row r="36" spans="1:17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IFERROR(VLOOKUP(Movies[[#This Row],[movie_id]:[movie_id]],Financials[],2,0),"Not_Available")</f>
        <v>900</v>
      </c>
      <c r="I36">
        <f>IFERROR(VLOOKUP(Movies[[#This Row],[movie_id]:[movie_id]],Financials[],3,0),"Not_Available")</f>
        <v>11690</v>
      </c>
      <c r="J36" t="str">
        <f>IFERROR(VLOOKUP(Movies[[#This Row],[movie_id]:[movie_id]],Financials[],4,0),"Not_Available")</f>
        <v>Millions</v>
      </c>
      <c r="K36" t="str">
        <f>IFERROR(VLOOKUP(Movies[[#This Row],[movie_id]:[movie_id]],Financials[],5,0),"Not_Available")</f>
        <v>INR</v>
      </c>
      <c r="L36">
        <f>IF(Movies[[#This Row],[unit]]="Billions",Movies[[#This Row],[Budget]]*1000,Movies[[#This Row],[Budget]])</f>
        <v>900</v>
      </c>
      <c r="M36">
        <f>IF(Movies[[#This Row],[unit]]="Billions",Movies[[#This Row],[Revenue]]*1000,Movies[[#This Row],[Revenue]])</f>
        <v>11690</v>
      </c>
      <c r="N36">
        <f>IF(Movies[[#This Row],[currency]]="usd",Movies[[#This Row],[Budget(Mln)]]*80,Movies[[#This Row],[Budget(Mln)]])</f>
        <v>900</v>
      </c>
      <c r="O36">
        <f>IF(Movies[[#This Row],[currency]]="USD",Movies[[#This Row],[Revenue(Mln)]]*80,Movies[[#This Row],[Revenue(Mln)]])</f>
        <v>11690</v>
      </c>
      <c r="P36">
        <f>IF(Movies[[#This Row],[currency]]="INR",Movies[[#This Row],[Budget(Mln)]]/80,Movies[[#This Row],[Budget(Mln)]])</f>
        <v>11.25</v>
      </c>
      <c r="Q36">
        <f>IF(Movies[[#This Row],[currency]]="INR",Movies[[#This Row],[Revenue(Mln)]]/80,Movies[[#This Row],[Revenue(Mln)]])</f>
        <v>146.125</v>
      </c>
    </row>
    <row r="37" spans="1:17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IFERROR(VLOOKUP(Movies[[#This Row],[movie_id]:[movie_id]],Financials[],2,0),"Not_Available")</f>
        <v>216.7</v>
      </c>
      <c r="I37">
        <f>IFERROR(VLOOKUP(Movies[[#This Row],[movie_id]:[movie_id]],Financials[],3,0),"Not_Available")</f>
        <v>370.6</v>
      </c>
      <c r="J37" t="str">
        <f>IFERROR(VLOOKUP(Movies[[#This Row],[movie_id]:[movie_id]],Financials[],4,0),"Not_Available")</f>
        <v>Millions</v>
      </c>
      <c r="K37" t="str">
        <f>IFERROR(VLOOKUP(Movies[[#This Row],[movie_id]:[movie_id]],Financials[],5,0),"Not_Available")</f>
        <v>USD</v>
      </c>
      <c r="L37">
        <f>IF(Movies[[#This Row],[unit]]="Billions",Movies[[#This Row],[Budget]]*1000,Movies[[#This Row],[Budget]])</f>
        <v>216.7</v>
      </c>
      <c r="M37">
        <f>IF(Movies[[#This Row],[unit]]="Billions",Movies[[#This Row],[Revenue]]*1000,Movies[[#This Row],[Revenue]])</f>
        <v>370.6</v>
      </c>
      <c r="N37">
        <f>IF(Movies[[#This Row],[currency]]="usd",Movies[[#This Row],[Budget(Mln)]]*80,Movies[[#This Row],[Budget(Mln)]])</f>
        <v>17336</v>
      </c>
      <c r="O37">
        <f>IF(Movies[[#This Row],[currency]]="USD",Movies[[#This Row],[Revenue(Mln)]]*80,Movies[[#This Row],[Revenue(Mln)]])</f>
        <v>29648</v>
      </c>
      <c r="P37">
        <f>IF(Movies[[#This Row],[currency]]="INR",Movies[[#This Row],[Budget(Mln)]]/80,Movies[[#This Row],[Budget(Mln)]])</f>
        <v>216.7</v>
      </c>
      <c r="Q37">
        <f>IF(Movies[[#This Row],[currency]]="INR",Movies[[#This Row],[Revenue(Mln)]]/80,Movies[[#This Row],[Revenue(Mln)]])</f>
        <v>370.6</v>
      </c>
    </row>
    <row r="38" spans="1:17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IFERROR(VLOOKUP(Movies[[#This Row],[movie_id]:[movie_id]],Financials[],2,0),"Not_Available")</f>
        <v>177</v>
      </c>
      <c r="I38">
        <f>IFERROR(VLOOKUP(Movies[[#This Row],[movie_id]:[movie_id]],Financials[],3,0),"Not_Available")</f>
        <v>714.4</v>
      </c>
      <c r="J38" t="str">
        <f>IFERROR(VLOOKUP(Movies[[#This Row],[movie_id]:[movie_id]],Financials[],4,0),"Not_Available")</f>
        <v>Millions</v>
      </c>
      <c r="K38" t="str">
        <f>IFERROR(VLOOKUP(Movies[[#This Row],[movie_id]:[movie_id]],Financials[],5,0),"Not_Available")</f>
        <v>USD</v>
      </c>
      <c r="L38">
        <f>IF(Movies[[#This Row],[unit]]="Billions",Movies[[#This Row],[Budget]]*1000,Movies[[#This Row],[Budget]])</f>
        <v>177</v>
      </c>
      <c r="M38">
        <f>IF(Movies[[#This Row],[unit]]="Billions",Movies[[#This Row],[Revenue]]*1000,Movies[[#This Row],[Revenue]])</f>
        <v>714.4</v>
      </c>
      <c r="N38">
        <f>IF(Movies[[#This Row],[currency]]="usd",Movies[[#This Row],[Budget(Mln)]]*80,Movies[[#This Row],[Budget(Mln)]])</f>
        <v>14160</v>
      </c>
      <c r="O38">
        <f>IF(Movies[[#This Row],[currency]]="USD",Movies[[#This Row],[Revenue(Mln)]]*80,Movies[[#This Row],[Revenue(Mln)]])</f>
        <v>57152</v>
      </c>
      <c r="P38">
        <f>IF(Movies[[#This Row],[currency]]="INR",Movies[[#This Row],[Budget(Mln)]]/80,Movies[[#This Row],[Budget(Mln)]])</f>
        <v>177</v>
      </c>
      <c r="Q38">
        <f>IF(Movies[[#This Row],[currency]]="INR",Movies[[#This Row],[Revenue(Mln)]]/80,Movies[[#This Row],[Revenue(Mln)]])</f>
        <v>714.4</v>
      </c>
    </row>
    <row r="39" spans="1:17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IFERROR(VLOOKUP(Movies[[#This Row],[movie_id]:[movie_id]],Financials[],2,0),"Not_Available")</f>
        <v>1.8</v>
      </c>
      <c r="I39">
        <f>IFERROR(VLOOKUP(Movies[[#This Row],[movie_id]:[movie_id]],Financials[],3,0),"Not_Available")</f>
        <v>3.1</v>
      </c>
      <c r="J39" t="str">
        <f>IFERROR(VLOOKUP(Movies[[#This Row],[movie_id]:[movie_id]],Financials[],4,0),"Not_Available")</f>
        <v>Billions</v>
      </c>
      <c r="K39" t="str">
        <f>IFERROR(VLOOKUP(Movies[[#This Row],[movie_id]:[movie_id]],Financials[],5,0),"Not_Available")</f>
        <v>INR</v>
      </c>
      <c r="L39">
        <f>IF(Movies[[#This Row],[unit]]="Billions",Movies[[#This Row],[Budget]]*1000,Movies[[#This Row],[Budget]])</f>
        <v>1800</v>
      </c>
      <c r="M39">
        <f>IF(Movies[[#This Row],[unit]]="Billions",Movies[[#This Row],[Revenue]]*1000,Movies[[#This Row],[Revenue]])</f>
        <v>3100</v>
      </c>
      <c r="N39">
        <f>IF(Movies[[#This Row],[currency]]="usd",Movies[[#This Row],[Budget(Mln)]]*80,Movies[[#This Row],[Budget(Mln)]])</f>
        <v>1800</v>
      </c>
      <c r="O39">
        <f>IF(Movies[[#This Row],[currency]]="USD",Movies[[#This Row],[Revenue(Mln)]]*80,Movies[[#This Row],[Revenue(Mln)]])</f>
        <v>3100</v>
      </c>
      <c r="P39">
        <f>IF(Movies[[#This Row],[currency]]="INR",Movies[[#This Row],[Budget(Mln)]]/80,Movies[[#This Row],[Budget(Mln)]])</f>
        <v>22.5</v>
      </c>
      <c r="Q39">
        <f>IF(Movies[[#This Row],[currency]]="INR",Movies[[#This Row],[Revenue(Mln)]]/80,Movies[[#This Row],[Revenue(Mln)]])</f>
        <v>38.75</v>
      </c>
    </row>
    <row r="40" spans="1:17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IFERROR(VLOOKUP(Movies[[#This Row],[movie_id]:[movie_id]],Financials[],2,0),"Not_Available")</f>
        <v>500</v>
      </c>
      <c r="I40">
        <f>IFERROR(VLOOKUP(Movies[[#This Row],[movie_id]:[movie_id]],Financials[],3,0),"Not_Available")</f>
        <v>950</v>
      </c>
      <c r="J40" t="str">
        <f>IFERROR(VLOOKUP(Movies[[#This Row],[movie_id]:[movie_id]],Financials[],4,0),"Not_Available")</f>
        <v>Millions</v>
      </c>
      <c r="K40" t="str">
        <f>IFERROR(VLOOKUP(Movies[[#This Row],[movie_id]:[movie_id]],Financials[],5,0),"Not_Available")</f>
        <v>INR</v>
      </c>
      <c r="L40">
        <f>IF(Movies[[#This Row],[unit]]="Billions",Movies[[#This Row],[Budget]]*1000,Movies[[#This Row],[Budget]])</f>
        <v>500</v>
      </c>
      <c r="M40">
        <f>IF(Movies[[#This Row],[unit]]="Billions",Movies[[#This Row],[Revenue]]*1000,Movies[[#This Row],[Revenue]])</f>
        <v>950</v>
      </c>
      <c r="N40">
        <f>IF(Movies[[#This Row],[currency]]="usd",Movies[[#This Row],[Budget(Mln)]]*80,Movies[[#This Row],[Budget(Mln)]])</f>
        <v>500</v>
      </c>
      <c r="O40">
        <f>IF(Movies[[#This Row],[currency]]="USD",Movies[[#This Row],[Revenue(Mln)]]*80,Movies[[#This Row],[Revenue(Mln)]])</f>
        <v>950</v>
      </c>
      <c r="P40">
        <f>IF(Movies[[#This Row],[currency]]="INR",Movies[[#This Row],[Budget(Mln)]]/80,Movies[[#This Row],[Budget(Mln)]])</f>
        <v>6.25</v>
      </c>
      <c r="Q40">
        <f>IF(Movies[[#This Row],[currency]]="INR",Movies[[#This Row],[Revenue(Mln)]]/80,Movies[[#This Row],[Revenue(Mln)]])</f>
        <v>11.875</v>
      </c>
    </row>
    <row r="42" spans="1:17" x14ac:dyDescent="0.25">
      <c r="N42" s="4" t="s">
        <v>174</v>
      </c>
      <c r="O42" s="4" t="s">
        <v>175</v>
      </c>
      <c r="P42" s="4" t="s">
        <v>181</v>
      </c>
      <c r="Q42" s="4" t="s">
        <v>182</v>
      </c>
    </row>
    <row r="43" spans="1:17" x14ac:dyDescent="0.25">
      <c r="N43">
        <f>SUM(Movies[Budget INR])</f>
        <v>264196.40000000002</v>
      </c>
      <c r="O43">
        <f>SUM(Movies[Revenue INR])</f>
        <v>1567141</v>
      </c>
      <c r="P43">
        <f>SUM(Movies[Budget USD])</f>
        <v>3302.4549999999999</v>
      </c>
      <c r="Q43">
        <f>SUM(Movies[Revenue USD])</f>
        <v>19589.262500000001</v>
      </c>
    </row>
    <row r="44" spans="1:17" x14ac:dyDescent="0.25">
      <c r="B44" s="4" t="s">
        <v>176</v>
      </c>
      <c r="C44" s="5">
        <f>COUNT(Movies[movie_id])</f>
        <v>39</v>
      </c>
    </row>
    <row r="45" spans="1:17" x14ac:dyDescent="0.25">
      <c r="B45" s="4" t="s">
        <v>177</v>
      </c>
      <c r="C45" s="5">
        <f>COUNTIF(Movies[industry],"Bollywood")</f>
        <v>18</v>
      </c>
    </row>
    <row r="46" spans="1:17" x14ac:dyDescent="0.25">
      <c r="B46" s="4" t="s">
        <v>178</v>
      </c>
      <c r="C46" s="5">
        <f>SUMIF(Movies[industry],"Bollywood",Movies[Revenue INR])</f>
        <v>80909</v>
      </c>
    </row>
    <row r="47" spans="1:17" x14ac:dyDescent="0.25">
      <c r="B47" s="4" t="s">
        <v>179</v>
      </c>
      <c r="C47" s="6">
        <f>C46/C45</f>
        <v>4494.9444444444443</v>
      </c>
    </row>
    <row r="48" spans="1:17" x14ac:dyDescent="0.25">
      <c r="B48" s="4" t="s">
        <v>180</v>
      </c>
      <c r="C48" s="7">
        <f>C46/O43</f>
        <v>5.1628411227834639E-2</v>
      </c>
    </row>
    <row r="52" spans="3:4" x14ac:dyDescent="0.25">
      <c r="C52" s="5" t="s">
        <v>196</v>
      </c>
    </row>
    <row r="53" spans="3:4" x14ac:dyDescent="0.25">
      <c r="C53" s="4" t="s">
        <v>193</v>
      </c>
      <c r="D53" s="13">
        <f>AVERAGE(Movies[imdb_rating])</f>
        <v>7.9473684210526319</v>
      </c>
    </row>
    <row r="54" spans="3:4" x14ac:dyDescent="0.25">
      <c r="C54" s="4" t="s">
        <v>194</v>
      </c>
      <c r="D54" s="5">
        <f>MEDIAN(Movies[imdb_rating])</f>
        <v>8.1</v>
      </c>
    </row>
    <row r="55" spans="3:4" x14ac:dyDescent="0.25">
      <c r="C55" s="4" t="s">
        <v>195</v>
      </c>
      <c r="D55" s="5">
        <f>MODE(Movies[imdb_rating])</f>
        <v>8.4</v>
      </c>
    </row>
    <row r="56" spans="3:4" x14ac:dyDescent="0.25">
      <c r="C56" s="4" t="s">
        <v>223</v>
      </c>
      <c r="D56" s="6">
        <f>_xlfn.VAR.P(Movies[imdb_rating])</f>
        <v>1.3577562326869845</v>
      </c>
    </row>
    <row r="57" spans="3:4" x14ac:dyDescent="0.25">
      <c r="C57" s="4" t="s">
        <v>225</v>
      </c>
      <c r="D57" s="13">
        <f>_xlfn.STDEV.P(Movies[imdb_rating])</f>
        <v>1.1652279745556164</v>
      </c>
    </row>
    <row r="1048576" spans="14:14" x14ac:dyDescent="0.25">
      <c r="N1048576">
        <f>SUM(N2:N1048575)</f>
        <v>528392.80000000005</v>
      </c>
    </row>
  </sheetData>
  <phoneticPr fontId="2" type="noConversion"/>
  <conditionalFormatting sqref="A41:B42">
    <cfRule type="duplicateValues" dxfId="18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Normal="100" workbookViewId="0">
      <selection activeCell="F24" sqref="F24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10.7109375" bestFit="1" customWidth="1"/>
    <col min="4" max="4" width="8.140625" bestFit="1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3096-63C8-4AA5-890E-73E0D3FD5ACD}">
  <dimension ref="A1:E7"/>
  <sheetViews>
    <sheetView workbookViewId="0">
      <selection activeCell="D4" sqref="D4"/>
    </sheetView>
  </sheetViews>
  <sheetFormatPr defaultRowHeight="15" x14ac:dyDescent="0.25"/>
  <cols>
    <col min="1" max="1" width="10.28515625" bestFit="1" customWidth="1"/>
    <col min="3" max="3" width="8.42578125" bestFit="1" customWidth="1"/>
    <col min="4" max="4" width="14.5703125" bestFit="1" customWidth="1"/>
    <col min="5" max="5" width="11" customWidth="1"/>
  </cols>
  <sheetData>
    <row r="1" spans="1:5" x14ac:dyDescent="0.25">
      <c r="A1" t="s">
        <v>159</v>
      </c>
      <c r="B1" t="s">
        <v>160</v>
      </c>
    </row>
    <row r="2" spans="1:5" x14ac:dyDescent="0.25">
      <c r="A2" t="s">
        <v>161</v>
      </c>
      <c r="B2">
        <v>20</v>
      </c>
    </row>
    <row r="3" spans="1:5" x14ac:dyDescent="0.25">
      <c r="A3" t="s">
        <v>162</v>
      </c>
      <c r="B3">
        <v>15</v>
      </c>
      <c r="D3" t="s">
        <v>183</v>
      </c>
      <c r="E3" t="s">
        <v>184</v>
      </c>
    </row>
    <row r="4" spans="1:5" x14ac:dyDescent="0.25">
      <c r="A4" t="s">
        <v>163</v>
      </c>
      <c r="B4">
        <v>13</v>
      </c>
      <c r="D4" t="s">
        <v>165</v>
      </c>
      <c r="E4" t="str">
        <f>INDEX(foods[],4,1)</f>
        <v>samaosa</v>
      </c>
    </row>
    <row r="5" spans="1:5" x14ac:dyDescent="0.25">
      <c r="A5" t="s">
        <v>164</v>
      </c>
      <c r="B5">
        <v>7</v>
      </c>
      <c r="D5" t="s">
        <v>166</v>
      </c>
      <c r="E5">
        <f>MATCH("dumplings",foods[item],0)</f>
        <v>3</v>
      </c>
    </row>
    <row r="6" spans="1:5" x14ac:dyDescent="0.25">
      <c r="D6" t="s">
        <v>167</v>
      </c>
      <c r="E6">
        <f>MATCH("price",foods[#Headers])</f>
        <v>2</v>
      </c>
    </row>
    <row r="7" spans="1:5" x14ac:dyDescent="0.25">
      <c r="D7" t="e">
        <f>foods[#Data]</f>
        <v>#VALUE!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F148-A300-43E0-857A-BA855F83478C}">
  <dimension ref="A1:E6"/>
  <sheetViews>
    <sheetView topLeftCell="B1" workbookViewId="0">
      <selection activeCell="E11" sqref="E11"/>
    </sheetView>
  </sheetViews>
  <sheetFormatPr defaultRowHeight="15" x14ac:dyDescent="0.25"/>
  <cols>
    <col min="1" max="1" width="24.140625" bestFit="1" customWidth="1"/>
    <col min="2" max="2" width="25.28515625" customWidth="1"/>
    <col min="3" max="3" width="10.5703125" bestFit="1" customWidth="1"/>
    <col min="4" max="4" width="16.42578125" bestFit="1" customWidth="1"/>
    <col min="5" max="5" width="18" bestFit="1" customWidth="1"/>
  </cols>
  <sheetData>
    <row r="1" spans="1:5" x14ac:dyDescent="0.25">
      <c r="A1" t="s">
        <v>185</v>
      </c>
      <c r="B1" t="s">
        <v>186</v>
      </c>
      <c r="C1" t="s">
        <v>190</v>
      </c>
      <c r="D1" t="s">
        <v>191</v>
      </c>
      <c r="E1" t="s">
        <v>192</v>
      </c>
    </row>
    <row r="2" spans="1:5" x14ac:dyDescent="0.25">
      <c r="A2" t="s">
        <v>158</v>
      </c>
      <c r="B2" s="10">
        <f>SUMIF(Movies[studio],"Marvel Studios",Movies[Revenue USD])</f>
        <v>9054.6</v>
      </c>
      <c r="C2" s="10">
        <v>8000</v>
      </c>
      <c r="D2" s="12">
        <f>Table8[[#This Row],[Marvel consolidated P&amp;L]]-Table8[[#This Row],[Target]]</f>
        <v>1054.6000000000004</v>
      </c>
      <c r="E2" s="8">
        <f>Table8[[#This Row],[Target_Actuals]]/Table8[[#This Row],[Marvel consolidated P&amp;L]]</f>
        <v>0.11647118591655074</v>
      </c>
    </row>
    <row r="3" spans="1:5" x14ac:dyDescent="0.25">
      <c r="A3" t="s">
        <v>157</v>
      </c>
      <c r="B3" s="10">
        <f>SUMIF(Movies[studio],"Marvel Studios",Movies[Budget USD])</f>
        <v>1988.7</v>
      </c>
      <c r="C3" s="10">
        <v>2000</v>
      </c>
      <c r="D3" s="12">
        <f>Table8[[#This Row],[Target]]-Table8[[#This Row],[Marvel consolidated P&amp;L]]</f>
        <v>11.299999999999955</v>
      </c>
      <c r="E3" s="8">
        <f>Table8[[#This Row],[Target_Actuals]]/Table8[[#This Row],[Marvel consolidated P&amp;L]]</f>
        <v>5.6821038869613082E-3</v>
      </c>
    </row>
    <row r="4" spans="1:5" x14ac:dyDescent="0.25">
      <c r="A4" t="s">
        <v>187</v>
      </c>
      <c r="B4" s="10">
        <f>B2-B3</f>
        <v>7065.9000000000005</v>
      </c>
      <c r="C4" s="10">
        <v>5500</v>
      </c>
      <c r="D4" s="12">
        <f>Table8[[#This Row],[Marvel consolidated P&amp;L]]-Table8[[#This Row],[Target]]</f>
        <v>1565.9000000000005</v>
      </c>
      <c r="E4" s="8">
        <f>Table8[[#This Row],[Target_Actuals]]/Table8[[#This Row],[Marvel consolidated P&amp;L]]</f>
        <v>0.22161366563353577</v>
      </c>
    </row>
    <row r="5" spans="1:5" x14ac:dyDescent="0.25">
      <c r="A5" t="s">
        <v>188</v>
      </c>
      <c r="B5" s="8">
        <f>B4/B3</f>
        <v>3.5530245889274403</v>
      </c>
      <c r="C5" s="8">
        <f>C4/C3</f>
        <v>2.75</v>
      </c>
      <c r="D5" s="8">
        <f>Table8[[#This Row],[Marvel consolidated P&amp;L]]-Table8[[#This Row],[Target]]</f>
        <v>0.80302458892744033</v>
      </c>
      <c r="E5" s="8">
        <f>Table8[[#This Row],[Target_Actuals]]/Table8[[#This Row],[Marvel consolidated P&amp;L]]</f>
        <v>0.22601154842270629</v>
      </c>
    </row>
    <row r="6" spans="1:5" x14ac:dyDescent="0.25">
      <c r="A6" t="s">
        <v>189</v>
      </c>
      <c r="B6" s="9">
        <f>B2/SUMIF(Movies[industry],"Hollywood",Movies[Revenue USD])</f>
        <v>0.48738554949698293</v>
      </c>
      <c r="C6" s="11">
        <v>0.55000000000000004</v>
      </c>
      <c r="D6" s="8">
        <f>Table8[[#This Row],[Marvel consolidated P&amp;L]]-Table8[[#This Row],[Target]]</f>
        <v>-6.2614450503017116E-2</v>
      </c>
      <c r="E6" s="8">
        <f>Table8[[#This Row],[Target_Actuals]]/Table8[[#This Row],[Marvel consolidated P&amp;L]]</f>
        <v>-0.12847005941731293</v>
      </c>
    </row>
  </sheetData>
  <conditionalFormatting sqref="E2:E6">
    <cfRule type="cellIs" dxfId="2" priority="1" operator="lessThan">
      <formula>-0.1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5BE9-1202-4EE8-9B0C-4796A9BC5151}">
  <dimension ref="A1:J28"/>
  <sheetViews>
    <sheetView tabSelected="1" topLeftCell="A5" workbookViewId="0">
      <selection activeCell="A20" sqref="A20:C20"/>
    </sheetView>
  </sheetViews>
  <sheetFormatPr defaultRowHeight="15" x14ac:dyDescent="0.25"/>
  <cols>
    <col min="1" max="1" width="10.28515625" bestFit="1" customWidth="1"/>
    <col min="2" max="2" width="14" bestFit="1" customWidth="1"/>
    <col min="3" max="3" width="18" bestFit="1" customWidth="1"/>
    <col min="4" max="4" width="23.42578125" bestFit="1" customWidth="1"/>
    <col min="8" max="8" width="14" bestFit="1" customWidth="1"/>
    <col min="9" max="9" width="13.42578125" bestFit="1" customWidth="1"/>
    <col min="10" max="10" width="22.5703125" bestFit="1" customWidth="1"/>
  </cols>
  <sheetData>
    <row r="1" spans="1:10" x14ac:dyDescent="0.25">
      <c r="A1" s="16" t="s">
        <v>197</v>
      </c>
      <c r="B1" s="16"/>
      <c r="C1" s="16"/>
      <c r="D1" s="16"/>
      <c r="G1" s="15" t="s">
        <v>208</v>
      </c>
      <c r="H1" s="15"/>
      <c r="I1" s="15"/>
      <c r="J1" s="15"/>
    </row>
    <row r="2" spans="1:10" x14ac:dyDescent="0.25">
      <c r="A2" s="17" t="s">
        <v>36</v>
      </c>
      <c r="B2" s="17" t="s">
        <v>198</v>
      </c>
      <c r="C2" s="17" t="s">
        <v>199</v>
      </c>
      <c r="D2" s="17" t="s">
        <v>217</v>
      </c>
      <c r="G2" s="2" t="s">
        <v>36</v>
      </c>
      <c r="H2" s="2" t="s">
        <v>198</v>
      </c>
      <c r="I2" s="2" t="s">
        <v>199</v>
      </c>
      <c r="J2" s="2" t="s">
        <v>222</v>
      </c>
    </row>
    <row r="3" spans="1:10" x14ac:dyDescent="0.25">
      <c r="A3" t="s">
        <v>200</v>
      </c>
      <c r="B3">
        <v>71</v>
      </c>
      <c r="C3">
        <f>B3-Judandamean</f>
        <v>9</v>
      </c>
      <c r="D3">
        <f>C3*C3</f>
        <v>81</v>
      </c>
      <c r="G3" t="s">
        <v>209</v>
      </c>
      <c r="H3">
        <v>99</v>
      </c>
      <c r="I3">
        <f>H3-Judandamean</f>
        <v>37</v>
      </c>
      <c r="J3">
        <f>I3*I3</f>
        <v>1369</v>
      </c>
    </row>
    <row r="4" spans="1:10" x14ac:dyDescent="0.25">
      <c r="A4" t="s">
        <v>201</v>
      </c>
      <c r="B4" s="14">
        <v>62</v>
      </c>
      <c r="C4">
        <f>B4-Judandamean</f>
        <v>0</v>
      </c>
      <c r="D4">
        <f t="shared" ref="D4:D10" si="0">C4*C4</f>
        <v>0</v>
      </c>
      <c r="G4" t="s">
        <v>210</v>
      </c>
      <c r="H4">
        <v>14</v>
      </c>
      <c r="I4">
        <f>H4-Judandamean</f>
        <v>-48</v>
      </c>
      <c r="J4">
        <f t="shared" ref="J4:J10" si="1">I4*I4</f>
        <v>2304</v>
      </c>
    </row>
    <row r="5" spans="1:10" x14ac:dyDescent="0.25">
      <c r="A5" t="s">
        <v>202</v>
      </c>
      <c r="B5">
        <v>66</v>
      </c>
      <c r="C5">
        <f>B5-Judandamean</f>
        <v>4</v>
      </c>
      <c r="D5">
        <f t="shared" si="0"/>
        <v>16</v>
      </c>
      <c r="G5" t="s">
        <v>211</v>
      </c>
      <c r="H5">
        <v>75</v>
      </c>
      <c r="I5">
        <f>H5-Judandamean</f>
        <v>13</v>
      </c>
      <c r="J5">
        <f t="shared" si="1"/>
        <v>169</v>
      </c>
    </row>
    <row r="6" spans="1:10" x14ac:dyDescent="0.25">
      <c r="A6" t="s">
        <v>203</v>
      </c>
      <c r="B6">
        <v>61</v>
      </c>
      <c r="C6">
        <f>B6-Judandamean</f>
        <v>-1</v>
      </c>
      <c r="D6">
        <f t="shared" si="0"/>
        <v>1</v>
      </c>
      <c r="G6" t="s">
        <v>212</v>
      </c>
      <c r="H6">
        <v>84</v>
      </c>
      <c r="I6">
        <f>H6-Judandamean</f>
        <v>22</v>
      </c>
      <c r="J6">
        <f t="shared" si="1"/>
        <v>484</v>
      </c>
    </row>
    <row r="7" spans="1:10" x14ac:dyDescent="0.25">
      <c r="A7" t="s">
        <v>204</v>
      </c>
      <c r="B7">
        <v>54</v>
      </c>
      <c r="C7">
        <f>B7-Judandamean</f>
        <v>-8</v>
      </c>
      <c r="D7">
        <f t="shared" si="0"/>
        <v>64</v>
      </c>
      <c r="G7" t="s">
        <v>213</v>
      </c>
      <c r="H7">
        <v>44</v>
      </c>
      <c r="I7">
        <f>H7-Judandamean</f>
        <v>-18</v>
      </c>
      <c r="J7">
        <f t="shared" si="1"/>
        <v>324</v>
      </c>
    </row>
    <row r="8" spans="1:10" x14ac:dyDescent="0.25">
      <c r="A8" t="s">
        <v>205</v>
      </c>
      <c r="B8">
        <v>67</v>
      </c>
      <c r="C8">
        <f>B8-Judandamean</f>
        <v>5</v>
      </c>
      <c r="D8">
        <f t="shared" si="0"/>
        <v>25</v>
      </c>
      <c r="G8" t="s">
        <v>214</v>
      </c>
      <c r="H8">
        <v>54</v>
      </c>
      <c r="I8">
        <f>H8-Judandamean</f>
        <v>-8</v>
      </c>
      <c r="J8">
        <f t="shared" si="1"/>
        <v>64</v>
      </c>
    </row>
    <row r="9" spans="1:10" x14ac:dyDescent="0.25">
      <c r="A9" t="s">
        <v>206</v>
      </c>
      <c r="B9">
        <v>55</v>
      </c>
      <c r="C9">
        <f>B9-Judandamean</f>
        <v>-7</v>
      </c>
      <c r="D9">
        <f t="shared" si="0"/>
        <v>49</v>
      </c>
      <c r="G9" t="s">
        <v>215</v>
      </c>
      <c r="H9">
        <v>98</v>
      </c>
      <c r="I9">
        <f>H9-Judandamean</f>
        <v>36</v>
      </c>
      <c r="J9">
        <f t="shared" si="1"/>
        <v>1296</v>
      </c>
    </row>
    <row r="10" spans="1:10" x14ac:dyDescent="0.25">
      <c r="A10" t="s">
        <v>207</v>
      </c>
      <c r="B10">
        <v>60</v>
      </c>
      <c r="C10">
        <f>B10-Judandamean</f>
        <v>-2</v>
      </c>
      <c r="D10">
        <f t="shared" si="0"/>
        <v>4</v>
      </c>
      <c r="G10" t="s">
        <v>216</v>
      </c>
      <c r="H10">
        <v>28</v>
      </c>
      <c r="I10">
        <f>H10-Judandamean</f>
        <v>-34</v>
      </c>
      <c r="J10">
        <f t="shared" si="1"/>
        <v>1156</v>
      </c>
    </row>
    <row r="12" spans="1:10" x14ac:dyDescent="0.25">
      <c r="A12" t="s">
        <v>193</v>
      </c>
      <c r="B12">
        <f>AVERAGE(B3:B10)</f>
        <v>62</v>
      </c>
      <c r="G12" t="s">
        <v>193</v>
      </c>
      <c r="H12">
        <f>AVERAGE(H3:H10)</f>
        <v>62</v>
      </c>
    </row>
    <row r="13" spans="1:10" x14ac:dyDescent="0.25">
      <c r="C13" t="s">
        <v>218</v>
      </c>
      <c r="D13">
        <f>SUM(D3:D10)</f>
        <v>240</v>
      </c>
      <c r="I13" t="s">
        <v>218</v>
      </c>
      <c r="J13">
        <f>SUM(J3:J10)</f>
        <v>7166</v>
      </c>
    </row>
    <row r="14" spans="1:10" x14ac:dyDescent="0.25">
      <c r="C14" t="s">
        <v>219</v>
      </c>
      <c r="D14">
        <f>COUNT(D3:D10)</f>
        <v>8</v>
      </c>
      <c r="I14" t="s">
        <v>219</v>
      </c>
      <c r="J14">
        <f>COUNT(J3:J10)</f>
        <v>8</v>
      </c>
    </row>
    <row r="15" spans="1:10" x14ac:dyDescent="0.25">
      <c r="C15" s="18" t="s">
        <v>220</v>
      </c>
      <c r="D15" s="18">
        <f>D13/D14</f>
        <v>30</v>
      </c>
      <c r="I15" s="18" t="s">
        <v>223</v>
      </c>
      <c r="J15" s="18">
        <f>J13/J14</f>
        <v>895.75</v>
      </c>
    </row>
    <row r="16" spans="1:10" x14ac:dyDescent="0.25">
      <c r="C16" s="21" t="s">
        <v>221</v>
      </c>
      <c r="D16" s="20">
        <f>SQRT(D15)</f>
        <v>5.4772255750516612</v>
      </c>
      <c r="I16" s="19" t="s">
        <v>224</v>
      </c>
      <c r="J16" s="20">
        <f>SQRT(J15)</f>
        <v>29.929082845954369</v>
      </c>
    </row>
    <row r="19" spans="1:3" x14ac:dyDescent="0.25">
      <c r="A19" s="4" t="s">
        <v>229</v>
      </c>
    </row>
    <row r="20" spans="1:3" x14ac:dyDescent="0.25">
      <c r="A20" s="22" t="s">
        <v>228</v>
      </c>
      <c r="B20" s="22"/>
      <c r="C20" s="22"/>
    </row>
    <row r="21" spans="1:3" x14ac:dyDescent="0.25">
      <c r="A21" s="18" t="s">
        <v>226</v>
      </c>
      <c r="B21" s="18" t="s">
        <v>227</v>
      </c>
    </row>
    <row r="22" spans="1:3" x14ac:dyDescent="0.25">
      <c r="A22">
        <v>1760</v>
      </c>
      <c r="B22">
        <v>2.64</v>
      </c>
    </row>
    <row r="23" spans="1:3" x14ac:dyDescent="0.25">
      <c r="A23">
        <v>1943</v>
      </c>
      <c r="B23">
        <v>2.98</v>
      </c>
    </row>
    <row r="24" spans="1:3" x14ac:dyDescent="0.25">
      <c r="A24">
        <v>1914</v>
      </c>
      <c r="B24">
        <v>3.13</v>
      </c>
    </row>
    <row r="25" spans="1:3" x14ac:dyDescent="0.25">
      <c r="A25">
        <v>1618</v>
      </c>
      <c r="B25">
        <v>1.76</v>
      </c>
    </row>
    <row r="26" spans="1:3" x14ac:dyDescent="0.25">
      <c r="A26">
        <v>1369</v>
      </c>
      <c r="B26">
        <v>1.99</v>
      </c>
    </row>
    <row r="28" spans="1:3" x14ac:dyDescent="0.25">
      <c r="A28" s="8">
        <f>CORREL(A22:A26,B22:B26)</f>
        <v>0.86003793983378041</v>
      </c>
    </row>
  </sheetData>
  <mergeCells count="3">
    <mergeCell ref="A1:D1"/>
    <mergeCell ref="G1:J1"/>
    <mergeCell ref="A20:C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movies</vt:lpstr>
      <vt:lpstr>financials</vt:lpstr>
      <vt:lpstr>actors</vt:lpstr>
      <vt:lpstr>movie_actor</vt:lpstr>
      <vt:lpstr>languages</vt:lpstr>
      <vt:lpstr>Food_items</vt:lpstr>
      <vt:lpstr>Marvel_Financials</vt:lpstr>
      <vt:lpstr>Statistics</vt:lpstr>
      <vt:lpstr>Judandamean</vt:lpstr>
      <vt:lpstr>krancemean</vt:lpstr>
      <vt:lpstr>krancemean4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User</cp:lastModifiedBy>
  <dcterms:created xsi:type="dcterms:W3CDTF">2015-06-05T18:17:20Z</dcterms:created>
  <dcterms:modified xsi:type="dcterms:W3CDTF">2023-04-08T18:12:33Z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