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eshpradeshik/Documents/"/>
    </mc:Choice>
  </mc:AlternateContent>
  <xr:revisionPtr revIDLastSave="0" documentId="13_ncr:1_{985E86D1-B89D-5148-BD88-FB6FEFC92A8B}" xr6:coauthVersionLast="47" xr6:coauthVersionMax="47" xr10:uidLastSave="{00000000-0000-0000-0000-000000000000}"/>
  <bookViews>
    <workbookView xWindow="38060" yWindow="17160" windowWidth="30260" windowHeight="20640" activeTab="11" xr2:uid="{8799A63B-07E0-7E4C-8403-173F17169363}"/>
  </bookViews>
  <sheets>
    <sheet name="Sheet9" sheetId="11" r:id="rId1"/>
    <sheet name="Sheet1" sheetId="1" r:id="rId2"/>
    <sheet name="Sheet10" sheetId="12" r:id="rId3"/>
    <sheet name="Sheet3" sheetId="3" r:id="rId4"/>
    <sheet name="payment-2" sheetId="5" r:id="rId5"/>
    <sheet name="Sheet4" sheetId="4" r:id="rId6"/>
    <sheet name="Sheet2" sheetId="2" r:id="rId7"/>
    <sheet name="payment-2 (2)" sheetId="6" r:id="rId8"/>
    <sheet name="Sheet6" sheetId="8" r:id="rId9"/>
    <sheet name="Sheet5" sheetId="7" r:id="rId10"/>
    <sheet name="Sheet7" sheetId="9" r:id="rId11"/>
    <sheet name="Mid-Term" sheetId="13" r:id="rId12"/>
    <sheet name="Sheet8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3" l="1"/>
  <c r="D23" i="13"/>
  <c r="E13" i="13"/>
  <c r="E9" i="13"/>
  <c r="C1" i="1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2" i="11"/>
  <c r="H6" i="11"/>
  <c r="K2" i="11"/>
  <c r="C52" i="11"/>
  <c r="B52" i="11"/>
  <c r="H9" i="11"/>
  <c r="B28" i="10"/>
  <c r="B24" i="10"/>
  <c r="B23" i="10"/>
  <c r="B14" i="10"/>
  <c r="B13" i="10"/>
  <c r="B6" i="10"/>
  <c r="B5" i="10"/>
  <c r="B4" i="10"/>
  <c r="C32" i="9"/>
  <c r="C27" i="9"/>
  <c r="E21" i="9"/>
  <c r="E9" i="9"/>
  <c r="C20" i="9"/>
  <c r="C21" i="9" s="1"/>
  <c r="C9" i="9"/>
  <c r="C8" i="9"/>
  <c r="E20" i="8"/>
  <c r="E21" i="8"/>
  <c r="E22" i="8"/>
  <c r="E23" i="8" s="1"/>
  <c r="E19" i="8"/>
  <c r="C12" i="8"/>
  <c r="C10" i="8"/>
  <c r="B10" i="8"/>
  <c r="B12" i="8" s="1"/>
  <c r="G25" i="7"/>
  <c r="F21" i="7"/>
  <c r="F22" i="7"/>
  <c r="F23" i="7"/>
  <c r="G23" i="7" s="1"/>
  <c r="F24" i="7"/>
  <c r="F20" i="7"/>
  <c r="G20" i="7"/>
  <c r="G21" i="7"/>
  <c r="G22" i="7"/>
  <c r="G24" i="7"/>
  <c r="E25" i="7"/>
  <c r="D27" i="7"/>
  <c r="D25" i="7"/>
  <c r="D26" i="7"/>
  <c r="C26" i="7"/>
  <c r="C25" i="7"/>
  <c r="C21" i="7"/>
  <c r="C22" i="7"/>
  <c r="C23" i="7"/>
  <c r="C24" i="7"/>
  <c r="C20" i="7"/>
  <c r="B26" i="7"/>
  <c r="B25" i="7"/>
  <c r="G14" i="7"/>
  <c r="F14" i="7"/>
  <c r="G13" i="7"/>
  <c r="F13" i="7"/>
  <c r="G12" i="7"/>
  <c r="G15" i="7" s="1"/>
  <c r="G17" i="7" s="1"/>
  <c r="F12" i="7"/>
  <c r="H7" i="7"/>
  <c r="G7" i="7"/>
  <c r="F7" i="7"/>
  <c r="G5" i="7"/>
  <c r="F5" i="7"/>
  <c r="G3" i="7"/>
  <c r="G4" i="7"/>
  <c r="G2" i="7"/>
  <c r="F3" i="7"/>
  <c r="F4" i="7"/>
  <c r="F2" i="7"/>
  <c r="B16" i="6"/>
  <c r="B13" i="6"/>
  <c r="B19" i="6" s="1"/>
  <c r="B22" i="6" s="1"/>
  <c r="B25" i="6" s="1"/>
  <c r="B25" i="5"/>
  <c r="B22" i="5"/>
  <c r="B19" i="5"/>
  <c r="B16" i="5"/>
  <c r="B13" i="5"/>
  <c r="E25" i="4"/>
  <c r="B42" i="4"/>
  <c r="B45" i="4" s="1"/>
  <c r="B41" i="4"/>
  <c r="B30" i="4"/>
  <c r="B33" i="4" s="1"/>
  <c r="B29" i="4"/>
  <c r="F21" i="4"/>
  <c r="F20" i="4"/>
  <c r="E21" i="4"/>
  <c r="E20" i="4"/>
  <c r="D20" i="4"/>
  <c r="D21" i="4"/>
  <c r="B20" i="4"/>
  <c r="B19" i="4"/>
  <c r="E17" i="4"/>
  <c r="D17" i="4"/>
  <c r="E16" i="4"/>
  <c r="D16" i="4"/>
  <c r="D4" i="4"/>
  <c r="D5" i="4"/>
  <c r="D6" i="4"/>
  <c r="D2" i="4"/>
  <c r="B3" i="4"/>
  <c r="D3" i="4" s="1"/>
  <c r="B4" i="4"/>
  <c r="B5" i="4"/>
  <c r="B6" i="4"/>
  <c r="B2" i="4"/>
  <c r="E15" i="3"/>
  <c r="E5" i="3"/>
  <c r="B15" i="3"/>
  <c r="B2" i="3"/>
  <c r="B5" i="3" s="1"/>
  <c r="F13" i="2"/>
  <c r="F12" i="2"/>
  <c r="F11" i="2"/>
  <c r="F10" i="2"/>
  <c r="F3" i="2"/>
  <c r="F4" i="2"/>
  <c r="F5" i="2"/>
  <c r="F2" i="2"/>
  <c r="B63" i="1"/>
  <c r="B61" i="1"/>
  <c r="B62" i="1" s="1"/>
  <c r="B54" i="1"/>
  <c r="B53" i="1"/>
  <c r="C41" i="1"/>
  <c r="D41" i="1" s="1"/>
  <c r="B45" i="1"/>
  <c r="B38" i="1"/>
  <c r="B32" i="1"/>
  <c r="B23" i="1"/>
  <c r="E9" i="1"/>
  <c r="E6" i="1"/>
  <c r="E5" i="1"/>
  <c r="E7" i="1"/>
  <c r="B2" i="1"/>
  <c r="B1" i="1"/>
  <c r="B3" i="1" s="1"/>
  <c r="B25" i="10" l="1"/>
  <c r="B15" i="10"/>
  <c r="F15" i="7"/>
  <c r="F17" i="7" s="1"/>
  <c r="H17" i="7"/>
  <c r="F14" i="2"/>
</calcChain>
</file>

<file path=xl/sharedStrings.xml><?xml version="1.0" encoding="utf-8"?>
<sst xmlns="http://schemas.openxmlformats.org/spreadsheetml/2006/main" count="301" uniqueCount="205">
  <si>
    <t>2000 + ((2000*.11) * 3)</t>
  </si>
  <si>
    <t>2000 * (1+0.11)^3</t>
  </si>
  <si>
    <t>fvA</t>
  </si>
  <si>
    <t>fvX</t>
  </si>
  <si>
    <t>Diff = fvX-fvA</t>
  </si>
  <si>
    <t>compound</t>
  </si>
  <si>
    <t>simple</t>
  </si>
  <si>
    <t>FV=</t>
  </si>
  <si>
    <t>Interset</t>
  </si>
  <si>
    <t>Years=</t>
  </si>
  <si>
    <t>PV=</t>
  </si>
  <si>
    <t>I=</t>
  </si>
  <si>
    <t>Current Price of Security</t>
  </si>
  <si>
    <t>year=</t>
  </si>
  <si>
    <t>Assume-I</t>
  </si>
  <si>
    <t>Chap 4</t>
  </si>
  <si>
    <t>7. Companies and Growth Rates</t>
  </si>
  <si>
    <t>PV</t>
  </si>
  <si>
    <t>FV</t>
  </si>
  <si>
    <t>Year</t>
  </si>
  <si>
    <t>P/Year</t>
  </si>
  <si>
    <t>9. Futures</t>
  </si>
  <si>
    <t>endYearDeposit</t>
  </si>
  <si>
    <t>years</t>
  </si>
  <si>
    <t>12 Present value of annuities</t>
  </si>
  <si>
    <t>Annual Pay=</t>
  </si>
  <si>
    <t>IntRate=</t>
  </si>
  <si>
    <t>Numerator=</t>
  </si>
  <si>
    <t>Prev=3546</t>
  </si>
  <si>
    <t>Next Calc =</t>
  </si>
  <si>
    <t>An-Pay</t>
  </si>
  <si>
    <t>In.Rate</t>
  </si>
  <si>
    <t>Years</t>
  </si>
  <si>
    <t>Nbr.Payments</t>
  </si>
  <si>
    <t>Begin.Or.End</t>
  </si>
  <si>
    <t>Computation of payment</t>
  </si>
  <si>
    <t>Int.rate</t>
  </si>
  <si>
    <t>An.Pmt</t>
  </si>
  <si>
    <t>Computatiioon of PV</t>
  </si>
  <si>
    <t>Int.Rate</t>
  </si>
  <si>
    <t>year</t>
  </si>
  <si>
    <t>PVF</t>
  </si>
  <si>
    <t>cashflow</t>
  </si>
  <si>
    <t>INTEREST</t>
  </si>
  <si>
    <t>Per.Pmt</t>
  </si>
  <si>
    <t>Nbr.Period = ?</t>
  </si>
  <si>
    <t>PV=-7000</t>
  </si>
  <si>
    <t>PMT=750</t>
  </si>
  <si>
    <t>FV=0</t>
  </si>
  <si>
    <t>I/YR=8.9</t>
  </si>
  <si>
    <t>type=1</t>
  </si>
  <si>
    <t>YTM</t>
  </si>
  <si>
    <t>YTC</t>
  </si>
  <si>
    <t>r2</t>
  </si>
  <si>
    <t>DRP of AA bond</t>
  </si>
  <si>
    <t>MRP=</t>
  </si>
  <si>
    <t>IP=</t>
  </si>
  <si>
    <t>LP=</t>
  </si>
  <si>
    <t>r = r* + IP + DRP + LP + MRP</t>
  </si>
  <si>
    <t xml:space="preserve">father is </t>
  </si>
  <si>
    <t xml:space="preserve">retire in </t>
  </si>
  <si>
    <t>Unitl age</t>
  </si>
  <si>
    <t>first rtirement</t>
  </si>
  <si>
    <t>inflation</t>
  </si>
  <si>
    <t>saving at t=0</t>
  </si>
  <si>
    <t>% earned</t>
  </si>
  <si>
    <t>step:1  at t=10</t>
  </si>
  <si>
    <t>fixed ret payments</t>
  </si>
  <si>
    <t>[=FV(B8,b4,0,-b7)]</t>
  </si>
  <si>
    <t>step 2</t>
  </si>
  <si>
    <t>[=FV(B10,b4,0,-b9)]</t>
  </si>
  <si>
    <t>step 3</t>
  </si>
  <si>
    <t>[=pV(B10,b5,-b13,0,1)]</t>
  </si>
  <si>
    <t>[=b19-b16]</t>
  </si>
  <si>
    <t>[=PMT(b10,b4,0,-b22)]</t>
  </si>
  <si>
    <t>https://www.chegg.com/homework-help/questions-and-answers/assume-father-50-years-old-plans-retire-10-years-expects-live-25-years-retires-age-85-want-q10296123</t>
  </si>
  <si>
    <t>Occurance</t>
  </si>
  <si>
    <t>Happy Soap</t>
  </si>
  <si>
    <t>Sheep</t>
  </si>
  <si>
    <t>Expected Return</t>
  </si>
  <si>
    <t>soap</t>
  </si>
  <si>
    <t>sheep</t>
  </si>
  <si>
    <t>=</t>
  </si>
  <si>
    <t>sum</t>
  </si>
  <si>
    <t>avg=</t>
  </si>
  <si>
    <t>Devaiation</t>
  </si>
  <si>
    <t>sq.dev</t>
  </si>
  <si>
    <t>&lt;&lt;sum</t>
  </si>
  <si>
    <t>Prob</t>
  </si>
  <si>
    <t>M</t>
  </si>
  <si>
    <t>J</t>
  </si>
  <si>
    <t>SUMPRODUCT(a5:a7, b5:b7)</t>
  </si>
  <si>
    <t>SUMPRODUCT(a5:a7, c5:c7)</t>
  </si>
  <si>
    <t>($A$5*(B5-B10)^2+$A$6*(B6-B10)^2+$A$7*(B7-B10)^2)^0.5</t>
  </si>
  <si>
    <t>($A$5*(C5-C10)^2+$A$6*(C6-C10)^2+$A$7*(C7-C10)^2)^0.5</t>
  </si>
  <si>
    <t>&lt;&lt;</t>
  </si>
  <si>
    <t>Alloc</t>
  </si>
  <si>
    <t>Beta</t>
  </si>
  <si>
    <t>Std.Dev</t>
  </si>
  <si>
    <t>PortFolio Beta=</t>
  </si>
  <si>
    <t>Return=</t>
  </si>
  <si>
    <t>Atteric</t>
  </si>
  <si>
    <t>RiskFree=</t>
  </si>
  <si>
    <t>MarketRisk=</t>
  </si>
  <si>
    <t>Beta.Decrease=</t>
  </si>
  <si>
    <t>Req.return=</t>
  </si>
  <si>
    <t>should be</t>
  </si>
  <si>
    <t>&lt;&lt;Given</t>
  </si>
  <si>
    <t>Risk rate=</t>
  </si>
  <si>
    <t>Risk Premium=</t>
  </si>
  <si>
    <t>Corp Beta</t>
  </si>
  <si>
    <t>Required rate ret=</t>
  </si>
  <si>
    <t>increase by</t>
  </si>
  <si>
    <t>New Required=</t>
  </si>
  <si>
    <t>&gt;&gt;&gt;</t>
  </si>
  <si>
    <t>Avg. Realized retuen</t>
  </si>
  <si>
    <t>std.dev</t>
  </si>
  <si>
    <t>co-ef=</t>
  </si>
  <si>
    <t>fv=</t>
  </si>
  <si>
    <t>INPUT</t>
  </si>
  <si>
    <t>Start Time</t>
  </si>
  <si>
    <t>Each Question limit in Secs</t>
  </si>
  <si>
    <t>Question Index</t>
  </si>
  <si>
    <t>Done</t>
  </si>
  <si>
    <t>Skip</t>
  </si>
  <si>
    <t>Comments</t>
  </si>
  <si>
    <t>Expected time to be done</t>
  </si>
  <si>
    <t>MutiliPlySecs=</t>
  </si>
  <si>
    <t>Q-1</t>
  </si>
  <si>
    <t>Q-2</t>
  </si>
  <si>
    <t>Q-3</t>
  </si>
  <si>
    <t>Q-4</t>
  </si>
  <si>
    <t>Q-5</t>
  </si>
  <si>
    <t>Q-6</t>
  </si>
  <si>
    <t>Q-7</t>
  </si>
  <si>
    <t>Q-8</t>
  </si>
  <si>
    <t>Q-9</t>
  </si>
  <si>
    <t>Q-10</t>
  </si>
  <si>
    <t>Q-11</t>
  </si>
  <si>
    <t>Q-12</t>
  </si>
  <si>
    <t>Q-13</t>
  </si>
  <si>
    <t>Q-14</t>
  </si>
  <si>
    <t>Q-15</t>
  </si>
  <si>
    <t>Q-16</t>
  </si>
  <si>
    <t>Q-17</t>
  </si>
  <si>
    <t>Q-18</t>
  </si>
  <si>
    <t>Q-19</t>
  </si>
  <si>
    <t>Q-20</t>
  </si>
  <si>
    <t>Q-21</t>
  </si>
  <si>
    <t>Q-22</t>
  </si>
  <si>
    <t>Q-23</t>
  </si>
  <si>
    <t>Q-24</t>
  </si>
  <si>
    <t>Q-25</t>
  </si>
  <si>
    <t>Q-26</t>
  </si>
  <si>
    <t>Q-27</t>
  </si>
  <si>
    <t>Q-28</t>
  </si>
  <si>
    <t>Q-29</t>
  </si>
  <si>
    <t>Q-30</t>
  </si>
  <si>
    <t>Q-31</t>
  </si>
  <si>
    <t>Q-32</t>
  </si>
  <si>
    <t>Q-33</t>
  </si>
  <si>
    <t>Q-34</t>
  </si>
  <si>
    <t>Q-35</t>
  </si>
  <si>
    <t>Q-36</t>
  </si>
  <si>
    <t>Q-37</t>
  </si>
  <si>
    <t>Q-38</t>
  </si>
  <si>
    <t>Q-39</t>
  </si>
  <si>
    <t>Q-40</t>
  </si>
  <si>
    <t>Q-41</t>
  </si>
  <si>
    <t>Q-42</t>
  </si>
  <si>
    <t>Q-43</t>
  </si>
  <si>
    <t>Q-44</t>
  </si>
  <si>
    <t>Q-45</t>
  </si>
  <si>
    <t>Q-46</t>
  </si>
  <si>
    <t>Q-47</t>
  </si>
  <si>
    <t>Q-48</t>
  </si>
  <si>
    <t>Q-49</t>
  </si>
  <si>
    <t>Q-50</t>
  </si>
  <si>
    <t>Total Duration Minutes</t>
  </si>
  <si>
    <t>Expected End Time</t>
  </si>
  <si>
    <t>TOTAL</t>
  </si>
  <si>
    <t>Now=</t>
  </si>
  <si>
    <t>mins</t>
  </si>
  <si>
    <t>secs</t>
  </si>
  <si>
    <t>1-INDEX</t>
  </si>
  <si>
    <t>A-12</t>
  </si>
  <si>
    <t>43000/22000</t>
  </si>
  <si>
    <t>A-14</t>
  </si>
  <si>
    <t>A-18</t>
  </si>
  <si>
    <t>equity=</t>
  </si>
  <si>
    <t>income=</t>
  </si>
  <si>
    <t>[c9/c8]</t>
  </si>
  <si>
    <t>A-19</t>
  </si>
  <si>
    <t>total assets=</t>
  </si>
  <si>
    <t>d/a ratio=</t>
  </si>
  <si>
    <t>[c12*c13]</t>
  </si>
  <si>
    <t>A-28</t>
  </si>
  <si>
    <t>borrow=</t>
  </si>
  <si>
    <t>rate=</t>
  </si>
  <si>
    <t>years=</t>
  </si>
  <si>
    <t>[c16/PVIFA(c17,c18)]</t>
  </si>
  <si>
    <t>x=</t>
  </si>
  <si>
    <t>A-29</t>
  </si>
  <si>
    <t>Chegg</t>
  </si>
  <si>
    <t>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</si>
</sst>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00000000"/>
    <numFmt numFmtId="167" formatCode="0.000"/>
    <numFmt numFmtId="168" formatCode="[$-409]h:mm:ss\ AM/PM;@"/>
    <numFmt numFmtId="169" formatCode="[$-409]m/d/yy\ h:mm\ AM/PM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9" fontId="0" fillId="0" borderId="0" xfId="2" applyFont="1"/>
    <xf numFmtId="10" fontId="0" fillId="0" borderId="0" xfId="2" applyNumberFormat="1" applyFont="1"/>
    <xf numFmtId="44" fontId="0" fillId="0" borderId="0" xfId="1" applyFont="1"/>
    <xf numFmtId="164" fontId="0" fillId="0" borderId="0" xfId="1" applyNumberFormat="1" applyFont="1"/>
    <xf numFmtId="8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168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168" fontId="0" fillId="3" borderId="0" xfId="0" applyNumberFormat="1" applyFill="1"/>
    <xf numFmtId="0" fontId="0" fillId="3" borderId="0" xfId="0" applyFill="1"/>
    <xf numFmtId="0" fontId="3" fillId="4" borderId="0" xfId="0" applyFont="1" applyFill="1"/>
    <xf numFmtId="16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AC83-928B-6E4B-92B2-275BBF5A823B}">
  <dimension ref="A1:K52"/>
  <sheetViews>
    <sheetView zoomScale="140" zoomScaleNormal="140" workbookViewId="0">
      <selection activeCell="E10" sqref="E10"/>
    </sheetView>
  </sheetViews>
  <sheetFormatPr baseColWidth="10" defaultRowHeight="16" x14ac:dyDescent="0.2"/>
  <cols>
    <col min="1" max="1" width="15.33203125" customWidth="1"/>
    <col min="2" max="2" width="8.6640625" customWidth="1"/>
    <col min="3" max="3" width="9.1640625" customWidth="1"/>
    <col min="4" max="4" width="26.5" customWidth="1"/>
    <col min="5" max="5" width="72.6640625" customWidth="1"/>
    <col min="6" max="6" width="8.1640625" customWidth="1"/>
    <col min="7" max="7" width="24.83203125" customWidth="1"/>
    <col min="8" max="8" width="19.6640625" customWidth="1"/>
    <col min="11" max="11" width="16.83203125" bestFit="1" customWidth="1"/>
  </cols>
  <sheetData>
    <row r="1" spans="1:11" s="15" customFormat="1" x14ac:dyDescent="0.2">
      <c r="A1" s="15" t="s">
        <v>122</v>
      </c>
      <c r="B1" s="15" t="s">
        <v>123</v>
      </c>
      <c r="C1" s="15" t="s">
        <v>124</v>
      </c>
      <c r="D1" s="15" t="s">
        <v>126</v>
      </c>
      <c r="E1" s="15" t="s">
        <v>125</v>
      </c>
      <c r="F1" s="15" t="s">
        <v>184</v>
      </c>
      <c r="G1" s="15" t="s">
        <v>119</v>
      </c>
    </row>
    <row r="2" spans="1:11" x14ac:dyDescent="0.2">
      <c r="A2" t="s">
        <v>128</v>
      </c>
      <c r="B2">
        <v>0</v>
      </c>
      <c r="C2">
        <v>0</v>
      </c>
      <c r="D2" s="13">
        <f t="shared" ref="D2:D51" si="0">$H$2+TIME(0,0,$F2*$H$4)</f>
        <v>44875.808854166666</v>
      </c>
      <c r="F2" s="14">
        <v>1</v>
      </c>
      <c r="G2" s="12" t="s">
        <v>120</v>
      </c>
      <c r="H2" s="16">
        <v>44875.806655092594</v>
      </c>
      <c r="J2" t="s">
        <v>181</v>
      </c>
      <c r="K2" s="19">
        <f ca="1">NOW()</f>
        <v>44876.513262384258</v>
      </c>
    </row>
    <row r="3" spans="1:11" x14ac:dyDescent="0.2">
      <c r="A3" t="s">
        <v>129</v>
      </c>
      <c r="B3">
        <v>0</v>
      </c>
      <c r="C3">
        <v>0</v>
      </c>
      <c r="D3" s="13">
        <f t="shared" si="0"/>
        <v>44875.811053240745</v>
      </c>
      <c r="F3" s="14">
        <v>2</v>
      </c>
      <c r="G3" t="s">
        <v>178</v>
      </c>
      <c r="H3" s="17">
        <v>180</v>
      </c>
      <c r="I3" t="s">
        <v>182</v>
      </c>
    </row>
    <row r="4" spans="1:11" x14ac:dyDescent="0.2">
      <c r="A4" t="s">
        <v>130</v>
      </c>
      <c r="B4">
        <v>0</v>
      </c>
      <c r="C4">
        <v>0</v>
      </c>
      <c r="D4" s="13">
        <f t="shared" si="0"/>
        <v>44875.813252314816</v>
      </c>
      <c r="F4" s="14">
        <v>3</v>
      </c>
      <c r="G4" s="12" t="s">
        <v>121</v>
      </c>
      <c r="H4" s="17">
        <v>190</v>
      </c>
      <c r="I4" t="s">
        <v>183</v>
      </c>
    </row>
    <row r="5" spans="1:11" x14ac:dyDescent="0.2">
      <c r="A5" t="s">
        <v>131</v>
      </c>
      <c r="B5">
        <v>0</v>
      </c>
      <c r="C5">
        <v>0</v>
      </c>
      <c r="D5" s="13">
        <f t="shared" si="0"/>
        <v>44875.815451388888</v>
      </c>
      <c r="F5" s="14">
        <v>4</v>
      </c>
    </row>
    <row r="6" spans="1:11" x14ac:dyDescent="0.2">
      <c r="A6" t="s">
        <v>132</v>
      </c>
      <c r="B6">
        <v>0</v>
      </c>
      <c r="C6">
        <v>0</v>
      </c>
      <c r="D6" s="13">
        <f t="shared" si="0"/>
        <v>44875.817650462966</v>
      </c>
      <c r="F6" s="14">
        <v>5</v>
      </c>
      <c r="G6" t="s">
        <v>179</v>
      </c>
      <c r="H6" s="13">
        <f>$H$2+TIME(0,$H$3,0)</f>
        <v>44875.931655092594</v>
      </c>
    </row>
    <row r="7" spans="1:11" x14ac:dyDescent="0.2">
      <c r="A7" t="s">
        <v>133</v>
      </c>
      <c r="B7">
        <v>0</v>
      </c>
      <c r="C7">
        <v>0</v>
      </c>
      <c r="D7" s="13">
        <f t="shared" si="0"/>
        <v>44875.819849537038</v>
      </c>
      <c r="F7" s="14">
        <v>6</v>
      </c>
    </row>
    <row r="8" spans="1:11" x14ac:dyDescent="0.2">
      <c r="A8" t="s">
        <v>134</v>
      </c>
      <c r="B8">
        <v>0</v>
      </c>
      <c r="C8">
        <v>0</v>
      </c>
      <c r="D8" s="13">
        <f t="shared" si="0"/>
        <v>44875.822048611109</v>
      </c>
      <c r="F8" s="14">
        <v>7</v>
      </c>
    </row>
    <row r="9" spans="1:11" x14ac:dyDescent="0.2">
      <c r="A9" t="s">
        <v>135</v>
      </c>
      <c r="B9">
        <v>0</v>
      </c>
      <c r="C9">
        <v>0</v>
      </c>
      <c r="D9" s="13">
        <f t="shared" si="0"/>
        <v>44875.824247685188</v>
      </c>
      <c r="F9" s="14">
        <v>8</v>
      </c>
      <c r="G9" t="s">
        <v>127</v>
      </c>
      <c r="H9">
        <f>$H$4/86400</f>
        <v>2.1990740740740742E-3</v>
      </c>
    </row>
    <row r="10" spans="1:11" x14ac:dyDescent="0.2">
      <c r="A10" t="s">
        <v>136</v>
      </c>
      <c r="B10">
        <v>0</v>
      </c>
      <c r="C10">
        <v>0</v>
      </c>
      <c r="D10" s="13">
        <f t="shared" si="0"/>
        <v>44875.82644675926</v>
      </c>
      <c r="F10" s="14">
        <v>9</v>
      </c>
    </row>
    <row r="11" spans="1:11" x14ac:dyDescent="0.2">
      <c r="A11" t="s">
        <v>137</v>
      </c>
      <c r="B11">
        <v>0</v>
      </c>
      <c r="C11">
        <v>0</v>
      </c>
      <c r="D11" s="13">
        <f t="shared" si="0"/>
        <v>44875.828645833331</v>
      </c>
      <c r="F11" s="14">
        <v>10</v>
      </c>
    </row>
    <row r="12" spans="1:11" x14ac:dyDescent="0.2">
      <c r="A12" t="s">
        <v>138</v>
      </c>
      <c r="B12">
        <v>0</v>
      </c>
      <c r="C12">
        <v>0</v>
      </c>
      <c r="D12" s="13">
        <f t="shared" si="0"/>
        <v>44875.83084490741</v>
      </c>
      <c r="F12" s="14">
        <v>11</v>
      </c>
    </row>
    <row r="13" spans="1:11" x14ac:dyDescent="0.2">
      <c r="A13" t="s">
        <v>139</v>
      </c>
      <c r="B13">
        <v>0</v>
      </c>
      <c r="C13">
        <v>0</v>
      </c>
      <c r="D13" s="13">
        <f t="shared" si="0"/>
        <v>44875.833043981482</v>
      </c>
      <c r="F13" s="14">
        <v>12</v>
      </c>
    </row>
    <row r="14" spans="1:11" x14ac:dyDescent="0.2">
      <c r="A14" t="s">
        <v>140</v>
      </c>
      <c r="B14">
        <v>0</v>
      </c>
      <c r="C14">
        <v>0</v>
      </c>
      <c r="D14" s="13">
        <f t="shared" si="0"/>
        <v>44875.835243055561</v>
      </c>
      <c r="F14" s="14">
        <v>13</v>
      </c>
    </row>
    <row r="15" spans="1:11" x14ac:dyDescent="0.2">
      <c r="A15" t="s">
        <v>141</v>
      </c>
      <c r="B15">
        <v>0</v>
      </c>
      <c r="C15">
        <v>0</v>
      </c>
      <c r="D15" s="13">
        <f t="shared" si="0"/>
        <v>44875.837442129632</v>
      </c>
      <c r="F15" s="14">
        <v>14</v>
      </c>
    </row>
    <row r="16" spans="1:11" x14ac:dyDescent="0.2">
      <c r="A16" t="s">
        <v>142</v>
      </c>
      <c r="B16">
        <v>0</v>
      </c>
      <c r="C16">
        <v>0</v>
      </c>
      <c r="D16" s="13">
        <f t="shared" si="0"/>
        <v>44875.839641203704</v>
      </c>
      <c r="F16" s="14">
        <v>15</v>
      </c>
    </row>
    <row r="17" spans="1:6" x14ac:dyDescent="0.2">
      <c r="A17" t="s">
        <v>143</v>
      </c>
      <c r="B17">
        <v>0</v>
      </c>
      <c r="C17">
        <v>0</v>
      </c>
      <c r="D17" s="13">
        <f t="shared" si="0"/>
        <v>44875.841840277782</v>
      </c>
      <c r="F17" s="14">
        <v>16</v>
      </c>
    </row>
    <row r="18" spans="1:6" x14ac:dyDescent="0.2">
      <c r="A18" t="s">
        <v>144</v>
      </c>
      <c r="B18">
        <v>0</v>
      </c>
      <c r="C18">
        <v>0</v>
      </c>
      <c r="D18" s="13">
        <f t="shared" si="0"/>
        <v>44875.844039351854</v>
      </c>
      <c r="F18" s="14">
        <v>17</v>
      </c>
    </row>
    <row r="19" spans="1:6" x14ac:dyDescent="0.2">
      <c r="A19" t="s">
        <v>145</v>
      </c>
      <c r="B19">
        <v>0</v>
      </c>
      <c r="C19">
        <v>0</v>
      </c>
      <c r="D19" s="13">
        <f t="shared" si="0"/>
        <v>44875.846238425926</v>
      </c>
      <c r="F19" s="14">
        <v>18</v>
      </c>
    </row>
    <row r="20" spans="1:6" x14ac:dyDescent="0.2">
      <c r="A20" t="s">
        <v>146</v>
      </c>
      <c r="B20">
        <v>0</v>
      </c>
      <c r="C20">
        <v>0</v>
      </c>
      <c r="D20" s="13">
        <f t="shared" si="0"/>
        <v>44875.848437500004</v>
      </c>
      <c r="F20" s="14">
        <v>19</v>
      </c>
    </row>
    <row r="21" spans="1:6" x14ac:dyDescent="0.2">
      <c r="A21" t="s">
        <v>147</v>
      </c>
      <c r="B21">
        <v>0</v>
      </c>
      <c r="C21">
        <v>0</v>
      </c>
      <c r="D21" s="13">
        <f t="shared" si="0"/>
        <v>44875.850636574076</v>
      </c>
      <c r="F21" s="14">
        <v>20</v>
      </c>
    </row>
    <row r="22" spans="1:6" x14ac:dyDescent="0.2">
      <c r="A22" t="s">
        <v>148</v>
      </c>
      <c r="B22">
        <v>0</v>
      </c>
      <c r="C22">
        <v>0</v>
      </c>
      <c r="D22" s="13">
        <f t="shared" si="0"/>
        <v>44875.852835648147</v>
      </c>
      <c r="F22" s="14">
        <v>21</v>
      </c>
    </row>
    <row r="23" spans="1:6" x14ac:dyDescent="0.2">
      <c r="A23" t="s">
        <v>149</v>
      </c>
      <c r="B23">
        <v>0</v>
      </c>
      <c r="C23">
        <v>0</v>
      </c>
      <c r="D23" s="13">
        <f t="shared" si="0"/>
        <v>44875.855034722226</v>
      </c>
      <c r="F23" s="14">
        <v>22</v>
      </c>
    </row>
    <row r="24" spans="1:6" x14ac:dyDescent="0.2">
      <c r="A24" t="s">
        <v>150</v>
      </c>
      <c r="B24">
        <v>0</v>
      </c>
      <c r="C24">
        <v>0</v>
      </c>
      <c r="D24" s="13">
        <f t="shared" si="0"/>
        <v>44875.857233796298</v>
      </c>
      <c r="F24" s="14">
        <v>23</v>
      </c>
    </row>
    <row r="25" spans="1:6" x14ac:dyDescent="0.2">
      <c r="A25" t="s">
        <v>151</v>
      </c>
      <c r="B25">
        <v>0</v>
      </c>
      <c r="C25">
        <v>0</v>
      </c>
      <c r="D25" s="13">
        <f t="shared" si="0"/>
        <v>44875.859432870369</v>
      </c>
      <c r="F25" s="14">
        <v>24</v>
      </c>
    </row>
    <row r="26" spans="1:6" x14ac:dyDescent="0.2">
      <c r="A26" t="s">
        <v>152</v>
      </c>
      <c r="B26">
        <v>0</v>
      </c>
      <c r="C26">
        <v>0</v>
      </c>
      <c r="D26" s="13">
        <f t="shared" si="0"/>
        <v>44875.861631944448</v>
      </c>
      <c r="F26" s="14">
        <v>25</v>
      </c>
    </row>
    <row r="27" spans="1:6" x14ac:dyDescent="0.2">
      <c r="A27" t="s">
        <v>153</v>
      </c>
      <c r="B27">
        <v>0</v>
      </c>
      <c r="C27">
        <v>0</v>
      </c>
      <c r="D27" s="13">
        <f t="shared" si="0"/>
        <v>44875.86383101852</v>
      </c>
      <c r="F27" s="14">
        <v>26</v>
      </c>
    </row>
    <row r="28" spans="1:6" x14ac:dyDescent="0.2">
      <c r="A28" t="s">
        <v>154</v>
      </c>
      <c r="B28">
        <v>0</v>
      </c>
      <c r="C28">
        <v>0</v>
      </c>
      <c r="D28" s="13">
        <f t="shared" si="0"/>
        <v>44875.866030092591</v>
      </c>
      <c r="F28" s="14">
        <v>27</v>
      </c>
    </row>
    <row r="29" spans="1:6" x14ac:dyDescent="0.2">
      <c r="A29" t="s">
        <v>155</v>
      </c>
      <c r="B29">
        <v>0</v>
      </c>
      <c r="C29">
        <v>0</v>
      </c>
      <c r="D29" s="13">
        <f t="shared" si="0"/>
        <v>44875.86822916667</v>
      </c>
      <c r="F29" s="14">
        <v>28</v>
      </c>
    </row>
    <row r="30" spans="1:6" x14ac:dyDescent="0.2">
      <c r="A30" t="s">
        <v>156</v>
      </c>
      <c r="B30">
        <v>0</v>
      </c>
      <c r="C30">
        <v>0</v>
      </c>
      <c r="D30" s="13">
        <f t="shared" si="0"/>
        <v>44875.870428240742</v>
      </c>
      <c r="F30" s="14">
        <v>29</v>
      </c>
    </row>
    <row r="31" spans="1:6" x14ac:dyDescent="0.2">
      <c r="A31" t="s">
        <v>157</v>
      </c>
      <c r="B31">
        <v>0</v>
      </c>
      <c r="C31">
        <v>0</v>
      </c>
      <c r="D31" s="13">
        <f t="shared" si="0"/>
        <v>44875.872627314813</v>
      </c>
      <c r="F31" s="14">
        <v>30</v>
      </c>
    </row>
    <row r="32" spans="1:6" x14ac:dyDescent="0.2">
      <c r="A32" t="s">
        <v>158</v>
      </c>
      <c r="B32">
        <v>0</v>
      </c>
      <c r="C32">
        <v>0</v>
      </c>
      <c r="D32" s="13">
        <f t="shared" si="0"/>
        <v>44875.874826388892</v>
      </c>
      <c r="F32" s="14">
        <v>31</v>
      </c>
    </row>
    <row r="33" spans="1:6" x14ac:dyDescent="0.2">
      <c r="A33" t="s">
        <v>159</v>
      </c>
      <c r="B33">
        <v>0</v>
      </c>
      <c r="C33">
        <v>0</v>
      </c>
      <c r="D33" s="13">
        <f t="shared" si="0"/>
        <v>44875.877025462964</v>
      </c>
      <c r="F33" s="14">
        <v>32</v>
      </c>
    </row>
    <row r="34" spans="1:6" x14ac:dyDescent="0.2">
      <c r="A34" t="s">
        <v>160</v>
      </c>
      <c r="B34">
        <v>0</v>
      </c>
      <c r="C34">
        <v>0</v>
      </c>
      <c r="D34" s="13">
        <f t="shared" si="0"/>
        <v>44875.879224537035</v>
      </c>
      <c r="F34" s="14">
        <v>33</v>
      </c>
    </row>
    <row r="35" spans="1:6" x14ac:dyDescent="0.2">
      <c r="A35" t="s">
        <v>161</v>
      </c>
      <c r="B35">
        <v>0</v>
      </c>
      <c r="C35">
        <v>0</v>
      </c>
      <c r="D35" s="13">
        <f t="shared" si="0"/>
        <v>44875.881423611114</v>
      </c>
      <c r="F35" s="14">
        <v>34</v>
      </c>
    </row>
    <row r="36" spans="1:6" x14ac:dyDescent="0.2">
      <c r="A36" t="s">
        <v>162</v>
      </c>
      <c r="B36">
        <v>0</v>
      </c>
      <c r="C36">
        <v>0</v>
      </c>
      <c r="D36" s="13">
        <f t="shared" si="0"/>
        <v>44875.883622685185</v>
      </c>
      <c r="F36" s="14">
        <v>35</v>
      </c>
    </row>
    <row r="37" spans="1:6" x14ac:dyDescent="0.2">
      <c r="A37" t="s">
        <v>163</v>
      </c>
      <c r="B37">
        <v>0</v>
      </c>
      <c r="C37">
        <v>0</v>
      </c>
      <c r="D37" s="13">
        <f t="shared" si="0"/>
        <v>44875.885821759264</v>
      </c>
      <c r="F37" s="14">
        <v>36</v>
      </c>
    </row>
    <row r="38" spans="1:6" x14ac:dyDescent="0.2">
      <c r="A38" t="s">
        <v>164</v>
      </c>
      <c r="B38">
        <v>0</v>
      </c>
      <c r="C38">
        <v>0</v>
      </c>
      <c r="D38" s="13">
        <f t="shared" si="0"/>
        <v>44875.888020833336</v>
      </c>
      <c r="F38" s="14">
        <v>37</v>
      </c>
    </row>
    <row r="39" spans="1:6" x14ac:dyDescent="0.2">
      <c r="A39" t="s">
        <v>165</v>
      </c>
      <c r="B39">
        <v>0</v>
      </c>
      <c r="C39">
        <v>0</v>
      </c>
      <c r="D39" s="13">
        <f t="shared" si="0"/>
        <v>44875.890219907407</v>
      </c>
      <c r="F39" s="14">
        <v>38</v>
      </c>
    </row>
    <row r="40" spans="1:6" x14ac:dyDescent="0.2">
      <c r="A40" t="s">
        <v>166</v>
      </c>
      <c r="B40">
        <v>0</v>
      </c>
      <c r="C40">
        <v>0</v>
      </c>
      <c r="D40" s="13">
        <f t="shared" si="0"/>
        <v>44875.892418981486</v>
      </c>
      <c r="F40" s="14">
        <v>39</v>
      </c>
    </row>
    <row r="41" spans="1:6" x14ac:dyDescent="0.2">
      <c r="A41" t="s">
        <v>167</v>
      </c>
      <c r="B41">
        <v>0</v>
      </c>
      <c r="C41">
        <v>0</v>
      </c>
      <c r="D41" s="13">
        <f t="shared" si="0"/>
        <v>44875.894618055558</v>
      </c>
      <c r="F41" s="14">
        <v>40</v>
      </c>
    </row>
    <row r="42" spans="1:6" x14ac:dyDescent="0.2">
      <c r="A42" t="s">
        <v>168</v>
      </c>
      <c r="B42">
        <v>0</v>
      </c>
      <c r="C42">
        <v>0</v>
      </c>
      <c r="D42" s="13">
        <f t="shared" si="0"/>
        <v>44875.896817129629</v>
      </c>
      <c r="F42" s="14">
        <v>41</v>
      </c>
    </row>
    <row r="43" spans="1:6" x14ac:dyDescent="0.2">
      <c r="A43" t="s">
        <v>169</v>
      </c>
      <c r="B43">
        <v>0</v>
      </c>
      <c r="C43">
        <v>0</v>
      </c>
      <c r="D43" s="13">
        <f t="shared" si="0"/>
        <v>44875.899016203708</v>
      </c>
      <c r="F43" s="14">
        <v>42</v>
      </c>
    </row>
    <row r="44" spans="1:6" x14ac:dyDescent="0.2">
      <c r="A44" t="s">
        <v>170</v>
      </c>
      <c r="B44">
        <v>0</v>
      </c>
      <c r="C44">
        <v>0</v>
      </c>
      <c r="D44" s="13">
        <f t="shared" si="0"/>
        <v>44875.90121527778</v>
      </c>
      <c r="F44" s="14">
        <v>43</v>
      </c>
    </row>
    <row r="45" spans="1:6" x14ac:dyDescent="0.2">
      <c r="A45" t="s">
        <v>171</v>
      </c>
      <c r="B45">
        <v>0</v>
      </c>
      <c r="C45">
        <v>0</v>
      </c>
      <c r="D45" s="13">
        <f t="shared" si="0"/>
        <v>44875.903414351851</v>
      </c>
      <c r="F45" s="14">
        <v>44</v>
      </c>
    </row>
    <row r="46" spans="1:6" x14ac:dyDescent="0.2">
      <c r="A46" t="s">
        <v>172</v>
      </c>
      <c r="B46">
        <v>0</v>
      </c>
      <c r="C46">
        <v>0</v>
      </c>
      <c r="D46" s="13">
        <f t="shared" si="0"/>
        <v>44875.90561342593</v>
      </c>
      <c r="F46" s="14">
        <v>45</v>
      </c>
    </row>
    <row r="47" spans="1:6" x14ac:dyDescent="0.2">
      <c r="A47" t="s">
        <v>173</v>
      </c>
      <c r="B47">
        <v>0</v>
      </c>
      <c r="C47">
        <v>0</v>
      </c>
      <c r="D47" s="13">
        <f t="shared" si="0"/>
        <v>44875.907812500001</v>
      </c>
      <c r="F47" s="14">
        <v>46</v>
      </c>
    </row>
    <row r="48" spans="1:6" x14ac:dyDescent="0.2">
      <c r="A48" t="s">
        <v>174</v>
      </c>
      <c r="B48">
        <v>0</v>
      </c>
      <c r="C48">
        <v>0</v>
      </c>
      <c r="D48" s="13">
        <f t="shared" si="0"/>
        <v>44875.910011574073</v>
      </c>
      <c r="F48" s="14">
        <v>47</v>
      </c>
    </row>
    <row r="49" spans="1:6" x14ac:dyDescent="0.2">
      <c r="A49" t="s">
        <v>175</v>
      </c>
      <c r="B49">
        <v>0</v>
      </c>
      <c r="C49">
        <v>0</v>
      </c>
      <c r="D49" s="13">
        <f t="shared" si="0"/>
        <v>44875.912210648152</v>
      </c>
      <c r="F49" s="14">
        <v>48</v>
      </c>
    </row>
    <row r="50" spans="1:6" x14ac:dyDescent="0.2">
      <c r="A50" t="s">
        <v>176</v>
      </c>
      <c r="B50">
        <v>0</v>
      </c>
      <c r="C50">
        <v>0</v>
      </c>
      <c r="D50" s="13">
        <f t="shared" si="0"/>
        <v>44875.914409722223</v>
      </c>
      <c r="F50" s="14">
        <v>49</v>
      </c>
    </row>
    <row r="51" spans="1:6" x14ac:dyDescent="0.2">
      <c r="A51" t="s">
        <v>177</v>
      </c>
      <c r="B51">
        <v>0</v>
      </c>
      <c r="C51">
        <v>0</v>
      </c>
      <c r="D51" s="13">
        <f t="shared" si="0"/>
        <v>44875.916608796295</v>
      </c>
      <c r="F51" s="14">
        <v>50</v>
      </c>
    </row>
    <row r="52" spans="1:6" x14ac:dyDescent="0.2">
      <c r="A52" s="18" t="s">
        <v>180</v>
      </c>
      <c r="B52" s="18">
        <f>SUM(B2:B51)</f>
        <v>0</v>
      </c>
      <c r="C52" s="18">
        <f>SUM(C2:C51)</f>
        <v>0</v>
      </c>
      <c r="D52" s="18"/>
    </row>
  </sheetData>
  <phoneticPr fontId="4" type="noConversion"/>
  <conditionalFormatting sqref="B2:B51">
    <cfRule type="cellIs" dxfId="2" priority="5" operator="equal">
      <formula>1</formula>
    </cfRule>
  </conditionalFormatting>
  <conditionalFormatting sqref="C2:C51">
    <cfRule type="cellIs" dxfId="1" priority="4" operator="equal">
      <formula>1</formula>
    </cfRule>
  </conditionalFormatting>
  <conditionalFormatting sqref="D2:D51">
    <cfRule type="cellIs" dxfId="0" priority="1" operator="greaterThan">
      <formula>NOW()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C6AA-67C6-5B4C-BAFA-8988D4368B9E}">
  <dimension ref="A1:H27"/>
  <sheetViews>
    <sheetView zoomScale="160" zoomScaleNormal="160" workbookViewId="0">
      <selection activeCell="H25" sqref="H25"/>
    </sheetView>
  </sheetViews>
  <sheetFormatPr baseColWidth="10" defaultRowHeight="16" x14ac:dyDescent="0.2"/>
  <cols>
    <col min="1" max="1" width="23.33203125" customWidth="1"/>
    <col min="2" max="5" width="17.5" customWidth="1"/>
  </cols>
  <sheetData>
    <row r="1" spans="1:8" x14ac:dyDescent="0.2">
      <c r="B1" t="s">
        <v>76</v>
      </c>
      <c r="C1" t="s">
        <v>77</v>
      </c>
      <c r="D1" t="s">
        <v>78</v>
      </c>
      <c r="F1" t="s">
        <v>80</v>
      </c>
      <c r="G1" t="s">
        <v>81</v>
      </c>
    </row>
    <row r="2" spans="1:8" x14ac:dyDescent="0.2">
      <c r="B2">
        <v>0.25</v>
      </c>
      <c r="C2">
        <v>0.15</v>
      </c>
      <c r="D2">
        <v>0.21</v>
      </c>
      <c r="F2" s="3">
        <f>$B2*C2</f>
        <v>3.7499999999999999E-2</v>
      </c>
      <c r="G2" s="3">
        <f>$B2*D2</f>
        <v>5.2499999999999998E-2</v>
      </c>
    </row>
    <row r="3" spans="1:8" x14ac:dyDescent="0.2">
      <c r="B3">
        <v>0.45</v>
      </c>
      <c r="C3">
        <v>0.09</v>
      </c>
      <c r="D3">
        <v>0.12</v>
      </c>
      <c r="F3" s="3">
        <f t="shared" ref="F3:F4" si="0">$B3*C3</f>
        <v>4.0500000000000001E-2</v>
      </c>
      <c r="G3" s="3">
        <f t="shared" ref="G3:G4" si="1">$B3*D3</f>
        <v>5.3999999999999999E-2</v>
      </c>
    </row>
    <row r="4" spans="1:8" x14ac:dyDescent="0.2">
      <c r="B4">
        <v>0.3</v>
      </c>
      <c r="C4">
        <v>-0.12</v>
      </c>
      <c r="D4">
        <v>-0.15</v>
      </c>
      <c r="F4" s="3">
        <f t="shared" si="0"/>
        <v>-3.5999999999999997E-2</v>
      </c>
      <c r="G4" s="3">
        <f t="shared" si="1"/>
        <v>-4.4999999999999998E-2</v>
      </c>
    </row>
    <row r="5" spans="1:8" x14ac:dyDescent="0.2">
      <c r="F5" s="3">
        <f>SUM(F2:F4)</f>
        <v>4.2000000000000003E-2</v>
      </c>
      <c r="G5" s="3">
        <f>SUM(G2:G4)</f>
        <v>6.1499999999999999E-2</v>
      </c>
    </row>
    <row r="6" spans="1:8" x14ac:dyDescent="0.2">
      <c r="A6" t="s">
        <v>79</v>
      </c>
      <c r="F6">
        <v>0.75</v>
      </c>
      <c r="G6">
        <v>0.25</v>
      </c>
    </row>
    <row r="7" spans="1:8" x14ac:dyDescent="0.2">
      <c r="E7" t="s">
        <v>82</v>
      </c>
      <c r="F7" s="3">
        <f>F5*F6</f>
        <v>3.15E-2</v>
      </c>
      <c r="G7" s="3">
        <f>G5*G6</f>
        <v>1.5375E-2</v>
      </c>
      <c r="H7" s="8">
        <f>SUM(F7,G7)</f>
        <v>4.6875E-2</v>
      </c>
    </row>
    <row r="11" spans="1:8" x14ac:dyDescent="0.2">
      <c r="B11" t="s">
        <v>76</v>
      </c>
      <c r="C11" t="s">
        <v>77</v>
      </c>
      <c r="D11" t="s">
        <v>78</v>
      </c>
      <c r="F11" t="s">
        <v>80</v>
      </c>
      <c r="G11" t="s">
        <v>81</v>
      </c>
    </row>
    <row r="12" spans="1:8" x14ac:dyDescent="0.2">
      <c r="B12">
        <v>0.2</v>
      </c>
      <c r="C12">
        <v>0.22500000000000001</v>
      </c>
      <c r="D12">
        <v>0.315</v>
      </c>
      <c r="F12" s="3">
        <f>$B12*C12</f>
        <v>4.5000000000000005E-2</v>
      </c>
      <c r="G12" s="3">
        <f>$B12*D12</f>
        <v>6.3E-2</v>
      </c>
    </row>
    <row r="13" spans="1:8" x14ac:dyDescent="0.2">
      <c r="B13">
        <v>0.35</v>
      </c>
      <c r="C13">
        <v>0.13500000000000001</v>
      </c>
      <c r="D13">
        <v>0.18</v>
      </c>
      <c r="F13" s="3">
        <f t="shared" ref="F13:F14" si="2">$B13*C13</f>
        <v>4.725E-2</v>
      </c>
      <c r="G13" s="3">
        <f t="shared" ref="G13:G14" si="3">$B13*D13</f>
        <v>6.3E-2</v>
      </c>
    </row>
    <row r="14" spans="1:8" x14ac:dyDescent="0.2">
      <c r="B14">
        <v>0.45</v>
      </c>
      <c r="C14">
        <v>-0.18</v>
      </c>
      <c r="D14">
        <v>-0.22500000000000001</v>
      </c>
      <c r="F14" s="3">
        <f t="shared" si="2"/>
        <v>-8.1000000000000003E-2</v>
      </c>
      <c r="G14" s="3">
        <f t="shared" si="3"/>
        <v>-0.10125000000000001</v>
      </c>
    </row>
    <row r="15" spans="1:8" x14ac:dyDescent="0.2">
      <c r="F15" s="3">
        <f>SUM(F12:F14)</f>
        <v>1.1249999999999996E-2</v>
      </c>
      <c r="G15" s="3">
        <f>SUM(G12:G14)</f>
        <v>2.4749999999999994E-2</v>
      </c>
    </row>
    <row r="16" spans="1:8" x14ac:dyDescent="0.2">
      <c r="A16" t="s">
        <v>79</v>
      </c>
      <c r="F16">
        <v>0.75</v>
      </c>
      <c r="G16">
        <v>0.25</v>
      </c>
    </row>
    <row r="17" spans="1:8" x14ac:dyDescent="0.2">
      <c r="E17" t="s">
        <v>82</v>
      </c>
      <c r="F17" s="3">
        <f>F15*F16</f>
        <v>8.4374999999999971E-3</v>
      </c>
      <c r="G17" s="3">
        <f>G15*G16</f>
        <v>6.1874999999999986E-3</v>
      </c>
      <c r="H17" s="8">
        <f>SUM(F17,G17)</f>
        <v>1.4624999999999996E-2</v>
      </c>
    </row>
    <row r="19" spans="1:8" x14ac:dyDescent="0.2">
      <c r="F19" t="s">
        <v>85</v>
      </c>
      <c r="G19" t="s">
        <v>86</v>
      </c>
    </row>
    <row r="20" spans="1:8" x14ac:dyDescent="0.2">
      <c r="B20">
        <v>0.21249999999999999</v>
      </c>
      <c r="C20" s="10">
        <f>(B2-$B20)^2</f>
        <v>1.4062500000000004E-3</v>
      </c>
      <c r="F20">
        <f>100*(1-B20)</f>
        <v>78.75</v>
      </c>
      <c r="G20">
        <f>F20^2</f>
        <v>6201.5625</v>
      </c>
    </row>
    <row r="21" spans="1:8" x14ac:dyDescent="0.2">
      <c r="B21">
        <v>0.14449999999999999</v>
      </c>
      <c r="C21" s="10">
        <f t="shared" ref="C21:C24" si="4">(B3-$B21)^2</f>
        <v>9.333024999999999E-2</v>
      </c>
      <c r="F21">
        <f t="shared" ref="F21:F24" si="5">100*(1-B21)</f>
        <v>85.55</v>
      </c>
      <c r="G21">
        <f t="shared" ref="G21:G24" si="6">F21^2</f>
        <v>7318.8024999999998</v>
      </c>
    </row>
    <row r="22" spans="1:8" x14ac:dyDescent="0.2">
      <c r="B22">
        <v>0.255</v>
      </c>
      <c r="C22" s="10">
        <f t="shared" si="4"/>
        <v>2.0249999999999986E-3</v>
      </c>
      <c r="F22">
        <f t="shared" si="5"/>
        <v>74.5</v>
      </c>
      <c r="G22">
        <f t="shared" si="6"/>
        <v>5550.25</v>
      </c>
    </row>
    <row r="23" spans="1:8" x14ac:dyDescent="0.2">
      <c r="B23">
        <v>0.35699999999999998</v>
      </c>
      <c r="C23" s="10">
        <f t="shared" si="4"/>
        <v>0.12744899999999998</v>
      </c>
      <c r="F23">
        <f t="shared" si="5"/>
        <v>64.3</v>
      </c>
      <c r="G23">
        <f t="shared" si="6"/>
        <v>4134.49</v>
      </c>
    </row>
    <row r="24" spans="1:8" x14ac:dyDescent="0.2">
      <c r="B24">
        <v>0.1105</v>
      </c>
      <c r="C24" s="10">
        <f t="shared" si="4"/>
        <v>1.2210250000000001E-2</v>
      </c>
      <c r="F24">
        <f t="shared" si="5"/>
        <v>88.949999999999989</v>
      </c>
      <c r="G24">
        <f t="shared" si="6"/>
        <v>7912.1024999999981</v>
      </c>
    </row>
    <row r="25" spans="1:8" x14ac:dyDescent="0.2">
      <c r="A25" t="s">
        <v>83</v>
      </c>
      <c r="B25">
        <f>SUM(B20:B24)</f>
        <v>1.0794999999999999</v>
      </c>
      <c r="C25">
        <f>SUM(C20:C24)</f>
        <v>0.23642074999999999</v>
      </c>
      <c r="D25">
        <f>C25/4</f>
        <v>5.9105187499999996E-2</v>
      </c>
      <c r="E25">
        <f>SQRT(D25)</f>
        <v>0.24311558465059371</v>
      </c>
      <c r="G25">
        <f>SUM(G20:G24)</f>
        <v>31117.207499999993</v>
      </c>
      <c r="H25" t="s">
        <v>87</v>
      </c>
    </row>
    <row r="26" spans="1:8" x14ac:dyDescent="0.2">
      <c r="A26" t="s">
        <v>84</v>
      </c>
      <c r="B26">
        <f>B25/5</f>
        <v>0.21589999999999998</v>
      </c>
      <c r="C26">
        <f>C25/4</f>
        <v>5.9105187499999996E-2</v>
      </c>
      <c r="D26">
        <f>C26^2</f>
        <v>3.4934231894101558E-3</v>
      </c>
    </row>
    <row r="27" spans="1:8" x14ac:dyDescent="0.2">
      <c r="D27">
        <f>SQRT(D25)</f>
        <v>0.24311558465059371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97DA-F3F6-4643-B486-F69E4794B70E}">
  <dimension ref="A1:I33"/>
  <sheetViews>
    <sheetView zoomScale="150" zoomScaleNormal="150" workbookViewId="0">
      <selection activeCell="D28" sqref="D28"/>
    </sheetView>
  </sheetViews>
  <sheetFormatPr baseColWidth="10" defaultRowHeight="16" x14ac:dyDescent="0.2"/>
  <cols>
    <col min="1" max="6" width="19.1640625" customWidth="1"/>
  </cols>
  <sheetData>
    <row r="1" spans="1:9" x14ac:dyDescent="0.2">
      <c r="B1" t="s">
        <v>96</v>
      </c>
      <c r="C1" t="s">
        <v>97</v>
      </c>
      <c r="D1" t="s">
        <v>98</v>
      </c>
    </row>
    <row r="2" spans="1:9" x14ac:dyDescent="0.2">
      <c r="A2" t="s">
        <v>101</v>
      </c>
      <c r="B2" s="2">
        <v>0.35</v>
      </c>
      <c r="C2">
        <v>0.6</v>
      </c>
      <c r="D2" s="2">
        <v>0.53</v>
      </c>
      <c r="F2" t="s">
        <v>99</v>
      </c>
      <c r="G2">
        <v>0.78</v>
      </c>
      <c r="H2" t="s">
        <v>102</v>
      </c>
      <c r="I2" s="3">
        <v>0.04</v>
      </c>
    </row>
    <row r="3" spans="1:9" x14ac:dyDescent="0.2">
      <c r="B3" s="2">
        <v>0.2</v>
      </c>
      <c r="C3">
        <v>1.5</v>
      </c>
      <c r="D3" s="2">
        <v>0.56999999999999995</v>
      </c>
      <c r="F3" t="s">
        <v>100</v>
      </c>
      <c r="G3" s="3">
        <v>8.2900000000000001E-2</v>
      </c>
      <c r="H3" t="s">
        <v>103</v>
      </c>
      <c r="I3" s="3">
        <v>5.5E-2</v>
      </c>
    </row>
    <row r="4" spans="1:9" x14ac:dyDescent="0.2">
      <c r="B4" s="2">
        <v>0.15</v>
      </c>
      <c r="C4">
        <v>1.2</v>
      </c>
      <c r="D4" s="2">
        <v>0.6</v>
      </c>
    </row>
    <row r="5" spans="1:9" x14ac:dyDescent="0.2">
      <c r="B5" s="2">
        <v>0.3</v>
      </c>
      <c r="C5">
        <v>0.3</v>
      </c>
      <c r="D5" s="2">
        <v>0.64</v>
      </c>
    </row>
    <row r="8" spans="1:9" x14ac:dyDescent="0.2">
      <c r="B8" t="s">
        <v>104</v>
      </c>
      <c r="C8">
        <f>(C2-C5)*B2</f>
        <v>0.105</v>
      </c>
    </row>
    <row r="9" spans="1:9" x14ac:dyDescent="0.2">
      <c r="B9" t="s">
        <v>105</v>
      </c>
      <c r="C9">
        <f>I3*C8</f>
        <v>5.7749999999999998E-3</v>
      </c>
      <c r="D9" t="s">
        <v>106</v>
      </c>
      <c r="E9" s="8">
        <f>G3-C9</f>
        <v>7.7124999999999999E-2</v>
      </c>
    </row>
    <row r="10" spans="1:9" x14ac:dyDescent="0.2">
      <c r="E10">
        <v>9.2100000000000009</v>
      </c>
      <c r="F10" t="s">
        <v>107</v>
      </c>
    </row>
    <row r="13" spans="1:9" x14ac:dyDescent="0.2">
      <c r="B13" t="s">
        <v>96</v>
      </c>
      <c r="C13" t="s">
        <v>97</v>
      </c>
      <c r="D13" t="s">
        <v>98</v>
      </c>
    </row>
    <row r="14" spans="1:9" x14ac:dyDescent="0.2">
      <c r="A14" t="s">
        <v>101</v>
      </c>
      <c r="B14" s="2">
        <v>0.35</v>
      </c>
      <c r="C14">
        <v>0.9</v>
      </c>
      <c r="D14" s="2">
        <v>0.53</v>
      </c>
      <c r="F14" t="s">
        <v>99</v>
      </c>
      <c r="G14">
        <v>0.88500000000000001</v>
      </c>
      <c r="H14" t="s">
        <v>102</v>
      </c>
      <c r="I14" s="3">
        <v>0.04</v>
      </c>
    </row>
    <row r="15" spans="1:9" x14ac:dyDescent="0.2">
      <c r="B15" s="2">
        <v>0.2</v>
      </c>
      <c r="C15">
        <v>1.5</v>
      </c>
      <c r="D15" s="2">
        <v>0.56999999999999995</v>
      </c>
      <c r="F15" t="s">
        <v>100</v>
      </c>
      <c r="G15" s="3">
        <v>8.8700000000000001E-2</v>
      </c>
      <c r="H15" t="s">
        <v>103</v>
      </c>
      <c r="I15" s="3">
        <v>5.5E-2</v>
      </c>
    </row>
    <row r="16" spans="1:9" x14ac:dyDescent="0.2">
      <c r="B16" s="2">
        <v>0.15</v>
      </c>
      <c r="C16">
        <v>1.2</v>
      </c>
      <c r="D16" s="2">
        <v>0.6</v>
      </c>
    </row>
    <row r="17" spans="2:6" x14ac:dyDescent="0.2">
      <c r="B17" s="2">
        <v>0.3</v>
      </c>
      <c r="C17">
        <v>0.3</v>
      </c>
      <c r="D17" s="2">
        <v>0.64</v>
      </c>
    </row>
    <row r="20" spans="2:6" x14ac:dyDescent="0.2">
      <c r="B20" t="s">
        <v>104</v>
      </c>
      <c r="C20">
        <f>(C14-C17)*B14</f>
        <v>0.21000000000000002</v>
      </c>
    </row>
    <row r="21" spans="2:6" x14ac:dyDescent="0.2">
      <c r="B21" t="s">
        <v>105</v>
      </c>
      <c r="C21">
        <f>I15*C20</f>
        <v>1.1550000000000001E-2</v>
      </c>
      <c r="E21" s="8">
        <f>G15-C21</f>
        <v>7.7149999999999996E-2</v>
      </c>
    </row>
    <row r="22" spans="2:6" x14ac:dyDescent="0.2">
      <c r="E22">
        <v>9.2100000000000009</v>
      </c>
      <c r="F22" t="s">
        <v>107</v>
      </c>
    </row>
    <row r="25" spans="2:6" x14ac:dyDescent="0.2">
      <c r="C25">
        <v>7.5999999999999998E-2</v>
      </c>
      <c r="D25" t="s">
        <v>112</v>
      </c>
      <c r="E25">
        <v>0.02</v>
      </c>
    </row>
    <row r="26" spans="2:6" x14ac:dyDescent="0.2">
      <c r="B26" t="s">
        <v>108</v>
      </c>
      <c r="C26">
        <v>0.04</v>
      </c>
    </row>
    <row r="27" spans="2:6" x14ac:dyDescent="0.2">
      <c r="B27" t="s">
        <v>109</v>
      </c>
      <c r="C27">
        <f>C25-C26</f>
        <v>3.5999999999999997E-2</v>
      </c>
    </row>
    <row r="29" spans="2:6" x14ac:dyDescent="0.2">
      <c r="B29" t="s">
        <v>110</v>
      </c>
      <c r="C29">
        <v>0.6</v>
      </c>
    </row>
    <row r="30" spans="2:6" x14ac:dyDescent="0.2">
      <c r="B30" t="s">
        <v>111</v>
      </c>
      <c r="C30">
        <v>7.5999999999999998E-2</v>
      </c>
    </row>
    <row r="32" spans="2:6" x14ac:dyDescent="0.2">
      <c r="B32" t="s">
        <v>113</v>
      </c>
      <c r="C32">
        <f>C30-E25</f>
        <v>5.5999999999999994E-2</v>
      </c>
    </row>
    <row r="33" spans="2:2" x14ac:dyDescent="0.2">
      <c r="B33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2CFD-902E-9842-BD40-92FBE8C4882A}">
  <dimension ref="A1:E24"/>
  <sheetViews>
    <sheetView tabSelected="1" zoomScale="150" zoomScaleNormal="150" workbookViewId="0">
      <selection activeCell="F31" sqref="F31"/>
    </sheetView>
  </sheetViews>
  <sheetFormatPr baseColWidth="10" defaultRowHeight="16" x14ac:dyDescent="0.2"/>
  <cols>
    <col min="1" max="1" width="8.5" customWidth="1"/>
    <col min="2" max="2" width="22" style="12" customWidth="1"/>
    <col min="3" max="3" width="13.6640625" customWidth="1"/>
    <col min="4" max="8" width="31" customWidth="1"/>
  </cols>
  <sheetData>
    <row r="1" spans="1:5" x14ac:dyDescent="0.2">
      <c r="A1" t="s">
        <v>185</v>
      </c>
      <c r="B1" s="12" t="s">
        <v>186</v>
      </c>
      <c r="C1" s="1">
        <f>43000/22000</f>
        <v>1.9545454545454546</v>
      </c>
    </row>
    <row r="4" spans="1:5" x14ac:dyDescent="0.2">
      <c r="A4" t="s">
        <v>187</v>
      </c>
    </row>
    <row r="7" spans="1:5" x14ac:dyDescent="0.2">
      <c r="A7" t="s">
        <v>188</v>
      </c>
    </row>
    <row r="8" spans="1:5" x14ac:dyDescent="0.2">
      <c r="B8" s="12" t="s">
        <v>189</v>
      </c>
      <c r="C8">
        <v>280000</v>
      </c>
    </row>
    <row r="9" spans="1:5" x14ac:dyDescent="0.2">
      <c r="B9" s="12" t="s">
        <v>190</v>
      </c>
      <c r="C9">
        <v>60000</v>
      </c>
      <c r="D9" t="s">
        <v>191</v>
      </c>
      <c r="E9" s="3">
        <f>C9/C8</f>
        <v>0.21428571428571427</v>
      </c>
    </row>
    <row r="12" spans="1:5" x14ac:dyDescent="0.2">
      <c r="A12" t="s">
        <v>192</v>
      </c>
      <c r="B12" s="12" t="s">
        <v>193</v>
      </c>
      <c r="C12">
        <v>335000</v>
      </c>
    </row>
    <row r="13" spans="1:5" x14ac:dyDescent="0.2">
      <c r="B13" s="12" t="s">
        <v>194</v>
      </c>
      <c r="C13">
        <v>0.4</v>
      </c>
      <c r="D13" t="s">
        <v>195</v>
      </c>
      <c r="E13">
        <f>C12*C13</f>
        <v>134000</v>
      </c>
    </row>
    <row r="16" spans="1:5" x14ac:dyDescent="0.2">
      <c r="A16" t="s">
        <v>196</v>
      </c>
      <c r="B16" s="12" t="s">
        <v>197</v>
      </c>
      <c r="C16">
        <v>35000</v>
      </c>
      <c r="D16" t="s">
        <v>200</v>
      </c>
    </row>
    <row r="17" spans="1:4" x14ac:dyDescent="0.2">
      <c r="B17" s="12" t="s">
        <v>198</v>
      </c>
      <c r="C17">
        <v>7.4999999999999997E-2</v>
      </c>
    </row>
    <row r="18" spans="1:4" x14ac:dyDescent="0.2">
      <c r="B18" s="12" t="s">
        <v>199</v>
      </c>
      <c r="C18">
        <v>7</v>
      </c>
      <c r="D18" t="s">
        <v>201</v>
      </c>
    </row>
    <row r="23" spans="1:4" x14ac:dyDescent="0.2">
      <c r="A23" t="s">
        <v>202</v>
      </c>
      <c r="B23" s="12" t="s">
        <v>203</v>
      </c>
      <c r="D23">
        <f>NPER(0.07/12,3000,200000,0,0)</f>
        <v>-56.479075717548035</v>
      </c>
    </row>
    <row r="24" spans="1:4" x14ac:dyDescent="0.2">
      <c r="B24" s="12" t="s">
        <v>204</v>
      </c>
      <c r="D24" s="1">
        <f>NPER(0.07/12,3000,150000,0,0)</f>
        <v>-44.002135345779372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FB47-6D67-A84B-93C3-895FA129EFE6}">
  <dimension ref="A1:F29"/>
  <sheetViews>
    <sheetView zoomScale="140" zoomScaleNormal="140" workbookViewId="0">
      <selection activeCell="A29" sqref="A29"/>
    </sheetView>
  </sheetViews>
  <sheetFormatPr baseColWidth="10" defaultRowHeight="16" x14ac:dyDescent="0.2"/>
  <cols>
    <col min="1" max="1" width="34.5" customWidth="1"/>
    <col min="2" max="2" width="28.5" customWidth="1"/>
    <col min="3" max="8" width="16.5" customWidth="1"/>
  </cols>
  <sheetData>
    <row r="1" spans="1:6" x14ac:dyDescent="0.2">
      <c r="B1">
        <v>2012</v>
      </c>
      <c r="C1">
        <v>2013</v>
      </c>
      <c r="D1">
        <v>2014</v>
      </c>
      <c r="E1">
        <v>2015</v>
      </c>
      <c r="F1">
        <v>2016</v>
      </c>
    </row>
    <row r="2" spans="1:6" x14ac:dyDescent="0.2">
      <c r="B2" s="3">
        <v>0.22500000000000001</v>
      </c>
      <c r="C2" s="3">
        <v>0.153</v>
      </c>
      <c r="D2" s="3">
        <v>0.27</v>
      </c>
      <c r="E2" s="3">
        <v>0.378</v>
      </c>
      <c r="F2" s="3">
        <v>0.11700000000000001</v>
      </c>
    </row>
    <row r="4" spans="1:6" x14ac:dyDescent="0.2">
      <c r="A4" t="s">
        <v>115</v>
      </c>
      <c r="B4" s="8">
        <f>AVERAGE(B2:F2)</f>
        <v>0.2286</v>
      </c>
    </row>
    <row r="5" spans="1:6" x14ac:dyDescent="0.2">
      <c r="A5" t="s">
        <v>116</v>
      </c>
      <c r="B5" s="3">
        <f>_xlfn.STDEV.S(B2:F2)</f>
        <v>0.10273412286090733</v>
      </c>
    </row>
    <row r="6" spans="1:6" x14ac:dyDescent="0.2">
      <c r="A6" t="s">
        <v>117</v>
      </c>
      <c r="B6" s="1">
        <f>B5/B4</f>
        <v>0.44940561181499267</v>
      </c>
    </row>
    <row r="10" spans="1:6" x14ac:dyDescent="0.2">
      <c r="B10">
        <v>2012</v>
      </c>
      <c r="C10">
        <v>2013</v>
      </c>
      <c r="D10">
        <v>2014</v>
      </c>
      <c r="E10">
        <v>2015</v>
      </c>
      <c r="F10">
        <v>2016</v>
      </c>
    </row>
    <row r="11" spans="1:6" x14ac:dyDescent="0.2">
      <c r="B11" s="3">
        <v>7.4999999999999997E-2</v>
      </c>
      <c r="C11" s="3">
        <v>5.0999999999999997E-2</v>
      </c>
      <c r="D11" s="3">
        <v>0.09</v>
      </c>
      <c r="E11" s="3">
        <v>0.126</v>
      </c>
      <c r="F11" s="3">
        <v>3.9E-2</v>
      </c>
    </row>
    <row r="13" spans="1:6" x14ac:dyDescent="0.2">
      <c r="A13" t="s">
        <v>115</v>
      </c>
      <c r="B13" s="8">
        <f>AVERAGE(B11:F11)</f>
        <v>7.619999999999999E-2</v>
      </c>
    </row>
    <row r="14" spans="1:6" x14ac:dyDescent="0.2">
      <c r="A14" t="s">
        <v>116</v>
      </c>
      <c r="B14" s="3">
        <f>_xlfn.STDEV.S(B11:F11)</f>
        <v>3.4244707620302482E-2</v>
      </c>
    </row>
    <row r="15" spans="1:6" x14ac:dyDescent="0.2">
      <c r="A15" t="s">
        <v>117</v>
      </c>
      <c r="B15" s="1">
        <f>B14/B13</f>
        <v>0.44940561181499328</v>
      </c>
    </row>
    <row r="20" spans="1:6" x14ac:dyDescent="0.2">
      <c r="B20">
        <v>2012</v>
      </c>
      <c r="C20">
        <v>2013</v>
      </c>
      <c r="D20">
        <v>2014</v>
      </c>
      <c r="E20">
        <v>2015</v>
      </c>
      <c r="F20">
        <v>2016</v>
      </c>
    </row>
    <row r="21" spans="1:6" x14ac:dyDescent="0.2">
      <c r="B21" s="3">
        <v>1.4999999999999999E-2</v>
      </c>
      <c r="C21" s="3">
        <v>0.123</v>
      </c>
      <c r="D21" s="3">
        <v>0.27</v>
      </c>
      <c r="E21" s="3">
        <v>0.378</v>
      </c>
      <c r="F21" s="3">
        <v>0.11700000000000001</v>
      </c>
    </row>
    <row r="23" spans="1:6" x14ac:dyDescent="0.2">
      <c r="A23" t="s">
        <v>115</v>
      </c>
      <c r="B23" s="8">
        <f>AVERAGE(B21:F21)</f>
        <v>0.18060000000000001</v>
      </c>
    </row>
    <row r="24" spans="1:6" x14ac:dyDescent="0.2">
      <c r="A24" t="s">
        <v>116</v>
      </c>
      <c r="B24" s="3">
        <f>_xlfn.STDEV.S(B21:F21)</f>
        <v>0.14295558750884838</v>
      </c>
    </row>
    <row r="25" spans="1:6" x14ac:dyDescent="0.2">
      <c r="A25" t="s">
        <v>117</v>
      </c>
      <c r="B25" s="1">
        <f>B24/B23</f>
        <v>0.79155917778985807</v>
      </c>
    </row>
    <row r="28" spans="1:6" x14ac:dyDescent="0.2">
      <c r="B28" t="e">
        <f>NPER(7,3000,0,350000,0)</f>
        <v>#NUM!</v>
      </c>
    </row>
    <row r="29" spans="1:6" x14ac:dyDescent="0.2">
      <c r="A29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899D-A562-AE43-8672-11DD2858DA1E}">
  <dimension ref="A1:G63"/>
  <sheetViews>
    <sheetView zoomScale="140" zoomScaleNormal="140" workbookViewId="0">
      <selection activeCell="D52" sqref="D52"/>
    </sheetView>
  </sheetViews>
  <sheetFormatPr baseColWidth="10" defaultRowHeight="16" x14ac:dyDescent="0.2"/>
  <cols>
    <col min="1" max="1" width="47.5" customWidth="1"/>
    <col min="2" max="2" width="20.33203125" style="1" bestFit="1" customWidth="1"/>
    <col min="3" max="3" width="11.83203125" bestFit="1" customWidth="1"/>
    <col min="5" max="5" width="12.83203125" bestFit="1" customWidth="1"/>
  </cols>
  <sheetData>
    <row r="1" spans="1:5" x14ac:dyDescent="0.2">
      <c r="A1" t="s">
        <v>0</v>
      </c>
      <c r="B1" s="1">
        <f>2000 + ((2000*0.11) * 3)</f>
        <v>2660</v>
      </c>
      <c r="C1" t="s">
        <v>2</v>
      </c>
    </row>
    <row r="2" spans="1:5" x14ac:dyDescent="0.2">
      <c r="A2" t="s">
        <v>1</v>
      </c>
      <c r="B2" s="1">
        <f>2000 * (1+0.11)^3</f>
        <v>2735.2620000000006</v>
      </c>
      <c r="C2" t="s">
        <v>3</v>
      </c>
    </row>
    <row r="3" spans="1:5" x14ac:dyDescent="0.2">
      <c r="A3" t="s">
        <v>4</v>
      </c>
      <c r="B3" s="1">
        <f>B2-B1</f>
        <v>75.262000000000626</v>
      </c>
    </row>
    <row r="5" spans="1:5" x14ac:dyDescent="0.2">
      <c r="B5" s="4">
        <v>750</v>
      </c>
      <c r="C5" s="2">
        <v>7.9000000000000001E-2</v>
      </c>
      <c r="D5" t="s">
        <v>5</v>
      </c>
      <c r="E5" s="5">
        <f>$B$5 * ( 1+C5)^ $B$6</f>
        <v>15700.701275533133</v>
      </c>
    </row>
    <row r="6" spans="1:5" x14ac:dyDescent="0.2">
      <c r="B6" s="1">
        <v>40</v>
      </c>
      <c r="C6" s="2">
        <v>7.0000000000000007E-2</v>
      </c>
      <c r="D6" t="s">
        <v>5</v>
      </c>
      <c r="E6" s="5">
        <f>$B$5 * ( 1+C6)^ $B$6</f>
        <v>11230.843379405216</v>
      </c>
    </row>
    <row r="7" spans="1:5" x14ac:dyDescent="0.2">
      <c r="C7" s="2">
        <v>7.0000000000000007E-2</v>
      </c>
      <c r="D7" t="s">
        <v>6</v>
      </c>
      <c r="E7" s="5">
        <f>$B$5 + $B$5 * $B$6 *C7</f>
        <v>2850</v>
      </c>
    </row>
    <row r="9" spans="1:5" x14ac:dyDescent="0.2">
      <c r="A9" t="s">
        <v>7</v>
      </c>
      <c r="B9" s="1">
        <v>158000</v>
      </c>
      <c r="D9" t="s">
        <v>10</v>
      </c>
      <c r="E9" s="5">
        <f>$B9/(1+B10)^B11</f>
        <v>125150.79879160722</v>
      </c>
    </row>
    <row r="10" spans="1:5" x14ac:dyDescent="0.2">
      <c r="A10" t="s">
        <v>8</v>
      </c>
      <c r="B10" s="1">
        <v>0.06</v>
      </c>
    </row>
    <row r="11" spans="1:5" x14ac:dyDescent="0.2">
      <c r="A11" t="s">
        <v>9</v>
      </c>
      <c r="B11" s="1">
        <v>4</v>
      </c>
    </row>
    <row r="13" spans="1:5" x14ac:dyDescent="0.2">
      <c r="A13" t="s">
        <v>7</v>
      </c>
      <c r="B13" s="1">
        <v>38600</v>
      </c>
      <c r="D13" t="s">
        <v>11</v>
      </c>
    </row>
    <row r="14" spans="1:5" x14ac:dyDescent="0.2">
      <c r="A14" t="s">
        <v>9</v>
      </c>
      <c r="B14" s="1">
        <v>9</v>
      </c>
    </row>
    <row r="15" spans="1:5" x14ac:dyDescent="0.2">
      <c r="A15" t="s">
        <v>10</v>
      </c>
      <c r="B15" s="1">
        <v>16429</v>
      </c>
    </row>
    <row r="17" spans="1:7" x14ac:dyDescent="0.2">
      <c r="B17" s="1" t="s">
        <v>7</v>
      </c>
      <c r="C17" s="4">
        <v>10250</v>
      </c>
    </row>
    <row r="18" spans="1:7" x14ac:dyDescent="0.2">
      <c r="B18" s="1" t="s">
        <v>13</v>
      </c>
      <c r="C18">
        <v>4</v>
      </c>
      <c r="F18">
        <v>63.81</v>
      </c>
      <c r="G18">
        <v>31.91</v>
      </c>
    </row>
    <row r="19" spans="1:7" x14ac:dyDescent="0.2">
      <c r="B19" s="1" t="s">
        <v>10</v>
      </c>
      <c r="C19" s="4">
        <v>8674</v>
      </c>
    </row>
    <row r="20" spans="1:7" x14ac:dyDescent="0.2">
      <c r="B20" s="1" t="s">
        <v>14</v>
      </c>
      <c r="C20" s="2">
        <v>5.2499999999999998E-2</v>
      </c>
      <c r="F20">
        <v>40.270000000000003</v>
      </c>
      <c r="G20">
        <v>63.81</v>
      </c>
    </row>
    <row r="23" spans="1:7" x14ac:dyDescent="0.2">
      <c r="A23" t="s">
        <v>12</v>
      </c>
      <c r="B23" s="1">
        <f>C17 * ( 1/(1+C20)^C18)</f>
        <v>8352.8647118401095</v>
      </c>
    </row>
    <row r="26" spans="1:7" x14ac:dyDescent="0.2">
      <c r="B26" s="1" t="s">
        <v>7</v>
      </c>
      <c r="C26" s="4">
        <v>10250</v>
      </c>
    </row>
    <row r="27" spans="1:7" x14ac:dyDescent="0.2">
      <c r="B27" s="1" t="s">
        <v>13</v>
      </c>
      <c r="C27" s="1">
        <v>4</v>
      </c>
    </row>
    <row r="28" spans="1:7" x14ac:dyDescent="0.2">
      <c r="B28" s="1" t="s">
        <v>10</v>
      </c>
      <c r="C28" s="4">
        <v>8674</v>
      </c>
    </row>
    <row r="29" spans="1:7" x14ac:dyDescent="0.2">
      <c r="B29" s="1" t="s">
        <v>14</v>
      </c>
      <c r="C29" s="3">
        <v>5.2499999999999998E-2</v>
      </c>
    </row>
    <row r="32" spans="1:7" x14ac:dyDescent="0.2">
      <c r="A32" t="s">
        <v>12</v>
      </c>
      <c r="B32" s="1">
        <f>C26 * ( 1/(1+C29)^C27)</f>
        <v>8352.8647118401095</v>
      </c>
    </row>
    <row r="35" spans="1:5" x14ac:dyDescent="0.2">
      <c r="A35" t="s">
        <v>15</v>
      </c>
    </row>
    <row r="36" spans="1:5" x14ac:dyDescent="0.2">
      <c r="A36" t="s">
        <v>16</v>
      </c>
      <c r="B36" s="1" t="s">
        <v>17</v>
      </c>
      <c r="C36" t="s">
        <v>18</v>
      </c>
      <c r="D36" t="s">
        <v>19</v>
      </c>
      <c r="E36" t="s">
        <v>20</v>
      </c>
    </row>
    <row r="37" spans="1:5" x14ac:dyDescent="0.2">
      <c r="B37" s="1">
        <v>2403000000</v>
      </c>
    </row>
    <row r="38" spans="1:5" x14ac:dyDescent="0.2">
      <c r="B38" s="4">
        <f>FV(0.1026,42, 0, -B37,0)</f>
        <v>145314607374.55878</v>
      </c>
    </row>
    <row r="40" spans="1:5" x14ac:dyDescent="0.2">
      <c r="A40" t="s">
        <v>21</v>
      </c>
    </row>
    <row r="41" spans="1:5" x14ac:dyDescent="0.2">
      <c r="A41" t="s">
        <v>22</v>
      </c>
      <c r="B41" s="1">
        <v>990</v>
      </c>
      <c r="C41">
        <f>(1+B42)^(B43-1)/B41</f>
        <v>1.5541656110101014E-3</v>
      </c>
      <c r="D41">
        <f>C41*B41</f>
        <v>1.5386239549000005</v>
      </c>
    </row>
    <row r="42" spans="1:5" x14ac:dyDescent="0.2">
      <c r="B42" s="1">
        <v>0.09</v>
      </c>
    </row>
    <row r="43" spans="1:5" x14ac:dyDescent="0.2">
      <c r="A43" t="s">
        <v>23</v>
      </c>
      <c r="B43" s="1">
        <v>6</v>
      </c>
    </row>
    <row r="45" spans="1:5" x14ac:dyDescent="0.2">
      <c r="B45" s="1">
        <f>B41*((1.09)^5)/0.09</f>
        <v>16924.863503900004</v>
      </c>
    </row>
    <row r="48" spans="1:5" x14ac:dyDescent="0.2">
      <c r="A48" t="s">
        <v>24</v>
      </c>
    </row>
    <row r="49" spans="1:3" x14ac:dyDescent="0.2">
      <c r="A49" t="s">
        <v>25</v>
      </c>
      <c r="B49" s="1">
        <v>3000</v>
      </c>
    </row>
    <row r="50" spans="1:3" x14ac:dyDescent="0.2">
      <c r="A50" t="s">
        <v>26</v>
      </c>
      <c r="B50" s="1">
        <v>0.09</v>
      </c>
    </row>
    <row r="51" spans="1:3" x14ac:dyDescent="0.2">
      <c r="A51" t="s">
        <v>9</v>
      </c>
      <c r="B51" s="1">
        <v>6</v>
      </c>
    </row>
    <row r="53" spans="1:3" x14ac:dyDescent="0.2">
      <c r="A53" t="s">
        <v>27</v>
      </c>
      <c r="B53" s="1">
        <f xml:space="preserve"> 1-(1+B50)^-B51</f>
        <v>0.4037326731207842</v>
      </c>
    </row>
    <row r="54" spans="1:3" x14ac:dyDescent="0.2">
      <c r="A54" t="s">
        <v>17</v>
      </c>
      <c r="B54" s="5">
        <f>B49*B53/B50</f>
        <v>13457.755770692807</v>
      </c>
    </row>
    <row r="57" spans="1:3" x14ac:dyDescent="0.2">
      <c r="A57" t="s">
        <v>25</v>
      </c>
      <c r="B57" s="1">
        <v>9000</v>
      </c>
      <c r="C57" t="s">
        <v>28</v>
      </c>
    </row>
    <row r="58" spans="1:3" x14ac:dyDescent="0.2">
      <c r="A58" t="s">
        <v>26</v>
      </c>
      <c r="B58" s="1">
        <v>0.15</v>
      </c>
    </row>
    <row r="59" spans="1:3" x14ac:dyDescent="0.2">
      <c r="A59" t="s">
        <v>9</v>
      </c>
      <c r="B59" s="1">
        <v>17</v>
      </c>
    </row>
    <row r="61" spans="1:3" x14ac:dyDescent="0.2">
      <c r="A61" t="s">
        <v>27</v>
      </c>
      <c r="B61" s="1">
        <f xml:space="preserve"> 1-(1+B58)^-B59</f>
        <v>0.90707411326628617</v>
      </c>
    </row>
    <row r="62" spans="1:3" x14ac:dyDescent="0.2">
      <c r="A62" t="s">
        <v>17</v>
      </c>
      <c r="B62" s="5">
        <f>B57*B61/B58</f>
        <v>54424.446795977172</v>
      </c>
    </row>
    <row r="63" spans="1:3" x14ac:dyDescent="0.2">
      <c r="A63" t="s">
        <v>29</v>
      </c>
      <c r="B63" s="1">
        <f>B62*(1+B58)</f>
        <v>62588.113815373741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C061-BA4B-9742-98CF-0FEC6683D6F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2154-59CA-FC48-8A27-E71C45F72895}">
  <dimension ref="A1:E15"/>
  <sheetViews>
    <sheetView zoomScale="130" zoomScaleNormal="130" workbookViewId="0">
      <selection activeCell="F14" sqref="F14"/>
    </sheetView>
  </sheetViews>
  <sheetFormatPr baseColWidth="10" defaultRowHeight="16" x14ac:dyDescent="0.2"/>
  <cols>
    <col min="1" max="7" width="19.1640625" customWidth="1"/>
  </cols>
  <sheetData>
    <row r="1" spans="1:5" x14ac:dyDescent="0.2">
      <c r="A1" t="s">
        <v>35</v>
      </c>
      <c r="D1" t="s">
        <v>38</v>
      </c>
    </row>
    <row r="2" spans="1:5" x14ac:dyDescent="0.2">
      <c r="A2" t="s">
        <v>17</v>
      </c>
      <c r="B2">
        <f>12417.36</f>
        <v>12417.36</v>
      </c>
      <c r="D2" t="s">
        <v>18</v>
      </c>
      <c r="E2">
        <v>10000000</v>
      </c>
    </row>
    <row r="3" spans="1:5" x14ac:dyDescent="0.2">
      <c r="A3" t="s">
        <v>32</v>
      </c>
      <c r="B3">
        <v>4</v>
      </c>
      <c r="D3" t="s">
        <v>19</v>
      </c>
      <c r="E3">
        <v>4</v>
      </c>
    </row>
    <row r="4" spans="1:5" x14ac:dyDescent="0.2">
      <c r="A4" t="s">
        <v>36</v>
      </c>
      <c r="B4">
        <v>9.5000000000000001E-2</v>
      </c>
      <c r="D4" t="s">
        <v>39</v>
      </c>
      <c r="E4">
        <v>9.5000000000000001E-2</v>
      </c>
    </row>
    <row r="5" spans="1:5" x14ac:dyDescent="0.2">
      <c r="A5" t="s">
        <v>37</v>
      </c>
      <c r="B5" s="6">
        <f>PMT(B4,B3,-B2,,0)</f>
        <v>3874.9986441654128</v>
      </c>
      <c r="D5" t="s">
        <v>10</v>
      </c>
      <c r="E5" s="6">
        <f>PV(E4,E3,E2/E3,,1)</f>
        <v>-8772267.0693530571</v>
      </c>
    </row>
    <row r="11" spans="1:5" x14ac:dyDescent="0.2">
      <c r="A11" t="s">
        <v>35</v>
      </c>
      <c r="D11" t="s">
        <v>38</v>
      </c>
    </row>
    <row r="12" spans="1:5" x14ac:dyDescent="0.2">
      <c r="A12" t="s">
        <v>17</v>
      </c>
      <c r="B12">
        <v>2514.15</v>
      </c>
      <c r="D12" t="s">
        <v>18</v>
      </c>
      <c r="E12">
        <v>10000000</v>
      </c>
    </row>
    <row r="13" spans="1:5" x14ac:dyDescent="0.2">
      <c r="A13" t="s">
        <v>32</v>
      </c>
      <c r="B13">
        <v>8</v>
      </c>
      <c r="D13" t="s">
        <v>19</v>
      </c>
      <c r="E13">
        <v>8</v>
      </c>
    </row>
    <row r="14" spans="1:5" x14ac:dyDescent="0.2">
      <c r="A14" t="s">
        <v>36</v>
      </c>
      <c r="B14">
        <v>0.08</v>
      </c>
      <c r="D14" t="s">
        <v>39</v>
      </c>
      <c r="E14">
        <v>0.08</v>
      </c>
    </row>
    <row r="15" spans="1:5" x14ac:dyDescent="0.2">
      <c r="A15" t="s">
        <v>37</v>
      </c>
      <c r="B15" s="6">
        <f>PMT(B14,B13,-B12,,0)</f>
        <v>437.49921034192971</v>
      </c>
      <c r="D15" t="s">
        <v>10</v>
      </c>
      <c r="E15" s="6">
        <f>PV(E14,E13,E12/E13,,1)</f>
        <v>-7757962.5740291588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5151-FC7D-484E-B371-2494BF278B5B}">
  <dimension ref="A3:D25"/>
  <sheetViews>
    <sheetView zoomScale="140" zoomScaleNormal="140" workbookViewId="0">
      <selection activeCell="F28" sqref="F28"/>
    </sheetView>
  </sheetViews>
  <sheetFormatPr baseColWidth="10" defaultRowHeight="16" x14ac:dyDescent="0.2"/>
  <cols>
    <col min="1" max="1" width="28.33203125" customWidth="1"/>
    <col min="2" max="2" width="16.6640625" customWidth="1"/>
    <col min="3" max="3" width="8" customWidth="1"/>
    <col min="4" max="4" width="30.33203125" customWidth="1"/>
  </cols>
  <sheetData>
    <row r="3" spans="1:4" x14ac:dyDescent="0.2">
      <c r="A3" t="s">
        <v>59</v>
      </c>
      <c r="B3">
        <v>50</v>
      </c>
      <c r="C3" t="s">
        <v>23</v>
      </c>
    </row>
    <row r="4" spans="1:4" x14ac:dyDescent="0.2">
      <c r="A4" t="s">
        <v>60</v>
      </c>
      <c r="B4">
        <v>10</v>
      </c>
      <c r="C4" t="s">
        <v>23</v>
      </c>
    </row>
    <row r="5" spans="1:4" x14ac:dyDescent="0.2">
      <c r="A5" t="s">
        <v>61</v>
      </c>
      <c r="B5">
        <v>25</v>
      </c>
      <c r="D5">
        <v>85</v>
      </c>
    </row>
    <row r="7" spans="1:4" x14ac:dyDescent="0.2">
      <c r="A7" t="s">
        <v>62</v>
      </c>
      <c r="B7">
        <v>35000</v>
      </c>
    </row>
    <row r="8" spans="1:4" x14ac:dyDescent="0.2">
      <c r="A8" t="s">
        <v>63</v>
      </c>
      <c r="B8" s="2">
        <v>0.05</v>
      </c>
    </row>
    <row r="9" spans="1:4" x14ac:dyDescent="0.2">
      <c r="A9" t="s">
        <v>64</v>
      </c>
      <c r="B9">
        <v>150000</v>
      </c>
    </row>
    <row r="10" spans="1:4" x14ac:dyDescent="0.2">
      <c r="A10" t="s">
        <v>65</v>
      </c>
      <c r="B10" s="2">
        <v>0.06</v>
      </c>
    </row>
    <row r="12" spans="1:4" x14ac:dyDescent="0.2">
      <c r="A12" t="s">
        <v>66</v>
      </c>
    </row>
    <row r="13" spans="1:4" x14ac:dyDescent="0.2">
      <c r="A13" t="s">
        <v>67</v>
      </c>
      <c r="B13" s="6">
        <f>FV(B8,B4,0,-B7)</f>
        <v>57011.311937210456</v>
      </c>
      <c r="D13" t="s">
        <v>68</v>
      </c>
    </row>
    <row r="15" spans="1:4" x14ac:dyDescent="0.2">
      <c r="A15" t="s">
        <v>69</v>
      </c>
    </row>
    <row r="16" spans="1:4" x14ac:dyDescent="0.2">
      <c r="B16" s="6">
        <f>FV(B10,B4,0,-B9)</f>
        <v>268627.15448142821</v>
      </c>
      <c r="D16" t="s">
        <v>70</v>
      </c>
    </row>
    <row r="18" spans="1:4" x14ac:dyDescent="0.2">
      <c r="A18" t="s">
        <v>71</v>
      </c>
    </row>
    <row r="19" spans="1:4" x14ac:dyDescent="0.2">
      <c r="B19" s="6">
        <f>PV(B10,B5,-B13,0,1)</f>
        <v>772523.65987611085</v>
      </c>
      <c r="D19" t="s">
        <v>72</v>
      </c>
    </row>
    <row r="22" spans="1:4" x14ac:dyDescent="0.2">
      <c r="B22" s="6">
        <f>B19-B16</f>
        <v>503896.50539468264</v>
      </c>
      <c r="D22" t="s">
        <v>73</v>
      </c>
    </row>
    <row r="25" spans="1:4" x14ac:dyDescent="0.2">
      <c r="B25" s="6">
        <f>PMT(B10,B4,0,-B22)</f>
        <v>38229.599018681205</v>
      </c>
      <c r="D25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61E-4BE2-F848-82F5-D55496DD2D6B}">
  <dimension ref="A1:F45"/>
  <sheetViews>
    <sheetView zoomScale="140" zoomScaleNormal="140" workbookViewId="0">
      <selection activeCell="E25" sqref="E25"/>
    </sheetView>
  </sheetViews>
  <sheetFormatPr baseColWidth="10" defaultRowHeight="16" x14ac:dyDescent="0.2"/>
  <cols>
    <col min="1" max="1" width="35.6640625" customWidth="1"/>
    <col min="2" max="5" width="24.5" customWidth="1"/>
  </cols>
  <sheetData>
    <row r="1" spans="1:6" x14ac:dyDescent="0.2">
      <c r="A1" t="s">
        <v>40</v>
      </c>
      <c r="B1" t="s">
        <v>41</v>
      </c>
      <c r="C1" t="s">
        <v>42</v>
      </c>
      <c r="D1" t="s">
        <v>17</v>
      </c>
      <c r="E1" t="s">
        <v>43</v>
      </c>
      <c r="F1">
        <v>0.04</v>
      </c>
    </row>
    <row r="2" spans="1:6" x14ac:dyDescent="0.2">
      <c r="A2">
        <v>1</v>
      </c>
      <c r="B2" s="7">
        <f>1/(1+$F$1)^A2</f>
        <v>0.96153846153846145</v>
      </c>
      <c r="C2">
        <v>250000</v>
      </c>
      <c r="D2" s="6">
        <f>PV($F$1,A2/A2,-C2)</f>
        <v>240384.61538461561</v>
      </c>
    </row>
    <row r="3" spans="1:6" x14ac:dyDescent="0.2">
      <c r="A3">
        <v>2</v>
      </c>
      <c r="B3" s="7">
        <f t="shared" ref="B3:B6" si="0">1/(1+$F$1)^A3</f>
        <v>0.92455621301775137</v>
      </c>
      <c r="C3">
        <v>20000</v>
      </c>
      <c r="D3" s="6">
        <f>PV(B3,A3,-C3)</f>
        <v>15791.695739279372</v>
      </c>
    </row>
    <row r="4" spans="1:6" x14ac:dyDescent="0.2">
      <c r="A4">
        <v>3</v>
      </c>
      <c r="B4" s="7">
        <f t="shared" si="0"/>
        <v>0.88899635867091487</v>
      </c>
      <c r="C4">
        <v>180000</v>
      </c>
      <c r="D4" s="6">
        <f t="shared" ref="D4:D6" si="1">PV($F$1,A4/A4,-C4)</f>
        <v>173076.92307692321</v>
      </c>
    </row>
    <row r="5" spans="1:6" x14ac:dyDescent="0.2">
      <c r="A5">
        <v>4</v>
      </c>
      <c r="B5" s="7">
        <f t="shared" si="0"/>
        <v>0.85480419102972571</v>
      </c>
      <c r="C5">
        <v>450000</v>
      </c>
      <c r="D5" s="6">
        <f t="shared" si="1"/>
        <v>432692.3076923081</v>
      </c>
    </row>
    <row r="6" spans="1:6" x14ac:dyDescent="0.2">
      <c r="A6">
        <v>5</v>
      </c>
      <c r="B6" s="7">
        <f t="shared" si="0"/>
        <v>0.82192710675935154</v>
      </c>
      <c r="C6">
        <v>550000</v>
      </c>
      <c r="D6" s="6">
        <f t="shared" si="1"/>
        <v>528846.15384615422</v>
      </c>
    </row>
    <row r="11" spans="1:6" x14ac:dyDescent="0.2">
      <c r="A11" t="s">
        <v>17</v>
      </c>
      <c r="B11">
        <v>8000</v>
      </c>
      <c r="D11" t="s">
        <v>46</v>
      </c>
      <c r="E11">
        <v>4500</v>
      </c>
    </row>
    <row r="12" spans="1:6" x14ac:dyDescent="0.2">
      <c r="A12" t="s">
        <v>44</v>
      </c>
      <c r="B12">
        <v>750</v>
      </c>
      <c r="D12" t="s">
        <v>47</v>
      </c>
      <c r="E12">
        <v>500</v>
      </c>
    </row>
    <row r="13" spans="1:6" x14ac:dyDescent="0.2">
      <c r="B13">
        <v>7.9000000000000001E-2</v>
      </c>
      <c r="D13" t="s">
        <v>48</v>
      </c>
      <c r="E13">
        <v>0</v>
      </c>
    </row>
    <row r="14" spans="1:6" x14ac:dyDescent="0.2">
      <c r="D14" t="s">
        <v>49</v>
      </c>
      <c r="E14">
        <v>8.5</v>
      </c>
    </row>
    <row r="15" spans="1:6" x14ac:dyDescent="0.2">
      <c r="A15" t="s">
        <v>45</v>
      </c>
      <c r="D15" t="s">
        <v>50</v>
      </c>
    </row>
    <row r="16" spans="1:6" x14ac:dyDescent="0.2">
      <c r="D16">
        <f>NPER(0.089,750,-7000,0,1)</f>
        <v>16.87505296253628</v>
      </c>
      <c r="E16">
        <f>NPER(0.085,500,-4500,0,1)</f>
        <v>14.967080961831922</v>
      </c>
    </row>
    <row r="17" spans="1:6" x14ac:dyDescent="0.2">
      <c r="D17" s="6">
        <f>FV(0.0525,386,0,-24,0)</f>
        <v>9077026047.1716499</v>
      </c>
      <c r="E17" s="6">
        <f>FV(0.0475,386,0,-24,0)</f>
        <v>1444333399.160316</v>
      </c>
    </row>
    <row r="19" spans="1:6" x14ac:dyDescent="0.2">
      <c r="B19" s="6">
        <f>PV(0.077/2,5*2,-1000000*0.05/2, -1000000)</f>
        <v>889680.67359930999</v>
      </c>
      <c r="F19" s="8"/>
    </row>
    <row r="20" spans="1:6" x14ac:dyDescent="0.2">
      <c r="B20" s="6">
        <f>PV(0.077/2,4*2,-1000000*0.04/2, -1000000)</f>
        <v>874669.0978467142</v>
      </c>
      <c r="C20" t="s">
        <v>51</v>
      </c>
      <c r="D20" s="8">
        <f>RATE(18,90,-980.35,1000)</f>
        <v>9.2278476417093955E-2</v>
      </c>
      <c r="E20" s="8">
        <f>RATE(18,90,-1010.35,1000)</f>
        <v>8.8827133441696279E-2</v>
      </c>
      <c r="F20" s="8">
        <f>RATE(18,90,-1100.35,1000)</f>
        <v>7.9341322468062608E-2</v>
      </c>
    </row>
    <row r="21" spans="1:6" x14ac:dyDescent="0.2">
      <c r="C21" t="s">
        <v>52</v>
      </c>
      <c r="D21" s="8">
        <f>RATE(8,90,-980.35,1060)</f>
        <v>9.8935974731137799E-2</v>
      </c>
      <c r="E21" s="8">
        <f>RATE(8,90,-1010.35,1060)</f>
        <v>9.3478087568085053E-2</v>
      </c>
      <c r="F21" s="8">
        <f>RATE(8,90,-1100.35,1060)</f>
        <v>7.8323686477961063E-2</v>
      </c>
    </row>
    <row r="24" spans="1:6" x14ac:dyDescent="0.2">
      <c r="B24">
        <v>8</v>
      </c>
      <c r="C24">
        <v>2</v>
      </c>
    </row>
    <row r="25" spans="1:6" x14ac:dyDescent="0.2">
      <c r="B25">
        <v>7</v>
      </c>
      <c r="C25">
        <v>8</v>
      </c>
      <c r="E25" s="8">
        <f>RATE(10,-0.0775*100,93.86,-100,0)</f>
        <v>8.6938830640112708E-2</v>
      </c>
    </row>
    <row r="26" spans="1:6" x14ac:dyDescent="0.2">
      <c r="A26" t="s">
        <v>32</v>
      </c>
      <c r="B26">
        <v>10</v>
      </c>
    </row>
    <row r="27" spans="1:6" x14ac:dyDescent="0.2">
      <c r="A27" t="s">
        <v>53</v>
      </c>
      <c r="B27">
        <v>2.8</v>
      </c>
    </row>
    <row r="28" spans="1:6" x14ac:dyDescent="0.2">
      <c r="A28" t="s">
        <v>54</v>
      </c>
      <c r="B28">
        <v>0.8</v>
      </c>
    </row>
    <row r="29" spans="1:6" x14ac:dyDescent="0.2">
      <c r="A29" t="s">
        <v>55</v>
      </c>
      <c r="B29">
        <f>0.1*(B26-1)</f>
        <v>0.9</v>
      </c>
    </row>
    <row r="30" spans="1:6" x14ac:dyDescent="0.2">
      <c r="A30" t="s">
        <v>56</v>
      </c>
      <c r="B30">
        <f>( (B24*C24) + (B25*C25) )/B26</f>
        <v>7.2</v>
      </c>
    </row>
    <row r="31" spans="1:6" x14ac:dyDescent="0.2">
      <c r="A31" t="s">
        <v>57</v>
      </c>
      <c r="B31">
        <v>1.05</v>
      </c>
    </row>
    <row r="33" spans="1:3" ht="21" x14ac:dyDescent="0.25">
      <c r="A33" s="9" t="s">
        <v>58</v>
      </c>
      <c r="B33">
        <f>B27+B30+B28+B31+B29</f>
        <v>12.750000000000002</v>
      </c>
    </row>
    <row r="36" spans="1:3" x14ac:dyDescent="0.2">
      <c r="B36">
        <v>3</v>
      </c>
      <c r="C36">
        <v>2</v>
      </c>
    </row>
    <row r="37" spans="1:3" x14ac:dyDescent="0.2">
      <c r="B37">
        <v>2</v>
      </c>
      <c r="C37">
        <v>13</v>
      </c>
    </row>
    <row r="38" spans="1:3" x14ac:dyDescent="0.2">
      <c r="A38" t="s">
        <v>32</v>
      </c>
      <c r="B38">
        <v>15</v>
      </c>
    </row>
    <row r="39" spans="1:3" x14ac:dyDescent="0.2">
      <c r="A39" t="s">
        <v>53</v>
      </c>
      <c r="B39">
        <v>2.8</v>
      </c>
    </row>
    <row r="40" spans="1:3" x14ac:dyDescent="0.2">
      <c r="A40" t="s">
        <v>54</v>
      </c>
      <c r="B40">
        <v>0.8</v>
      </c>
    </row>
    <row r="41" spans="1:3" x14ac:dyDescent="0.2">
      <c r="A41" t="s">
        <v>55</v>
      </c>
      <c r="B41">
        <f>0.1*(B38-1)</f>
        <v>1.4000000000000001</v>
      </c>
    </row>
    <row r="42" spans="1:3" x14ac:dyDescent="0.2">
      <c r="A42" t="s">
        <v>56</v>
      </c>
      <c r="B42">
        <f>( (B36*C36) + (B37*C37) )/B38</f>
        <v>2.1333333333333333</v>
      </c>
    </row>
    <row r="43" spans="1:3" x14ac:dyDescent="0.2">
      <c r="A43" t="s">
        <v>57</v>
      </c>
      <c r="B43">
        <v>0.55000000000000004</v>
      </c>
    </row>
    <row r="45" spans="1:3" ht="21" x14ac:dyDescent="0.25">
      <c r="A45" s="9" t="s">
        <v>58</v>
      </c>
      <c r="B45">
        <f>B39+B42+B40+B43+B41</f>
        <v>7.6833333333333336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5ECE-38BF-C44C-B1AF-8E065BFE713A}">
  <dimension ref="A1:F14"/>
  <sheetViews>
    <sheetView zoomScale="120" zoomScaleNormal="120" workbookViewId="0">
      <selection activeCell="E17" sqref="E17"/>
    </sheetView>
  </sheetViews>
  <sheetFormatPr baseColWidth="10" defaultRowHeight="16" x14ac:dyDescent="0.2"/>
  <cols>
    <col min="1" max="6" width="16.83203125" customWidth="1"/>
  </cols>
  <sheetData>
    <row r="1" spans="1:6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17</v>
      </c>
    </row>
    <row r="2" spans="1:6" x14ac:dyDescent="0.2">
      <c r="A2">
        <v>500</v>
      </c>
      <c r="B2">
        <v>0.1</v>
      </c>
      <c r="C2">
        <v>10</v>
      </c>
      <c r="D2">
        <v>2</v>
      </c>
      <c r="E2">
        <v>1</v>
      </c>
      <c r="F2" s="6">
        <f>PV(B2/D2,C2*D2,-A2,0,E2)</f>
        <v>6542.6604298334933</v>
      </c>
    </row>
    <row r="3" spans="1:6" x14ac:dyDescent="0.2">
      <c r="A3">
        <v>1000</v>
      </c>
      <c r="B3">
        <v>0.1</v>
      </c>
      <c r="C3">
        <v>10</v>
      </c>
      <c r="D3">
        <v>1</v>
      </c>
      <c r="E3">
        <v>0</v>
      </c>
      <c r="F3" s="6">
        <f t="shared" ref="F3:F5" si="0">PV(B3/D3,C3*D3,-A3,0,E3)</f>
        <v>6144.5671057046848</v>
      </c>
    </row>
    <row r="4" spans="1:6" x14ac:dyDescent="0.2">
      <c r="A4">
        <v>500</v>
      </c>
      <c r="B4">
        <v>0.1</v>
      </c>
      <c r="C4">
        <v>10</v>
      </c>
      <c r="D4">
        <v>2</v>
      </c>
      <c r="E4">
        <v>0</v>
      </c>
      <c r="F4" s="6">
        <f t="shared" si="0"/>
        <v>6231.1051712699928</v>
      </c>
    </row>
    <row r="5" spans="1:6" x14ac:dyDescent="0.2">
      <c r="A5">
        <v>1000</v>
      </c>
      <c r="B5">
        <v>0.1</v>
      </c>
      <c r="C5">
        <v>10</v>
      </c>
      <c r="D5">
        <v>1</v>
      </c>
      <c r="E5">
        <v>1</v>
      </c>
      <c r="F5" s="6">
        <f t="shared" si="0"/>
        <v>6759.0238162751548</v>
      </c>
    </row>
    <row r="9" spans="1:6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17</v>
      </c>
    </row>
    <row r="10" spans="1:6" x14ac:dyDescent="0.2">
      <c r="A10">
        <v>1000</v>
      </c>
      <c r="B10">
        <v>0.1</v>
      </c>
      <c r="C10">
        <v>10</v>
      </c>
      <c r="D10">
        <v>1</v>
      </c>
      <c r="E10">
        <v>1</v>
      </c>
      <c r="F10" s="6">
        <f>PV(B10/D10,C10*D10,-A10,0,E10)</f>
        <v>6759.0238162751548</v>
      </c>
    </row>
    <row r="11" spans="1:6" x14ac:dyDescent="0.2">
      <c r="A11">
        <v>1000</v>
      </c>
      <c r="B11">
        <v>0.1</v>
      </c>
      <c r="C11">
        <v>10</v>
      </c>
      <c r="D11">
        <v>1</v>
      </c>
      <c r="E11">
        <v>0</v>
      </c>
      <c r="F11" s="6">
        <f t="shared" ref="F11:F13" si="1">PV(B11/D11,C11*D11,-A11,0,E11)</f>
        <v>6144.5671057046848</v>
      </c>
    </row>
    <row r="12" spans="1:6" x14ac:dyDescent="0.2">
      <c r="A12">
        <v>500</v>
      </c>
      <c r="B12">
        <v>0.1</v>
      </c>
      <c r="C12">
        <v>10</v>
      </c>
      <c r="D12">
        <v>1</v>
      </c>
      <c r="E12">
        <v>1</v>
      </c>
      <c r="F12" s="6">
        <f t="shared" si="1"/>
        <v>3379.5119081375774</v>
      </c>
    </row>
    <row r="13" spans="1:6" x14ac:dyDescent="0.2">
      <c r="A13">
        <v>500</v>
      </c>
      <c r="B13">
        <v>0.1</v>
      </c>
      <c r="C13">
        <v>10</v>
      </c>
      <c r="D13">
        <v>1</v>
      </c>
      <c r="E13">
        <v>0</v>
      </c>
      <c r="F13" s="6">
        <f t="shared" si="1"/>
        <v>3072.2835528523424</v>
      </c>
    </row>
    <row r="14" spans="1:6" x14ac:dyDescent="0.2">
      <c r="F14" s="6">
        <f>MAX(F10:F13)</f>
        <v>6759.0238162751548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24A9-F11C-924F-9E27-B643D5714D03}">
  <dimension ref="A3:D29"/>
  <sheetViews>
    <sheetView zoomScale="140" zoomScaleNormal="140" workbookViewId="0">
      <selection activeCell="A29" sqref="A29"/>
    </sheetView>
  </sheetViews>
  <sheetFormatPr baseColWidth="10" defaultRowHeight="16" x14ac:dyDescent="0.2"/>
  <cols>
    <col min="1" max="1" width="28.33203125" customWidth="1"/>
    <col min="2" max="2" width="16.6640625" customWidth="1"/>
    <col min="3" max="3" width="8" customWidth="1"/>
    <col min="4" max="4" width="30.33203125" customWidth="1"/>
  </cols>
  <sheetData>
    <row r="3" spans="1:4" x14ac:dyDescent="0.2">
      <c r="A3" t="s">
        <v>59</v>
      </c>
      <c r="B3">
        <v>50</v>
      </c>
      <c r="C3" t="s">
        <v>23</v>
      </c>
    </row>
    <row r="4" spans="1:4" x14ac:dyDescent="0.2">
      <c r="A4" t="s">
        <v>60</v>
      </c>
      <c r="B4">
        <v>10</v>
      </c>
      <c r="C4" t="s">
        <v>23</v>
      </c>
    </row>
    <row r="5" spans="1:4" x14ac:dyDescent="0.2">
      <c r="A5" t="s">
        <v>61</v>
      </c>
      <c r="B5">
        <v>25</v>
      </c>
      <c r="D5">
        <v>85</v>
      </c>
    </row>
    <row r="7" spans="1:4" x14ac:dyDescent="0.2">
      <c r="A7" t="s">
        <v>62</v>
      </c>
      <c r="B7">
        <v>35000</v>
      </c>
    </row>
    <row r="8" spans="1:4" x14ac:dyDescent="0.2">
      <c r="A8" t="s">
        <v>63</v>
      </c>
      <c r="B8" s="2">
        <v>0.06</v>
      </c>
    </row>
    <row r="9" spans="1:4" x14ac:dyDescent="0.2">
      <c r="A9" t="s">
        <v>64</v>
      </c>
      <c r="B9">
        <v>25000</v>
      </c>
    </row>
    <row r="10" spans="1:4" x14ac:dyDescent="0.2">
      <c r="A10" t="s">
        <v>65</v>
      </c>
      <c r="B10" s="2">
        <v>0.06</v>
      </c>
    </row>
    <row r="12" spans="1:4" x14ac:dyDescent="0.2">
      <c r="A12" t="s">
        <v>66</v>
      </c>
    </row>
    <row r="13" spans="1:4" x14ac:dyDescent="0.2">
      <c r="A13" t="s">
        <v>67</v>
      </c>
      <c r="B13" s="6">
        <f>FV(B8,B4,0,-B7)</f>
        <v>62679.669378999912</v>
      </c>
      <c r="D13" t="s">
        <v>68</v>
      </c>
    </row>
    <row r="15" spans="1:4" x14ac:dyDescent="0.2">
      <c r="A15" t="s">
        <v>69</v>
      </c>
    </row>
    <row r="16" spans="1:4" x14ac:dyDescent="0.2">
      <c r="B16" s="6">
        <f>FV(B10,B4,0,-B9)</f>
        <v>44771.192413571363</v>
      </c>
      <c r="D16" t="s">
        <v>70</v>
      </c>
    </row>
    <row r="18" spans="1:4" x14ac:dyDescent="0.2">
      <c r="A18" t="s">
        <v>71</v>
      </c>
    </row>
    <row r="19" spans="1:4" x14ac:dyDescent="0.2">
      <c r="B19" s="6">
        <f>PV(B10,B5,-B13,0,1)</f>
        <v>849331.92980752257</v>
      </c>
      <c r="D19" t="s">
        <v>72</v>
      </c>
    </row>
    <row r="22" spans="1:4" x14ac:dyDescent="0.2">
      <c r="B22" s="6">
        <f>B19-B16</f>
        <v>804560.73739395116</v>
      </c>
      <c r="D22" t="s">
        <v>73</v>
      </c>
    </row>
    <row r="25" spans="1:4" x14ac:dyDescent="0.2">
      <c r="B25" s="6">
        <f>PMT(B10,B4,0,-B22)</f>
        <v>61040.380410365498</v>
      </c>
      <c r="D25" t="s">
        <v>74</v>
      </c>
    </row>
    <row r="29" spans="1:4" x14ac:dyDescent="0.2">
      <c r="A29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9B50-E639-D249-9259-3361E1FB9D78}">
  <dimension ref="A4:F24"/>
  <sheetViews>
    <sheetView zoomScale="150" zoomScaleNormal="150" workbookViewId="0">
      <selection activeCell="E23" sqref="E23"/>
    </sheetView>
  </sheetViews>
  <sheetFormatPr baseColWidth="10" defaultRowHeight="16" x14ac:dyDescent="0.2"/>
  <cols>
    <col min="1" max="1" width="22.6640625" customWidth="1"/>
    <col min="5" max="5" width="22" customWidth="1"/>
    <col min="6" max="6" width="38.33203125" customWidth="1"/>
  </cols>
  <sheetData>
    <row r="4" spans="1:6" x14ac:dyDescent="0.2">
      <c r="A4" t="s">
        <v>88</v>
      </c>
      <c r="B4" t="s">
        <v>89</v>
      </c>
      <c r="C4" t="s">
        <v>90</v>
      </c>
    </row>
    <row r="5" spans="1:6" x14ac:dyDescent="0.2">
      <c r="A5">
        <v>0.3</v>
      </c>
      <c r="B5" s="2">
        <v>0.12</v>
      </c>
      <c r="C5" s="2">
        <v>0.22</v>
      </c>
    </row>
    <row r="6" spans="1:6" x14ac:dyDescent="0.2">
      <c r="A6">
        <v>0.4</v>
      </c>
      <c r="B6" s="2">
        <v>0.09</v>
      </c>
      <c r="C6" s="2">
        <v>0.05</v>
      </c>
    </row>
    <row r="7" spans="1:6" x14ac:dyDescent="0.2">
      <c r="A7">
        <v>0.3</v>
      </c>
      <c r="B7" s="2">
        <v>0.19</v>
      </c>
      <c r="C7" s="2">
        <v>0.1</v>
      </c>
    </row>
    <row r="10" spans="1:6" x14ac:dyDescent="0.2">
      <c r="A10" t="s">
        <v>79</v>
      </c>
      <c r="B10" s="3">
        <f>SUMPRODUCT(A5:A7, B5:B7)</f>
        <v>0.129</v>
      </c>
      <c r="C10" s="3">
        <f>SUMPRODUCT(A5:A7, C5:C7)</f>
        <v>0.11600000000000001</v>
      </c>
      <c r="E10" t="s">
        <v>91</v>
      </c>
      <c r="F10" t="s">
        <v>92</v>
      </c>
    </row>
    <row r="12" spans="1:6" x14ac:dyDescent="0.2">
      <c r="B12" s="3">
        <f>($A$5*(B5-B10)^2+$A$6*(B6-B10)^2+$A$7*(B7-B10)^2)^0.5</f>
        <v>4.1821047332652968E-2</v>
      </c>
      <c r="C12" s="3">
        <f>($A$5*(C5-C10)^2+$A$6*(C6-C10)^2+$A$7*(C7-C10)^2)^0.5</f>
        <v>7.1161787498628781E-2</v>
      </c>
      <c r="E12" t="s">
        <v>93</v>
      </c>
      <c r="F12" t="s">
        <v>94</v>
      </c>
    </row>
    <row r="19" spans="2:6" x14ac:dyDescent="0.2">
      <c r="B19">
        <v>0.2</v>
      </c>
      <c r="C19">
        <v>0.06</v>
      </c>
      <c r="E19">
        <f>B19*C19</f>
        <v>1.2E-2</v>
      </c>
    </row>
    <row r="20" spans="2:6" x14ac:dyDescent="0.2">
      <c r="B20">
        <v>0.3</v>
      </c>
      <c r="C20">
        <v>0.14000000000000001</v>
      </c>
      <c r="E20">
        <f t="shared" ref="E20:E22" si="0">B20*C20</f>
        <v>4.2000000000000003E-2</v>
      </c>
    </row>
    <row r="21" spans="2:6" x14ac:dyDescent="0.2">
      <c r="B21">
        <v>0.35</v>
      </c>
      <c r="C21">
        <v>0.11</v>
      </c>
      <c r="E21">
        <f t="shared" si="0"/>
        <v>3.85E-2</v>
      </c>
    </row>
    <row r="22" spans="2:6" x14ac:dyDescent="0.2">
      <c r="B22">
        <v>0.15</v>
      </c>
      <c r="C22">
        <v>0.05</v>
      </c>
      <c r="E22">
        <f t="shared" si="0"/>
        <v>7.4999999999999997E-3</v>
      </c>
    </row>
    <row r="23" spans="2:6" x14ac:dyDescent="0.2">
      <c r="E23" s="11">
        <f>SUM(E19:E22)</f>
        <v>0.1</v>
      </c>
      <c r="F23" t="s">
        <v>95</v>
      </c>
    </row>
    <row r="24" spans="2:6" x14ac:dyDescent="0.2">
      <c r="F2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Sheet9</vt:lpstr>
      <vt:lpstr>Sheet1</vt:lpstr>
      <vt:lpstr>Sheet10</vt:lpstr>
      <vt:lpstr>Sheet3</vt:lpstr>
      <vt:lpstr>payment-2</vt:lpstr>
      <vt:lpstr>Sheet4</vt:lpstr>
      <vt:lpstr>Sheet2</vt:lpstr>
      <vt:lpstr>payment-2 (2)</vt:lpstr>
      <vt:lpstr>Sheet6</vt:lpstr>
      <vt:lpstr>Sheet5</vt:lpstr>
      <vt:lpstr>Sheet7</vt:lpstr>
      <vt:lpstr>Mid-Term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2022-11-04T20:11:39Z</dcterms:created>
  <dcterms:modified xsi:type="dcterms:W3CDTF">2022-11-11T17:19:06Z</dcterms:modified>
</cp:coreProperties>
</file>