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xr:revisionPtr revIDLastSave="0" documentId="8_{B63F3780-5536-4728-AA3A-84DD4FD82AF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Summary'!$B$2</definedName>
    <definedName name="ColumnTitle1">Totals[[#Headers],[BUDGET TOTALS]]</definedName>
    <definedName name="COMPANY_NAME">'Monthly Budget Summary'!$B$1</definedName>
    <definedName name="_xlnm.Print_Titles" localSheetId="1">Income!$4:$4</definedName>
    <definedName name="_xlnm.Print_Titles" localSheetId="3">'Operating Expenses'!$4:$4</definedName>
    <definedName name="_xlnm.Print_Titles" localSheetId="2">'Personnel Expenses'!$4:$4</definedName>
    <definedName name="Title1">Top5Expenses[[#Headers],[EXPENSE]]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8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5"/>
  <c r="D25" i="5"/>
  <c r="C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B1" i="5"/>
  <c r="D8" i="4"/>
  <c r="D6" i="1"/>
  <c r="C8" i="4"/>
  <c r="F7" i="4"/>
  <c r="E7" i="4"/>
  <c r="F6" i="4"/>
  <c r="E6" i="4"/>
  <c r="F5" i="4"/>
  <c r="E5" i="4"/>
  <c r="B1" i="4"/>
  <c r="C16" i="1"/>
  <c r="B16" i="1"/>
  <c r="C15" i="1"/>
  <c r="B15" i="1"/>
  <c r="C13" i="1"/>
  <c r="B13" i="1"/>
  <c r="C12" i="1"/>
  <c r="B12" i="1"/>
  <c r="C14" i="1"/>
  <c r="B14" i="1"/>
  <c r="C6" i="1"/>
  <c r="F25" i="5"/>
  <c r="F8" i="4"/>
  <c r="D8" i="3"/>
  <c r="E7" i="3"/>
  <c r="F6" i="3"/>
  <c r="E6" i="3"/>
  <c r="F5" i="3"/>
  <c r="E5" i="3"/>
  <c r="B1" i="3"/>
  <c r="E13" i="1"/>
  <c r="E12" i="1"/>
  <c r="E16" i="1"/>
  <c r="E15" i="1"/>
  <c r="E14" i="1"/>
  <c r="E17" i="1"/>
  <c r="C17" i="1"/>
  <c r="D5" i="1"/>
  <c r="D14" i="1"/>
  <c r="E6" i="1"/>
  <c r="D7" i="1"/>
  <c r="D15" i="1"/>
  <c r="D13" i="1"/>
  <c r="D16" i="1"/>
  <c r="D12" i="1"/>
  <c r="D17" i="1"/>
  <c r="C8" i="3"/>
  <c r="C5" i="1"/>
  <c r="F7" i="3"/>
  <c r="F8" i="3"/>
  <c r="E5" i="1"/>
  <c r="C7" i="1"/>
  <c r="E7" i="1"/>
</calcChain>
</file>

<file path=xl/sharedStrings.xml><?xml version="1.0" encoding="utf-8"?>
<sst xmlns="http://schemas.openxmlformats.org/spreadsheetml/2006/main" count="60" uniqueCount="49">
  <si>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</si>
  <si>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</si>
  <si>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</si>
  <si>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</si>
  <si>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</si>
  <si>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</si>
  <si>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</si>
  <si>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</si>
  <si>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</si>
  <si>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</si>
  <si>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</si>
  <si>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</si>
  <si>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</si>
  <si>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</si>
  <si>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</si>
  <si>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</si>
  <si>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</si>
  <si>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</si>
  <si>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</si>
  <si>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</si>
  <si>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</si>
  <si>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</si>
  <si>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</si>
  <si>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</si>
  <si>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</si>
  <si>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</si>
  <si>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</si>
  <si>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</si>
  <si>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</si>
  <si>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</si>
  <si>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</si>
  <si>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</si>
  <si>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15% REDUCTION</t>
  </si>
  <si>
    <t>Balance (Income minus Expenses)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</si>
  <si>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</si>
  <si>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</si>
  <si>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</si>
  <si>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</si>
  <si>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</si>
  <si>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</si>
  <si>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</si>
  <si>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</si>
  <si>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</si>
  <si>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COMPANY NAME</t>
  </si>
  <si>
    <t>Delivery costs</t>
  </si>
  <si>
    <t>Total Income</t>
  </si>
  <si>
    <t>Total Personnel Expenses</t>
  </si>
  <si>
    <t>Total Operating Expenses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</si>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</sst>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mm\ yyyy"/>
    <numFmt numFmtId="165" formatCode="0.0%"/>
  </numFmts>
  <fonts count="1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0" tint="-4.9989318521683403E-2"/>
      <name val="Gill Sans MT"/>
      <family val="2"/>
      <scheme val="minor"/>
    </font>
    <font>
      <sz val="11"/>
      <color theme="1" tint="4.9989318521683403E-2"/>
      <name val="Gill Sans MT"/>
      <family val="2"/>
      <scheme val="major"/>
    </font>
    <font>
      <sz val="11"/>
      <color theme="0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3" fillId="8" borderId="0" applyBorder="0" applyProtection="0">
      <alignment horizontal="left" vertical="center" indent="1"/>
    </xf>
    <xf numFmtId="0" fontId="13" fillId="8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11" fillId="5" borderId="0" applyFill="0" applyBorder="0">
      <alignment horizontal="right"/>
    </xf>
  </cellStyleXfs>
  <cellXfs count="36">
    <xf numFmtId="0" fontId="0" fillId="0" borderId="0" xfId="0">
      <alignment horizontal="left" wrapText="1" indent="1"/>
    </xf>
    <xf numFmtId="40" fontId="6" fillId="6" borderId="0" xfId="4" applyNumberFormat="1" applyFont="1" applyFill="1"/>
    <xf numFmtId="40" fontId="6" fillId="6" borderId="0" xfId="8" applyNumberFormat="1" applyFont="1" applyFill="1"/>
    <xf numFmtId="0" fontId="10" fillId="5" borderId="0" xfId="5" applyFill="1" applyAlignment="1">
      <alignment horizontal="left" indent="1"/>
    </xf>
    <xf numFmtId="0" fontId="0" fillId="5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13" fillId="2" borderId="0" xfId="6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/>
    <xf numFmtId="0" fontId="9" fillId="5" borderId="0" xfId="1" applyFill="1" applyAlignment="1">
      <alignment horizontal="left" indent="1"/>
    </xf>
    <xf numFmtId="0" fontId="4" fillId="5" borderId="0" xfId="0" applyFont="1" applyFill="1" applyAlignment="1">
      <alignment vertical="center"/>
    </xf>
    <xf numFmtId="0" fontId="0" fillId="6" borderId="0" xfId="0" applyFill="1">
      <alignment horizontal="left" wrapText="1" indent="1"/>
    </xf>
    <xf numFmtId="0" fontId="6" fillId="6" borderId="0" xfId="0" applyFont="1" applyFill="1">
      <alignment horizontal="left" wrapText="1" indent="1"/>
    </xf>
    <xf numFmtId="0" fontId="0" fillId="6" borderId="0" xfId="0" applyFill="1" applyAlignment="1">
      <alignment vertical="center"/>
    </xf>
    <xf numFmtId="0" fontId="6" fillId="6" borderId="0" xfId="3" applyFont="1" applyFill="1" applyAlignment="1">
      <alignment vertical="center"/>
    </xf>
    <xf numFmtId="43" fontId="6" fillId="6" borderId="0" xfId="3" applyNumberFormat="1" applyFont="1" applyFill="1"/>
    <xf numFmtId="0" fontId="6" fillId="6" borderId="0" xfId="3" applyFont="1" applyFill="1"/>
    <xf numFmtId="40" fontId="1" fillId="7" borderId="0" xfId="10" applyFill="1" applyAlignment="1"/>
    <xf numFmtId="40" fontId="8" fillId="0" borderId="0" xfId="10" applyFont="1" applyAlignment="1"/>
    <xf numFmtId="40" fontId="0" fillId="0" borderId="0" xfId="10" applyFont="1" applyAlignment="1"/>
    <xf numFmtId="40" fontId="0" fillId="0" borderId="0" xfId="10" applyFont="1">
      <alignment horizontal="right"/>
    </xf>
    <xf numFmtId="40" fontId="1" fillId="0" borderId="0" xfId="10">
      <alignment horizontal="right"/>
    </xf>
    <xf numFmtId="165" fontId="1" fillId="7" borderId="0" xfId="11" applyFill="1">
      <alignment horizontal="right"/>
    </xf>
    <xf numFmtId="165" fontId="0" fillId="0" borderId="0" xfId="11" applyFont="1" applyAlignment="1">
      <alignment wrapText="1"/>
    </xf>
    <xf numFmtId="40" fontId="1" fillId="7" borderId="0" xfId="10" applyFill="1">
      <alignment horizontal="right"/>
    </xf>
    <xf numFmtId="40" fontId="0" fillId="0" borderId="0" xfId="10" applyFont="1" applyAlignment="1">
      <alignment wrapText="1"/>
    </xf>
    <xf numFmtId="0" fontId="13" fillId="8" borderId="0" xfId="6">
      <alignment horizontal="left" vertical="center" indent="1"/>
    </xf>
    <xf numFmtId="0" fontId="13" fillId="8" borderId="0" xfId="7">
      <alignment horizontal="left" vertical="center"/>
    </xf>
    <xf numFmtId="40" fontId="1" fillId="0" borderId="0" xfId="10" applyAlignme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1" fillId="5" borderId="0" xfId="12">
      <alignment horizontal="right"/>
    </xf>
    <xf numFmtId="0" fontId="9" fillId="5" borderId="0" xfId="1" applyFill="1" applyAlignment="1">
      <alignment horizontal="left" indent="1"/>
    </xf>
    <xf numFmtId="0" fontId="10" fillId="5" borderId="0" xfId="5" applyFill="1" applyAlignment="1">
      <alignment horizontal="left" indent="1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2"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51"/>
      <tableStyleElement type="headerRow" dxfId="50"/>
      <tableStyleElement type="totalRow" dxfId="49"/>
      <tableStyleElement type="lastColumn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Summary'!$C$5:$D$5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4778809454041E-3"/>
          <c:y val="7.7102167784582482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4:E7" totalsRowCount="1" headerRowDxfId="45" dataDxfId="44" totalsRowDxfId="43">
  <autoFilter ref="B4:E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/>
    <tableColumn id="2" xr3:uid="{00000000-0010-0000-0000-000002000000}" name="ESTIMATED" totalsRowFunction="custom" dataCellStyle="Comma">
      <totalsRowFormula>C5-C6</totalsRowFormula>
    </tableColumn>
    <tableColumn id="3" xr3:uid="{00000000-0010-0000-0000-000003000000}" name="ACTUAL" totalsRowFunction="custom" dataDxfId="42" dataCellStyle="Comma">
      <totalsRowFormula>D5-D6</totalsRowFormula>
    </tableColumn>
    <tableColumn id="4" xr3:uid="{00000000-0010-0000-0000-000004000000}" name="DIFFERENCE" totalsRowFunction="custom" dataDxfId="41" dataCellStyle="Comma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DxfId="40" dataDxfId="39" totalsRowDxfId="38">
  <tableColumns count="4">
    <tableColumn id="1" xr3:uid="{00000000-0010-0000-0100-000001000000}" name="EXPENSE" totalsRowLabel="Total">
      <calculatedColumnFormula>INDEX(#REF!,MATCH(Top5Expenses[[#This Row],[AMOUNT]],#REF!,0),1)</calculatedColumnFormula>
    </tableColumn>
    <tableColumn id="2" xr3:uid="{00000000-0010-0000-0100-000002000000}" name="AMOUNT" totalsRowFunction="sum" dataDxfId="37" dataCellStyle="Comma"/>
    <tableColumn id="3" xr3:uid="{00000000-0010-0000-0100-000003000000}" name="% OF EXPENSES" totalsRowFunction="sum" dataDxfId="36" dataCellStyle="Percent">
      <calculatedColumnFormula>Top5Expenses[[#This Row],[AMOUNT]]/$D$6</calculatedColumnFormula>
    </tableColumn>
    <tableColumn id="4" xr3:uid="{00000000-0010-0000-0100-000004000000}" name="15% REDUCTION" totalsRowFunction="sum" dataDxfId="35" dataCellStyle="Comma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4:F8" totalsRowCount="1" headerRowDxfId="33" dataDxfId="32" totalsRowDxfId="31">
  <autoFilter ref="B4:F7" xr:uid="{00000000-0009-0000-0100-000003000000}"/>
  <tableColumns count="5">
    <tableColumn id="1" xr3:uid="{00000000-0010-0000-0200-000001000000}" name="INCOME" totalsRowLabel="Total Income"/>
    <tableColumn id="2" xr3:uid="{00000000-0010-0000-0200-000002000000}" name="ESTIMATED" totalsRowFunction="sum" dataDxfId="30" dataCellStyle="Comma"/>
    <tableColumn id="3" xr3:uid="{00000000-0010-0000-0200-000003000000}" name="ACTUAL" totalsRowFunction="sum" dataDxfId="29" totalsRowDxfId="28" dataCellStyle="Comma"/>
    <tableColumn id="5" xr3:uid="{00000000-0010-0000-0200-000005000000}" name="TOP 5 AMOUNT" dataDxfId="27" totalsRowDxfId="26" dataCellStyle="Comma">
      <calculatedColumnFormula>Income[[#This Row],[ACTUAL]]+(10^-6)*ROW(Income[[#This Row],[ACTUAL]])</calculatedColumnFormula>
    </tableColumn>
    <tableColumn id="4" xr3:uid="{00000000-0010-0000-0200-000004000000}" name="DIFFERENCE" totalsRowFunction="sum" dataDxfId="25" totalsRowDxfId="24" dataCellStyle="Comma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4:F8" totalsRowCount="1" headerRowDxfId="22" dataDxfId="21" totalsRowDxfId="20">
  <autoFilter ref="B4:F7" xr:uid="{00000000-0009-0000-0100-000007000000}"/>
  <tableColumns count="5">
    <tableColumn id="1" xr3:uid="{00000000-0010-0000-0300-000001000000}" name="PERSONNEL EXPENSES" totalsRowLabel="Total Personnel Expenses"/>
    <tableColumn id="2" xr3:uid="{00000000-0010-0000-0300-000002000000}" name="ESTIMATED" totalsRowFunction="sum" dataDxfId="19" totalsRowDxfId="18" dataCellStyle="Comma"/>
    <tableColumn id="3" xr3:uid="{00000000-0010-0000-0300-000003000000}" name="ACTUAL" totalsRowFunction="sum" dataDxfId="17" totalsRowDxfId="16" dataCellStyle="Comma"/>
    <tableColumn id="4" xr3:uid="{00000000-0010-0000-0300-000004000000}" name="TOP 5 AMOUNT" dataDxfId="15" totalsRowDxfId="14" dataCellStyle="Comma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DxfId="13" totalsRowDxfId="12" dataCellStyle="Comma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4:F25" totalsRowCount="1" headerRowDxfId="10" dataDxfId="9" totalsRowDxfId="8">
  <autoFilter ref="B4:F24" xr:uid="{00000000-0009-0000-0100-000009000000}"/>
  <sortState xmlns:xlrd2="http://schemas.microsoft.com/office/spreadsheetml/2017/richdata2" ref="B12:F32">
    <sortCondition ref="B16:B37"/>
  </sortState>
  <tableColumns count="5">
    <tableColumn id="1" xr3:uid="{00000000-0010-0000-0400-000001000000}" name="OPERATING EXPENSES" totalsRowLabel="Total Operating Expenses"/>
    <tableColumn id="2" xr3:uid="{00000000-0010-0000-0400-000002000000}" name="ESTIMATED" totalsRowFunction="sum" dataDxfId="7" totalsRowDxfId="6" dataCellStyle="Comma"/>
    <tableColumn id="3" xr3:uid="{00000000-0010-0000-0400-000003000000}" name="ACTUAL" totalsRowFunction="sum" dataDxfId="5" totalsRowDxfId="4" dataCellStyle="Comma"/>
    <tableColumn id="5" xr3:uid="{00000000-0010-0000-0400-000005000000}" name="TOP 5 AMOUNT" dataDxfId="3" totalsRowDxfId="2" dataCellStyle="Comma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DxfId="1" totalsRowDxfId="0" dataCellStyle="Comma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17"/>
  <sheetViews>
    <sheetView showGridLines="0" zoomScaleNormal="100" workbookViewId="0"/>
  </sheetViews>
  <sheetFormatPr defaultColWidth="9" defaultRowHeight="16.5" customHeight="1" x14ac:dyDescent="0.5"/>
  <cols>
    <col min="1" max="1" width="4.109375" style="7" customWidth="1"/>
    <col min="2" max="2" width="29.21875" style="7" customWidth="1"/>
    <col min="3" max="5" width="19" style="7" customWidth="1"/>
    <col min="6" max="6" width="4.109375" style="7" customWidth="1"/>
    <col min="7" max="7" width="4.109375" customWidth="1"/>
  </cols>
  <sheetData>
    <row r="1" spans="1:6" ht="31.5" customHeight="1" x14ac:dyDescent="0.6">
      <c r="A1" s="4"/>
      <c r="B1" s="35" t="s">
        <v>43</v>
      </c>
      <c r="C1" s="35"/>
      <c r="D1" s="35"/>
      <c r="E1"/>
      <c r="F1"/>
    </row>
    <row r="2" spans="1:6" ht="42" customHeight="1" x14ac:dyDescent="1.2">
      <c r="A2" s="4"/>
      <c r="B2" s="34" t="s">
        <v>31</v>
      </c>
      <c r="C2" s="34"/>
      <c r="D2" s="34"/>
      <c r="E2" s="33" t="s">
        <v>48</v>
      </c>
      <c r="F2" s="33"/>
    </row>
    <row r="3" spans="1:6" ht="15" customHeight="1" x14ac:dyDescent="0.5"/>
    <row r="4" spans="1:6" s="6" customFormat="1" ht="21.75" customHeight="1" x14ac:dyDescent="0.5">
      <c r="A4" s="5"/>
      <c r="B4" s="28" t="s">
        <v>30</v>
      </c>
      <c r="C4" s="29" t="s">
        <v>19</v>
      </c>
      <c r="D4" s="29" t="s">
        <v>20</v>
      </c>
      <c r="E4" s="29" t="s">
        <v>21</v>
      </c>
      <c r="F4" s="5"/>
    </row>
    <row r="5" spans="1:6" ht="18" x14ac:dyDescent="0.5">
      <c r="B5" t="s">
        <v>15</v>
      </c>
      <c r="C5" s="19">
        <f>Income[[#Totals],[ESTIMATED]]</f>
        <v>63300</v>
      </c>
      <c r="D5" s="19">
        <f>Income[[#Totals],[ACTUAL]]</f>
        <v>57450</v>
      </c>
      <c r="E5" s="20">
        <f>Totals[[#This Row],[ACTUAL]]-Totals[[#This Row],[ESTIMATED]]</f>
        <v>-5850</v>
      </c>
    </row>
    <row r="6" spans="1:6" ht="18" x14ac:dyDescent="0.5">
      <c r="B6" t="s">
        <v>18</v>
      </c>
      <c r="C6" s="19">
        <f>OperatingExpenses[[#Totals],[ESTIMATED]]+PersonnelExpenses[[#Totals],[ESTIMATED]]</f>
        <v>54500</v>
      </c>
      <c r="D6" s="19">
        <f>OperatingExpenses[[#Totals],[ACTUAL]]+PersonnelExpenses[[#Totals],[ACTUAL]]</f>
        <v>49630</v>
      </c>
      <c r="E6" s="21">
        <f>Totals[[#This Row],[ESTIMATED]]-Totals[[#This Row],[ACTUAL]]</f>
        <v>4870</v>
      </c>
    </row>
    <row r="7" spans="1:6" ht="36" x14ac:dyDescent="0.5">
      <c r="B7" t="s">
        <v>33</v>
      </c>
      <c r="C7" s="22">
        <f>C5-C6</f>
        <v>8800</v>
      </c>
      <c r="D7" s="22">
        <f>D5-D6</f>
        <v>7820</v>
      </c>
      <c r="E7" s="23">
        <f>Totals[[#Totals],[ACTUAL]]-Totals[[#Totals],[ESTIMATED]]</f>
        <v>-980</v>
      </c>
    </row>
    <row r="9" spans="1:6" ht="335.4" customHeight="1" x14ac:dyDescent="0.5">
      <c r="A9"/>
      <c r="B9" s="32"/>
      <c r="C9" s="31"/>
      <c r="D9" s="31"/>
      <c r="E9" s="31"/>
      <c r="F9"/>
    </row>
    <row r="10" spans="1:6" ht="16.5" customHeight="1" x14ac:dyDescent="0.5">
      <c r="B10" s="8" t="s">
        <v>26</v>
      </c>
      <c r="C10" s="9"/>
      <c r="D10" s="9"/>
      <c r="E10" s="9"/>
    </row>
    <row r="11" spans="1:6" ht="21.75" customHeight="1" x14ac:dyDescent="0.5">
      <c r="B11" s="28" t="s">
        <v>27</v>
      </c>
      <c r="C11" s="29" t="s">
        <v>28</v>
      </c>
      <c r="D11" s="29" t="s">
        <v>29</v>
      </c>
      <c r="E11" s="29" t="s">
        <v>32</v>
      </c>
    </row>
    <row r="12" spans="1:6" ht="18" x14ac:dyDescent="0.5">
      <c r="B12" t="str">
        <f>INDEX(OperatingExpenses[],MATCH(Top5Expenses[[#This Row],[AMOUNT]],OperatingExpenses[TOP 5 AMOUNT],0),1)</f>
        <v>Maintenance and repairs</v>
      </c>
      <c r="C12" s="26">
        <f>LARGE(OperatingExpenses[TOP 5 AMOUNT],1)</f>
        <v>4600.0000140000002</v>
      </c>
      <c r="D12" s="24">
        <f>Top5Expenses[[#This Row],[AMOUNT]]/$D$6</f>
        <v>9.2685875760628658E-2</v>
      </c>
      <c r="E12" s="26">
        <f>Top5Expenses[[#This Row],[AMOUNT]]*0.15</f>
        <v>690.00000209999996</v>
      </c>
    </row>
    <row r="13" spans="1:6" ht="18" x14ac:dyDescent="0.5">
      <c r="B13" t="str">
        <f>INDEX(OperatingExpenses[],MATCH(Top5Expenses[[#This Row],[AMOUNT]],OperatingExpenses[TOP 5 AMOUNT],0),1)</f>
        <v>Supplies</v>
      </c>
      <c r="C13" s="26">
        <f>LARGE(OperatingExpenses[TOP 5 AMOUNT],2)</f>
        <v>4500.0000200000004</v>
      </c>
      <c r="D13" s="24">
        <f>Top5Expenses[[#This Row],[AMOUNT]]/$D$6</f>
        <v>9.0670965545033261E-2</v>
      </c>
      <c r="E13" s="26">
        <f>Top5Expenses[[#This Row],[AMOUNT]]*0.15</f>
        <v>675.00000299999999</v>
      </c>
    </row>
    <row r="14" spans="1:6" ht="18" x14ac:dyDescent="0.5">
      <c r="B14" t="str">
        <f>INDEX(OperatingExpenses[],MATCH(Top5Expenses[[#This Row],[AMOUNT]],OperatingExpenses[TOP 5 AMOUNT],0),1)</f>
        <v>Rent or mortgage</v>
      </c>
      <c r="C14" s="26">
        <f>LARGE(OperatingExpenses[TOP 5 AMOUNT],3)</f>
        <v>4500.0000170000003</v>
      </c>
      <c r="D14" s="24">
        <f>Top5Expenses[[#This Row],[AMOUNT]]/$D$6</f>
        <v>9.0670965484585947E-2</v>
      </c>
      <c r="E14" s="26">
        <f>Top5Expenses[[#This Row],[AMOUNT]]*0.15</f>
        <v>675.00000254999998</v>
      </c>
    </row>
    <row r="15" spans="1:6" ht="18" x14ac:dyDescent="0.5">
      <c r="B15" t="str">
        <f>INDEX(OperatingExpenses[],MATCH(Top5Expenses[[#This Row],[AMOUNT]],OperatingExpenses[TOP 5 AMOUNT],0),1)</f>
        <v>Taxes</v>
      </c>
      <c r="C15" s="26">
        <f>LARGE(OperatingExpenses[TOP 5 AMOUNT],4)</f>
        <v>3200.0000209999998</v>
      </c>
      <c r="D15" s="24">
        <f>Top5Expenses[[#This Row],[AMOUNT]]/$D$6</f>
        <v>6.4477131190812012E-2</v>
      </c>
      <c r="E15" s="26">
        <f>Top5Expenses[[#This Row],[AMOUNT]]*0.15</f>
        <v>480.00000314999994</v>
      </c>
    </row>
    <row r="16" spans="1:6" ht="18" x14ac:dyDescent="0.5">
      <c r="B16" t="str">
        <f>INDEX(OperatingExpenses[],MATCH(Top5Expenses[[#This Row],[AMOUNT]],OperatingExpenses[TOP 5 AMOUNT],0),1)</f>
        <v>Advertising</v>
      </c>
      <c r="C16" s="26">
        <f>LARGE(OperatingExpenses[TOP 5 AMOUNT],5)</f>
        <v>2500.0000049999999</v>
      </c>
      <c r="D16" s="24">
        <f>Top5Expenses[[#This Row],[AMOUNT]]/$D$6</f>
        <v>5.037275851299617E-2</v>
      </c>
      <c r="E16" s="26">
        <f>Top5Expenses[[#This Row],[AMOUNT]]*0.15</f>
        <v>375.00000074999997</v>
      </c>
    </row>
    <row r="17" spans="2:5" ht="18" x14ac:dyDescent="0.5">
      <c r="B17" t="s">
        <v>14</v>
      </c>
      <c r="C17" s="27">
        <f>SUBTOTAL(109,Top5Expenses[AMOUNT])</f>
        <v>19300.000077000004</v>
      </c>
      <c r="D17" s="25">
        <f>SUBTOTAL(109,Top5Expenses[% OF EXPENSES])</f>
        <v>0.38887769649405601</v>
      </c>
      <c r="E17" s="27">
        <f>SUBTOTAL(109,Top5Expenses[15% REDUCTION])</f>
        <v>2895.0000115499997</v>
      </c>
    </row>
  </sheetData>
  <sheetProtection insertColumns="0" insertRows="0" deleteColumns="0" deleteRows="0" selectLockedCells="1" autoFilter="0"/>
  <mergeCells count="3">
    <mergeCell ref="E2:F2"/>
    <mergeCell ref="B2:D2"/>
    <mergeCell ref="B1:D1"/>
  </mergeCells>
  <conditionalFormatting sqref="C5:E8 C10:E65">
    <cfRule type="cellIs" dxfId="47" priority="2" operator="lessThan">
      <formula>0</formula>
    </cfRule>
  </conditionalFormatting>
  <conditionalFormatting sqref="D12:E17">
    <cfRule type="cellIs" dxfId="46" priority="1" operator="lessThan">
      <formula>0</formula>
    </cfRule>
  </conditionalFormatting>
  <dataValidations count="20">
    <dataValidation type="custom" allowBlank="1" showInputMessage="1" showErrorMessage="1" errorTitle="ALERT" error="This cell is automatically populated and should not be overwitten. Overwriting this cell would break calculations in this worksheet." sqref="D13 D15:D16 C5:E6" xr:uid="{00000000-0002-0000-0000-000000000000}">
      <formula1>LEN(C5)=""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4:E16" xr:uid="{00000000-0002-0000-0000-000001000000}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2" xr:uid="{00000000-0002-0000-0000-000002000000}">
      <formula1>LEN(E12:E17)=""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12:D12 C13:C16" xr:uid="{00000000-0002-0000-0000-000003000000}">
      <formula1>LEN(C12:C17)=""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14" xr:uid="{00000000-0002-0000-0000-000004000000}">
      <formula1>LEN(D13:D17)=""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3" xr:uid="{00000000-0002-0000-0000-000005000000}">
      <formula1>LEN(E13:E17)=""</formula1>
    </dataValidation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1" xr:uid="{00000000-0002-0000-0000-000007000000}"/>
    <dataValidation allowBlank="1" showInputMessage="1" showErrorMessage="1" prompt="Enter Date in this cell. Budget overview chart is in cell B9" sqref="E2:F2" xr:uid="{00000000-0002-0000-0000-000008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 xr:uid="{00000000-0002-0000-0000-000009000000}"/>
    <dataValidation allowBlank="1" showInputMessage="1" showErrorMessage="1" prompt="Estimated totals are automatically calculated in this column under this heading" sqref="C4" xr:uid="{00000000-0002-0000-0000-00000A000000}"/>
    <dataValidation allowBlank="1" showInputMessage="1" showErrorMessage="1" prompt="Actual totals are automatically calculated in this column under this heading" sqref="D4" xr:uid="{00000000-0002-0000-0000-00000B000000}"/>
    <dataValidation allowBlank="1" showInputMessage="1" showErrorMessage="1" prompt="Difference of Estimated and Actual Totals is automatically calculated in this column under this heading" sqref="E4" xr:uid="{00000000-0002-0000-0000-00000C000000}"/>
    <dataValidation allowBlank="1" showInputMessage="1" showErrorMessage="1" prompt="Top 5 Operating Expenses are automatically updated in table below" sqref="B10" xr:uid="{00000000-0002-0000-0000-00000D000000}"/>
    <dataValidation allowBlank="1" showInputMessage="1" showErrorMessage="1" prompt="Top 5 Expense items are automatically updated in this column under this heading" sqref="B11" xr:uid="{00000000-0002-0000-0000-00000E000000}"/>
    <dataValidation allowBlank="1" showInputMessage="1" showErrorMessage="1" prompt="Amount is automatically updated in this column under this heading" sqref="C11" xr:uid="{00000000-0002-0000-0000-00000F000000}"/>
    <dataValidation allowBlank="1" showInputMessage="1" showErrorMessage="1" prompt="Percent of Expenses is automatically calculated in this column under this heading" sqref="D11" xr:uid="{00000000-0002-0000-0000-000010000000}"/>
    <dataValidation allowBlank="1" showInputMessage="1" showErrorMessage="1" prompt="15 percent Reduction amount is automatically calculated in this column under this heading" sqref="E11" xr:uid="{00000000-0002-0000-0000-000011000000}"/>
    <dataValidation allowBlank="1" showInputMessage="1" showErrorMessage="1" prompt="Title of this worksheet is in this cell. Enter Date in cell at right. Budget Totals are automatically calculated in Totals table starting in cell B4" sqref="B2:D2" xr:uid="{00000000-0002-0000-0000-000012000000}"/>
    <dataValidation allowBlank="1" showInputMessage="1" showErrorMessage="1" prompt="Budget Overview chart is in this cell. Top 5 Operating Expenses are automatically updated in Top5Expenses table, below." sqref="B9" xr:uid="{6D8844C3-D2C4-41A8-9632-7791388B6264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C5:E5 D13:E16 C6:D6 D12:E12" listDataValidation="1"/>
    <ignoredError sqref="E6 C12:C16" listDataValidation="1" calculatedColumn="1"/>
    <ignoredError sqref="B12:B1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8"/>
  <sheetViews>
    <sheetView showGridLines="0" zoomScaleNormal="100" workbookViewId="0">
      <selection activeCell="F11" sqref="F11"/>
    </sheetView>
  </sheetViews>
  <sheetFormatPr defaultColWidth="9" defaultRowHeight="30" customHeight="1" x14ac:dyDescent="0.5"/>
  <cols>
    <col min="1" max="1" width="4.109375" style="13" customWidth="1"/>
    <col min="2" max="2" width="29.21875" style="13" customWidth="1"/>
    <col min="3" max="3" width="19" style="13" customWidth="1"/>
    <col min="4" max="4" width="18.88671875" style="13" customWidth="1"/>
    <col min="5" max="5" width="26" style="13" hidden="1" customWidth="1"/>
    <col min="6" max="6" width="19" style="13" customWidth="1"/>
    <col min="7" max="7" width="4.109375" style="13" customWidth="1"/>
    <col min="8" max="8" width="4.109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s="6" customFormat="1" ht="30" customHeight="1" x14ac:dyDescent="0.5">
      <c r="A4" s="15"/>
      <c r="B4" s="28" t="s">
        <v>22</v>
      </c>
      <c r="C4" s="29" t="s">
        <v>19</v>
      </c>
      <c r="D4" s="29" t="s">
        <v>20</v>
      </c>
      <c r="E4" s="28" t="s">
        <v>23</v>
      </c>
      <c r="F4" s="29" t="s">
        <v>21</v>
      </c>
      <c r="G4" s="16"/>
    </row>
    <row r="5" spans="1:7" ht="30" customHeight="1" x14ac:dyDescent="0.5">
      <c r="B5" t="s">
        <v>40</v>
      </c>
      <c r="C5" s="19">
        <v>60000</v>
      </c>
      <c r="D5" s="19">
        <v>54000</v>
      </c>
      <c r="E5" s="22">
        <f>Income[[#This Row],[ACTUAL]]+(10^-6)*ROW(Income[[#This Row],[ACTUAL]])</f>
        <v>54000.000005000002</v>
      </c>
      <c r="F5" s="30">
        <f>Income[[#This Row],[ACTUAL]]-Income[[#This Row],[ESTIMATED]]</f>
        <v>-6000</v>
      </c>
      <c r="G5" s="1"/>
    </row>
    <row r="6" spans="1:7" ht="30" customHeight="1" x14ac:dyDescent="0.5">
      <c r="B6" t="s">
        <v>41</v>
      </c>
      <c r="C6" s="19">
        <v>3000</v>
      </c>
      <c r="D6" s="19">
        <v>3000</v>
      </c>
      <c r="E6" s="22">
        <f>Income[[#This Row],[ACTUAL]]+(10^-6)*ROW(Income[[#This Row],[ACTUAL]])</f>
        <v>3000.0000060000002</v>
      </c>
      <c r="F6" s="30">
        <f>Income[[#This Row],[ACTUAL]]-Income[[#This Row],[ESTIMATED]]</f>
        <v>0</v>
      </c>
      <c r="G6" s="1"/>
    </row>
    <row r="7" spans="1:7" ht="30" customHeight="1" x14ac:dyDescent="0.5">
      <c r="B7" t="s">
        <v>42</v>
      </c>
      <c r="C7" s="19">
        <v>300</v>
      </c>
      <c r="D7" s="19">
        <v>450</v>
      </c>
      <c r="E7" s="22">
        <f>Income[[#This Row],[ACTUAL]]+(10^-6)*ROW(Income[[#This Row],[ACTUAL]])</f>
        <v>450.00000699999998</v>
      </c>
      <c r="F7" s="30">
        <f>Income[[#This Row],[ACTUAL]]-Income[[#This Row],[ESTIMATED]]</f>
        <v>150</v>
      </c>
      <c r="G7" s="1"/>
    </row>
    <row r="8" spans="1:7" ht="30" customHeight="1" x14ac:dyDescent="0.5">
      <c r="B8" t="s">
        <v>45</v>
      </c>
      <c r="C8" s="22">
        <f>SUBTOTAL(109,Income[ESTIMATED])</f>
        <v>63300</v>
      </c>
      <c r="D8" s="22">
        <f>SUBTOTAL(109,Income[ACTUAL])</f>
        <v>57450</v>
      </c>
      <c r="E8" s="22"/>
      <c r="F8" s="22">
        <f>SUBTOTAL(109,Income[DIFFERENCE])</f>
        <v>-5850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34" priority="3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1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100-000001000000}"/>
    <dataValidation allowBlank="1" showInputMessage="1" showErrorMessage="1" prompt="Enter Monthly Income in this worksheet" sqref="A1" xr:uid="{00000000-0002-0000-0100-000002000000}"/>
    <dataValidation allowBlank="1" showInputMessage="1" showErrorMessage="1" prompt="Company Name is automatically updated in this cell" sqref="B1" xr:uid="{00000000-0002-0000-0100-000003000000}"/>
    <dataValidation allowBlank="1" showInputMessage="1" showErrorMessage="1" prompt="Title is automatically updated in this cell. Enter Monthly Income details in table below" sqref="B2" xr:uid="{00000000-0002-0000-0100-000004000000}"/>
    <dataValidation allowBlank="1" showInputMessage="1" showErrorMessage="1" prompt="Enter Income details in this column under this heading. Use heading filters to find specific entries" sqref="B4" xr:uid="{00000000-0002-0000-0100-000005000000}"/>
    <dataValidation allowBlank="1" showInputMessage="1" showErrorMessage="1" prompt="Enter Estimated amount in this column under this heading" sqref="C4" xr:uid="{00000000-0002-0000-0100-000006000000}"/>
    <dataValidation allowBlank="1" showInputMessage="1" showErrorMessage="1" prompt="Enter Actual amount in this column under this heading" sqref="D4" xr:uid="{00000000-0002-0000-0100-000007000000}"/>
    <dataValidation allowBlank="1" showInputMessage="1" showErrorMessage="1" prompt="Difference of Estimated and Actual Income is automatically calculated in this column under this heading" sqref="F4" xr:uid="{00000000-0002-0000-01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8"/>
  <sheetViews>
    <sheetView showGridLines="0" zoomScaleNormal="100" workbookViewId="0">
      <selection activeCell="D9" sqref="D9"/>
    </sheetView>
  </sheetViews>
  <sheetFormatPr defaultColWidth="9" defaultRowHeight="30" customHeight="1" x14ac:dyDescent="0.5"/>
  <cols>
    <col min="1" max="1" width="4.109375" style="13" customWidth="1"/>
    <col min="2" max="2" width="29.21875" style="13" customWidth="1"/>
    <col min="3" max="3" width="19" style="13" customWidth="1"/>
    <col min="4" max="4" width="18.88671875" style="13" customWidth="1"/>
    <col min="5" max="5" width="18" style="13" hidden="1" customWidth="1"/>
    <col min="6" max="6" width="19" style="13" customWidth="1"/>
    <col min="7" max="7" width="4.109375" style="13" customWidth="1"/>
    <col min="8" max="8" width="4.109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ht="30" customHeight="1" x14ac:dyDescent="0.5">
      <c r="A4" s="15"/>
      <c r="B4" s="28" t="s">
        <v>24</v>
      </c>
      <c r="C4" s="29" t="s">
        <v>19</v>
      </c>
      <c r="D4" s="29" t="s">
        <v>20</v>
      </c>
      <c r="E4" s="28" t="s">
        <v>23</v>
      </c>
      <c r="F4" s="29" t="s">
        <v>21</v>
      </c>
      <c r="G4" s="17"/>
    </row>
    <row r="5" spans="1:7" ht="30" customHeight="1" x14ac:dyDescent="0.5">
      <c r="B5" t="s">
        <v>16</v>
      </c>
      <c r="C5" s="19">
        <v>9500</v>
      </c>
      <c r="D5" s="19">
        <v>9600</v>
      </c>
      <c r="E5" s="22">
        <f>PersonnelExpenses[[#This Row],[ACTUAL]]+(10^-6)*ROW(PersonnelExpenses[[#This Row],[ACTUAL]])</f>
        <v>9600.0000049999999</v>
      </c>
      <c r="F5" s="30">
        <f>PersonnelExpenses[[#This Row],[ESTIMATED]]-PersonnelExpenses[[#This Row],[ACTUAL]]</f>
        <v>-100</v>
      </c>
      <c r="G5" s="1"/>
    </row>
    <row r="6" spans="1:7" ht="30" customHeight="1" x14ac:dyDescent="0.5">
      <c r="B6" t="s">
        <v>34</v>
      </c>
      <c r="C6" s="19">
        <v>4000</v>
      </c>
      <c r="D6" s="19">
        <v>0</v>
      </c>
      <c r="E6" s="22">
        <f>PersonnelExpenses[[#This Row],[ACTUAL]]+(10^-6)*ROW(PersonnelExpenses[[#This Row],[ACTUAL]])</f>
        <v>6.0000000000000002E-6</v>
      </c>
      <c r="F6" s="30">
        <f>PersonnelExpenses[[#This Row],[ESTIMATED]]-PersonnelExpenses[[#This Row],[ACTUAL]]</f>
        <v>4000</v>
      </c>
      <c r="G6" s="1"/>
    </row>
    <row r="7" spans="1:7" ht="30" customHeight="1" x14ac:dyDescent="0.5">
      <c r="B7" t="s">
        <v>17</v>
      </c>
      <c r="C7" s="19">
        <v>5000</v>
      </c>
      <c r="D7" s="19">
        <v>4500</v>
      </c>
      <c r="E7" s="22">
        <f>PersonnelExpenses[[#This Row],[ACTUAL]]+(10^-6)*ROW(PersonnelExpenses[[#This Row],[ACTUAL]])</f>
        <v>4500.0000069999996</v>
      </c>
      <c r="F7" s="30">
        <f>PersonnelExpenses[[#This Row],[ESTIMATED]]-PersonnelExpenses[[#This Row],[ACTUAL]]</f>
        <v>500</v>
      </c>
      <c r="G7" s="1"/>
    </row>
    <row r="8" spans="1:7" ht="30" customHeight="1" x14ac:dyDescent="0.5">
      <c r="B8" t="s">
        <v>46</v>
      </c>
      <c r="C8" s="27">
        <f>SUBTOTAL(109,PersonnelExpenses[ESTIMATED])</f>
        <v>18500</v>
      </c>
      <c r="D8" s="27">
        <f>SUBTOTAL(109,PersonnelExpenses[ACTUAL])</f>
        <v>14100</v>
      </c>
      <c r="E8" s="22"/>
      <c r="F8" s="27">
        <f>SUBTOTAL(109,PersonnelExpenses[DIFFERENCE])</f>
        <v>4400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23" priority="1" operator="lessThan">
      <formula>0</formula>
    </cfRule>
  </conditionalFormatting>
  <dataValidations count="9"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200-000001000000}">
      <formula1>LEN(G5)=""</formula1>
    </dataValidation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1" xr:uid="{00000000-0002-0000-0200-000003000000}"/>
    <dataValidation allowBlank="1" showInputMessage="1" showErrorMessage="1" prompt="Title is automatically updated in this cell. Enter Monthly Personnel Expense details in table below" sqref="B2" xr:uid="{00000000-0002-0000-0200-000004000000}"/>
    <dataValidation allowBlank="1" showInputMessage="1" showErrorMessage="1" prompt="Enter Personnel Expenses in this column under this heading. Use heading filters to find specific entries" sqref="B4" xr:uid="{00000000-0002-0000-0200-000005000000}"/>
    <dataValidation allowBlank="1" showInputMessage="1" showErrorMessage="1" prompt="Enter Estimated amount in this column under this heading" sqref="C4" xr:uid="{00000000-0002-0000-0200-000006000000}"/>
    <dataValidation allowBlank="1" showInputMessage="1" showErrorMessage="1" prompt="Enter Actual amount in this column under this heading" sqref="D4" xr:uid="{00000000-0002-0000-0200-000007000000}"/>
    <dataValidation allowBlank="1" showInputMessage="1" showErrorMessage="1" prompt="Difference of Estimated and Actual Personnel Expenses is automatically calculated in this column under this heading" sqref="F4" xr:uid="{00000000-0002-0000-02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G25"/>
  <sheetViews>
    <sheetView showGridLines="0" tabSelected="1" topLeftCell="A3" zoomScaleNormal="100" workbookViewId="0">
      <selection activeCell="F7" sqref="F7"/>
    </sheetView>
  </sheetViews>
  <sheetFormatPr defaultColWidth="9" defaultRowHeight="30" customHeight="1" x14ac:dyDescent="0.5"/>
  <cols>
    <col min="1" max="1" width="4.109375" style="13" customWidth="1"/>
    <col min="2" max="2" width="29.21875" style="13" customWidth="1"/>
    <col min="3" max="3" width="19" style="13" customWidth="1"/>
    <col min="4" max="4" width="18.88671875" style="13" customWidth="1"/>
    <col min="5" max="5" width="21.88671875" style="13" hidden="1" customWidth="1"/>
    <col min="6" max="6" width="19" style="13" customWidth="1"/>
    <col min="7" max="7" width="4.109375" style="13" customWidth="1"/>
    <col min="8" max="8" width="4.109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ht="30" customHeight="1" x14ac:dyDescent="0.5">
      <c r="B4" s="28" t="s">
        <v>25</v>
      </c>
      <c r="C4" s="29" t="s">
        <v>19</v>
      </c>
      <c r="D4" s="29" t="s">
        <v>20</v>
      </c>
      <c r="E4" s="28" t="s">
        <v>23</v>
      </c>
      <c r="F4" s="29" t="s">
        <v>21</v>
      </c>
      <c r="G4" s="18"/>
    </row>
    <row r="5" spans="1:7" ht="30" customHeight="1" x14ac:dyDescent="0.5">
      <c r="B5" t="s">
        <v>1</v>
      </c>
      <c r="C5" s="19">
        <v>3000</v>
      </c>
      <c r="D5" s="19">
        <v>2500</v>
      </c>
      <c r="E5" s="22">
        <f>OperatingExpenses[[#This Row],[ACTUAL]]+(10^-6)*ROW(OperatingExpenses[[#This Row],[ACTUAL]])</f>
        <v>2500.0000049999999</v>
      </c>
      <c r="F5" s="30">
        <f>OperatingExpenses[[#This Row],[ESTIMATED]]-OperatingExpenses[[#This Row],[ACTUAL]]</f>
        <v>500</v>
      </c>
      <c r="G5" s="1"/>
    </row>
    <row r="6" spans="1:7" ht="30" customHeight="1" x14ac:dyDescent="0.5">
      <c r="B6" t="s">
        <v>35</v>
      </c>
      <c r="C6" s="19">
        <v>2000</v>
      </c>
      <c r="D6" s="19">
        <v>2000</v>
      </c>
      <c r="E6" s="22">
        <f>OperatingExpenses[[#This Row],[ACTUAL]]+(10^-6)*ROW(OperatingExpenses[[#This Row],[ACTUAL]])</f>
        <v>2000.000006</v>
      </c>
      <c r="F6" s="30">
        <f>OperatingExpenses[[#This Row],[ESTIMATED]]-OperatingExpenses[[#This Row],[ACTUAL]]</f>
        <v>0</v>
      </c>
      <c r="G6" s="1"/>
    </row>
    <row r="7" spans="1:7" ht="30" customHeight="1" x14ac:dyDescent="0.5">
      <c r="B7" t="s">
        <v>36</v>
      </c>
      <c r="C7" s="19">
        <v>1500</v>
      </c>
      <c r="D7" s="19">
        <v>2175</v>
      </c>
      <c r="E7" s="22">
        <f>OperatingExpenses[[#This Row],[ACTUAL]]+(10^-6)*ROW(OperatingExpenses[[#This Row],[ACTUAL]])</f>
        <v>2175.0000070000001</v>
      </c>
      <c r="F7" s="30">
        <f>OperatingExpenses[[#This Row],[ESTIMATED]]-OperatingExpenses[[#This Row],[ACTUAL]]</f>
        <v>-675</v>
      </c>
      <c r="G7" s="1"/>
    </row>
    <row r="8" spans="1:7" ht="30" customHeight="1" x14ac:dyDescent="0.5">
      <c r="B8" t="s">
        <v>44</v>
      </c>
      <c r="C8" s="19">
        <v>2000</v>
      </c>
      <c r="D8" s="19">
        <v>1500</v>
      </c>
      <c r="E8" s="22">
        <f>OperatingExpenses[[#This Row],[ACTUAL]]+(10^-6)*ROW(OperatingExpenses[[#This Row],[ACTUAL]])</f>
        <v>1500.000008</v>
      </c>
      <c r="F8" s="30">
        <f>OperatingExpenses[[#This Row],[ESTIMATED]]-OperatingExpenses[[#This Row],[ACTUAL]]</f>
        <v>500</v>
      </c>
      <c r="G8" s="1"/>
    </row>
    <row r="9" spans="1:7" ht="30" customHeight="1" x14ac:dyDescent="0.5">
      <c r="B9" t="s">
        <v>2</v>
      </c>
      <c r="C9" s="19">
        <v>1000</v>
      </c>
      <c r="D9" s="19">
        <v>1000</v>
      </c>
      <c r="E9" s="22">
        <f>OperatingExpenses[[#This Row],[ACTUAL]]+(10^-6)*ROW(OperatingExpenses[[#This Row],[ACTUAL]])</f>
        <v>1000.000009</v>
      </c>
      <c r="F9" s="30">
        <f>OperatingExpenses[[#This Row],[ESTIMATED]]-OperatingExpenses[[#This Row],[ACTUAL]]</f>
        <v>0</v>
      </c>
      <c r="G9" s="1"/>
    </row>
    <row r="10" spans="1:7" ht="30" customHeight="1" x14ac:dyDescent="0.5">
      <c r="B10" t="s">
        <v>37</v>
      </c>
      <c r="C10" s="19">
        <v>500</v>
      </c>
      <c r="D10" s="19">
        <v>525</v>
      </c>
      <c r="E10" s="22">
        <f>OperatingExpenses[[#This Row],[ACTUAL]]+(10^-6)*ROW(OperatingExpenses[[#This Row],[ACTUAL]])</f>
        <v>525.00000999999997</v>
      </c>
      <c r="F10" s="30">
        <f>OperatingExpenses[[#This Row],[ESTIMATED]]-OperatingExpenses[[#This Row],[ACTUAL]]</f>
        <v>-25</v>
      </c>
      <c r="G10" s="1"/>
    </row>
    <row r="11" spans="1:7" ht="30" customHeight="1" x14ac:dyDescent="0.5">
      <c r="B11" t="s">
        <v>3</v>
      </c>
      <c r="C11" s="19">
        <v>1300</v>
      </c>
      <c r="D11" s="19">
        <v>1275</v>
      </c>
      <c r="E11" s="22">
        <f>OperatingExpenses[[#This Row],[ACTUAL]]+(10^-6)*ROW(OperatingExpenses[[#This Row],[ACTUAL]])</f>
        <v>1275.0000110000001</v>
      </c>
      <c r="F11" s="30">
        <f>OperatingExpenses[[#This Row],[ESTIMATED]]-OperatingExpenses[[#This Row],[ACTUAL]]</f>
        <v>25</v>
      </c>
      <c r="G11" s="1"/>
    </row>
    <row r="12" spans="1:7" ht="30" customHeight="1" x14ac:dyDescent="0.5">
      <c r="B12" t="s">
        <v>4</v>
      </c>
      <c r="C12" s="19">
        <v>2000</v>
      </c>
      <c r="D12" s="19">
        <v>2200</v>
      </c>
      <c r="E12" s="22">
        <f>OperatingExpenses[[#This Row],[ACTUAL]]+(10^-6)*ROW(OperatingExpenses[[#This Row],[ACTUAL]])</f>
        <v>2200.000012</v>
      </c>
      <c r="F12" s="30">
        <f>OperatingExpenses[[#This Row],[ESTIMATED]]-OperatingExpenses[[#This Row],[ACTUAL]]</f>
        <v>-200</v>
      </c>
      <c r="G12" s="1"/>
    </row>
    <row r="13" spans="1:7" ht="30" customHeight="1" x14ac:dyDescent="0.5">
      <c r="B13" t="s">
        <v>38</v>
      </c>
      <c r="C13" s="19">
        <v>1000</v>
      </c>
      <c r="D13" s="19">
        <v>800</v>
      </c>
      <c r="E13" s="22">
        <f>OperatingExpenses[[#This Row],[ACTUAL]]+(10^-6)*ROW(OperatingExpenses[[#This Row],[ACTUAL]])</f>
        <v>800.00001299999997</v>
      </c>
      <c r="F13" s="30">
        <f>OperatingExpenses[[#This Row],[ESTIMATED]]-OperatingExpenses[[#This Row],[ACTUAL]]</f>
        <v>200</v>
      </c>
      <c r="G13" s="1"/>
    </row>
    <row r="14" spans="1:7" ht="30" customHeight="1" x14ac:dyDescent="0.5">
      <c r="B14" t="s">
        <v>39</v>
      </c>
      <c r="C14" s="19">
        <v>4500</v>
      </c>
      <c r="D14" s="19">
        <v>4600</v>
      </c>
      <c r="E14" s="22">
        <f>OperatingExpenses[[#This Row],[ACTUAL]]+(10^-6)*ROW(OperatingExpenses[[#This Row],[ACTUAL]])</f>
        <v>4600.0000140000002</v>
      </c>
      <c r="F14" s="30">
        <f>OperatingExpenses[[#This Row],[ESTIMATED]]-OperatingExpenses[[#This Row],[ACTUAL]]</f>
        <v>-100</v>
      </c>
      <c r="G14" s="1"/>
    </row>
    <row r="15" spans="1:7" ht="30" customHeight="1" x14ac:dyDescent="0.5">
      <c r="B15" t="s">
        <v>5</v>
      </c>
      <c r="C15" s="19">
        <v>800</v>
      </c>
      <c r="D15" s="19">
        <v>750</v>
      </c>
      <c r="E15" s="22">
        <f>OperatingExpenses[[#This Row],[ACTUAL]]+(10^-6)*ROW(OperatingExpenses[[#This Row],[ACTUAL]])</f>
        <v>750.00001499999996</v>
      </c>
      <c r="F15" s="30">
        <f>OperatingExpenses[[#This Row],[ESTIMATED]]-OperatingExpenses[[#This Row],[ACTUAL]]</f>
        <v>50</v>
      </c>
      <c r="G15" s="1"/>
    </row>
    <row r="16" spans="1:7" ht="30" customHeight="1" x14ac:dyDescent="0.5">
      <c r="B16" t="s">
        <v>6</v>
      </c>
      <c r="C16" s="19">
        <v>400</v>
      </c>
      <c r="D16" s="19">
        <v>350</v>
      </c>
      <c r="E16" s="22">
        <f>OperatingExpenses[[#This Row],[ACTUAL]]+(10^-6)*ROW(OperatingExpenses[[#This Row],[ACTUAL]])</f>
        <v>350.00001600000002</v>
      </c>
      <c r="F16" s="30">
        <f>OperatingExpenses[[#This Row],[ESTIMATED]]-OperatingExpenses[[#This Row],[ACTUAL]]</f>
        <v>50</v>
      </c>
      <c r="G16" s="1"/>
    </row>
    <row r="17" spans="2:7" ht="30" customHeight="1" x14ac:dyDescent="0.5">
      <c r="B17" t="s">
        <v>7</v>
      </c>
      <c r="C17" s="19">
        <v>4100</v>
      </c>
      <c r="D17" s="19">
        <v>4500</v>
      </c>
      <c r="E17" s="22">
        <f>OperatingExpenses[[#This Row],[ACTUAL]]+(10^-6)*ROW(OperatingExpenses[[#This Row],[ACTUAL]])</f>
        <v>4500.0000170000003</v>
      </c>
      <c r="F17" s="30">
        <f>OperatingExpenses[[#This Row],[ESTIMATED]]-OperatingExpenses[[#This Row],[ACTUAL]]</f>
        <v>-400</v>
      </c>
      <c r="G17" s="1"/>
    </row>
    <row r="18" spans="2:7" ht="30" customHeight="1" x14ac:dyDescent="0.5">
      <c r="B18" t="s">
        <v>8</v>
      </c>
      <c r="C18" s="19">
        <v>350</v>
      </c>
      <c r="D18" s="19">
        <v>400</v>
      </c>
      <c r="E18" s="22">
        <f>OperatingExpenses[[#This Row],[ACTUAL]]+(10^-6)*ROW(OperatingExpenses[[#This Row],[ACTUAL]])</f>
        <v>400.00001800000001</v>
      </c>
      <c r="F18" s="30">
        <f>OperatingExpenses[[#This Row],[ESTIMATED]]-OperatingExpenses[[#This Row],[ACTUAL]]</f>
        <v>-50</v>
      </c>
      <c r="G18" s="1"/>
    </row>
    <row r="19" spans="2:7" ht="30" customHeight="1" x14ac:dyDescent="0.5">
      <c r="B19" t="s">
        <v>9</v>
      </c>
      <c r="C19" s="19">
        <v>900</v>
      </c>
      <c r="D19" s="19">
        <v>840</v>
      </c>
      <c r="E19" s="22">
        <f>OperatingExpenses[[#This Row],[ACTUAL]]+(10^-6)*ROW(OperatingExpenses[[#This Row],[ACTUAL]])</f>
        <v>840.00001899999995</v>
      </c>
      <c r="F19" s="30">
        <f>OperatingExpenses[[#This Row],[ESTIMATED]]-OperatingExpenses[[#This Row],[ACTUAL]]</f>
        <v>60</v>
      </c>
      <c r="G19" s="1"/>
    </row>
    <row r="20" spans="2:7" ht="30" customHeight="1" x14ac:dyDescent="0.5">
      <c r="B20" t="s">
        <v>10</v>
      </c>
      <c r="C20" s="19">
        <v>5000</v>
      </c>
      <c r="D20" s="19">
        <v>4500</v>
      </c>
      <c r="E20" s="22">
        <f>OperatingExpenses[[#This Row],[ACTUAL]]+(10^-6)*ROW(OperatingExpenses[[#This Row],[ACTUAL]])</f>
        <v>4500.0000200000004</v>
      </c>
      <c r="F20" s="30">
        <f>OperatingExpenses[[#This Row],[ESTIMATED]]-OperatingExpenses[[#This Row],[ACTUAL]]</f>
        <v>500</v>
      </c>
      <c r="G20" s="1"/>
    </row>
    <row r="21" spans="2:7" ht="30" customHeight="1" x14ac:dyDescent="0.5">
      <c r="B21" t="s">
        <v>11</v>
      </c>
      <c r="C21" s="19">
        <v>3000</v>
      </c>
      <c r="D21" s="19">
        <v>3200</v>
      </c>
      <c r="E21" s="22">
        <f>OperatingExpenses[[#This Row],[ACTUAL]]+(10^-6)*ROW(OperatingExpenses[[#This Row],[ACTUAL]])</f>
        <v>3200.0000209999998</v>
      </c>
      <c r="F21" s="30">
        <f>OperatingExpenses[[#This Row],[ESTIMATED]]-OperatingExpenses[[#This Row],[ACTUAL]]</f>
        <v>-200</v>
      </c>
      <c r="G21" s="1"/>
    </row>
    <row r="22" spans="2:7" ht="30" customHeight="1" x14ac:dyDescent="0.5">
      <c r="B22" t="s">
        <v>12</v>
      </c>
      <c r="C22" s="19">
        <v>250</v>
      </c>
      <c r="D22" s="19">
        <v>280</v>
      </c>
      <c r="E22" s="22">
        <f>OperatingExpenses[[#This Row],[ACTUAL]]+(10^-6)*ROW(OperatingExpenses[[#This Row],[ACTUAL]])</f>
        <v>280.000022</v>
      </c>
      <c r="F22" s="30">
        <f>OperatingExpenses[[#This Row],[ESTIMATED]]-OperatingExpenses[[#This Row],[ACTUAL]]</f>
        <v>-30</v>
      </c>
      <c r="G22" s="1"/>
    </row>
    <row r="23" spans="2:7" ht="30" customHeight="1" x14ac:dyDescent="0.5">
      <c r="B23" t="s">
        <v>13</v>
      </c>
      <c r="C23" s="19">
        <v>1400</v>
      </c>
      <c r="D23" s="19">
        <v>1385</v>
      </c>
      <c r="E23" s="22">
        <f>OperatingExpenses[[#This Row],[ACTUAL]]+(10^-6)*ROW(OperatingExpenses[[#This Row],[ACTUAL]])</f>
        <v>1385.0000230000001</v>
      </c>
      <c r="F23" s="30">
        <f>OperatingExpenses[[#This Row],[ESTIMATED]]-OperatingExpenses[[#This Row],[ACTUAL]]</f>
        <v>15</v>
      </c>
      <c r="G23" s="1"/>
    </row>
    <row r="24" spans="2:7" ht="30" customHeight="1" x14ac:dyDescent="0.5">
      <c r="B24" t="s">
        <v>0</v>
      </c>
      <c r="C24" s="19">
        <v>1000</v>
      </c>
      <c r="D24" s="19">
        <v>750</v>
      </c>
      <c r="E24" s="22">
        <f>OperatingExpenses[[#This Row],[ACTUAL]]+(10^-6)*ROW(OperatingExpenses[[#This Row],[ACTUAL]])</f>
        <v>750.00002400000005</v>
      </c>
      <c r="F24" s="30">
        <f>OperatingExpenses[[#This Row],[ESTIMATED]]-OperatingExpenses[[#This Row],[ACTUAL]]</f>
        <v>250</v>
      </c>
      <c r="G24" s="1"/>
    </row>
    <row r="25" spans="2:7" ht="30" customHeight="1" x14ac:dyDescent="0.5">
      <c r="B25" t="s">
        <v>47</v>
      </c>
      <c r="C25" s="27">
        <f>SUBTOTAL(109,OperatingExpenses[ESTIMATED])</f>
        <v>36000</v>
      </c>
      <c r="D25" s="27">
        <f>SUBTOTAL(109,OperatingExpenses[ACTUAL])</f>
        <v>35530</v>
      </c>
      <c r="E25" s="22"/>
      <c r="F25" s="27">
        <f>SUBTOTAL(109,OperatingExpenses[DIFFERENCE])</f>
        <v>470</v>
      </c>
      <c r="G25" s="2"/>
    </row>
  </sheetData>
  <sheetProtection insertColumns="0" insertRows="0" deleteColumns="0" deleteRows="0" selectLockedCells="1" autoFilter="0"/>
  <dataConsolidate/>
  <conditionalFormatting sqref="F25">
    <cfRule type="cellIs" dxfId="11" priority="1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24" xr:uid="{00000000-0002-0000-03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24" xr:uid="{00000000-0002-0000-0300-000001000000}"/>
    <dataValidation allowBlank="1" showInputMessage="1" showErrorMessage="1" prompt="Enter Monthly Operating Expenses in this worksheet" sqref="A1" xr:uid="{00000000-0002-0000-0300-000002000000}"/>
    <dataValidation allowBlank="1" showInputMessage="1" showErrorMessage="1" prompt="Company Name is automatically updated in this cell" sqref="B1" xr:uid="{00000000-0002-0000-0300-000003000000}"/>
    <dataValidation allowBlank="1" showInputMessage="1" showErrorMessage="1" prompt="Title is automatically updated in this cell. Enter Monthly Operating Expense details in table below" sqref="B2" xr:uid="{00000000-0002-0000-0300-000004000000}"/>
    <dataValidation allowBlank="1" showInputMessage="1" showErrorMessage="1" prompt="Enter Operating Expenses in this column under this heading. Use heading filters to find specific entries" sqref="B4" xr:uid="{00000000-0002-0000-0300-000005000000}"/>
    <dataValidation allowBlank="1" showInputMessage="1" showErrorMessage="1" prompt="Enter Estimated amount in this column under this heading" sqref="C4" xr:uid="{00000000-0002-0000-0300-000006000000}"/>
    <dataValidation allowBlank="1" showInputMessage="1" showErrorMessage="1" prompt="Enter Actual amount in this column under this heading" sqref="D4" xr:uid="{00000000-0002-0000-0300-000007000000}"/>
    <dataValidation allowBlank="1" showInputMessage="1" showErrorMessage="1" prompt="Difference of Estimated and Actual Operating Expenses is automatically calculated in this column under this heading" sqref="F4" xr:uid="{00000000-0002-0000-03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E99E0C-805E-419A-AABB-AC8EB766AA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6959E06-A44B-4E8A-BEF1-B165D9B2D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3AA672-7AA9-4F91-BFFF-9A6FDB399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TM03458075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Budget Summary</vt:lpstr>
      <vt:lpstr>Income</vt:lpstr>
      <vt:lpstr>Personnel Expenses</vt:lpstr>
      <vt:lpstr>Operating Expenses</vt:lpstr>
      <vt:lpstr>BUDGET_Title</vt:lpstr>
      <vt:lpstr>ColumnTitle1</vt:lpstr>
      <vt:lpstr>COMPANY_NAME</vt:lpstr>
      <vt:lpstr>Income!Print_Titles</vt:lpstr>
      <vt:lpstr>'Operating Expenses'!Print_Titles</vt:lpstr>
      <vt:lpstr>'Personnel Expenses'!Print_Titles</vt:lpstr>
      <vt:lpstr>Title1</vt:lpstr>
      <vt:lpstr>Title2</vt:lpstr>
      <vt:lpstr>Title3</vt:lpstr>
      <vt:lpstr>Title4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2021-12-13T22:23:56Z</dcterms:created>
  <dcterms:modified xsi:type="dcterms:W3CDTF">2023-02-05T18:46:25Z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