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44" windowWidth="19620" windowHeight="9228" tabRatio="589"/>
  </bookViews>
  <sheets>
    <sheet name="Planification" sheetId="1" r:id="rId1"/>
    <sheet name="Suivi Sprint 1" sheetId="8" r:id="rId2"/>
    <sheet name="Suivi Sprint 2" sheetId="3" r:id="rId3"/>
    <sheet name="Suivi Sprint 3" sheetId="4" r:id="rId4"/>
    <sheet name="Finalisation Sprint 4" sheetId="5" r:id="rId5"/>
    <sheet name="Bilan" sheetId="6" r:id="rId6"/>
    <sheet name="Instructions sur ce document" sheetId="7" r:id="rId7"/>
  </sheets>
  <definedNames>
    <definedName name="Avancement">Planification!$P$13:$P$33</definedName>
    <definedName name="CorrespondanceSprint">Planification!$N$13:$O$16</definedName>
    <definedName name="DateCreation">Planification!$H$5</definedName>
    <definedName name="DateModification">Planification!$H$6</definedName>
    <definedName name="ListeSprint">Planification!$N$13:$N$16</definedName>
    <definedName name="NiveauDifficulte">Planification!$L$13:$L$15</definedName>
    <definedName name="NiveauPriorite">Planification!$K$13:$K$15</definedName>
    <definedName name="NomEtudiant">Planification!$H$4</definedName>
    <definedName name="NomProjet">Planification!$B$2</definedName>
    <definedName name="PlanifNbrS1">Planification!$Q$65</definedName>
    <definedName name="PlanifNbrS2">Planification!$R$65</definedName>
    <definedName name="PlanifNbrS3">Planification!$S$65</definedName>
    <definedName name="PlanifNbrS4">Planification!$T$65</definedName>
    <definedName name="PlanifNbrTotal">Planification!$U$65</definedName>
    <definedName name="PlanifTempsS1">Planification!$Q$64</definedName>
    <definedName name="PlanifTempsS2">Planification!$R$64</definedName>
    <definedName name="PlanifTempsS3">Planification!$S$64</definedName>
    <definedName name="PlanifTempsS4">Planification!$T$64</definedName>
    <definedName name="PlanifTempsTotal">Planification!$U$64</definedName>
    <definedName name="RetardS1">'Suivi Sprint 1'!$O$65</definedName>
    <definedName name="RetardS2">'Suivi Sprint 2'!$Q$65</definedName>
    <definedName name="RetardS3">'Suivi Sprint 3'!$Q$65</definedName>
    <definedName name="RetardS4">'Finalisation Sprint 4'!$Q$65</definedName>
    <definedName name="RetardTotal">Bilan!$M$9</definedName>
    <definedName name="TempsRequis">Planification!$M$13:$M$49</definedName>
    <definedName name="TempsS1">'Suivi Sprint 1'!$O$68</definedName>
    <definedName name="TempsS2">'Suivi Sprint 2'!$Q$68</definedName>
    <definedName name="TempsS3">'Suivi Sprint 3'!$Q$68</definedName>
    <definedName name="TempsS4">'Finalisation Sprint 4'!$Q$68</definedName>
    <definedName name="TempsTotal">Bilan!$M$8</definedName>
    <definedName name="TempsTravaille">Planification!$M$13:$M$61</definedName>
    <definedName name="ValeurSprint">Planification!$O$13:$O$16</definedName>
  </definedNames>
  <calcPr calcId="145621"/>
</workbook>
</file>

<file path=xl/calcChain.xml><?xml version="1.0" encoding="utf-8"?>
<calcChain xmlns="http://schemas.openxmlformats.org/spreadsheetml/2006/main">
  <c r="M6" i="6" l="1"/>
  <c r="L6" i="6"/>
  <c r="K6" i="6"/>
  <c r="J6" i="6"/>
  <c r="I6" i="6"/>
  <c r="L8" i="6"/>
  <c r="K8" i="6"/>
  <c r="F8" i="6"/>
  <c r="E8" i="6"/>
  <c r="Q13" i="1"/>
  <c r="G6" i="6"/>
  <c r="U65" i="1"/>
  <c r="F6" i="6"/>
  <c r="E6" i="6"/>
  <c r="D6" i="6"/>
  <c r="C6" i="6"/>
  <c r="R65" i="1"/>
  <c r="S65" i="1"/>
  <c r="T65" i="1"/>
  <c r="Q65" i="1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13" i="3"/>
  <c r="E13" i="4" s="1"/>
  <c r="E13" i="5" s="1"/>
  <c r="E14" i="3"/>
  <c r="E14" i="4" s="1"/>
  <c r="E14" i="5" s="1"/>
  <c r="E15" i="3"/>
  <c r="E15" i="4" s="1"/>
  <c r="E15" i="5" s="1"/>
  <c r="E16" i="3"/>
  <c r="E16" i="4" s="1"/>
  <c r="E16" i="5" s="1"/>
  <c r="E17" i="3"/>
  <c r="E17" i="4" s="1"/>
  <c r="E17" i="5" s="1"/>
  <c r="E18" i="3"/>
  <c r="E18" i="4" s="1"/>
  <c r="E18" i="5" s="1"/>
  <c r="E19" i="3"/>
  <c r="E19" i="4" s="1"/>
  <c r="E19" i="5" s="1"/>
  <c r="E20" i="3"/>
  <c r="E20" i="4" s="1"/>
  <c r="E20" i="5" s="1"/>
  <c r="E21" i="3"/>
  <c r="E21" i="4" s="1"/>
  <c r="E21" i="5" s="1"/>
  <c r="E22" i="3"/>
  <c r="E22" i="4" s="1"/>
  <c r="E22" i="5" s="1"/>
  <c r="E23" i="3"/>
  <c r="E23" i="4" s="1"/>
  <c r="E23" i="5" s="1"/>
  <c r="E24" i="3"/>
  <c r="E24" i="4" s="1"/>
  <c r="E24" i="5" s="1"/>
  <c r="E25" i="3"/>
  <c r="E25" i="4" s="1"/>
  <c r="E25" i="5" s="1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C33" i="3"/>
  <c r="Q68" i="5"/>
  <c r="S68" i="5" s="1"/>
  <c r="R62" i="5"/>
  <c r="Q62" i="5"/>
  <c r="D62" i="5"/>
  <c r="C62" i="5"/>
  <c r="B62" i="5"/>
  <c r="R61" i="5"/>
  <c r="Q61" i="5"/>
  <c r="D61" i="5"/>
  <c r="C61" i="5"/>
  <c r="B61" i="5"/>
  <c r="R60" i="5"/>
  <c r="Q60" i="5"/>
  <c r="D60" i="5"/>
  <c r="C60" i="5"/>
  <c r="B60" i="5"/>
  <c r="R59" i="5"/>
  <c r="Q59" i="5"/>
  <c r="D59" i="5"/>
  <c r="C59" i="5"/>
  <c r="B59" i="5"/>
  <c r="R58" i="5"/>
  <c r="Q58" i="5"/>
  <c r="D58" i="5"/>
  <c r="C58" i="5"/>
  <c r="B58" i="5"/>
  <c r="R57" i="5"/>
  <c r="Q57" i="5"/>
  <c r="D57" i="5"/>
  <c r="C57" i="5"/>
  <c r="B57" i="5"/>
  <c r="R56" i="5"/>
  <c r="Q56" i="5"/>
  <c r="D56" i="5"/>
  <c r="C56" i="5"/>
  <c r="B56" i="5"/>
  <c r="R55" i="5"/>
  <c r="Q55" i="5"/>
  <c r="D55" i="5"/>
  <c r="C55" i="5"/>
  <c r="B55" i="5"/>
  <c r="R54" i="5"/>
  <c r="Q54" i="5"/>
  <c r="D54" i="5"/>
  <c r="C54" i="5"/>
  <c r="B54" i="5"/>
  <c r="R53" i="5"/>
  <c r="Q53" i="5"/>
  <c r="D53" i="5"/>
  <c r="C53" i="5"/>
  <c r="B53" i="5"/>
  <c r="R52" i="5"/>
  <c r="Q52" i="5"/>
  <c r="D52" i="5"/>
  <c r="C52" i="5"/>
  <c r="B52" i="5"/>
  <c r="R51" i="5"/>
  <c r="Q51" i="5"/>
  <c r="D51" i="5"/>
  <c r="C51" i="5"/>
  <c r="B51" i="5"/>
  <c r="R50" i="5"/>
  <c r="Q50" i="5"/>
  <c r="D50" i="5"/>
  <c r="C50" i="5"/>
  <c r="B50" i="5"/>
  <c r="R49" i="5"/>
  <c r="Q49" i="5"/>
  <c r="D49" i="5"/>
  <c r="C49" i="5"/>
  <c r="B49" i="5"/>
  <c r="R48" i="5"/>
  <c r="Q48" i="5"/>
  <c r="D48" i="5"/>
  <c r="C48" i="5"/>
  <c r="B48" i="5"/>
  <c r="R47" i="5"/>
  <c r="Q47" i="5"/>
  <c r="D47" i="5"/>
  <c r="C47" i="5"/>
  <c r="B47" i="5"/>
  <c r="R46" i="5"/>
  <c r="Q46" i="5"/>
  <c r="D46" i="5"/>
  <c r="C46" i="5"/>
  <c r="B46" i="5"/>
  <c r="R45" i="5"/>
  <c r="Q45" i="5"/>
  <c r="D45" i="5"/>
  <c r="C45" i="5"/>
  <c r="B45" i="5"/>
  <c r="R44" i="5"/>
  <c r="Q44" i="5"/>
  <c r="D44" i="5"/>
  <c r="C44" i="5"/>
  <c r="B44" i="5"/>
  <c r="R43" i="5"/>
  <c r="Q43" i="5"/>
  <c r="D43" i="5"/>
  <c r="C43" i="5"/>
  <c r="B43" i="5"/>
  <c r="R42" i="5"/>
  <c r="Q42" i="5"/>
  <c r="D42" i="5"/>
  <c r="C42" i="5"/>
  <c r="B42" i="5"/>
  <c r="R41" i="5"/>
  <c r="Q41" i="5"/>
  <c r="D41" i="5"/>
  <c r="C41" i="5"/>
  <c r="B41" i="5"/>
  <c r="R40" i="5"/>
  <c r="Q40" i="5"/>
  <c r="D40" i="5"/>
  <c r="C40" i="5"/>
  <c r="B40" i="5"/>
  <c r="R39" i="5"/>
  <c r="Q39" i="5"/>
  <c r="D39" i="5"/>
  <c r="C39" i="5"/>
  <c r="B39" i="5"/>
  <c r="R38" i="5"/>
  <c r="Q38" i="5"/>
  <c r="D38" i="5"/>
  <c r="C38" i="5"/>
  <c r="B38" i="5"/>
  <c r="R37" i="5"/>
  <c r="Q37" i="5"/>
  <c r="D37" i="5"/>
  <c r="C37" i="5"/>
  <c r="B37" i="5"/>
  <c r="R36" i="5"/>
  <c r="Q36" i="5"/>
  <c r="D36" i="5"/>
  <c r="C36" i="5"/>
  <c r="B36" i="5"/>
  <c r="R35" i="5"/>
  <c r="Q35" i="5"/>
  <c r="D35" i="5"/>
  <c r="C35" i="5"/>
  <c r="B35" i="5"/>
  <c r="R34" i="5"/>
  <c r="Q34" i="5"/>
  <c r="D34" i="5"/>
  <c r="C34" i="5"/>
  <c r="B34" i="5"/>
  <c r="R33" i="5"/>
  <c r="Q33" i="5"/>
  <c r="D33" i="5"/>
  <c r="C33" i="5"/>
  <c r="B33" i="5"/>
  <c r="R32" i="5"/>
  <c r="Q32" i="5"/>
  <c r="D32" i="5"/>
  <c r="C32" i="5"/>
  <c r="B32" i="5"/>
  <c r="R31" i="5"/>
  <c r="Q31" i="5"/>
  <c r="D31" i="5"/>
  <c r="C31" i="5"/>
  <c r="B31" i="5"/>
  <c r="R30" i="5"/>
  <c r="Q30" i="5"/>
  <c r="D30" i="5"/>
  <c r="C30" i="5"/>
  <c r="B30" i="5"/>
  <c r="R29" i="5"/>
  <c r="Q29" i="5"/>
  <c r="D29" i="5"/>
  <c r="C29" i="5"/>
  <c r="B29" i="5"/>
  <c r="R28" i="5"/>
  <c r="Q28" i="5"/>
  <c r="D28" i="5"/>
  <c r="C28" i="5"/>
  <c r="B28" i="5"/>
  <c r="R27" i="5"/>
  <c r="Q27" i="5"/>
  <c r="D27" i="5"/>
  <c r="C27" i="5"/>
  <c r="B27" i="5"/>
  <c r="R26" i="5"/>
  <c r="Q26" i="5"/>
  <c r="D26" i="5"/>
  <c r="C26" i="5"/>
  <c r="B26" i="5"/>
  <c r="Q25" i="5"/>
  <c r="D25" i="5"/>
  <c r="R25" i="5" s="1"/>
  <c r="C25" i="5"/>
  <c r="D24" i="5"/>
  <c r="R24" i="5" s="1"/>
  <c r="C24" i="5"/>
  <c r="R23" i="5"/>
  <c r="D23" i="5"/>
  <c r="C23" i="5"/>
  <c r="B23" i="5"/>
  <c r="R22" i="5"/>
  <c r="D22" i="5"/>
  <c r="C22" i="5"/>
  <c r="B22" i="5"/>
  <c r="D21" i="5"/>
  <c r="C21" i="5"/>
  <c r="D20" i="5"/>
  <c r="C20" i="5"/>
  <c r="B20" i="5"/>
  <c r="D19" i="5"/>
  <c r="C19" i="5"/>
  <c r="B19" i="5"/>
  <c r="D18" i="5"/>
  <c r="C18" i="5"/>
  <c r="B18" i="5"/>
  <c r="D17" i="5"/>
  <c r="C17" i="5"/>
  <c r="B17" i="5"/>
  <c r="R16" i="5"/>
  <c r="D16" i="5"/>
  <c r="C16" i="5"/>
  <c r="B16" i="5"/>
  <c r="R15" i="5"/>
  <c r="D15" i="5"/>
  <c r="C15" i="5"/>
  <c r="B15" i="5"/>
  <c r="R14" i="5"/>
  <c r="D14" i="5"/>
  <c r="C14" i="5"/>
  <c r="B14" i="5"/>
  <c r="R13" i="5"/>
  <c r="D13" i="5"/>
  <c r="C13" i="5"/>
  <c r="B13" i="5"/>
  <c r="R12" i="5"/>
  <c r="Q21" i="5" s="1"/>
  <c r="B2" i="5"/>
  <c r="Q68" i="4"/>
  <c r="S68" i="4" s="1"/>
  <c r="R62" i="4"/>
  <c r="Q62" i="4"/>
  <c r="D62" i="4"/>
  <c r="C62" i="4"/>
  <c r="B62" i="4"/>
  <c r="R61" i="4"/>
  <c r="Q61" i="4"/>
  <c r="D61" i="4"/>
  <c r="C61" i="4"/>
  <c r="B61" i="4"/>
  <c r="R60" i="4"/>
  <c r="Q60" i="4"/>
  <c r="D60" i="4"/>
  <c r="C60" i="4"/>
  <c r="B60" i="4"/>
  <c r="R59" i="4"/>
  <c r="Q59" i="4"/>
  <c r="D59" i="4"/>
  <c r="C59" i="4"/>
  <c r="B59" i="4"/>
  <c r="R58" i="4"/>
  <c r="Q58" i="4"/>
  <c r="D58" i="4"/>
  <c r="C58" i="4"/>
  <c r="B58" i="4"/>
  <c r="R57" i="4"/>
  <c r="Q57" i="4"/>
  <c r="D57" i="4"/>
  <c r="C57" i="4"/>
  <c r="B57" i="4"/>
  <c r="R56" i="4"/>
  <c r="Q56" i="4"/>
  <c r="D56" i="4"/>
  <c r="C56" i="4"/>
  <c r="B56" i="4"/>
  <c r="R55" i="4"/>
  <c r="Q55" i="4"/>
  <c r="D55" i="4"/>
  <c r="C55" i="4"/>
  <c r="B55" i="4"/>
  <c r="R54" i="4"/>
  <c r="Q54" i="4"/>
  <c r="D54" i="4"/>
  <c r="C54" i="4"/>
  <c r="B54" i="4"/>
  <c r="R53" i="4"/>
  <c r="Q53" i="4"/>
  <c r="D53" i="4"/>
  <c r="C53" i="4"/>
  <c r="B53" i="4"/>
  <c r="R52" i="4"/>
  <c r="Q52" i="4"/>
  <c r="D52" i="4"/>
  <c r="C52" i="4"/>
  <c r="B52" i="4"/>
  <c r="R51" i="4"/>
  <c r="Q51" i="4"/>
  <c r="D51" i="4"/>
  <c r="C51" i="4"/>
  <c r="B51" i="4"/>
  <c r="R50" i="4"/>
  <c r="Q50" i="4"/>
  <c r="D50" i="4"/>
  <c r="C50" i="4"/>
  <c r="B50" i="4"/>
  <c r="R49" i="4"/>
  <c r="Q49" i="4"/>
  <c r="D49" i="4"/>
  <c r="C49" i="4"/>
  <c r="B49" i="4"/>
  <c r="R48" i="4"/>
  <c r="Q48" i="4"/>
  <c r="D48" i="4"/>
  <c r="C48" i="4"/>
  <c r="B48" i="4"/>
  <c r="R47" i="4"/>
  <c r="Q47" i="4"/>
  <c r="D47" i="4"/>
  <c r="C47" i="4"/>
  <c r="B47" i="4"/>
  <c r="R46" i="4"/>
  <c r="Q46" i="4"/>
  <c r="D46" i="4"/>
  <c r="C46" i="4"/>
  <c r="B46" i="4"/>
  <c r="R45" i="4"/>
  <c r="Q45" i="4"/>
  <c r="D45" i="4"/>
  <c r="C45" i="4"/>
  <c r="B45" i="4"/>
  <c r="R44" i="4"/>
  <c r="Q44" i="4"/>
  <c r="D44" i="4"/>
  <c r="C44" i="4"/>
  <c r="B44" i="4"/>
  <c r="R43" i="4"/>
  <c r="Q43" i="4"/>
  <c r="D43" i="4"/>
  <c r="C43" i="4"/>
  <c r="B43" i="4"/>
  <c r="R42" i="4"/>
  <c r="Q42" i="4"/>
  <c r="D42" i="4"/>
  <c r="C42" i="4"/>
  <c r="B42" i="4"/>
  <c r="R41" i="4"/>
  <c r="Q41" i="4"/>
  <c r="D41" i="4"/>
  <c r="C41" i="4"/>
  <c r="B41" i="4"/>
  <c r="R40" i="4"/>
  <c r="Q40" i="4"/>
  <c r="D40" i="4"/>
  <c r="C40" i="4"/>
  <c r="B40" i="4"/>
  <c r="R39" i="4"/>
  <c r="Q39" i="4"/>
  <c r="D39" i="4"/>
  <c r="C39" i="4"/>
  <c r="B39" i="4"/>
  <c r="R38" i="4"/>
  <c r="Q38" i="4"/>
  <c r="D38" i="4"/>
  <c r="C38" i="4"/>
  <c r="B38" i="4"/>
  <c r="R37" i="4"/>
  <c r="Q37" i="4"/>
  <c r="D37" i="4"/>
  <c r="C37" i="4"/>
  <c r="B37" i="4"/>
  <c r="R36" i="4"/>
  <c r="Q36" i="4"/>
  <c r="D36" i="4"/>
  <c r="C36" i="4"/>
  <c r="B36" i="4"/>
  <c r="R35" i="4"/>
  <c r="Q35" i="4"/>
  <c r="D35" i="4"/>
  <c r="C35" i="4"/>
  <c r="B35" i="4"/>
  <c r="R34" i="4"/>
  <c r="Q34" i="4"/>
  <c r="D34" i="4"/>
  <c r="C34" i="4"/>
  <c r="B34" i="4"/>
  <c r="R33" i="4"/>
  <c r="Q33" i="4"/>
  <c r="D33" i="4"/>
  <c r="C33" i="4"/>
  <c r="B33" i="4"/>
  <c r="R32" i="4"/>
  <c r="Q32" i="4"/>
  <c r="D32" i="4"/>
  <c r="C32" i="4"/>
  <c r="B32" i="4"/>
  <c r="R31" i="4"/>
  <c r="Q31" i="4"/>
  <c r="D31" i="4"/>
  <c r="C31" i="4"/>
  <c r="B31" i="4"/>
  <c r="R30" i="4"/>
  <c r="Q30" i="4"/>
  <c r="D30" i="4"/>
  <c r="C30" i="4"/>
  <c r="B30" i="4"/>
  <c r="R29" i="4"/>
  <c r="Q29" i="4"/>
  <c r="D29" i="4"/>
  <c r="C29" i="4"/>
  <c r="B29" i="4"/>
  <c r="R28" i="4"/>
  <c r="Q28" i="4"/>
  <c r="D28" i="4"/>
  <c r="C28" i="4"/>
  <c r="B28" i="4"/>
  <c r="R27" i="4"/>
  <c r="Q27" i="4"/>
  <c r="D27" i="4"/>
  <c r="C27" i="4"/>
  <c r="B27" i="4"/>
  <c r="R26" i="4"/>
  <c r="Q26" i="4"/>
  <c r="D26" i="4"/>
  <c r="C26" i="4"/>
  <c r="B26" i="4"/>
  <c r="D25" i="4"/>
  <c r="R25" i="4" s="1"/>
  <c r="C25" i="4"/>
  <c r="D24" i="4"/>
  <c r="C24" i="4"/>
  <c r="D23" i="4"/>
  <c r="R23" i="4" s="1"/>
  <c r="C23" i="4"/>
  <c r="D22" i="4"/>
  <c r="C22" i="4"/>
  <c r="B22" i="4"/>
  <c r="D21" i="4"/>
  <c r="C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R15" i="4"/>
  <c r="D15" i="4"/>
  <c r="C15" i="4"/>
  <c r="B15" i="4"/>
  <c r="R14" i="4"/>
  <c r="D14" i="4"/>
  <c r="C14" i="4"/>
  <c r="B14" i="4"/>
  <c r="R13" i="4"/>
  <c r="D13" i="4"/>
  <c r="C13" i="4"/>
  <c r="B13" i="4"/>
  <c r="R12" i="4"/>
  <c r="Q16" i="4" s="1"/>
  <c r="B2" i="4"/>
  <c r="Q68" i="3"/>
  <c r="S68" i="3" s="1"/>
  <c r="R62" i="3"/>
  <c r="Q62" i="3"/>
  <c r="D62" i="3"/>
  <c r="C62" i="3"/>
  <c r="R61" i="3"/>
  <c r="Q61" i="3"/>
  <c r="D61" i="3"/>
  <c r="C61" i="3"/>
  <c r="R60" i="3"/>
  <c r="Q60" i="3"/>
  <c r="D60" i="3"/>
  <c r="C60" i="3"/>
  <c r="R59" i="3"/>
  <c r="Q59" i="3"/>
  <c r="D59" i="3"/>
  <c r="C59" i="3"/>
  <c r="R58" i="3"/>
  <c r="Q58" i="3"/>
  <c r="D58" i="3"/>
  <c r="C58" i="3"/>
  <c r="R57" i="3"/>
  <c r="Q57" i="3"/>
  <c r="D57" i="3"/>
  <c r="C57" i="3"/>
  <c r="R56" i="3"/>
  <c r="Q56" i="3"/>
  <c r="D56" i="3"/>
  <c r="C56" i="3"/>
  <c r="R55" i="3"/>
  <c r="Q55" i="3"/>
  <c r="D55" i="3"/>
  <c r="C55" i="3"/>
  <c r="R54" i="3"/>
  <c r="Q54" i="3"/>
  <c r="D54" i="3"/>
  <c r="C54" i="3"/>
  <c r="R53" i="3"/>
  <c r="Q53" i="3"/>
  <c r="D53" i="3"/>
  <c r="C53" i="3"/>
  <c r="R52" i="3"/>
  <c r="Q52" i="3"/>
  <c r="D52" i="3"/>
  <c r="C52" i="3"/>
  <c r="R51" i="3"/>
  <c r="Q51" i="3"/>
  <c r="D51" i="3"/>
  <c r="C51" i="3"/>
  <c r="R50" i="3"/>
  <c r="Q50" i="3"/>
  <c r="D50" i="3"/>
  <c r="C50" i="3"/>
  <c r="R49" i="3"/>
  <c r="Q49" i="3"/>
  <c r="D49" i="3"/>
  <c r="C49" i="3"/>
  <c r="R48" i="3"/>
  <c r="Q48" i="3"/>
  <c r="D48" i="3"/>
  <c r="C48" i="3"/>
  <c r="R47" i="3"/>
  <c r="Q47" i="3"/>
  <c r="D47" i="3"/>
  <c r="C47" i="3"/>
  <c r="R46" i="3"/>
  <c r="Q46" i="3"/>
  <c r="D46" i="3"/>
  <c r="C46" i="3"/>
  <c r="R45" i="3"/>
  <c r="Q45" i="3"/>
  <c r="D45" i="3"/>
  <c r="C45" i="3"/>
  <c r="R44" i="3"/>
  <c r="Q44" i="3"/>
  <c r="D44" i="3"/>
  <c r="C44" i="3"/>
  <c r="R43" i="3"/>
  <c r="Q43" i="3"/>
  <c r="D43" i="3"/>
  <c r="C43" i="3"/>
  <c r="R42" i="3"/>
  <c r="Q42" i="3"/>
  <c r="D42" i="3"/>
  <c r="C42" i="3"/>
  <c r="R41" i="3"/>
  <c r="Q41" i="3"/>
  <c r="D41" i="3"/>
  <c r="C41" i="3"/>
  <c r="R40" i="3"/>
  <c r="Q40" i="3"/>
  <c r="D40" i="3"/>
  <c r="C40" i="3"/>
  <c r="R39" i="3"/>
  <c r="Q39" i="3"/>
  <c r="D39" i="3"/>
  <c r="C39" i="3"/>
  <c r="R38" i="3"/>
  <c r="Q38" i="3"/>
  <c r="D38" i="3"/>
  <c r="C38" i="3"/>
  <c r="R37" i="3"/>
  <c r="Q37" i="3"/>
  <c r="D37" i="3"/>
  <c r="C37" i="3"/>
  <c r="R36" i="3"/>
  <c r="Q36" i="3"/>
  <c r="D36" i="3"/>
  <c r="C36" i="3"/>
  <c r="R35" i="3"/>
  <c r="Q35" i="3"/>
  <c r="D35" i="3"/>
  <c r="C35" i="3"/>
  <c r="R34" i="3"/>
  <c r="Q34" i="3"/>
  <c r="D34" i="3"/>
  <c r="C34" i="3"/>
  <c r="R33" i="3"/>
  <c r="Q33" i="3"/>
  <c r="D33" i="3"/>
  <c r="R32" i="3"/>
  <c r="Q32" i="3"/>
  <c r="D32" i="3"/>
  <c r="C32" i="3"/>
  <c r="R31" i="3"/>
  <c r="Q31" i="3"/>
  <c r="D31" i="3"/>
  <c r="C31" i="3"/>
  <c r="R30" i="3"/>
  <c r="Q30" i="3"/>
  <c r="D30" i="3"/>
  <c r="C30" i="3"/>
  <c r="R29" i="3"/>
  <c r="Q29" i="3"/>
  <c r="D29" i="3"/>
  <c r="C29" i="3"/>
  <c r="R28" i="3"/>
  <c r="Q28" i="3"/>
  <c r="D28" i="3"/>
  <c r="C28" i="3"/>
  <c r="R27" i="3"/>
  <c r="Q27" i="3"/>
  <c r="D27" i="3"/>
  <c r="C27" i="3"/>
  <c r="R26" i="3"/>
  <c r="Q26" i="3"/>
  <c r="D26" i="3"/>
  <c r="C26" i="3"/>
  <c r="D25" i="3"/>
  <c r="Q25" i="3" s="1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R15" i="3"/>
  <c r="D15" i="3"/>
  <c r="C15" i="3"/>
  <c r="R14" i="3"/>
  <c r="D14" i="3"/>
  <c r="C14" i="3"/>
  <c r="R13" i="3"/>
  <c r="D13" i="3"/>
  <c r="C13" i="3"/>
  <c r="R12" i="3"/>
  <c r="R19" i="3" s="1"/>
  <c r="B2" i="3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8" i="8"/>
  <c r="Q68" i="8" s="1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14" i="8"/>
  <c r="P15" i="8"/>
  <c r="P13" i="8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Q14" i="1"/>
  <c r="Q15" i="1"/>
  <c r="Q16" i="1"/>
  <c r="Q17" i="1"/>
  <c r="Q18" i="1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O25" i="8" s="1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P12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R25" i="3" l="1"/>
  <c r="Q25" i="4"/>
  <c r="P25" i="8"/>
  <c r="J8" i="6"/>
  <c r="D8" i="6"/>
  <c r="M8" i="6"/>
  <c r="G8" i="6" s="1"/>
  <c r="C8" i="6"/>
  <c r="I8" i="6"/>
  <c r="O24" i="8"/>
  <c r="P23" i="8"/>
  <c r="O22" i="8"/>
  <c r="R24" i="4"/>
  <c r="R22" i="3"/>
  <c r="R23" i="3"/>
  <c r="R24" i="3"/>
  <c r="P24" i="8"/>
  <c r="Q24" i="4"/>
  <c r="Q24" i="3"/>
  <c r="Q24" i="5"/>
  <c r="Q14" i="5"/>
  <c r="R20" i="5"/>
  <c r="Q18" i="5"/>
  <c r="Q16" i="5"/>
  <c r="R18" i="5"/>
  <c r="R21" i="5"/>
  <c r="Q13" i="5"/>
  <c r="Q15" i="5"/>
  <c r="Q19" i="5"/>
  <c r="R17" i="5"/>
  <c r="Q22" i="5"/>
  <c r="Q23" i="5"/>
  <c r="Q20" i="5"/>
  <c r="Q17" i="5"/>
  <c r="R19" i="5"/>
  <c r="R68" i="5"/>
  <c r="B9" i="5" s="1"/>
  <c r="O23" i="8"/>
  <c r="Q23" i="4"/>
  <c r="Q23" i="3"/>
  <c r="Q13" i="4"/>
  <c r="Q20" i="4"/>
  <c r="Q18" i="4"/>
  <c r="R21" i="4"/>
  <c r="Q14" i="4"/>
  <c r="R16" i="4"/>
  <c r="R22" i="4"/>
  <c r="R17" i="4"/>
  <c r="Q15" i="4"/>
  <c r="R18" i="4"/>
  <c r="R20" i="4"/>
  <c r="Q17" i="4"/>
  <c r="Q22" i="4"/>
  <c r="Q19" i="4"/>
  <c r="R19" i="4"/>
  <c r="Q21" i="4"/>
  <c r="R68" i="4"/>
  <c r="B9" i="4" s="1"/>
  <c r="R68" i="3"/>
  <c r="B9" i="3" s="1"/>
  <c r="P68" i="8"/>
  <c r="B9" i="8" s="1"/>
  <c r="O20" i="8"/>
  <c r="O21" i="8"/>
  <c r="O16" i="8"/>
  <c r="P22" i="8"/>
  <c r="T64" i="1"/>
  <c r="R21" i="3"/>
  <c r="R64" i="1"/>
  <c r="Q22" i="3"/>
  <c r="P21" i="8"/>
  <c r="S64" i="1"/>
  <c r="Q64" i="1"/>
  <c r="I7" i="6" s="1"/>
  <c r="Q21" i="3"/>
  <c r="Q14" i="3"/>
  <c r="Q15" i="3"/>
  <c r="O18" i="8"/>
  <c r="O17" i="8"/>
  <c r="O15" i="8"/>
  <c r="O14" i="8"/>
  <c r="O13" i="8"/>
  <c r="O19" i="8"/>
  <c r="Q13" i="3"/>
  <c r="P20" i="8"/>
  <c r="R17" i="3"/>
  <c r="R20" i="3"/>
  <c r="Q18" i="3"/>
  <c r="R16" i="3"/>
  <c r="R18" i="3"/>
  <c r="Q16" i="3"/>
  <c r="Q20" i="3"/>
  <c r="Q17" i="3"/>
  <c r="Q19" i="3"/>
  <c r="P16" i="8"/>
  <c r="P18" i="8"/>
  <c r="P17" i="8"/>
  <c r="P19" i="8"/>
  <c r="B2" i="8"/>
  <c r="L64" i="1"/>
  <c r="M64" i="1" s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3" i="4" s="1"/>
  <c r="B22" i="1"/>
  <c r="B21" i="1"/>
  <c r="B20" i="1"/>
  <c r="B19" i="1"/>
  <c r="B18" i="1"/>
  <c r="B17" i="1"/>
  <c r="B16" i="1"/>
  <c r="B15" i="1"/>
  <c r="B14" i="1"/>
  <c r="B13" i="1"/>
  <c r="B21" i="4" l="1"/>
  <c r="B21" i="5"/>
  <c r="B25" i="5"/>
  <c r="B25" i="4"/>
  <c r="F7" i="6"/>
  <c r="L7" i="6"/>
  <c r="J7" i="6"/>
  <c r="D7" i="6"/>
  <c r="E7" i="6"/>
  <c r="K7" i="6"/>
  <c r="C7" i="6"/>
  <c r="U64" i="1"/>
  <c r="B24" i="4"/>
  <c r="B24" i="5"/>
  <c r="Q66" i="5"/>
  <c r="C68" i="5" s="1"/>
  <c r="Q64" i="5"/>
  <c r="C66" i="5" s="1"/>
  <c r="Q65" i="4"/>
  <c r="Q66" i="4"/>
  <c r="C68" i="4" s="1"/>
  <c r="Q63" i="5"/>
  <c r="C65" i="5" s="1"/>
  <c r="Q65" i="5"/>
  <c r="Q63" i="4"/>
  <c r="C65" i="4" s="1"/>
  <c r="Q64" i="4"/>
  <c r="C66" i="4" s="1"/>
  <c r="Q66" i="3"/>
  <c r="C68" i="3" s="1"/>
  <c r="B42" i="3"/>
  <c r="B42" i="8"/>
  <c r="B50" i="3"/>
  <c r="B50" i="8"/>
  <c r="B58" i="3"/>
  <c r="B58" i="8"/>
  <c r="B19" i="8"/>
  <c r="B19" i="3"/>
  <c r="B27" i="8"/>
  <c r="B27" i="3"/>
  <c r="B35" i="8"/>
  <c r="B35" i="3"/>
  <c r="B43" i="8"/>
  <c r="B43" i="3"/>
  <c r="B51" i="8"/>
  <c r="B51" i="3"/>
  <c r="B59" i="8"/>
  <c r="B59" i="3"/>
  <c r="B26" i="3"/>
  <c r="B26" i="8"/>
  <c r="B28" i="8"/>
  <c r="B28" i="3"/>
  <c r="B44" i="8"/>
  <c r="B44" i="3"/>
  <c r="B52" i="8"/>
  <c r="B52" i="3"/>
  <c r="B60" i="8"/>
  <c r="B60" i="3"/>
  <c r="B13" i="8"/>
  <c r="B13" i="3"/>
  <c r="B29" i="8"/>
  <c r="B29" i="3"/>
  <c r="B37" i="8"/>
  <c r="B37" i="3"/>
  <c r="B45" i="8"/>
  <c r="B45" i="3"/>
  <c r="B53" i="8"/>
  <c r="B53" i="3"/>
  <c r="B61" i="8"/>
  <c r="B61" i="3"/>
  <c r="B20" i="8"/>
  <c r="B20" i="3"/>
  <c r="B30" i="8"/>
  <c r="B30" i="3"/>
  <c r="B62" i="8"/>
  <c r="B62" i="3"/>
  <c r="B34" i="3"/>
  <c r="B34" i="8"/>
  <c r="B36" i="8"/>
  <c r="B36" i="3"/>
  <c r="B15" i="8"/>
  <c r="B15" i="3"/>
  <c r="B23" i="3"/>
  <c r="B23" i="8"/>
  <c r="B31" i="3"/>
  <c r="B31" i="8"/>
  <c r="B39" i="3"/>
  <c r="B39" i="8"/>
  <c r="B47" i="3"/>
  <c r="B47" i="8"/>
  <c r="B55" i="3"/>
  <c r="B55" i="8"/>
  <c r="B14" i="3"/>
  <c r="B14" i="8"/>
  <c r="B38" i="8"/>
  <c r="B38" i="3"/>
  <c r="B54" i="8"/>
  <c r="B54" i="3"/>
  <c r="B24" i="8"/>
  <c r="B24" i="3"/>
  <c r="B48" i="8"/>
  <c r="B48" i="3"/>
  <c r="B56" i="3"/>
  <c r="B56" i="8"/>
  <c r="B18" i="3"/>
  <c r="B18" i="8"/>
  <c r="B22" i="8"/>
  <c r="B22" i="3"/>
  <c r="B46" i="8"/>
  <c r="B46" i="3"/>
  <c r="B16" i="8"/>
  <c r="B16" i="3"/>
  <c r="B32" i="3"/>
  <c r="B32" i="8"/>
  <c r="B40" i="8"/>
  <c r="B40" i="3"/>
  <c r="B17" i="3"/>
  <c r="B17" i="8"/>
  <c r="B25" i="8"/>
  <c r="B25" i="3"/>
  <c r="B33" i="8"/>
  <c r="B33" i="3"/>
  <c r="B41" i="8"/>
  <c r="B41" i="3"/>
  <c r="B49" i="8"/>
  <c r="B49" i="3"/>
  <c r="B57" i="8"/>
  <c r="B57" i="3"/>
  <c r="B21" i="3"/>
  <c r="B21" i="8"/>
  <c r="Q63" i="3"/>
  <c r="C65" i="3" s="1"/>
  <c r="Q65" i="3"/>
  <c r="Q64" i="3"/>
  <c r="C66" i="3" s="1"/>
  <c r="O66" i="8"/>
  <c r="C68" i="8" s="1"/>
  <c r="O63" i="8"/>
  <c r="C65" i="8" s="1"/>
  <c r="O64" i="8"/>
  <c r="C66" i="8" s="1"/>
  <c r="O65" i="8"/>
  <c r="N64" i="1"/>
  <c r="B9" i="1" s="1"/>
  <c r="G7" i="6" l="1"/>
  <c r="M7" i="6"/>
  <c r="J10" i="5"/>
  <c r="L9" i="6"/>
  <c r="C10" i="6"/>
  <c r="F9" i="6"/>
  <c r="C67" i="4"/>
  <c r="K9" i="6"/>
  <c r="E9" i="6"/>
  <c r="J10" i="3"/>
  <c r="J9" i="6"/>
  <c r="D9" i="6"/>
  <c r="H10" i="8"/>
  <c r="I9" i="6"/>
  <c r="C9" i="6"/>
  <c r="J10" i="4"/>
  <c r="C67" i="5"/>
  <c r="C67" i="3"/>
  <c r="C67" i="8"/>
  <c r="M9" i="6" l="1"/>
  <c r="G9" i="6" s="1"/>
</calcChain>
</file>

<file path=xl/sharedStrings.xml><?xml version="1.0" encoding="utf-8"?>
<sst xmlns="http://schemas.openxmlformats.org/spreadsheetml/2006/main" count="278" uniqueCount="100">
  <si>
    <t>Numéro de la tâche</t>
  </si>
  <si>
    <t>Nom de la tâche</t>
  </si>
  <si>
    <t>Description</t>
  </si>
  <si>
    <t>Prédécesseur(s)</t>
  </si>
  <si>
    <t>Niveau de priorité</t>
  </si>
  <si>
    <t>Niveau de difficulté</t>
  </si>
  <si>
    <t>Sprint visé</t>
  </si>
  <si>
    <t>Sprint 1</t>
  </si>
  <si>
    <t>Sprint 2</t>
  </si>
  <si>
    <t>Sprint 3</t>
  </si>
  <si>
    <t>Sprint 4</t>
  </si>
  <si>
    <t>Rédaction du document de conception</t>
  </si>
  <si>
    <t>-</t>
  </si>
  <si>
    <t xml:space="preserve">  -</t>
  </si>
  <si>
    <t xml:space="preserve">Réalisé par : </t>
  </si>
  <si>
    <t xml:space="preserve">Date de planification initiale : </t>
  </si>
  <si>
    <t xml:space="preserve">Dernière date de modification : </t>
  </si>
  <si>
    <t>Rédaction du document de planification</t>
  </si>
  <si>
    <t>Rédaction du document LisezMoi.txt</t>
  </si>
  <si>
    <t>Rédaction du manuel de l'usager</t>
  </si>
  <si>
    <t>Réalisation du site web de présentation</t>
  </si>
  <si>
    <t>Réalisation du vidéo de présentation</t>
  </si>
  <si>
    <t>Réaliser les éléments de conceptions techniques</t>
  </si>
  <si>
    <t>Finalisation et remise de l'application finale</t>
  </si>
  <si>
    <t>Rédaction des cas d'usage, du diagramme structural et des interfaces usagers.</t>
  </si>
  <si>
    <t>Correction finale, peaufinage, rédaction de commentaires  et mise en forme de la remise.</t>
  </si>
  <si>
    <t>Nom du projet</t>
  </si>
  <si>
    <t>Nom de l'étudiant</t>
  </si>
  <si>
    <t>Planification</t>
  </si>
  <si>
    <t>Date de planification initiale</t>
  </si>
  <si>
    <t>Dernière date de modification</t>
  </si>
  <si>
    <t>Saisir les informations générales du document :</t>
  </si>
  <si>
    <t>Remplir le tableau des tâches définies.</t>
  </si>
  <si>
    <t>Suivi des Sprint 1 à 4</t>
  </si>
  <si>
    <t>La feuille Bilan présente quelques informations intéressantes sur la structure du projet et son suivi.</t>
  </si>
  <si>
    <t>Temps investi</t>
  </si>
  <si>
    <t>Pourquoi le retard</t>
  </si>
  <si>
    <t>Moyens envisagés pour palier au problème</t>
  </si>
  <si>
    <t>Heures travaillées</t>
  </si>
  <si>
    <t>Temps travaillé</t>
  </si>
  <si>
    <t>Minutes travaillées</t>
  </si>
  <si>
    <t>Temps prévu</t>
  </si>
  <si>
    <t>Heures prévues</t>
  </si>
  <si>
    <t>Minutes prévues</t>
  </si>
  <si>
    <t>Sprint prévu</t>
  </si>
  <si>
    <t>Non débutée</t>
  </si>
  <si>
    <t>En cours</t>
  </si>
  <si>
    <t>En retard</t>
  </si>
  <si>
    <t>Terminée</t>
  </si>
  <si>
    <t>Avancements des tâches</t>
  </si>
  <si>
    <t xml:space="preserve"> -</t>
  </si>
  <si>
    <t>Tâche non débutée</t>
  </si>
  <si>
    <t>Tâche en cours</t>
  </si>
  <si>
    <t>Tâche en retard</t>
  </si>
  <si>
    <t>Tâche terminée</t>
  </si>
  <si>
    <t>Légende</t>
  </si>
  <si>
    <t>Découpage du projet en tâches pertinentes et documentation (ce document).</t>
  </si>
  <si>
    <t>Temps investi pour ce sprint</t>
  </si>
  <si>
    <t>Configuration du réseau</t>
  </si>
  <si>
    <t>Prototypage de l'algorithme de planification de trajectoire</t>
  </si>
  <si>
    <t>Prototypage sur Excel et validation des hypothèses</t>
  </si>
  <si>
    <t>L'hypothèse du calcul de distance n'est pas conséquente</t>
  </si>
  <si>
    <t>Modification du calcul de distance par une mesure 3D</t>
  </si>
  <si>
    <t>Calcul 3D non fonctionnel par distance d'Euler</t>
  </si>
  <si>
    <t>La configuration est plus complexe que prévue</t>
  </si>
  <si>
    <t>Doit tenir compte des adresses IPv6</t>
  </si>
  <si>
    <t>Calcul 3D selon coordonnées sphériques</t>
  </si>
  <si>
    <t>Développement de l'interface Web</t>
  </si>
  <si>
    <t>Mise en place des outils web</t>
  </si>
  <si>
    <t>Manque de temps à cause du cours de réseau. Trop l'fun! :-)</t>
  </si>
  <si>
    <t>Tâche préférée d'Éric</t>
  </si>
  <si>
    <t>Identifier les prédécesseurs</t>
  </si>
  <si>
    <t>Identifier le niveau de priorité (1 à 3)</t>
  </si>
  <si>
    <t>Identifier le niveau de difficulté (1 à 3)</t>
  </si>
  <si>
    <t>Temps requis</t>
  </si>
  <si>
    <t>Estimer la charge de travail requise</t>
  </si>
  <si>
    <t>Le sprint pour lequel la tâche devrait être complétée</t>
  </si>
  <si>
    <t>Si pertinent, une courte description technique</t>
  </si>
  <si>
    <t>Implémentation du suivi de trajectoire</t>
  </si>
  <si>
    <t>Implantation en JavaScript</t>
  </si>
  <si>
    <t>4, 11</t>
  </si>
  <si>
    <t xml:space="preserve">Avancement  </t>
  </si>
  <si>
    <t>Temps mis pour le sprint précédent</t>
  </si>
  <si>
    <t>Avancement au sprint précédent</t>
  </si>
  <si>
    <t>Avancement à ce jour</t>
  </si>
  <si>
    <t>Avancement final</t>
  </si>
  <si>
    <t>Total</t>
  </si>
  <si>
    <t>Heures de travail envisagées</t>
  </si>
  <si>
    <t>Heures de travail travaillées</t>
  </si>
  <si>
    <t>Nombre de tâches définies</t>
  </si>
  <si>
    <t>Nombre de tâches non terminées</t>
  </si>
  <si>
    <t>Nombre de tâches en retard</t>
  </si>
  <si>
    <t>Informations sur le projet</t>
  </si>
  <si>
    <t>Saisir les deux champs de suivi</t>
  </si>
  <si>
    <t>Temps investi (pour le sprint courant uniquement)</t>
  </si>
  <si>
    <t>Avancement total en pourcentage</t>
  </si>
  <si>
    <t xml:space="preserve">Pour les tâches en retard, expliquez </t>
  </si>
  <si>
    <t>Pourquoi la tâche est en retard</t>
  </si>
  <si>
    <t>Quels seront les actions qui seront prises pour corriger le problème</t>
  </si>
  <si>
    <t>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</si>
</sst>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F800]dddd\,\ mmmm\ dd\,\ yyyy"/>
    <numFmt numFmtId="165" formatCode="h:mm;@"/>
    <numFmt numFmtId="166" formatCode="0.0000000"/>
    <numFmt numFmtId="167" formatCode="[$-F400]h:mm:ss\ AM/PM"/>
    <numFmt numFmtId="168" formatCode="0.0000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i/>
      <sz val="8"/>
      <color theme="1" tint="0.34998626667073579"/>
      <name val="Calibri"/>
      <family val="2"/>
      <scheme val="minor"/>
    </font>
    <font>
      <sz val="8"/>
      <name val="Calibri"/>
      <family val="2"/>
      <scheme val="minor"/>
    </font>
    <font>
      <sz val="8"/>
      <color rgb="FF2A70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Arial Black"/>
      <family val="2"/>
    </font>
    <font>
      <sz val="10"/>
      <color theme="4" tint="-0.499984740745262"/>
      <name val="Arial Black"/>
      <family val="2"/>
    </font>
    <font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FCF"/>
        <bgColor indexed="64"/>
      </patternFill>
    </fill>
    <fill>
      <patternFill patternType="solid">
        <fgColor rgb="FFDCF3D9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24994659260841701"/>
      </left>
      <right/>
      <top/>
      <bottom/>
      <diagonal/>
    </border>
    <border>
      <left/>
      <right style="medium">
        <color theme="4" tint="-0.2499465926084170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protection hidden="1"/>
    </xf>
    <xf numFmtId="0" fontId="1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horizontal="center" textRotation="90" wrapText="1"/>
      <protection hidden="1"/>
    </xf>
    <xf numFmtId="0" fontId="1" fillId="0" borderId="0" xfId="0" applyFont="1" applyAlignment="1" applyProtection="1">
      <alignment horizontal="left" textRotation="90" wrapText="1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2" fillId="0" borderId="0" xfId="0" applyFont="1" applyProtection="1">
      <protection hidden="1"/>
    </xf>
    <xf numFmtId="167" fontId="1" fillId="0" borderId="0" xfId="0" applyNumberFormat="1" applyFont="1" applyAlignment="1" applyProtection="1">
      <alignment horizontal="center"/>
      <protection hidden="1"/>
    </xf>
    <xf numFmtId="0" fontId="1" fillId="0" borderId="0" xfId="0" quotePrefix="1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protection hidden="1"/>
    </xf>
    <xf numFmtId="164" fontId="2" fillId="0" borderId="0" xfId="0" applyNumberFormat="1" applyFont="1" applyAlignment="1" applyProtection="1">
      <protection hidden="1"/>
    </xf>
    <xf numFmtId="9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 vertical="center" wrapText="1"/>
      <protection locked="0"/>
    </xf>
    <xf numFmtId="165" fontId="1" fillId="0" borderId="0" xfId="0" applyNumberFormat="1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right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8" fillId="0" borderId="1" xfId="0" applyNumberFormat="1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textRotation="90" wrapText="1"/>
      <protection hidden="1"/>
    </xf>
    <xf numFmtId="0" fontId="1" fillId="0" borderId="2" xfId="0" applyFont="1" applyBorder="1" applyAlignment="1" applyProtection="1">
      <alignment horizontal="center" textRotation="90" wrapText="1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center" textRotation="90" wrapText="1"/>
      <protection hidden="1"/>
    </xf>
    <xf numFmtId="0" fontId="1" fillId="0" borderId="0" xfId="0" applyFont="1" applyBorder="1" applyAlignment="1" applyProtection="1">
      <alignment horizontal="left" textRotation="90" wrapText="1"/>
      <protection hidden="1"/>
    </xf>
    <xf numFmtId="9" fontId="1" fillId="0" borderId="0" xfId="1" quotePrefix="1" applyFont="1" applyBorder="1" applyAlignment="1" applyProtection="1">
      <alignment horizontal="center" vertical="center"/>
      <protection locked="0"/>
    </xf>
    <xf numFmtId="9" fontId="1" fillId="0" borderId="0" xfId="1" applyFont="1" applyBorder="1" applyAlignment="1" applyProtection="1">
      <alignment horizontal="center" vertical="center"/>
      <protection locked="0"/>
    </xf>
    <xf numFmtId="165" fontId="1" fillId="0" borderId="1" xfId="0" quotePrefix="1" applyNumberFormat="1" applyFont="1" applyBorder="1" applyAlignment="1" applyProtection="1">
      <alignment horizontal="center" vertical="center" wrapText="1"/>
      <protection locked="0"/>
    </xf>
    <xf numFmtId="165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quotePrefix="1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1" fillId="0" borderId="0" xfId="0" applyFont="1" applyBorder="1" applyProtection="1"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0" fillId="5" borderId="0" xfId="0" applyFont="1" applyFill="1" applyBorder="1" applyAlignment="1" applyProtection="1">
      <alignment horizontal="center"/>
      <protection hidden="1"/>
    </xf>
    <xf numFmtId="0" fontId="7" fillId="4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1" fillId="0" borderId="3" xfId="0" applyFont="1" applyBorder="1" applyProtection="1">
      <protection hidden="1"/>
    </xf>
    <xf numFmtId="0" fontId="1" fillId="0" borderId="4" xfId="0" applyFont="1" applyBorder="1" applyProtection="1">
      <protection hidden="1"/>
    </xf>
    <xf numFmtId="0" fontId="12" fillId="0" borderId="4" xfId="0" applyFont="1" applyBorder="1" applyAlignment="1" applyProtection="1">
      <alignment horizontal="center"/>
      <protection hidden="1"/>
    </xf>
    <xf numFmtId="0" fontId="1" fillId="0" borderId="5" xfId="0" applyFont="1" applyBorder="1" applyProtection="1">
      <protection hidden="1"/>
    </xf>
    <xf numFmtId="0" fontId="1" fillId="0" borderId="2" xfId="0" applyFont="1" applyBorder="1" applyProtection="1">
      <protection hidden="1"/>
    </xf>
    <xf numFmtId="0" fontId="1" fillId="0" borderId="6" xfId="0" applyFont="1" applyBorder="1" applyProtection="1">
      <protection hidden="1"/>
    </xf>
    <xf numFmtId="0" fontId="9" fillId="0" borderId="0" xfId="0" applyFont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left" vertical="center"/>
      <protection hidden="1"/>
    </xf>
    <xf numFmtId="0" fontId="9" fillId="0" borderId="0" xfId="0" applyNumberFormat="1" applyFont="1" applyBorder="1" applyAlignment="1" applyProtection="1">
      <alignment horizontal="center" vertic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8" fontId="1" fillId="0" borderId="0" xfId="0" applyNumberFormat="1" applyFont="1" applyAlignment="1" applyProtection="1">
      <alignment horizontal="center"/>
      <protection hidden="1"/>
    </xf>
    <xf numFmtId="1" fontId="1" fillId="0" borderId="0" xfId="0" applyNumberFormat="1" applyFont="1" applyAlignment="1" applyProtection="1">
      <alignment horizontal="center"/>
      <protection hidden="1"/>
    </xf>
    <xf numFmtId="165" fontId="9" fillId="0" borderId="0" xfId="0" applyNumberFormat="1" applyFont="1" applyBorder="1" applyAlignment="1" applyProtection="1">
      <alignment horizontal="center" vertical="center"/>
      <protection hidden="1"/>
    </xf>
    <xf numFmtId="9" fontId="9" fillId="0" borderId="0" xfId="1" applyFont="1" applyBorder="1" applyAlignment="1" applyProtection="1">
      <alignment horizontal="center" vertical="center"/>
      <protection hidden="1"/>
    </xf>
    <xf numFmtId="9" fontId="9" fillId="0" borderId="0" xfId="0" applyNumberFormat="1" applyFont="1" applyBorder="1" applyAlignment="1" applyProtection="1">
      <alignment horizontal="center" vertical="center"/>
      <protection hidden="1"/>
    </xf>
    <xf numFmtId="0" fontId="1" fillId="0" borderId="0" xfId="0" quotePrefix="1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4" fillId="6" borderId="0" xfId="0" applyFont="1" applyFill="1" applyProtection="1">
      <protection hidden="1"/>
    </xf>
    <xf numFmtId="0" fontId="4" fillId="6" borderId="7" xfId="0" applyFont="1" applyFill="1" applyBorder="1" applyAlignment="1" applyProtection="1">
      <alignment horizontal="center"/>
      <protection hidden="1"/>
    </xf>
    <xf numFmtId="0" fontId="4" fillId="6" borderId="0" xfId="0" applyFont="1" applyFill="1" applyBorder="1" applyAlignment="1" applyProtection="1">
      <alignment horizontal="center"/>
      <protection hidden="1"/>
    </xf>
    <xf numFmtId="0" fontId="4" fillId="6" borderId="8" xfId="0" applyFont="1" applyFill="1" applyBorder="1" applyAlignment="1" applyProtection="1">
      <alignment horizontal="center"/>
      <protection hidden="1"/>
    </xf>
    <xf numFmtId="0" fontId="4" fillId="6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1" fillId="2" borderId="7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" fillId="2" borderId="8" xfId="0" applyFont="1" applyFill="1" applyBorder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1" fillId="3" borderId="7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1" fillId="3" borderId="8" xfId="0" applyFont="1" applyFill="1" applyBorder="1" applyAlignment="1" applyProtection="1">
      <alignment horizontal="center"/>
      <protection hidden="1"/>
    </xf>
    <xf numFmtId="0" fontId="1" fillId="3" borderId="0" xfId="0" applyFont="1" applyFill="1" applyAlignment="1" applyProtection="1">
      <alignment horizontal="center"/>
      <protection hidden="1"/>
    </xf>
    <xf numFmtId="0" fontId="14" fillId="6" borderId="0" xfId="0" applyFont="1" applyFill="1" applyBorder="1" applyAlignment="1" applyProtection="1">
      <alignment horizontal="center"/>
      <protection hidden="1"/>
    </xf>
    <xf numFmtId="0" fontId="14" fillId="6" borderId="8" xfId="0" applyFont="1" applyFill="1" applyBorder="1" applyAlignment="1" applyProtection="1">
      <alignment horizontal="center"/>
      <protection hidden="1"/>
    </xf>
    <xf numFmtId="0" fontId="14" fillId="6" borderId="0" xfId="0" applyFont="1" applyFill="1" applyAlignment="1" applyProtection="1">
      <alignment horizontal="center"/>
      <protection hidden="1"/>
    </xf>
    <xf numFmtId="0" fontId="6" fillId="0" borderId="0" xfId="0" applyFont="1" applyAlignment="1" applyProtection="1">
      <alignment horizontal="right"/>
      <protection hidden="1"/>
    </xf>
    <xf numFmtId="0" fontId="2" fillId="0" borderId="0" xfId="0" applyFont="1" applyAlignment="1" applyProtection="1">
      <alignment horizontal="left"/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13" fillId="0" borderId="0" xfId="0" applyFont="1" applyBorder="1" applyAlignment="1" applyProtection="1">
      <alignment horizontal="left"/>
      <protection locked="0"/>
    </xf>
    <xf numFmtId="0" fontId="13" fillId="0" borderId="0" xfId="0" applyFont="1" applyBorder="1" applyAlignment="1" applyProtection="1">
      <alignment horizontal="left"/>
      <protection hidden="1"/>
    </xf>
    <xf numFmtId="0" fontId="13" fillId="0" borderId="0" xfId="0" applyFont="1" applyAlignment="1" applyProtection="1">
      <alignment horizontal="left"/>
      <protection hidden="1"/>
    </xf>
  </cellXfs>
  <cellStyles count="2">
    <cellStyle name="Normal" xfId="0" builtinId="0"/>
    <cellStyle name="Pourcentage" xfId="1" builtinId="5"/>
  </cellStyles>
  <dxfs count="1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h:mm;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h:mm;@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protection locked="1" hidden="1"/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90" wrapText="1" indent="0" justifyLastLine="0" shrinkToFit="0" readingOrder="0"/>
      <protection locked="1" hidden="1"/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/>
        <color theme="0" tint="-0.499984740745262"/>
      </font>
    </dxf>
    <dxf>
      <font>
        <b/>
        <i val="0"/>
      </font>
    </dxf>
    <dxf>
      <font>
        <b val="0"/>
        <i val="0"/>
        <color theme="1" tint="0.34998626667073579"/>
      </font>
    </dxf>
    <dxf>
      <font>
        <b val="0"/>
        <i/>
      </font>
    </dxf>
    <dxf>
      <font>
        <b/>
        <i val="0"/>
        <color theme="4" tint="-0.499984740745262"/>
      </font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h:mm;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h:mm;@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protection locked="1" hidden="1"/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90" wrapText="1" indent="0" justifyLastLine="0" shrinkToFit="0" readingOrder="0"/>
      <protection locked="1" hidden="1"/>
    </dxf>
    <dxf>
      <font>
        <b val="0"/>
        <i/>
        <color theme="0" tint="-0.499984740745262"/>
      </font>
    </dxf>
    <dxf>
      <font>
        <b/>
        <i val="0"/>
      </font>
    </dxf>
    <dxf>
      <font>
        <b val="0"/>
        <i val="0"/>
        <color theme="1" tint="0.34998626667073579"/>
      </font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/>
        <color theme="0" tint="-0.499984740745262"/>
      </font>
    </dxf>
    <dxf>
      <font>
        <b/>
        <i val="0"/>
      </font>
    </dxf>
    <dxf>
      <font>
        <b val="0"/>
        <i val="0"/>
        <color theme="1" tint="0.34998626667073579"/>
      </font>
    </dxf>
    <dxf>
      <font>
        <b val="0"/>
        <i/>
      </font>
    </dxf>
    <dxf>
      <font>
        <b/>
        <i val="0"/>
        <color theme="4" tint="-0.499984740745262"/>
      </font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h:mm;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h:mm;@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protection locked="1" hidden="1"/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90" wrapText="1" indent="0" justifyLastLine="0" shrinkToFit="0" readingOrder="0"/>
      <protection locked="1" hidden="1"/>
    </dxf>
    <dxf>
      <font>
        <b val="0"/>
        <i/>
        <color theme="0" tint="-0.499984740745262"/>
      </font>
    </dxf>
    <dxf>
      <font>
        <b/>
        <i val="0"/>
      </font>
    </dxf>
    <dxf>
      <font>
        <b val="0"/>
        <i val="0"/>
        <color theme="1" tint="0.34998626667073579"/>
      </font>
    </dxf>
    <dxf>
      <font>
        <b val="0"/>
        <i/>
      </font>
    </dxf>
    <dxf>
      <font>
        <b/>
        <i val="0"/>
        <color theme="4" tint="-0.499984740745262"/>
      </font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h:mm;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protection locked="1" hidden="1"/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90" wrapText="1" indent="0" justifyLastLine="0" shrinkToFit="0" readingOrder="0"/>
      <protection locked="1" hidden="1"/>
    </dxf>
    <dxf>
      <font>
        <b val="0"/>
        <i/>
        <color theme="0" tint="-0.499984740745262"/>
      </font>
    </dxf>
    <dxf>
      <font>
        <b/>
        <i val="0"/>
      </font>
    </dxf>
    <dxf>
      <font>
        <b val="0"/>
        <i val="0"/>
        <color theme="1" tint="0.34998626667073579"/>
      </font>
    </dxf>
    <dxf>
      <font>
        <b val="0"/>
        <i/>
      </font>
    </dxf>
    <dxf>
      <font>
        <b/>
        <i val="0"/>
        <color theme="4" tint="-0.499984740745262"/>
      </font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theme="4" tint="-0.49998474074526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h:mm;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theme="4" tint="-0.499984740745262"/>
        </left>
        <right/>
        <top/>
        <bottom/>
      </border>
      <protection locked="1" hidden="1"/>
    </dxf>
    <dxf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90" wrapText="1" indent="0" justifyLastLine="0" shrinkToFit="0" readingOrder="0"/>
      <protection locked="1" hidden="1"/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939000"/>
      </font>
      <fill>
        <patternFill>
          <bgColor rgb="FFFFFECD"/>
        </patternFill>
      </fill>
      <border>
        <top style="thin">
          <color rgb="FF939000"/>
        </top>
        <bottom style="thin">
          <color rgb="FF939000"/>
        </bottom>
        <vertical/>
        <horizontal/>
      </border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EC7600"/>
      </font>
      <fill>
        <patternFill>
          <bgColor rgb="FFFFE7CF"/>
        </patternFill>
      </fill>
      <border>
        <top style="thin">
          <color rgb="FFEC7600"/>
        </top>
        <bottom style="thin">
          <color rgb="FFEC760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939000"/>
      </font>
      <fill>
        <patternFill>
          <bgColor rgb="FFFFFEE1"/>
        </patternFill>
      </fill>
      <border>
        <top style="thin">
          <color rgb="FF939000"/>
        </top>
        <bottom style="thin">
          <color rgb="FF939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</border>
    </dxf>
    <dxf>
      <font>
        <color rgb="FFEC7600"/>
      </font>
      <fill>
        <patternFill>
          <bgColor rgb="FFFFF2E5"/>
        </patternFill>
      </fill>
      <border>
        <top style="thin">
          <color rgb="FFEC7600"/>
        </top>
        <bottom style="thin">
          <color rgb="FFEC7600"/>
        </bottom>
        <vertical/>
        <horizontal/>
      </border>
    </dxf>
    <dxf>
      <font>
        <color theme="4" tint="-0.499984740745262"/>
      </font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939000"/>
      </font>
      <fill>
        <patternFill>
          <bgColor rgb="FFFFFECD"/>
        </patternFill>
      </fill>
      <border>
        <top style="thin">
          <color rgb="FF939000"/>
        </top>
        <bottom style="thin">
          <color rgb="FF939000"/>
        </bottom>
        <vertical/>
        <horizontal/>
      </border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EC7600"/>
      </font>
      <fill>
        <patternFill>
          <bgColor rgb="FFFFE7CF"/>
        </patternFill>
      </fill>
      <border>
        <top style="thin">
          <color rgb="FFEC7600"/>
        </top>
        <bottom style="thin">
          <color rgb="FFEC760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939000"/>
      </font>
      <fill>
        <patternFill>
          <bgColor rgb="FFFFFEE1"/>
        </patternFill>
      </fill>
      <border>
        <top style="thin">
          <color rgb="FF939000"/>
        </top>
        <bottom style="thin">
          <color rgb="FF939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</border>
    </dxf>
    <dxf>
      <font>
        <color rgb="FFEC7600"/>
      </font>
      <fill>
        <patternFill>
          <bgColor rgb="FFFFF2E5"/>
        </patternFill>
      </fill>
      <border>
        <top style="thin">
          <color rgb="FFEC7600"/>
        </top>
        <bottom style="thin">
          <color rgb="FFEC760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4" tint="-0.499984740745262"/>
        </top>
        <bottom style="thin">
          <color theme="4" tint="-0.499984740745262"/>
        </bottom>
        <vertical style="thin">
          <color theme="0" tint="-0.24994659260841701"/>
        </vertical>
      </border>
    </dxf>
    <dxf>
      <fill>
        <patternFill>
          <bgColor rgb="FFECF2F8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4" tint="-0.499984740745262"/>
        </top>
        <bottom style="thin">
          <color theme="4" tint="-0.499984740745262"/>
        </bottom>
        <vertical style="thin">
          <color theme="0" tint="-0.14996795556505021"/>
        </vertical>
      </border>
    </dxf>
    <dxf>
      <font>
        <b/>
        <i val="0"/>
        <color theme="0"/>
      </font>
      <fill>
        <patternFill>
          <bgColor theme="4" tint="-0.499984740745262"/>
        </patternFill>
      </fill>
      <border>
        <left style="thin">
          <color rgb="FF425062"/>
        </left>
        <right style="thin">
          <color rgb="FF425062"/>
        </right>
        <vertical style="thin">
          <color rgb="FF425062"/>
        </vertical>
      </border>
    </dxf>
    <dxf>
      <fill>
        <patternFill>
          <bgColor rgb="FFECF2F8"/>
        </patternFill>
      </fill>
      <border>
        <top style="thin">
          <color theme="4" tint="-0.499984740745262"/>
        </top>
        <bottom style="thin">
          <color theme="4" tint="-0.499984740745262"/>
        </bottom>
      </border>
    </dxf>
  </dxfs>
  <tableStyles count="2" defaultTableStyle="TableStyleMedium2" defaultPivotStyle="PivotStyleLight16">
    <tableStyle name="Style de tableau 1" pivot="0" count="1">
      <tableStyleElement type="firstColumnStripe" dxfId="156"/>
    </tableStyle>
    <tableStyle name="Style de tableau 2" pivot="0" count="3">
      <tableStyleElement type="headerRow" dxfId="155"/>
      <tableStyleElement type="firstRowStripe" dxfId="154"/>
      <tableStyleElement type="secondRowStripe" dxfId="153"/>
    </tableStyle>
  </tableStyles>
  <colors>
    <mruColors>
      <color rgb="FFECF2F8"/>
      <color rgb="FFFDC8A1"/>
      <color rgb="FFFB7A19"/>
      <color rgb="FFEAF8E8"/>
      <color rgb="FF2A7020"/>
      <color rgb="FFDDF4DA"/>
      <color rgb="FFEDF9EB"/>
      <color rgb="FF939000"/>
      <color rgb="FFFFFECD"/>
      <color rgb="FFFFFEC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Représentation des tâches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8526715225685542E-2"/>
          <c:y val="0.1382107754925283"/>
          <c:w val="0.8496153587310461"/>
          <c:h val="0.76869500844167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Bilan!$H$6</c:f>
              <c:strCache>
                <c:ptCount val="1"/>
                <c:pt idx="0">
                  <c:v>Nombre de tâches définies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Off val="40000"/>
                  </a:schemeClr>
                </a:gs>
                <a:gs pos="100000">
                  <a:schemeClr val="accent1">
                    <a:lumMod val="75000"/>
                  </a:schemeClr>
                </a:gs>
              </a:gsLst>
              <a:lin ang="5400000" scaled="0"/>
            </a:gradFill>
            <a:ln w="6350"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strRef>
              <c:f>Bilan!$I$5:$L$5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Bilan!$I$6:$L$6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646592"/>
        <c:axId val="106367808"/>
      </c:barChart>
      <c:lineChart>
        <c:grouping val="standard"/>
        <c:varyColors val="0"/>
        <c:ser>
          <c:idx val="1"/>
          <c:order val="1"/>
          <c:tx>
            <c:strRef>
              <c:f>Bilan!$H$9</c:f>
              <c:strCache>
                <c:ptCount val="1"/>
                <c:pt idx="0">
                  <c:v>Nombre de tâches en retard</c:v>
                </c:pt>
              </c:strCache>
            </c:strRef>
          </c:tx>
          <c:spPr>
            <a:ln>
              <a:solidFill>
                <a:srgbClr val="FB7A19"/>
              </a:solidFill>
            </a:ln>
          </c:spPr>
          <c:marker>
            <c:symbol val="diamond"/>
            <c:size val="7"/>
            <c:spPr>
              <a:solidFill>
                <a:srgbClr val="FDC8A1"/>
              </a:solidFill>
            </c:spPr>
          </c:marker>
          <c:cat>
            <c:strRef>
              <c:f>Bilan!$I$5:$L$5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Bilan!$I$9:$L$9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46592"/>
        <c:axId val="106367808"/>
      </c:lineChart>
      <c:catAx>
        <c:axId val="105646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fr-FR"/>
          </a:p>
        </c:txPr>
        <c:crossAx val="106367808"/>
        <c:crosses val="autoZero"/>
        <c:auto val="1"/>
        <c:lblAlgn val="ctr"/>
        <c:lblOffset val="100"/>
        <c:noMultiLvlLbl val="0"/>
      </c:catAx>
      <c:valAx>
        <c:axId val="10636780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fr-FR"/>
          </a:p>
        </c:txPr>
        <c:crossAx val="105646592"/>
        <c:crosses val="autoZero"/>
        <c:crossBetween val="between"/>
        <c:majorUnit val="2"/>
        <c:minorUnit val="1"/>
      </c:valAx>
    </c:plotArea>
    <c:legend>
      <c:legendPos val="r"/>
      <c:layout>
        <c:manualLayout>
          <c:xMode val="edge"/>
          <c:yMode val="edge"/>
          <c:x val="8.7685525995641084E-2"/>
          <c:y val="7.4825387629221932E-2"/>
          <c:w val="0.79571122396682659"/>
          <c:h val="5.8854683298366968E-2"/>
        </c:manualLayout>
      </c:layout>
      <c:overlay val="0"/>
      <c:txPr>
        <a:bodyPr/>
        <a:lstStyle/>
        <a:p>
          <a:pPr>
            <a:defRPr sz="800"/>
          </a:pPr>
          <a:endParaRPr lang="fr-FR"/>
        </a:p>
      </c:txPr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Heures envisagées et travaillées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692731837374083"/>
          <c:y val="0.13721790603033665"/>
          <c:w val="0.83693058624588923"/>
          <c:h val="0.77695794407497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Bilan!$H$7</c:f>
              <c:strCache>
                <c:ptCount val="1"/>
                <c:pt idx="0">
                  <c:v>Heures de travail envisagées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Off val="40000"/>
                  </a:schemeClr>
                </a:gs>
                <a:gs pos="100000">
                  <a:schemeClr val="accent1">
                    <a:lumMod val="75000"/>
                  </a:schemeClr>
                </a:gs>
              </a:gsLst>
              <a:lin ang="5400000" scaled="0"/>
            </a:gra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strRef>
              <c:f>Bilan!$I$5:$L$5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Bilan!$I$7:$L$7</c:f>
              <c:numCache>
                <c:formatCode>General</c:formatCode>
                <c:ptCount val="4"/>
                <c:pt idx="0">
                  <c:v>0.79166666666669294</c:v>
                </c:pt>
                <c:pt idx="1">
                  <c:v>0.20833333333333401</c:v>
                </c:pt>
                <c:pt idx="2">
                  <c:v>0.125</c:v>
                </c:pt>
                <c:pt idx="3">
                  <c:v>0.3958333333333337</c:v>
                </c:pt>
              </c:numCache>
            </c:numRef>
          </c:val>
        </c:ser>
        <c:ser>
          <c:idx val="1"/>
          <c:order val="1"/>
          <c:tx>
            <c:strRef>
              <c:f>Bilan!$H$8</c:f>
              <c:strCache>
                <c:ptCount val="1"/>
                <c:pt idx="0">
                  <c:v>Heures travaillées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Off val="40000"/>
                  </a:schemeClr>
                </a:gs>
                <a:gs pos="100000">
                  <a:schemeClr val="accent2">
                    <a:lumMod val="75000"/>
                  </a:schemeClr>
                </a:gs>
              </a:gsLst>
              <a:lin ang="5400000" scaled="0"/>
            </a:gradFill>
            <a:ln w="6350">
              <a:solidFill>
                <a:schemeClr val="accent2">
                  <a:lumMod val="50000"/>
                </a:schemeClr>
              </a:solidFill>
            </a:ln>
          </c:spPr>
          <c:invertIfNegative val="0"/>
          <c:cat>
            <c:strRef>
              <c:f>Bilan!$I$5:$L$5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Bilan!$I$8:$L$8</c:f>
              <c:numCache>
                <c:formatCode>General</c:formatCode>
                <c:ptCount val="4"/>
                <c:pt idx="0">
                  <c:v>0.75000000000003575</c:v>
                </c:pt>
                <c:pt idx="1">
                  <c:v>0.23958333333333345</c:v>
                </c:pt>
                <c:pt idx="2">
                  <c:v>0.18750000000000011</c:v>
                </c:pt>
                <c:pt idx="3">
                  <c:v>0.33333333333333415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3792"/>
        <c:axId val="106370112"/>
      </c:barChart>
      <c:catAx>
        <c:axId val="1030737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fr-FR"/>
          </a:p>
        </c:txPr>
        <c:crossAx val="106370112"/>
        <c:crosses val="autoZero"/>
        <c:auto val="1"/>
        <c:lblAlgn val="ctr"/>
        <c:lblOffset val="100"/>
        <c:noMultiLvlLbl val="0"/>
      </c:catAx>
      <c:valAx>
        <c:axId val="106370112"/>
        <c:scaling>
          <c:orientation val="minMax"/>
        </c:scaling>
        <c:delete val="0"/>
        <c:axPos val="l"/>
        <c:majorGridlines/>
        <c:numFmt formatCode="h:mm;@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fr-FR"/>
          </a:p>
        </c:txPr>
        <c:crossAx val="103073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346264520403158"/>
          <c:y val="7.333813665448681E-2"/>
          <c:w val="0.6719655472907784"/>
          <c:h val="6.1669594297383182E-2"/>
        </c:manualLayout>
      </c:layout>
      <c:overlay val="0"/>
      <c:txPr>
        <a:bodyPr/>
        <a:lstStyle/>
        <a:p>
          <a:pPr>
            <a:defRPr sz="800"/>
          </a:pPr>
          <a:endParaRPr lang="fr-FR"/>
        </a:p>
      </c:txPr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7620</xdr:rowOff>
    </xdr:from>
    <xdr:to>
      <xdr:col>9</xdr:col>
      <xdr:colOff>22860</xdr:colOff>
      <xdr:row>9</xdr:row>
      <xdr:rowOff>0</xdr:rowOff>
    </xdr:to>
    <xdr:sp macro="" textlink="">
      <xdr:nvSpPr>
        <xdr:cNvPr id="5" name="Rectangle 4"/>
        <xdr:cNvSpPr/>
      </xdr:nvSpPr>
      <xdr:spPr>
        <a:xfrm>
          <a:off x="83820" y="929640"/>
          <a:ext cx="8397240" cy="1905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0000" tIns="0" rIns="90000" bIns="0" rtlCol="0" anchor="t"/>
        <a:lstStyle/>
        <a:p>
          <a:pPr algn="l"/>
          <a:r>
            <a:rPr lang="fr-CA" sz="1200" b="1">
              <a:solidFill>
                <a:schemeClr val="bg1"/>
              </a:solidFill>
            </a:rPr>
            <a:t>Planification</a:t>
          </a:r>
        </a:p>
      </xdr:txBody>
    </xdr:sp>
    <xdr:clientData/>
  </xdr:twoCellAnchor>
  <xdr:twoCellAnchor>
    <xdr:from>
      <xdr:col>0</xdr:col>
      <xdr:colOff>68580</xdr:colOff>
      <xdr:row>2</xdr:row>
      <xdr:rowOff>7620</xdr:rowOff>
    </xdr:from>
    <xdr:to>
      <xdr:col>9</xdr:col>
      <xdr:colOff>7620</xdr:colOff>
      <xdr:row>2</xdr:row>
      <xdr:rowOff>25620</xdr:rowOff>
    </xdr:to>
    <xdr:sp macro="" textlink="">
      <xdr:nvSpPr>
        <xdr:cNvPr id="3" name="Rectangle 2"/>
        <xdr:cNvSpPr/>
      </xdr:nvSpPr>
      <xdr:spPr>
        <a:xfrm>
          <a:off x="68580" y="312420"/>
          <a:ext cx="8397240" cy="180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7620</xdr:rowOff>
    </xdr:from>
    <xdr:to>
      <xdr:col>8</xdr:col>
      <xdr:colOff>22860</xdr:colOff>
      <xdr:row>9</xdr:row>
      <xdr:rowOff>0</xdr:rowOff>
    </xdr:to>
    <xdr:sp macro="" textlink="">
      <xdr:nvSpPr>
        <xdr:cNvPr id="2" name="Rectangle 1"/>
        <xdr:cNvSpPr/>
      </xdr:nvSpPr>
      <xdr:spPr>
        <a:xfrm>
          <a:off x="83820" y="929640"/>
          <a:ext cx="8778240" cy="1905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0000" tIns="0" rIns="90000" bIns="0" rtlCol="0" anchor="t"/>
        <a:lstStyle/>
        <a:p>
          <a:pPr algn="l"/>
          <a:r>
            <a:rPr lang="fr-CA" sz="1200" b="1">
              <a:solidFill>
                <a:schemeClr val="bg1"/>
              </a:solidFill>
            </a:rPr>
            <a:t>Suivi du Sprint 1</a:t>
          </a:r>
        </a:p>
      </xdr:txBody>
    </xdr:sp>
    <xdr:clientData/>
  </xdr:twoCellAnchor>
  <xdr:twoCellAnchor>
    <xdr:from>
      <xdr:col>0</xdr:col>
      <xdr:colOff>68580</xdr:colOff>
      <xdr:row>2</xdr:row>
      <xdr:rowOff>7620</xdr:rowOff>
    </xdr:from>
    <xdr:to>
      <xdr:col>8</xdr:col>
      <xdr:colOff>7620</xdr:colOff>
      <xdr:row>2</xdr:row>
      <xdr:rowOff>25620</xdr:rowOff>
    </xdr:to>
    <xdr:sp macro="" textlink="">
      <xdr:nvSpPr>
        <xdr:cNvPr id="3" name="Rectangle 2"/>
        <xdr:cNvSpPr/>
      </xdr:nvSpPr>
      <xdr:spPr>
        <a:xfrm>
          <a:off x="68580" y="312420"/>
          <a:ext cx="8778240" cy="180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 editAs="oneCell">
    <xdr:from>
      <xdr:col>17</xdr:col>
      <xdr:colOff>15240</xdr:colOff>
      <xdr:row>10</xdr:row>
      <xdr:rowOff>60960</xdr:rowOff>
    </xdr:from>
    <xdr:to>
      <xdr:col>18</xdr:col>
      <xdr:colOff>358140</xdr:colOff>
      <xdr:row>12</xdr:row>
      <xdr:rowOff>30480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4080" y="1310640"/>
          <a:ext cx="11353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7620</xdr:rowOff>
    </xdr:from>
    <xdr:to>
      <xdr:col>10</xdr:col>
      <xdr:colOff>22860</xdr:colOff>
      <xdr:row>9</xdr:row>
      <xdr:rowOff>0</xdr:rowOff>
    </xdr:to>
    <xdr:sp macro="" textlink="">
      <xdr:nvSpPr>
        <xdr:cNvPr id="2" name="Rectangle 1"/>
        <xdr:cNvSpPr/>
      </xdr:nvSpPr>
      <xdr:spPr>
        <a:xfrm>
          <a:off x="83820" y="929640"/>
          <a:ext cx="9631680" cy="1905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0000" tIns="0" rIns="90000" bIns="0" rtlCol="0" anchor="t"/>
        <a:lstStyle/>
        <a:p>
          <a:pPr algn="l"/>
          <a:r>
            <a:rPr lang="fr-CA" sz="1200" b="1">
              <a:solidFill>
                <a:schemeClr val="bg1"/>
              </a:solidFill>
            </a:rPr>
            <a:t>Suivi du Sprint 2</a:t>
          </a:r>
        </a:p>
      </xdr:txBody>
    </xdr:sp>
    <xdr:clientData/>
  </xdr:twoCellAnchor>
  <xdr:twoCellAnchor>
    <xdr:from>
      <xdr:col>0</xdr:col>
      <xdr:colOff>68580</xdr:colOff>
      <xdr:row>2</xdr:row>
      <xdr:rowOff>7620</xdr:rowOff>
    </xdr:from>
    <xdr:to>
      <xdr:col>10</xdr:col>
      <xdr:colOff>7620</xdr:colOff>
      <xdr:row>2</xdr:row>
      <xdr:rowOff>25620</xdr:rowOff>
    </xdr:to>
    <xdr:sp macro="" textlink="">
      <xdr:nvSpPr>
        <xdr:cNvPr id="3" name="Rectangle 2"/>
        <xdr:cNvSpPr/>
      </xdr:nvSpPr>
      <xdr:spPr>
        <a:xfrm>
          <a:off x="68580" y="312420"/>
          <a:ext cx="9631680" cy="180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 editAs="oneCell">
    <xdr:from>
      <xdr:col>19</xdr:col>
      <xdr:colOff>22860</xdr:colOff>
      <xdr:row>10</xdr:row>
      <xdr:rowOff>53340</xdr:rowOff>
    </xdr:from>
    <xdr:to>
      <xdr:col>20</xdr:col>
      <xdr:colOff>365760</xdr:colOff>
      <xdr:row>12</xdr:row>
      <xdr:rowOff>22860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4700" y="1303020"/>
          <a:ext cx="11353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7620</xdr:rowOff>
    </xdr:from>
    <xdr:to>
      <xdr:col>10</xdr:col>
      <xdr:colOff>22860</xdr:colOff>
      <xdr:row>9</xdr:row>
      <xdr:rowOff>0</xdr:rowOff>
    </xdr:to>
    <xdr:sp macro="" textlink="">
      <xdr:nvSpPr>
        <xdr:cNvPr id="2" name="Rectangle 1"/>
        <xdr:cNvSpPr/>
      </xdr:nvSpPr>
      <xdr:spPr>
        <a:xfrm>
          <a:off x="83820" y="929640"/>
          <a:ext cx="9631680" cy="1905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0000" tIns="0" rIns="90000" bIns="0" rtlCol="0" anchor="t"/>
        <a:lstStyle/>
        <a:p>
          <a:pPr algn="l"/>
          <a:r>
            <a:rPr lang="fr-CA" sz="1200" b="1">
              <a:solidFill>
                <a:schemeClr val="bg1"/>
              </a:solidFill>
            </a:rPr>
            <a:t>Suivi du Sprint 3</a:t>
          </a:r>
        </a:p>
      </xdr:txBody>
    </xdr:sp>
    <xdr:clientData/>
  </xdr:twoCellAnchor>
  <xdr:twoCellAnchor>
    <xdr:from>
      <xdr:col>0</xdr:col>
      <xdr:colOff>68580</xdr:colOff>
      <xdr:row>2</xdr:row>
      <xdr:rowOff>7620</xdr:rowOff>
    </xdr:from>
    <xdr:to>
      <xdr:col>10</xdr:col>
      <xdr:colOff>7620</xdr:colOff>
      <xdr:row>2</xdr:row>
      <xdr:rowOff>25620</xdr:rowOff>
    </xdr:to>
    <xdr:sp macro="" textlink="">
      <xdr:nvSpPr>
        <xdr:cNvPr id="3" name="Rectangle 2"/>
        <xdr:cNvSpPr/>
      </xdr:nvSpPr>
      <xdr:spPr>
        <a:xfrm>
          <a:off x="68580" y="312420"/>
          <a:ext cx="9631680" cy="180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 editAs="oneCell">
    <xdr:from>
      <xdr:col>19</xdr:col>
      <xdr:colOff>22860</xdr:colOff>
      <xdr:row>10</xdr:row>
      <xdr:rowOff>53340</xdr:rowOff>
    </xdr:from>
    <xdr:to>
      <xdr:col>20</xdr:col>
      <xdr:colOff>365760</xdr:colOff>
      <xdr:row>12</xdr:row>
      <xdr:rowOff>22860</xdr:rowOff>
    </xdr:to>
    <xdr:pic>
      <xdr:nvPicPr>
        <xdr:cNvPr id="5" name="Imag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4700" y="1303020"/>
          <a:ext cx="11353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7620</xdr:rowOff>
    </xdr:from>
    <xdr:to>
      <xdr:col>10</xdr:col>
      <xdr:colOff>22860</xdr:colOff>
      <xdr:row>9</xdr:row>
      <xdr:rowOff>0</xdr:rowOff>
    </xdr:to>
    <xdr:sp macro="" textlink="">
      <xdr:nvSpPr>
        <xdr:cNvPr id="2" name="Rectangle 1"/>
        <xdr:cNvSpPr/>
      </xdr:nvSpPr>
      <xdr:spPr>
        <a:xfrm>
          <a:off x="83820" y="929640"/>
          <a:ext cx="9631680" cy="1905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0000" tIns="0" rIns="90000" bIns="0" rtlCol="0" anchor="t"/>
        <a:lstStyle/>
        <a:p>
          <a:pPr algn="l"/>
          <a:r>
            <a:rPr lang="fr-CA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Suivi du Sprint 4</a:t>
          </a:r>
          <a:r>
            <a:rPr lang="fr-CA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et conclusion du projet</a:t>
          </a:r>
          <a:endParaRPr lang="fr-CA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68580</xdr:colOff>
      <xdr:row>2</xdr:row>
      <xdr:rowOff>7620</xdr:rowOff>
    </xdr:from>
    <xdr:to>
      <xdr:col>10</xdr:col>
      <xdr:colOff>7620</xdr:colOff>
      <xdr:row>2</xdr:row>
      <xdr:rowOff>25620</xdr:rowOff>
    </xdr:to>
    <xdr:sp macro="" textlink="">
      <xdr:nvSpPr>
        <xdr:cNvPr id="3" name="Rectangle 2"/>
        <xdr:cNvSpPr/>
      </xdr:nvSpPr>
      <xdr:spPr>
        <a:xfrm>
          <a:off x="68580" y="312420"/>
          <a:ext cx="9631680" cy="180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 editAs="oneCell">
    <xdr:from>
      <xdr:col>19</xdr:col>
      <xdr:colOff>22860</xdr:colOff>
      <xdr:row>10</xdr:row>
      <xdr:rowOff>53340</xdr:rowOff>
    </xdr:from>
    <xdr:to>
      <xdr:col>20</xdr:col>
      <xdr:colOff>365760</xdr:colOff>
      <xdr:row>12</xdr:row>
      <xdr:rowOff>22860</xdr:rowOff>
    </xdr:to>
    <xdr:pic>
      <xdr:nvPicPr>
        <xdr:cNvPr id="5" name="Imag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4700" y="1303020"/>
          <a:ext cx="11353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125730</xdr:rowOff>
    </xdr:from>
    <xdr:to>
      <xdr:col>4</xdr:col>
      <xdr:colOff>556260</xdr:colOff>
      <xdr:row>37</xdr:row>
      <xdr:rowOff>121920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11</xdr:row>
      <xdr:rowOff>7620</xdr:rowOff>
    </xdr:from>
    <xdr:to>
      <xdr:col>15</xdr:col>
      <xdr:colOff>685800</xdr:colOff>
      <xdr:row>38</xdr:row>
      <xdr:rowOff>7620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228599</xdr:rowOff>
    </xdr:from>
    <xdr:to>
      <xdr:col>7</xdr:col>
      <xdr:colOff>0</xdr:colOff>
      <xdr:row>2</xdr:row>
      <xdr:rowOff>17999</xdr:rowOff>
    </xdr:to>
    <xdr:sp macro="" textlink="">
      <xdr:nvSpPr>
        <xdr:cNvPr id="7" name="Rectangle 6"/>
        <xdr:cNvSpPr/>
      </xdr:nvSpPr>
      <xdr:spPr>
        <a:xfrm>
          <a:off x="76200" y="304799"/>
          <a:ext cx="5715000" cy="180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228599</xdr:rowOff>
    </xdr:from>
    <xdr:to>
      <xdr:col>5</xdr:col>
      <xdr:colOff>15240</xdr:colOff>
      <xdr:row>2</xdr:row>
      <xdr:rowOff>17999</xdr:rowOff>
    </xdr:to>
    <xdr:sp macro="" textlink="">
      <xdr:nvSpPr>
        <xdr:cNvPr id="2" name="Rectangle 1"/>
        <xdr:cNvSpPr/>
      </xdr:nvSpPr>
      <xdr:spPr>
        <a:xfrm>
          <a:off x="76200" y="304799"/>
          <a:ext cx="4472940" cy="180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Planif" displayName="Planif" ref="B12:I62" headerRowDxfId="131" dataDxfId="130" totalsRowDxfId="129">
  <tableColumns count="8">
    <tableColumn id="1" name="Numéro de la tâche" totalsRowLabel="Total" dataDxfId="128">
      <calculatedColumnFormula>IF(ISBLANK(Planif[[#This Row],[Nom de la tâche]]),"",ROW(Planif[[#This Row],[Nom de la tâche]])-ROW(Planif[[#Headers],[Nom de la tâche]]))</calculatedColumnFormula>
    </tableColumn>
    <tableColumn id="2" name="Nom de la tâche" dataDxfId="127"/>
    <tableColumn id="3" name="Description" dataDxfId="126"/>
    <tableColumn id="4" name="Prédécesseur(s)" dataDxfId="125"/>
    <tableColumn id="5" name="Niveau de priorité" dataDxfId="124"/>
    <tableColumn id="6" name="Niveau de difficulté" dataDxfId="123"/>
    <tableColumn id="7" name="Temps requis" dataDxfId="122"/>
    <tableColumn id="8" name="Sprint visé" totalsRowFunction="count" dataDxfId="121"/>
  </tableColumns>
  <tableStyleInfo name="Style de tableau 2" showFirstColumn="0" showLastColumn="0" showRowStripes="1" showColumnStripes="0"/>
</table>
</file>

<file path=xl/tables/table2.xml><?xml version="1.0" encoding="utf-8"?>
<table xmlns="http://schemas.openxmlformats.org/spreadsheetml/2006/main" id="2" name="Suivi1" displayName="Suivi1" ref="B12:H62" headerRowDxfId="111" dataDxfId="110" totalsRowDxfId="108" tableBorderDxfId="109">
  <tableColumns count="7">
    <tableColumn id="1" name="Numéro de la tâche" totalsRowLabel="Total" dataDxfId="107">
      <calculatedColumnFormula>Planif[[#This Row],[Numéro de la tâche]]</calculatedColumnFormula>
    </tableColumn>
    <tableColumn id="2" name="Nom de la tâche" dataDxfId="106">
      <calculatedColumnFormula>IF(ISBLANK(Planif[[#This Row],[Nom de la tâche]]),"",Planif[[#This Row],[Nom de la tâche]])</calculatedColumnFormula>
    </tableColumn>
    <tableColumn id="7" name="Sprint prévu" dataDxfId="105">
      <calculatedColumnFormula>IF(ISBLANK(Planif[[#This Row],[Nom de la tâche]]),"",Planif[[#This Row],[Sprint visé]])</calculatedColumnFormula>
    </tableColumn>
    <tableColumn id="3" name="Temps investi" dataDxfId="104" totalsRowDxfId="103"/>
    <tableColumn id="4" name="Avancement  " dataDxfId="102" dataCellStyle="Pourcentage"/>
    <tableColumn id="5" name="Pourquoi le retard" dataDxfId="101" totalsRowDxfId="100"/>
    <tableColumn id="6" name="Moyens envisagés pour palier au problème" dataDxfId="99" totalsRowDxfId="98"/>
  </tableColumns>
  <tableStyleInfo name="Style de tableau 2" showFirstColumn="0" showLastColumn="0" showRowStripes="1" showColumnStripes="0"/>
</table>
</file>

<file path=xl/tables/table3.xml><?xml version="1.0" encoding="utf-8"?>
<table xmlns="http://schemas.openxmlformats.org/spreadsheetml/2006/main" id="3" name="Suivi2" displayName="Suivi2" ref="B12:J62" headerRowDxfId="88" dataDxfId="87" totalsRowDxfId="85" tableBorderDxfId="86">
  <tableColumns count="9">
    <tableColumn id="1" name="Numéro de la tâche" totalsRowLabel="Total" dataDxfId="84">
      <calculatedColumnFormula>Planif[[#This Row],[Numéro de la tâche]]</calculatedColumnFormula>
    </tableColumn>
    <tableColumn id="2" name="Nom de la tâche" dataDxfId="83">
      <calculatedColumnFormula>IF(ISBLANK(Planif[[#This Row],[Nom de la tâche]]),"",Planif[[#This Row],[Nom de la tâche]])</calculatedColumnFormula>
    </tableColumn>
    <tableColumn id="7" name="Sprint prévu" dataDxfId="82">
      <calculatedColumnFormula>IF(ISBLANK(Planif[[#This Row],[Nom de la tâche]]),"",Planif[[#This Row],[Sprint visé]])</calculatedColumnFormula>
    </tableColumn>
    <tableColumn id="8" name="Temps mis pour le sprint précédent" dataDxfId="81">
      <calculatedColumnFormula>IF(ISBLANK(Planif[[#This Row],[Nom de la tâche]]),"",Suivi1[[#This Row],[Temps investi]])</calculatedColumnFormula>
    </tableColumn>
    <tableColumn id="9" name="Avancement au sprint précédent" dataDxfId="80" dataCellStyle="Pourcentage">
      <calculatedColumnFormula>IF(ISBLANK(Planif[[#This Row],[Nom de la tâche]]),"",Suivi1[[#This Row],[Avancement  ]])</calculatedColumnFormula>
    </tableColumn>
    <tableColumn id="3" name="Temps investi pour ce sprint" dataDxfId="79" totalsRowDxfId="78"/>
    <tableColumn id="4" name="Avancement à ce jour" dataDxfId="77" dataCellStyle="Pourcentage"/>
    <tableColumn id="5" name="Pourquoi le retard" dataDxfId="76" totalsRowDxfId="75"/>
    <tableColumn id="6" name="Moyens envisagés pour palier au problème" dataDxfId="74" totalsRowDxfId="73"/>
  </tableColumns>
  <tableStyleInfo name="Style de tableau 2" showFirstColumn="0" showLastColumn="0" showRowStripes="1" showColumnStripes="0"/>
</table>
</file>

<file path=xl/tables/table4.xml><?xml version="1.0" encoding="utf-8"?>
<table xmlns="http://schemas.openxmlformats.org/spreadsheetml/2006/main" id="4" name="Suivi3" displayName="Suivi3" ref="B12:J62" headerRowDxfId="50" dataDxfId="49" totalsRowDxfId="47" tableBorderDxfId="48">
  <tableColumns count="9">
    <tableColumn id="1" name="Numéro de la tâche" totalsRowLabel="Total" dataDxfId="46">
      <calculatedColumnFormula>Planif[[#This Row],[Numéro de la tâche]]</calculatedColumnFormula>
    </tableColumn>
    <tableColumn id="2" name="Nom de la tâche" dataDxfId="45">
      <calculatedColumnFormula>IF(ISBLANK(Planif[[#This Row],[Nom de la tâche]]),"",Planif[[#This Row],[Nom de la tâche]])</calculatedColumnFormula>
    </tableColumn>
    <tableColumn id="7" name="Sprint prévu" dataDxfId="44">
      <calculatedColumnFormula>IF(ISBLANK(Planif[[#This Row],[Nom de la tâche]]),"",Planif[[#This Row],[Sprint visé]])</calculatedColumnFormula>
    </tableColumn>
    <tableColumn id="8" name="Temps mis pour le sprint précédent" dataDxfId="43">
      <calculatedColumnFormula>IF(ISBLANK(Planif[[#This Row],[Nom de la tâche]]),"",Suivi2[[#This Row],[Temps mis pour le sprint précédent]]+Suivi2[[#This Row],[Temps investi pour ce sprint]])</calculatedColumnFormula>
    </tableColumn>
    <tableColumn id="9" name="Avancement au sprint précédent" dataDxfId="42">
      <calculatedColumnFormula>IF(ISBLANK(Planif[[#This Row],[Nom de la tâche]]),"",Suivi2[[#This Row],[Avancement à ce jour]])</calculatedColumnFormula>
    </tableColumn>
    <tableColumn id="3" name="Temps investi pour ce sprint" dataDxfId="41" totalsRowDxfId="40"/>
    <tableColumn id="4" name="Avancement à ce jour" dataDxfId="39" dataCellStyle="Pourcentage"/>
    <tableColumn id="5" name="Pourquoi le retard" dataDxfId="38" totalsRowDxfId="37"/>
    <tableColumn id="6" name="Moyens envisagés pour palier au problème" dataDxfId="36" totalsRowDxfId="35"/>
  </tableColumns>
  <tableStyleInfo name="Style de tableau 2" showFirstColumn="0" showLastColumn="0" showRowStripes="1" showColumnStripes="0"/>
</table>
</file>

<file path=xl/tables/table5.xml><?xml version="1.0" encoding="utf-8"?>
<table xmlns="http://schemas.openxmlformats.org/spreadsheetml/2006/main" id="5" name="Suivi4" displayName="Suivi4" ref="B12:J62" headerRowDxfId="15" dataDxfId="14" totalsRowDxfId="12" tableBorderDxfId="13">
  <tableColumns count="9">
    <tableColumn id="1" name="Numéro de la tâche" totalsRowLabel="Total" dataDxfId="11">
      <calculatedColumnFormula>Planif[[#This Row],[Numéro de la tâche]]</calculatedColumnFormula>
    </tableColumn>
    <tableColumn id="2" name="Nom de la tâche" dataDxfId="10">
      <calculatedColumnFormula>IF(ISBLANK(Planif[[#This Row],[Nom de la tâche]]),"",Planif[[#This Row],[Nom de la tâche]])</calculatedColumnFormula>
    </tableColumn>
    <tableColumn id="7" name="Sprint prévu" dataDxfId="9">
      <calculatedColumnFormula>IF(ISBLANK(Planif[[#This Row],[Nom de la tâche]]),"",Planif[[#This Row],[Sprint visé]])</calculatedColumnFormula>
    </tableColumn>
    <tableColumn id="8" name="Temps mis pour le sprint précédent" dataDxfId="8">
      <calculatedColumnFormula>IF(ISBLANK(Planif[[#This Row],[Nom de la tâche]]),"",Suivi3[[#This Row],[Temps mis pour le sprint précédent]]+Suivi3[[#This Row],[Temps investi pour ce sprint]])</calculatedColumnFormula>
    </tableColumn>
    <tableColumn id="9" name="Avancement au sprint précédent" dataDxfId="7" dataCellStyle="Pourcentage">
      <calculatedColumnFormula>IF(ISBLANK(Planif[[#This Row],[Nom de la tâche]]),"",Suivi3[[#This Row],[Avancement à ce jour]])</calculatedColumnFormula>
    </tableColumn>
    <tableColumn id="3" name="Temps investi pour ce sprint" dataDxfId="6" totalsRowDxfId="5"/>
    <tableColumn id="4" name="Avancement final" dataDxfId="4" dataCellStyle="Pourcentage"/>
    <tableColumn id="5" name="Pourquoi le retard" dataDxfId="3" totalsRowDxfId="2"/>
    <tableColumn id="6" name="Moyens envisagés pour palier au problème" dataDxfId="1" totalsRowDxfId="0"/>
  </tableColumns>
  <tableStyleInfo name="Style de tableau 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5"/>
  <sheetViews>
    <sheetView showGridLines="0" tabSelected="1" topLeftCell="A12" workbookViewId="0">
      <selection activeCell="C25" sqref="C25"/>
    </sheetView>
  </sheetViews>
  <sheetFormatPr baseColWidth="10" defaultRowHeight="10.199999999999999" x14ac:dyDescent="0.2"/>
  <cols>
    <col min="1" max="1" width="1.109375" style="1" customWidth="1"/>
    <col min="2" max="2" width="2.77734375" style="1" customWidth="1"/>
    <col min="3" max="3" width="38.88671875" style="1" customWidth="1"/>
    <col min="4" max="4" width="55.5546875" style="1" customWidth="1"/>
    <col min="5" max="5" width="11.109375" style="1" customWidth="1"/>
    <col min="6" max="7" width="2.77734375" style="1" customWidth="1"/>
    <col min="8" max="9" width="8.33203125" style="1" customWidth="1"/>
    <col min="10" max="10" width="1.109375" style="1" customWidth="1"/>
    <col min="11" max="20" width="8.33203125" style="2" hidden="1" customWidth="1"/>
    <col min="21" max="21" width="0" style="1" hidden="1" customWidth="1"/>
    <col min="22" max="16384" width="11.5546875" style="1"/>
  </cols>
  <sheetData>
    <row r="1" spans="2:24" ht="6" customHeight="1" x14ac:dyDescent="0.2"/>
    <row r="2" spans="2:24" ht="18" customHeight="1" x14ac:dyDescent="0.4">
      <c r="B2" s="78" t="s">
        <v>26</v>
      </c>
      <c r="C2" s="78"/>
      <c r="D2" s="78"/>
      <c r="E2" s="78"/>
      <c r="F2" s="78"/>
      <c r="G2" s="78"/>
      <c r="H2" s="78"/>
      <c r="I2" s="78"/>
    </row>
    <row r="3" spans="2:24" ht="6" customHeight="1" x14ac:dyDescent="0.2">
      <c r="B3" s="3"/>
    </row>
    <row r="4" spans="2:24" x14ac:dyDescent="0.2">
      <c r="C4" s="3"/>
      <c r="D4" s="3"/>
      <c r="G4" s="4" t="s">
        <v>14</v>
      </c>
      <c r="H4" s="76" t="s">
        <v>27</v>
      </c>
      <c r="I4" s="76"/>
    </row>
    <row r="5" spans="2:24" x14ac:dyDescent="0.2">
      <c r="G5" s="4" t="s">
        <v>15</v>
      </c>
      <c r="H5" s="77">
        <v>41456</v>
      </c>
      <c r="I5" s="77"/>
    </row>
    <row r="6" spans="2:24" x14ac:dyDescent="0.2">
      <c r="G6" s="4" t="s">
        <v>16</v>
      </c>
      <c r="H6" s="77">
        <v>41518</v>
      </c>
      <c r="I6" s="77"/>
    </row>
    <row r="7" spans="2:24" ht="6" customHeight="1" x14ac:dyDescent="0.2"/>
    <row r="8" spans="2:24" ht="6" customHeight="1" x14ac:dyDescent="0.2"/>
    <row r="9" spans="2:24" ht="15.6" customHeight="1" x14ac:dyDescent="0.2">
      <c r="B9" s="75" t="str">
        <f>COUNTA(Planif[Nom de la tâche]) &amp; " tâches ont été définies totalisant " &amp; M64 &amp; " heures et " &amp; N64 &amp; " minutes de travail.  "</f>
        <v xml:space="preserve">12 tâches ont été définies totalisant 36 heures et 30 minutes de travail.  </v>
      </c>
      <c r="C9" s="75"/>
      <c r="D9" s="75"/>
      <c r="E9" s="75"/>
      <c r="F9" s="75"/>
      <c r="G9" s="75"/>
      <c r="H9" s="75"/>
      <c r="I9" s="75"/>
    </row>
    <row r="11" spans="2:24" ht="6" customHeight="1" x14ac:dyDescent="0.2"/>
    <row r="12" spans="2:24" ht="73.2" customHeight="1" x14ac:dyDescent="0.2">
      <c r="B12" s="22" t="s">
        <v>0</v>
      </c>
      <c r="C12" s="6" t="s">
        <v>1</v>
      </c>
      <c r="D12" s="6" t="s">
        <v>2</v>
      </c>
      <c r="E12" s="5" t="s">
        <v>3</v>
      </c>
      <c r="F12" s="5" t="s">
        <v>4</v>
      </c>
      <c r="G12" s="5" t="s">
        <v>5</v>
      </c>
      <c r="H12" s="5" t="s">
        <v>74</v>
      </c>
      <c r="I12" s="23" t="s">
        <v>6</v>
      </c>
      <c r="Q12" s="2" t="s">
        <v>7</v>
      </c>
      <c r="R12" s="2" t="s">
        <v>8</v>
      </c>
      <c r="S12" s="2" t="s">
        <v>9</v>
      </c>
      <c r="T12" s="2" t="s">
        <v>10</v>
      </c>
      <c r="U12" s="2"/>
      <c r="V12" s="2"/>
      <c r="W12" s="2"/>
      <c r="X12" s="2"/>
    </row>
    <row r="13" spans="2:24" x14ac:dyDescent="0.2">
      <c r="B13" s="20">
        <f>IF(ISBLANK(Planif[[#This Row],[Nom de la tâche]]),"",ROW(Planif[[#This Row],[Nom de la tâche]])-ROW(Planif[[#Headers],[Nom de la tâche]]))</f>
        <v>1</v>
      </c>
      <c r="C13" s="12" t="s">
        <v>22</v>
      </c>
      <c r="D13" s="11" t="s">
        <v>24</v>
      </c>
      <c r="E13" s="55" t="s">
        <v>12</v>
      </c>
      <c r="F13" s="56">
        <v>1</v>
      </c>
      <c r="G13" s="56">
        <v>3</v>
      </c>
      <c r="H13" s="17">
        <v>0.37500000000002598</v>
      </c>
      <c r="I13" s="57" t="s">
        <v>7</v>
      </c>
      <c r="K13" s="2">
        <v>1</v>
      </c>
      <c r="L13" s="2">
        <v>1</v>
      </c>
      <c r="M13" s="7">
        <v>0</v>
      </c>
      <c r="N13" s="2" t="s">
        <v>7</v>
      </c>
      <c r="O13" s="2">
        <v>1</v>
      </c>
      <c r="P13" s="16">
        <v>0</v>
      </c>
      <c r="Q13" s="18">
        <f t="shared" ref="Q13:T29" si="0">IF($I13=Q$12,$H13,0)</f>
        <v>0.37500000000002598</v>
      </c>
      <c r="R13" s="18">
        <f t="shared" ref="R13:T13" si="1">IF($I13=R$12,$H13,0)</f>
        <v>0</v>
      </c>
      <c r="S13" s="18">
        <f t="shared" si="1"/>
        <v>0</v>
      </c>
      <c r="T13" s="18">
        <f t="shared" si="1"/>
        <v>0</v>
      </c>
      <c r="U13" s="18"/>
      <c r="V13" s="18"/>
      <c r="W13" s="18"/>
      <c r="X13" s="18"/>
    </row>
    <row r="14" spans="2:24" x14ac:dyDescent="0.2">
      <c r="B14" s="20">
        <f>IF(ISBLANK(Planif[[#This Row],[Nom de la tâche]]),"",ROW(Planif[[#This Row],[Nom de la tâche]])-ROW(Planif[[#Headers],[Nom de la tâche]]))</f>
        <v>2</v>
      </c>
      <c r="C14" s="12" t="s">
        <v>11</v>
      </c>
      <c r="D14" s="11" t="s">
        <v>50</v>
      </c>
      <c r="E14" s="55">
        <v>1</v>
      </c>
      <c r="F14" s="56">
        <v>1</v>
      </c>
      <c r="G14" s="56">
        <v>2</v>
      </c>
      <c r="H14" s="17">
        <v>0.125</v>
      </c>
      <c r="I14" s="57" t="s">
        <v>7</v>
      </c>
      <c r="K14" s="2">
        <v>2</v>
      </c>
      <c r="L14" s="2">
        <v>2</v>
      </c>
      <c r="M14" s="7">
        <v>1.0416666666666666E-2</v>
      </c>
      <c r="N14" s="2" t="s">
        <v>8</v>
      </c>
      <c r="O14" s="2">
        <v>2</v>
      </c>
      <c r="P14" s="16">
        <v>0.05</v>
      </c>
      <c r="Q14" s="18">
        <f t="shared" si="0"/>
        <v>0.125</v>
      </c>
      <c r="R14" s="18">
        <f t="shared" si="0"/>
        <v>0</v>
      </c>
      <c r="S14" s="18">
        <f t="shared" si="0"/>
        <v>0</v>
      </c>
      <c r="T14" s="18">
        <f t="shared" si="0"/>
        <v>0</v>
      </c>
      <c r="U14" s="18"/>
      <c r="V14" s="18"/>
      <c r="W14" s="18"/>
      <c r="X14" s="18"/>
    </row>
    <row r="15" spans="2:24" x14ac:dyDescent="0.2">
      <c r="B15" s="20">
        <f>IF(ISBLANK(Planif[[#This Row],[Nom de la tâche]]),"",ROW(Planif[[#This Row],[Nom de la tâche]])-ROW(Planif[[#Headers],[Nom de la tâche]]))</f>
        <v>3</v>
      </c>
      <c r="C15" s="12" t="s">
        <v>17</v>
      </c>
      <c r="D15" s="11" t="s">
        <v>56</v>
      </c>
      <c r="E15" s="55">
        <v>2</v>
      </c>
      <c r="F15" s="56">
        <v>2</v>
      </c>
      <c r="G15" s="56">
        <v>1</v>
      </c>
      <c r="H15" s="17">
        <v>0.125</v>
      </c>
      <c r="I15" s="57" t="s">
        <v>7</v>
      </c>
      <c r="K15" s="2">
        <v>3</v>
      </c>
      <c r="L15" s="2">
        <v>3</v>
      </c>
      <c r="M15" s="7">
        <v>2.0833333333333332E-2</v>
      </c>
      <c r="N15" s="2" t="s">
        <v>9</v>
      </c>
      <c r="O15" s="2">
        <v>3</v>
      </c>
      <c r="P15" s="16">
        <v>0.1</v>
      </c>
      <c r="Q15" s="18">
        <f t="shared" si="0"/>
        <v>0.125</v>
      </c>
      <c r="R15" s="18">
        <f t="shared" si="0"/>
        <v>0</v>
      </c>
      <c r="S15" s="18">
        <f t="shared" si="0"/>
        <v>0</v>
      </c>
      <c r="T15" s="18">
        <f t="shared" si="0"/>
        <v>0</v>
      </c>
      <c r="U15" s="18"/>
      <c r="V15" s="18"/>
      <c r="W15" s="18"/>
      <c r="X15" s="18"/>
    </row>
    <row r="16" spans="2:24" x14ac:dyDescent="0.2">
      <c r="B16" s="20">
        <f>IF(ISBLANK(Planif[[#This Row],[Nom de la tâche]]),"",ROW(Planif[[#This Row],[Nom de la tâche]])-ROW(Planif[[#Headers],[Nom de la tâche]]))</f>
        <v>4</v>
      </c>
      <c r="C16" s="12" t="s">
        <v>59</v>
      </c>
      <c r="D16" s="11" t="s">
        <v>60</v>
      </c>
      <c r="E16" s="55" t="s">
        <v>12</v>
      </c>
      <c r="F16" s="56">
        <v>1</v>
      </c>
      <c r="G16" s="56">
        <v>3</v>
      </c>
      <c r="H16" s="17">
        <v>0.16666666666666699</v>
      </c>
      <c r="I16" s="57" t="s">
        <v>7</v>
      </c>
      <c r="M16" s="7">
        <v>3.125E-2</v>
      </c>
      <c r="N16" s="2" t="s">
        <v>10</v>
      </c>
      <c r="O16" s="2">
        <v>4</v>
      </c>
      <c r="P16" s="16">
        <v>0.15</v>
      </c>
      <c r="Q16" s="18">
        <f t="shared" ref="Q16:T22" si="2">IF($I16=Q$12,$H16,0)</f>
        <v>0.16666666666666699</v>
      </c>
      <c r="R16" s="18">
        <f t="shared" si="2"/>
        <v>0</v>
      </c>
      <c r="S16" s="18">
        <f t="shared" si="2"/>
        <v>0</v>
      </c>
      <c r="T16" s="18">
        <f t="shared" si="2"/>
        <v>0</v>
      </c>
      <c r="U16" s="18"/>
      <c r="V16" s="18"/>
      <c r="W16" s="18"/>
      <c r="X16" s="18"/>
    </row>
    <row r="17" spans="2:24" x14ac:dyDescent="0.2">
      <c r="B17" s="20">
        <f>IF(ISBLANK(Planif[[#This Row],[Nom de la tâche]]),"",ROW(Planif[[#This Row],[Nom de la tâche]])-ROW(Planif[[#Headers],[Nom de la tâche]]))</f>
        <v>5</v>
      </c>
      <c r="C17" s="12" t="s">
        <v>23</v>
      </c>
      <c r="D17" s="11" t="s">
        <v>25</v>
      </c>
      <c r="E17" s="55" t="s">
        <v>12</v>
      </c>
      <c r="F17" s="56">
        <v>1</v>
      </c>
      <c r="G17" s="56">
        <v>2</v>
      </c>
      <c r="H17" s="17">
        <v>0.16666666666666699</v>
      </c>
      <c r="I17" s="57" t="s">
        <v>10</v>
      </c>
      <c r="M17" s="7">
        <v>4.1666666666666699E-2</v>
      </c>
      <c r="P17" s="16">
        <v>0.2</v>
      </c>
      <c r="Q17" s="18">
        <f t="shared" si="2"/>
        <v>0</v>
      </c>
      <c r="R17" s="18">
        <f t="shared" si="2"/>
        <v>0</v>
      </c>
      <c r="S17" s="18">
        <f t="shared" si="2"/>
        <v>0</v>
      </c>
      <c r="T17" s="18">
        <f t="shared" si="2"/>
        <v>0.16666666666666699</v>
      </c>
      <c r="U17" s="18"/>
      <c r="V17" s="18"/>
      <c r="W17" s="18"/>
      <c r="X17" s="18"/>
    </row>
    <row r="18" spans="2:24" x14ac:dyDescent="0.2">
      <c r="B18" s="20">
        <f>IF(ISBLANK(Planif[[#This Row],[Nom de la tâche]]),"",ROW(Planif[[#This Row],[Nom de la tâche]])-ROW(Planif[[#Headers],[Nom de la tâche]]))</f>
        <v>6</v>
      </c>
      <c r="C18" s="12" t="s">
        <v>18</v>
      </c>
      <c r="D18" s="11" t="s">
        <v>13</v>
      </c>
      <c r="E18" s="55">
        <v>4</v>
      </c>
      <c r="F18" s="56">
        <v>2</v>
      </c>
      <c r="G18" s="56">
        <v>1</v>
      </c>
      <c r="H18" s="17">
        <v>2.0833333333333332E-2</v>
      </c>
      <c r="I18" s="57" t="s">
        <v>10</v>
      </c>
      <c r="M18" s="7">
        <v>5.2083333333333398E-2</v>
      </c>
      <c r="P18" s="16">
        <v>0.25</v>
      </c>
      <c r="Q18" s="18">
        <f t="shared" si="2"/>
        <v>0</v>
      </c>
      <c r="R18" s="18">
        <f t="shared" si="2"/>
        <v>0</v>
      </c>
      <c r="S18" s="18">
        <f t="shared" si="2"/>
        <v>0</v>
      </c>
      <c r="T18" s="18">
        <f t="shared" si="2"/>
        <v>2.0833333333333332E-2</v>
      </c>
      <c r="U18" s="18"/>
      <c r="V18" s="18"/>
      <c r="W18" s="18"/>
      <c r="X18" s="18"/>
    </row>
    <row r="19" spans="2:24" x14ac:dyDescent="0.2">
      <c r="B19" s="20">
        <f>IF(ISBLANK(Planif[[#This Row],[Nom de la tâche]]),"",ROW(Planif[[#This Row],[Nom de la tâche]])-ROW(Planif[[#Headers],[Nom de la tâche]]))</f>
        <v>7</v>
      </c>
      <c r="C19" s="12" t="s">
        <v>19</v>
      </c>
      <c r="D19" s="11" t="s">
        <v>13</v>
      </c>
      <c r="E19" s="55">
        <v>4</v>
      </c>
      <c r="F19" s="56">
        <v>2</v>
      </c>
      <c r="G19" s="56">
        <v>1</v>
      </c>
      <c r="H19" s="17">
        <v>4.1666666666666699E-2</v>
      </c>
      <c r="I19" s="57" t="s">
        <v>10</v>
      </c>
      <c r="M19" s="7">
        <v>6.25E-2</v>
      </c>
      <c r="P19" s="16">
        <v>0.3</v>
      </c>
      <c r="Q19" s="18">
        <f t="shared" si="2"/>
        <v>0</v>
      </c>
      <c r="R19" s="18">
        <f t="shared" si="2"/>
        <v>0</v>
      </c>
      <c r="S19" s="18">
        <f t="shared" si="2"/>
        <v>0</v>
      </c>
      <c r="T19" s="18">
        <f t="shared" si="2"/>
        <v>4.1666666666666699E-2</v>
      </c>
      <c r="U19" s="18"/>
      <c r="V19" s="18"/>
      <c r="W19" s="18"/>
      <c r="X19" s="18"/>
    </row>
    <row r="20" spans="2:24" x14ac:dyDescent="0.2">
      <c r="B20" s="20">
        <f>IF(ISBLANK(Planif[[#This Row],[Nom de la tâche]]),"",ROW(Planif[[#This Row],[Nom de la tâche]])-ROW(Planif[[#Headers],[Nom de la tâche]]))</f>
        <v>8</v>
      </c>
      <c r="C20" s="12" t="s">
        <v>20</v>
      </c>
      <c r="D20" s="11" t="s">
        <v>13</v>
      </c>
      <c r="E20" s="55">
        <v>4</v>
      </c>
      <c r="F20" s="56">
        <v>2</v>
      </c>
      <c r="G20" s="56">
        <v>1</v>
      </c>
      <c r="H20" s="17">
        <v>6.25E-2</v>
      </c>
      <c r="I20" s="57" t="s">
        <v>10</v>
      </c>
      <c r="M20" s="7">
        <v>7.2916666666666699E-2</v>
      </c>
      <c r="P20" s="16">
        <v>0.35</v>
      </c>
      <c r="Q20" s="18">
        <f t="shared" si="2"/>
        <v>0</v>
      </c>
      <c r="R20" s="18">
        <f t="shared" si="2"/>
        <v>0</v>
      </c>
      <c r="S20" s="18">
        <f t="shared" si="2"/>
        <v>0</v>
      </c>
      <c r="T20" s="18">
        <f t="shared" si="2"/>
        <v>6.25E-2</v>
      </c>
      <c r="U20" s="18"/>
      <c r="V20" s="18"/>
      <c r="W20" s="18"/>
      <c r="X20" s="18"/>
    </row>
    <row r="21" spans="2:24" x14ac:dyDescent="0.2">
      <c r="B21" s="20">
        <f>IF(ISBLANK(Planif[[#This Row],[Nom de la tâche]]),"",ROW(Planif[[#This Row],[Nom de la tâche]])-ROW(Planif[[#Headers],[Nom de la tâche]]))</f>
        <v>9</v>
      </c>
      <c r="C21" s="12" t="s">
        <v>21</v>
      </c>
      <c r="D21" s="11" t="s">
        <v>13</v>
      </c>
      <c r="E21" s="55">
        <v>4</v>
      </c>
      <c r="F21" s="56">
        <v>2</v>
      </c>
      <c r="G21" s="56">
        <v>1</v>
      </c>
      <c r="H21" s="17">
        <v>2.0833333333333332E-2</v>
      </c>
      <c r="I21" s="57" t="s">
        <v>10</v>
      </c>
      <c r="M21" s="7">
        <v>8.3333333333333398E-2</v>
      </c>
      <c r="P21" s="16">
        <v>0.4</v>
      </c>
      <c r="Q21" s="18">
        <f t="shared" si="2"/>
        <v>0</v>
      </c>
      <c r="R21" s="18">
        <f t="shared" si="2"/>
        <v>0</v>
      </c>
      <c r="S21" s="18">
        <f t="shared" si="2"/>
        <v>0</v>
      </c>
      <c r="T21" s="18">
        <f t="shared" si="2"/>
        <v>2.0833333333333332E-2</v>
      </c>
      <c r="U21" s="18"/>
      <c r="V21" s="18"/>
      <c r="W21" s="18"/>
      <c r="X21" s="18"/>
    </row>
    <row r="22" spans="2:24" x14ac:dyDescent="0.2">
      <c r="B22" s="20">
        <f>IF(ISBLANK(Planif[[#This Row],[Nom de la tâche]]),"",ROW(Planif[[#This Row],[Nom de la tâche]])-ROW(Planif[[#Headers],[Nom de la tâche]]))</f>
        <v>10</v>
      </c>
      <c r="C22" s="12" t="s">
        <v>58</v>
      </c>
      <c r="D22" s="12" t="s">
        <v>70</v>
      </c>
      <c r="E22" s="55" t="s">
        <v>12</v>
      </c>
      <c r="F22" s="56">
        <v>1</v>
      </c>
      <c r="G22" s="56">
        <v>2</v>
      </c>
      <c r="H22" s="17">
        <v>0.20833333333333401</v>
      </c>
      <c r="I22" s="57" t="s">
        <v>8</v>
      </c>
      <c r="M22" s="7">
        <v>9.375E-2</v>
      </c>
      <c r="P22" s="16">
        <v>0.45</v>
      </c>
      <c r="Q22" s="18">
        <f t="shared" si="2"/>
        <v>0</v>
      </c>
      <c r="R22" s="18">
        <f t="shared" si="2"/>
        <v>0.20833333333333401</v>
      </c>
      <c r="S22" s="18">
        <f t="shared" si="2"/>
        <v>0</v>
      </c>
      <c r="T22" s="18">
        <f t="shared" si="2"/>
        <v>0</v>
      </c>
      <c r="U22" s="18"/>
      <c r="V22" s="18"/>
      <c r="W22" s="18"/>
      <c r="X22" s="18"/>
    </row>
    <row r="23" spans="2:24" x14ac:dyDescent="0.2">
      <c r="B23" s="20">
        <f>IF(ISBLANK(Planif[[#This Row],[Nom de la tâche]]),"",ROW(Planif[[#This Row],[Nom de la tâche]])-ROW(Planif[[#Headers],[Nom de la tâche]]))</f>
        <v>11</v>
      </c>
      <c r="C23" s="12" t="s">
        <v>67</v>
      </c>
      <c r="D23" s="12" t="s">
        <v>68</v>
      </c>
      <c r="E23" s="56">
        <v>10</v>
      </c>
      <c r="F23" s="56">
        <v>2</v>
      </c>
      <c r="G23" s="56">
        <v>2</v>
      </c>
      <c r="H23" s="17">
        <v>0.125</v>
      </c>
      <c r="I23" s="57" t="s">
        <v>9</v>
      </c>
      <c r="M23" s="7">
        <v>0.104166666666667</v>
      </c>
      <c r="P23" s="16">
        <v>0.5</v>
      </c>
      <c r="Q23" s="18">
        <f t="shared" si="0"/>
        <v>0</v>
      </c>
      <c r="R23" s="18">
        <f t="shared" si="0"/>
        <v>0</v>
      </c>
      <c r="S23" s="18">
        <f t="shared" si="0"/>
        <v>0.125</v>
      </c>
      <c r="T23" s="18">
        <f t="shared" si="0"/>
        <v>0</v>
      </c>
      <c r="U23" s="18"/>
      <c r="V23" s="18"/>
      <c r="W23" s="18"/>
      <c r="X23" s="18"/>
    </row>
    <row r="24" spans="2:24" x14ac:dyDescent="0.2">
      <c r="B24" s="20">
        <f>IF(ISBLANK(Planif[[#This Row],[Nom de la tâche]]),"",ROW(Planif[[#This Row],[Nom de la tâche]])-ROW(Planif[[#Headers],[Nom de la tâche]]))</f>
        <v>12</v>
      </c>
      <c r="C24" s="12" t="s">
        <v>78</v>
      </c>
      <c r="D24" s="12" t="s">
        <v>79</v>
      </c>
      <c r="E24" s="56" t="s">
        <v>80</v>
      </c>
      <c r="F24" s="56">
        <v>2</v>
      </c>
      <c r="G24" s="56">
        <v>2</v>
      </c>
      <c r="H24" s="17">
        <v>8.3333333333333398E-2</v>
      </c>
      <c r="I24" s="57" t="s">
        <v>10</v>
      </c>
      <c r="K24" s="24"/>
      <c r="M24" s="7">
        <v>0.11458333333333399</v>
      </c>
      <c r="P24" s="16">
        <v>0.55000000000000004</v>
      </c>
      <c r="Q24" s="18">
        <f t="shared" si="0"/>
        <v>0</v>
      </c>
      <c r="R24" s="18">
        <f t="shared" si="0"/>
        <v>0</v>
      </c>
      <c r="S24" s="18">
        <f t="shared" si="0"/>
        <v>0</v>
      </c>
      <c r="T24" s="18">
        <f t="shared" si="0"/>
        <v>8.3333333333333398E-2</v>
      </c>
      <c r="U24" s="18"/>
      <c r="V24" s="18"/>
      <c r="W24" s="18"/>
      <c r="X24" s="18"/>
    </row>
    <row r="25" spans="2:24" x14ac:dyDescent="0.2">
      <c r="B25" s="20" t="str">
        <f>IF(ISBLANK(Planif[[#This Row],[Nom de la tâche]]),"",ROW(Planif[[#This Row],[Nom de la tâche]])-ROW(Planif[[#Headers],[Nom de la tâche]]))</f>
        <v/>
      </c>
      <c r="C25" s="12"/>
      <c r="D25" s="12"/>
      <c r="E25" s="56"/>
      <c r="F25" s="56"/>
      <c r="G25" s="56"/>
      <c r="H25" s="17"/>
      <c r="I25" s="57"/>
      <c r="M25" s="7">
        <v>0.125</v>
      </c>
      <c r="P25" s="16">
        <v>0.6</v>
      </c>
      <c r="Q25" s="18">
        <f t="shared" si="0"/>
        <v>0</v>
      </c>
      <c r="R25" s="18">
        <f t="shared" si="0"/>
        <v>0</v>
      </c>
      <c r="S25" s="18">
        <f t="shared" si="0"/>
        <v>0</v>
      </c>
      <c r="T25" s="18">
        <f t="shared" si="0"/>
        <v>0</v>
      </c>
      <c r="U25" s="18"/>
      <c r="V25" s="18"/>
      <c r="W25" s="18"/>
      <c r="X25" s="18"/>
    </row>
    <row r="26" spans="2:24" x14ac:dyDescent="0.2">
      <c r="B26" s="20" t="str">
        <f>IF(ISBLANK(Planif[[#This Row],[Nom de la tâche]]),"",ROW(Planif[[#This Row],[Nom de la tâche]])-ROW(Planif[[#Headers],[Nom de la tâche]]))</f>
        <v/>
      </c>
      <c r="C26" s="12"/>
      <c r="D26" s="12"/>
      <c r="E26" s="56"/>
      <c r="F26" s="56"/>
      <c r="G26" s="56"/>
      <c r="H26" s="17"/>
      <c r="I26" s="57"/>
      <c r="M26" s="7">
        <v>0.13541666666666699</v>
      </c>
      <c r="P26" s="16">
        <v>0.65</v>
      </c>
      <c r="Q26" s="18">
        <f t="shared" si="0"/>
        <v>0</v>
      </c>
      <c r="R26" s="18">
        <f t="shared" si="0"/>
        <v>0</v>
      </c>
      <c r="S26" s="18">
        <f t="shared" si="0"/>
        <v>0</v>
      </c>
      <c r="T26" s="18">
        <f t="shared" si="0"/>
        <v>0</v>
      </c>
      <c r="U26" s="18"/>
      <c r="V26" s="18"/>
      <c r="W26" s="18"/>
      <c r="X26" s="18"/>
    </row>
    <row r="27" spans="2:24" x14ac:dyDescent="0.2">
      <c r="B27" s="20" t="str">
        <f>IF(ISBLANK(Planif[[#This Row],[Nom de la tâche]]),"",ROW(Planif[[#This Row],[Nom de la tâche]])-ROW(Planif[[#Headers],[Nom de la tâche]]))</f>
        <v/>
      </c>
      <c r="C27" s="12"/>
      <c r="D27" s="12"/>
      <c r="E27" s="56"/>
      <c r="F27" s="56"/>
      <c r="G27" s="56"/>
      <c r="H27" s="17"/>
      <c r="I27" s="57"/>
      <c r="M27" s="7">
        <v>0.14583333333333401</v>
      </c>
      <c r="P27" s="16">
        <v>0.7</v>
      </c>
      <c r="Q27" s="18">
        <f t="shared" si="0"/>
        <v>0</v>
      </c>
      <c r="R27" s="18">
        <f t="shared" si="0"/>
        <v>0</v>
      </c>
      <c r="S27" s="18">
        <f t="shared" si="0"/>
        <v>0</v>
      </c>
      <c r="T27" s="18">
        <f t="shared" si="0"/>
        <v>0</v>
      </c>
      <c r="U27" s="18"/>
      <c r="V27" s="18"/>
      <c r="W27" s="18"/>
      <c r="X27" s="18"/>
    </row>
    <row r="28" spans="2:24" x14ac:dyDescent="0.2">
      <c r="B28" s="20" t="str">
        <f>IF(ISBLANK(Planif[[#This Row],[Nom de la tâche]]),"",ROW(Planif[[#This Row],[Nom de la tâche]])-ROW(Planif[[#Headers],[Nom de la tâche]]))</f>
        <v/>
      </c>
      <c r="C28" s="12"/>
      <c r="D28" s="12"/>
      <c r="E28" s="56"/>
      <c r="F28" s="56"/>
      <c r="G28" s="56"/>
      <c r="H28" s="17"/>
      <c r="I28" s="57"/>
      <c r="M28" s="7">
        <v>0.15625</v>
      </c>
      <c r="P28" s="16">
        <v>0.75</v>
      </c>
      <c r="Q28" s="18">
        <f t="shared" si="0"/>
        <v>0</v>
      </c>
      <c r="R28" s="18">
        <f t="shared" si="0"/>
        <v>0</v>
      </c>
      <c r="S28" s="18">
        <f t="shared" si="0"/>
        <v>0</v>
      </c>
      <c r="T28" s="18">
        <f t="shared" si="0"/>
        <v>0</v>
      </c>
      <c r="U28" s="18"/>
      <c r="V28" s="18"/>
      <c r="W28" s="18"/>
      <c r="X28" s="18"/>
    </row>
    <row r="29" spans="2:24" x14ac:dyDescent="0.2">
      <c r="B29" s="20" t="str">
        <f>IF(ISBLANK(Planif[[#This Row],[Nom de la tâche]]),"",ROW(Planif[[#This Row],[Nom de la tâche]])-ROW(Planif[[#Headers],[Nom de la tâche]]))</f>
        <v/>
      </c>
      <c r="C29" s="12"/>
      <c r="D29" s="12"/>
      <c r="E29" s="56"/>
      <c r="F29" s="56"/>
      <c r="G29" s="56"/>
      <c r="H29" s="17"/>
      <c r="I29" s="57"/>
      <c r="M29" s="7">
        <v>0.16666666666666699</v>
      </c>
      <c r="P29" s="16">
        <v>0.8</v>
      </c>
      <c r="Q29" s="18">
        <f t="shared" si="0"/>
        <v>0</v>
      </c>
      <c r="R29" s="18">
        <f t="shared" si="0"/>
        <v>0</v>
      </c>
      <c r="S29" s="18">
        <f t="shared" si="0"/>
        <v>0</v>
      </c>
      <c r="T29" s="18">
        <f t="shared" si="0"/>
        <v>0</v>
      </c>
      <c r="U29" s="18"/>
      <c r="V29" s="18"/>
      <c r="W29" s="18"/>
      <c r="X29" s="18"/>
    </row>
    <row r="30" spans="2:24" x14ac:dyDescent="0.2">
      <c r="B30" s="20" t="str">
        <f>IF(ISBLANK(Planif[[#This Row],[Nom de la tâche]]),"",ROW(Planif[[#This Row],[Nom de la tâche]])-ROW(Planif[[#Headers],[Nom de la tâche]]))</f>
        <v/>
      </c>
      <c r="C30" s="12"/>
      <c r="D30" s="12"/>
      <c r="E30" s="56"/>
      <c r="F30" s="56"/>
      <c r="G30" s="56"/>
      <c r="H30" s="17"/>
      <c r="I30" s="57"/>
      <c r="M30" s="7">
        <v>0.17708333333333401</v>
      </c>
      <c r="P30" s="16">
        <v>0.85</v>
      </c>
      <c r="Q30" s="18">
        <f t="shared" ref="Q30:T62" si="3">IF($I30=Q$12,$H30,0)</f>
        <v>0</v>
      </c>
      <c r="R30" s="18">
        <f t="shared" si="3"/>
        <v>0</v>
      </c>
      <c r="S30" s="18">
        <f t="shared" si="3"/>
        <v>0</v>
      </c>
      <c r="T30" s="18">
        <f t="shared" si="3"/>
        <v>0</v>
      </c>
      <c r="U30" s="18"/>
      <c r="V30" s="18"/>
      <c r="W30" s="18"/>
      <c r="X30" s="18"/>
    </row>
    <row r="31" spans="2:24" x14ac:dyDescent="0.2">
      <c r="B31" s="20" t="str">
        <f>IF(ISBLANK(Planif[[#This Row],[Nom de la tâche]]),"",ROW(Planif[[#This Row],[Nom de la tâche]])-ROW(Planif[[#Headers],[Nom de la tâche]]))</f>
        <v/>
      </c>
      <c r="C31" s="12"/>
      <c r="D31" s="12"/>
      <c r="E31" s="56"/>
      <c r="F31" s="56"/>
      <c r="G31" s="56"/>
      <c r="H31" s="17"/>
      <c r="I31" s="57"/>
      <c r="M31" s="7">
        <v>0.1875</v>
      </c>
      <c r="P31" s="16">
        <v>0.9</v>
      </c>
      <c r="Q31" s="18">
        <f t="shared" si="3"/>
        <v>0</v>
      </c>
      <c r="R31" s="18">
        <f t="shared" si="3"/>
        <v>0</v>
      </c>
      <c r="S31" s="18">
        <f t="shared" si="3"/>
        <v>0</v>
      </c>
      <c r="T31" s="18">
        <f t="shared" si="3"/>
        <v>0</v>
      </c>
      <c r="U31" s="18"/>
      <c r="V31" s="18"/>
      <c r="W31" s="18"/>
      <c r="X31" s="18"/>
    </row>
    <row r="32" spans="2:24" x14ac:dyDescent="0.2">
      <c r="B32" s="20" t="str">
        <f>IF(ISBLANK(Planif[[#This Row],[Nom de la tâche]]),"",ROW(Planif[[#This Row],[Nom de la tâche]])-ROW(Planif[[#Headers],[Nom de la tâche]]))</f>
        <v/>
      </c>
      <c r="C32" s="12"/>
      <c r="D32" s="12"/>
      <c r="E32" s="56"/>
      <c r="F32" s="56"/>
      <c r="G32" s="56"/>
      <c r="H32" s="17"/>
      <c r="I32" s="57"/>
      <c r="M32" s="7">
        <v>0.19791666666666699</v>
      </c>
      <c r="P32" s="16">
        <v>0.95</v>
      </c>
      <c r="Q32" s="18">
        <f t="shared" si="3"/>
        <v>0</v>
      </c>
      <c r="R32" s="18">
        <f t="shared" si="3"/>
        <v>0</v>
      </c>
      <c r="S32" s="18">
        <f t="shared" si="3"/>
        <v>0</v>
      </c>
      <c r="T32" s="18">
        <f t="shared" si="3"/>
        <v>0</v>
      </c>
      <c r="U32" s="18"/>
      <c r="V32" s="18"/>
      <c r="W32" s="18"/>
      <c r="X32" s="18"/>
    </row>
    <row r="33" spans="2:24" x14ac:dyDescent="0.2">
      <c r="B33" s="20" t="str">
        <f>IF(ISBLANK(Planif[[#This Row],[Nom de la tâche]]),"",ROW(Planif[[#This Row],[Nom de la tâche]])-ROW(Planif[[#Headers],[Nom de la tâche]]))</f>
        <v/>
      </c>
      <c r="C33" s="12"/>
      <c r="D33" s="12"/>
      <c r="E33" s="56"/>
      <c r="F33" s="56"/>
      <c r="G33" s="56"/>
      <c r="H33" s="17"/>
      <c r="I33" s="57"/>
      <c r="M33" s="7">
        <v>0.20833333333333401</v>
      </c>
      <c r="P33" s="16">
        <v>1</v>
      </c>
      <c r="Q33" s="18">
        <f t="shared" si="3"/>
        <v>0</v>
      </c>
      <c r="R33" s="18">
        <f t="shared" si="3"/>
        <v>0</v>
      </c>
      <c r="S33" s="18">
        <f t="shared" si="3"/>
        <v>0</v>
      </c>
      <c r="T33" s="18">
        <f t="shared" si="3"/>
        <v>0</v>
      </c>
      <c r="U33" s="18"/>
      <c r="V33" s="18"/>
      <c r="W33" s="18"/>
      <c r="X33" s="18"/>
    </row>
    <row r="34" spans="2:24" x14ac:dyDescent="0.2">
      <c r="B34" s="20" t="str">
        <f>IF(ISBLANK(Planif[[#This Row],[Nom de la tâche]]),"",ROW(Planif[[#This Row],[Nom de la tâche]])-ROW(Planif[[#Headers],[Nom de la tâche]]))</f>
        <v/>
      </c>
      <c r="C34" s="12"/>
      <c r="D34" s="12"/>
      <c r="E34" s="56"/>
      <c r="F34" s="56"/>
      <c r="G34" s="56"/>
      <c r="H34" s="17"/>
      <c r="I34" s="57"/>
      <c r="M34" s="7">
        <v>0.218750000000001</v>
      </c>
      <c r="Q34" s="18">
        <f t="shared" si="3"/>
        <v>0</v>
      </c>
      <c r="R34" s="18">
        <f t="shared" si="3"/>
        <v>0</v>
      </c>
      <c r="S34" s="18">
        <f t="shared" si="3"/>
        <v>0</v>
      </c>
      <c r="T34" s="18">
        <f t="shared" si="3"/>
        <v>0</v>
      </c>
      <c r="U34" s="18"/>
      <c r="V34" s="18"/>
      <c r="W34" s="18"/>
      <c r="X34" s="18"/>
    </row>
    <row r="35" spans="2:24" x14ac:dyDescent="0.2">
      <c r="B35" s="20" t="str">
        <f>IF(ISBLANK(Planif[[#This Row],[Nom de la tâche]]),"",ROW(Planif[[#This Row],[Nom de la tâche]])-ROW(Planif[[#Headers],[Nom de la tâche]]))</f>
        <v/>
      </c>
      <c r="C35" s="12"/>
      <c r="D35" s="12"/>
      <c r="E35" s="56"/>
      <c r="F35" s="56"/>
      <c r="G35" s="56"/>
      <c r="H35" s="17"/>
      <c r="I35" s="57"/>
      <c r="M35" s="7">
        <v>0.22916666666666799</v>
      </c>
      <c r="Q35" s="18">
        <f t="shared" si="3"/>
        <v>0</v>
      </c>
      <c r="R35" s="18">
        <f t="shared" si="3"/>
        <v>0</v>
      </c>
      <c r="S35" s="18">
        <f t="shared" si="3"/>
        <v>0</v>
      </c>
      <c r="T35" s="18">
        <f t="shared" si="3"/>
        <v>0</v>
      </c>
      <c r="U35" s="18"/>
      <c r="V35" s="18"/>
      <c r="W35" s="18"/>
      <c r="X35" s="18"/>
    </row>
    <row r="36" spans="2:24" x14ac:dyDescent="0.2">
      <c r="B36" s="20" t="str">
        <f>IF(ISBLANK(Planif[[#This Row],[Nom de la tâche]]),"",ROW(Planif[[#This Row],[Nom de la tâche]])-ROW(Planif[[#Headers],[Nom de la tâche]]))</f>
        <v/>
      </c>
      <c r="C36" s="12"/>
      <c r="D36" s="12"/>
      <c r="E36" s="56"/>
      <c r="F36" s="56"/>
      <c r="G36" s="56"/>
      <c r="H36" s="17"/>
      <c r="I36" s="57"/>
      <c r="M36" s="7">
        <v>0.23958333333333334</v>
      </c>
      <c r="Q36" s="18">
        <f t="shared" si="3"/>
        <v>0</v>
      </c>
      <c r="R36" s="18">
        <f t="shared" si="3"/>
        <v>0</v>
      </c>
      <c r="S36" s="18">
        <f t="shared" si="3"/>
        <v>0</v>
      </c>
      <c r="T36" s="18">
        <f t="shared" si="3"/>
        <v>0</v>
      </c>
      <c r="U36" s="18"/>
      <c r="V36" s="18"/>
      <c r="W36" s="18"/>
      <c r="X36" s="18"/>
    </row>
    <row r="37" spans="2:24" x14ac:dyDescent="0.2">
      <c r="B37" s="20" t="str">
        <f>IF(ISBLANK(Planif[[#This Row],[Nom de la tâche]]),"",ROW(Planif[[#This Row],[Nom de la tâche]])-ROW(Planif[[#Headers],[Nom de la tâche]]))</f>
        <v/>
      </c>
      <c r="C37" s="12"/>
      <c r="D37" s="12"/>
      <c r="E37" s="56"/>
      <c r="F37" s="56"/>
      <c r="G37" s="56"/>
      <c r="H37" s="17"/>
      <c r="I37" s="57"/>
      <c r="M37" s="7">
        <v>0.250000000000002</v>
      </c>
      <c r="Q37" s="18">
        <f t="shared" si="3"/>
        <v>0</v>
      </c>
      <c r="R37" s="18">
        <f t="shared" si="3"/>
        <v>0</v>
      </c>
      <c r="S37" s="18">
        <f t="shared" si="3"/>
        <v>0</v>
      </c>
      <c r="T37" s="18">
        <f t="shared" si="3"/>
        <v>0</v>
      </c>
      <c r="U37" s="18"/>
      <c r="V37" s="18"/>
      <c r="W37" s="18"/>
      <c r="X37" s="18"/>
    </row>
    <row r="38" spans="2:24" x14ac:dyDescent="0.2">
      <c r="B38" s="20" t="str">
        <f>IF(ISBLANK(Planif[[#This Row],[Nom de la tâche]]),"",ROW(Planif[[#This Row],[Nom de la tâche]])-ROW(Planif[[#Headers],[Nom de la tâche]]))</f>
        <v/>
      </c>
      <c r="C38" s="12"/>
      <c r="D38" s="12"/>
      <c r="E38" s="56"/>
      <c r="F38" s="56"/>
      <c r="G38" s="56"/>
      <c r="H38" s="17"/>
      <c r="I38" s="57"/>
      <c r="M38" s="7">
        <v>0.26041666666667102</v>
      </c>
      <c r="Q38" s="18">
        <f t="shared" si="3"/>
        <v>0</v>
      </c>
      <c r="R38" s="18">
        <f t="shared" si="3"/>
        <v>0</v>
      </c>
      <c r="S38" s="18">
        <f t="shared" si="3"/>
        <v>0</v>
      </c>
      <c r="T38" s="18">
        <f t="shared" si="3"/>
        <v>0</v>
      </c>
      <c r="U38" s="18"/>
      <c r="V38" s="18"/>
      <c r="W38" s="18"/>
      <c r="X38" s="18"/>
    </row>
    <row r="39" spans="2:24" x14ac:dyDescent="0.2">
      <c r="B39" s="20" t="str">
        <f>IF(ISBLANK(Planif[[#This Row],[Nom de la tâche]]),"",ROW(Planif[[#This Row],[Nom de la tâche]])-ROW(Planif[[#Headers],[Nom de la tâche]]))</f>
        <v/>
      </c>
      <c r="C39" s="12"/>
      <c r="D39" s="12"/>
      <c r="E39" s="56"/>
      <c r="F39" s="56"/>
      <c r="G39" s="56"/>
      <c r="H39" s="17"/>
      <c r="I39" s="57"/>
      <c r="M39" s="7">
        <v>0.27083333333333898</v>
      </c>
      <c r="Q39" s="18">
        <f t="shared" si="3"/>
        <v>0</v>
      </c>
      <c r="R39" s="18">
        <f t="shared" si="3"/>
        <v>0</v>
      </c>
      <c r="S39" s="18">
        <f t="shared" si="3"/>
        <v>0</v>
      </c>
      <c r="T39" s="18">
        <f t="shared" si="3"/>
        <v>0</v>
      </c>
      <c r="U39" s="18"/>
      <c r="V39" s="18"/>
      <c r="W39" s="18"/>
      <c r="X39" s="18"/>
    </row>
    <row r="40" spans="2:24" x14ac:dyDescent="0.2">
      <c r="B40" s="20" t="str">
        <f>IF(ISBLANK(Planif[[#This Row],[Nom de la tâche]]),"",ROW(Planif[[#This Row],[Nom de la tâche]])-ROW(Planif[[#Headers],[Nom de la tâche]]))</f>
        <v/>
      </c>
      <c r="C40" s="12"/>
      <c r="D40" s="12"/>
      <c r="E40" s="56"/>
      <c r="F40" s="56"/>
      <c r="G40" s="56"/>
      <c r="H40" s="17"/>
      <c r="I40" s="57"/>
      <c r="M40" s="7">
        <v>0.28125000000000799</v>
      </c>
      <c r="Q40" s="18">
        <f t="shared" si="3"/>
        <v>0</v>
      </c>
      <c r="R40" s="18">
        <f t="shared" si="3"/>
        <v>0</v>
      </c>
      <c r="S40" s="18">
        <f t="shared" si="3"/>
        <v>0</v>
      </c>
      <c r="T40" s="18">
        <f t="shared" si="3"/>
        <v>0</v>
      </c>
      <c r="U40" s="18"/>
      <c r="V40" s="18"/>
      <c r="W40" s="18"/>
      <c r="X40" s="18"/>
    </row>
    <row r="41" spans="2:24" x14ac:dyDescent="0.2">
      <c r="B41" s="20" t="str">
        <f>IF(ISBLANK(Planif[[#This Row],[Nom de la tâche]]),"",ROW(Planif[[#This Row],[Nom de la tâche]])-ROW(Planif[[#Headers],[Nom de la tâche]]))</f>
        <v/>
      </c>
      <c r="C41" s="12"/>
      <c r="D41" s="12"/>
      <c r="E41" s="56"/>
      <c r="F41" s="56"/>
      <c r="G41" s="56"/>
      <c r="H41" s="17"/>
      <c r="I41" s="57"/>
      <c r="M41" s="7">
        <v>0.29166666666667701</v>
      </c>
      <c r="Q41" s="18">
        <f t="shared" si="3"/>
        <v>0</v>
      </c>
      <c r="R41" s="18">
        <f t="shared" si="3"/>
        <v>0</v>
      </c>
      <c r="S41" s="18">
        <f t="shared" si="3"/>
        <v>0</v>
      </c>
      <c r="T41" s="18">
        <f t="shared" si="3"/>
        <v>0</v>
      </c>
      <c r="U41" s="18"/>
      <c r="V41" s="18"/>
      <c r="W41" s="18"/>
      <c r="X41" s="18"/>
    </row>
    <row r="42" spans="2:24" x14ac:dyDescent="0.2">
      <c r="B42" s="20" t="str">
        <f>IF(ISBLANK(Planif[[#This Row],[Nom de la tâche]]),"",ROW(Planif[[#This Row],[Nom de la tâche]])-ROW(Planif[[#Headers],[Nom de la tâche]]))</f>
        <v/>
      </c>
      <c r="C42" s="12"/>
      <c r="D42" s="12"/>
      <c r="E42" s="56"/>
      <c r="F42" s="56"/>
      <c r="G42" s="56"/>
      <c r="H42" s="17"/>
      <c r="I42" s="57"/>
      <c r="M42" s="7">
        <v>0.30208333333334503</v>
      </c>
      <c r="Q42" s="18">
        <f t="shared" si="3"/>
        <v>0</v>
      </c>
      <c r="R42" s="18">
        <f t="shared" si="3"/>
        <v>0</v>
      </c>
      <c r="S42" s="18">
        <f t="shared" si="3"/>
        <v>0</v>
      </c>
      <c r="T42" s="18">
        <f t="shared" si="3"/>
        <v>0</v>
      </c>
      <c r="U42" s="18"/>
      <c r="V42" s="18"/>
      <c r="W42" s="18"/>
      <c r="X42" s="18"/>
    </row>
    <row r="43" spans="2:24" x14ac:dyDescent="0.2">
      <c r="B43" s="20" t="str">
        <f>IF(ISBLANK(Planif[[#This Row],[Nom de la tâche]]),"",ROW(Planif[[#This Row],[Nom de la tâche]])-ROW(Planif[[#Headers],[Nom de la tâche]]))</f>
        <v/>
      </c>
      <c r="C43" s="12"/>
      <c r="D43" s="12"/>
      <c r="E43" s="56"/>
      <c r="F43" s="56"/>
      <c r="G43" s="56"/>
      <c r="H43" s="17"/>
      <c r="I43" s="57"/>
      <c r="M43" s="7">
        <v>0.31250000000001399</v>
      </c>
      <c r="Q43" s="18">
        <f t="shared" si="3"/>
        <v>0</v>
      </c>
      <c r="R43" s="18">
        <f t="shared" si="3"/>
        <v>0</v>
      </c>
      <c r="S43" s="18">
        <f t="shared" si="3"/>
        <v>0</v>
      </c>
      <c r="T43" s="18">
        <f t="shared" si="3"/>
        <v>0</v>
      </c>
      <c r="U43" s="18"/>
      <c r="V43" s="18"/>
      <c r="W43" s="18"/>
      <c r="X43" s="18"/>
    </row>
    <row r="44" spans="2:24" x14ac:dyDescent="0.2">
      <c r="B44" s="20" t="str">
        <f>IF(ISBLANK(Planif[[#This Row],[Nom de la tâche]]),"",ROW(Planif[[#This Row],[Nom de la tâche]])-ROW(Planif[[#Headers],[Nom de la tâche]]))</f>
        <v/>
      </c>
      <c r="C44" s="12"/>
      <c r="D44" s="12"/>
      <c r="E44" s="56"/>
      <c r="F44" s="56"/>
      <c r="G44" s="56"/>
      <c r="H44" s="17"/>
      <c r="I44" s="57"/>
      <c r="M44" s="7">
        <v>0.32291666666668301</v>
      </c>
      <c r="Q44" s="18">
        <f t="shared" si="3"/>
        <v>0</v>
      </c>
      <c r="R44" s="18">
        <f t="shared" si="3"/>
        <v>0</v>
      </c>
      <c r="S44" s="18">
        <f t="shared" si="3"/>
        <v>0</v>
      </c>
      <c r="T44" s="18">
        <f t="shared" si="3"/>
        <v>0</v>
      </c>
      <c r="U44" s="18"/>
      <c r="V44" s="18"/>
      <c r="W44" s="18"/>
      <c r="X44" s="18"/>
    </row>
    <row r="45" spans="2:24" x14ac:dyDescent="0.2">
      <c r="B45" s="20" t="str">
        <f>IF(ISBLANK(Planif[[#This Row],[Nom de la tâche]]),"",ROW(Planif[[#This Row],[Nom de la tâche]])-ROW(Planif[[#Headers],[Nom de la tâche]]))</f>
        <v/>
      </c>
      <c r="C45" s="12"/>
      <c r="D45" s="12"/>
      <c r="E45" s="56"/>
      <c r="F45" s="56"/>
      <c r="G45" s="56"/>
      <c r="H45" s="17"/>
      <c r="I45" s="57"/>
      <c r="M45" s="7">
        <v>0.33333333333335102</v>
      </c>
      <c r="Q45" s="18">
        <f t="shared" si="3"/>
        <v>0</v>
      </c>
      <c r="R45" s="18">
        <f t="shared" si="3"/>
        <v>0</v>
      </c>
      <c r="S45" s="18">
        <f t="shared" si="3"/>
        <v>0</v>
      </c>
      <c r="T45" s="18">
        <f t="shared" si="3"/>
        <v>0</v>
      </c>
      <c r="U45" s="18"/>
      <c r="V45" s="18"/>
      <c r="W45" s="18"/>
      <c r="X45" s="18"/>
    </row>
    <row r="46" spans="2:24" x14ac:dyDescent="0.2">
      <c r="B46" s="20" t="str">
        <f>IF(ISBLANK(Planif[[#This Row],[Nom de la tâche]]),"",ROW(Planif[[#This Row],[Nom de la tâche]])-ROW(Planif[[#Headers],[Nom de la tâche]]))</f>
        <v/>
      </c>
      <c r="C46" s="12"/>
      <c r="D46" s="12"/>
      <c r="E46" s="56"/>
      <c r="F46" s="56"/>
      <c r="G46" s="56"/>
      <c r="H46" s="17"/>
      <c r="I46" s="57"/>
      <c r="M46" s="7">
        <v>0.34375000000001998</v>
      </c>
      <c r="Q46" s="18">
        <f t="shared" si="3"/>
        <v>0</v>
      </c>
      <c r="R46" s="18">
        <f t="shared" si="3"/>
        <v>0</v>
      </c>
      <c r="S46" s="18">
        <f t="shared" si="3"/>
        <v>0</v>
      </c>
      <c r="T46" s="18">
        <f t="shared" si="3"/>
        <v>0</v>
      </c>
      <c r="U46" s="18"/>
      <c r="V46" s="18"/>
      <c r="W46" s="18"/>
      <c r="X46" s="18"/>
    </row>
    <row r="47" spans="2:24" x14ac:dyDescent="0.2">
      <c r="B47" s="20" t="str">
        <f>IF(ISBLANK(Planif[[#This Row],[Nom de la tâche]]),"",ROW(Planif[[#This Row],[Nom de la tâche]])-ROW(Planif[[#Headers],[Nom de la tâche]]))</f>
        <v/>
      </c>
      <c r="C47" s="12"/>
      <c r="D47" s="12"/>
      <c r="E47" s="56"/>
      <c r="F47" s="56"/>
      <c r="G47" s="56"/>
      <c r="H47" s="17"/>
      <c r="I47" s="57"/>
      <c r="M47" s="7">
        <v>0.354166666666688</v>
      </c>
      <c r="Q47" s="18">
        <f t="shared" si="3"/>
        <v>0</v>
      </c>
      <c r="R47" s="18">
        <f t="shared" si="3"/>
        <v>0</v>
      </c>
      <c r="S47" s="18">
        <f t="shared" si="3"/>
        <v>0</v>
      </c>
      <c r="T47" s="18">
        <f t="shared" si="3"/>
        <v>0</v>
      </c>
      <c r="U47" s="18"/>
      <c r="V47" s="18"/>
      <c r="W47" s="18"/>
      <c r="X47" s="18"/>
    </row>
    <row r="48" spans="2:24" x14ac:dyDescent="0.2">
      <c r="B48" s="20" t="str">
        <f>IF(ISBLANK(Planif[[#This Row],[Nom de la tâche]]),"",ROW(Planif[[#This Row],[Nom de la tâche]])-ROW(Planif[[#Headers],[Nom de la tâche]]))</f>
        <v/>
      </c>
      <c r="C48" s="12"/>
      <c r="D48" s="12"/>
      <c r="E48" s="56"/>
      <c r="F48" s="56"/>
      <c r="G48" s="56"/>
      <c r="H48" s="17"/>
      <c r="I48" s="57"/>
      <c r="M48" s="7">
        <v>0.36458333333335702</v>
      </c>
      <c r="N48" s="8"/>
      <c r="P48" s="8"/>
      <c r="Q48" s="18">
        <f t="shared" si="3"/>
        <v>0</v>
      </c>
      <c r="R48" s="18">
        <f t="shared" si="3"/>
        <v>0</v>
      </c>
      <c r="S48" s="18">
        <f t="shared" si="3"/>
        <v>0</v>
      </c>
      <c r="T48" s="18">
        <f t="shared" si="3"/>
        <v>0</v>
      </c>
      <c r="U48" s="18"/>
      <c r="V48" s="18"/>
      <c r="W48" s="18"/>
      <c r="X48" s="18"/>
    </row>
    <row r="49" spans="2:24" x14ac:dyDescent="0.2">
      <c r="B49" s="20" t="str">
        <f>IF(ISBLANK(Planif[[#This Row],[Nom de la tâche]]),"",ROW(Planif[[#This Row],[Nom de la tâche]])-ROW(Planif[[#Headers],[Nom de la tâche]]))</f>
        <v/>
      </c>
      <c r="C49" s="12"/>
      <c r="D49" s="12"/>
      <c r="E49" s="56"/>
      <c r="F49" s="56"/>
      <c r="G49" s="56"/>
      <c r="H49" s="17"/>
      <c r="I49" s="57"/>
      <c r="M49" s="7">
        <v>0.37500000000002598</v>
      </c>
      <c r="Q49" s="18">
        <f t="shared" si="3"/>
        <v>0</v>
      </c>
      <c r="R49" s="18">
        <f t="shared" si="3"/>
        <v>0</v>
      </c>
      <c r="S49" s="18">
        <f t="shared" si="3"/>
        <v>0</v>
      </c>
      <c r="T49" s="18">
        <f t="shared" si="3"/>
        <v>0</v>
      </c>
      <c r="U49" s="18"/>
      <c r="V49" s="18"/>
      <c r="W49" s="18"/>
      <c r="X49" s="18"/>
    </row>
    <row r="50" spans="2:24" x14ac:dyDescent="0.2">
      <c r="B50" s="20" t="str">
        <f>IF(ISBLANK(Planif[[#This Row],[Nom de la tâche]]),"",ROW(Planif[[#This Row],[Nom de la tâche]])-ROW(Planif[[#Headers],[Nom de la tâche]]))</f>
        <v/>
      </c>
      <c r="C50" s="12"/>
      <c r="D50" s="12"/>
      <c r="E50" s="56"/>
      <c r="F50" s="56"/>
      <c r="G50" s="56"/>
      <c r="H50" s="17"/>
      <c r="I50" s="57"/>
      <c r="M50" s="7">
        <v>0.385416666666695</v>
      </c>
      <c r="Q50" s="18">
        <f t="shared" si="3"/>
        <v>0</v>
      </c>
      <c r="R50" s="18">
        <f t="shared" si="3"/>
        <v>0</v>
      </c>
      <c r="S50" s="18">
        <f t="shared" si="3"/>
        <v>0</v>
      </c>
      <c r="T50" s="18">
        <f t="shared" si="3"/>
        <v>0</v>
      </c>
      <c r="U50" s="18"/>
      <c r="V50" s="18"/>
      <c r="W50" s="18"/>
      <c r="X50" s="18"/>
    </row>
    <row r="51" spans="2:24" x14ac:dyDescent="0.2">
      <c r="B51" s="20" t="str">
        <f>IF(ISBLANK(Planif[[#This Row],[Nom de la tâche]]),"",ROW(Planif[[#This Row],[Nom de la tâche]])-ROW(Planif[[#Headers],[Nom de la tâche]]))</f>
        <v/>
      </c>
      <c r="C51" s="12"/>
      <c r="D51" s="12"/>
      <c r="E51" s="56"/>
      <c r="F51" s="56"/>
      <c r="G51" s="56"/>
      <c r="H51" s="17"/>
      <c r="I51" s="57"/>
      <c r="M51" s="7">
        <v>0.39583333333336401</v>
      </c>
      <c r="Q51" s="18">
        <f t="shared" si="3"/>
        <v>0</v>
      </c>
      <c r="R51" s="18">
        <f t="shared" si="3"/>
        <v>0</v>
      </c>
      <c r="S51" s="18">
        <f t="shared" si="3"/>
        <v>0</v>
      </c>
      <c r="T51" s="18">
        <f t="shared" si="3"/>
        <v>0</v>
      </c>
      <c r="U51" s="18"/>
      <c r="V51" s="18"/>
      <c r="W51" s="18"/>
      <c r="X51" s="18"/>
    </row>
    <row r="52" spans="2:24" x14ac:dyDescent="0.2">
      <c r="B52" s="20" t="str">
        <f>IF(ISBLANK(Planif[[#This Row],[Nom de la tâche]]),"",ROW(Planif[[#This Row],[Nom de la tâche]])-ROW(Planif[[#Headers],[Nom de la tâche]]))</f>
        <v/>
      </c>
      <c r="C52" s="12"/>
      <c r="D52" s="12"/>
      <c r="E52" s="56"/>
      <c r="F52" s="56"/>
      <c r="G52" s="56"/>
      <c r="H52" s="17"/>
      <c r="I52" s="57"/>
      <c r="M52" s="7">
        <v>0.40625000000003297</v>
      </c>
      <c r="Q52" s="18">
        <f t="shared" si="3"/>
        <v>0</v>
      </c>
      <c r="R52" s="18">
        <f t="shared" si="3"/>
        <v>0</v>
      </c>
      <c r="S52" s="18">
        <f t="shared" si="3"/>
        <v>0</v>
      </c>
      <c r="T52" s="18">
        <f t="shared" si="3"/>
        <v>0</v>
      </c>
      <c r="U52" s="18"/>
      <c r="V52" s="18"/>
      <c r="W52" s="18"/>
      <c r="X52" s="18"/>
    </row>
    <row r="53" spans="2:24" x14ac:dyDescent="0.2">
      <c r="B53" s="20" t="str">
        <f>IF(ISBLANK(Planif[[#This Row],[Nom de la tâche]]),"",ROW(Planif[[#This Row],[Nom de la tâche]])-ROW(Planif[[#Headers],[Nom de la tâche]]))</f>
        <v/>
      </c>
      <c r="C53" s="12"/>
      <c r="D53" s="12"/>
      <c r="E53" s="56"/>
      <c r="F53" s="56"/>
      <c r="G53" s="56"/>
      <c r="H53" s="17"/>
      <c r="I53" s="57"/>
      <c r="M53" s="7">
        <v>0.41666666666670199</v>
      </c>
      <c r="Q53" s="18">
        <f t="shared" si="3"/>
        <v>0</v>
      </c>
      <c r="R53" s="18">
        <f t="shared" si="3"/>
        <v>0</v>
      </c>
      <c r="S53" s="18">
        <f t="shared" si="3"/>
        <v>0</v>
      </c>
      <c r="T53" s="18">
        <f t="shared" si="3"/>
        <v>0</v>
      </c>
      <c r="U53" s="18"/>
      <c r="V53" s="18"/>
      <c r="W53" s="18"/>
      <c r="X53" s="18"/>
    </row>
    <row r="54" spans="2:24" x14ac:dyDescent="0.2">
      <c r="B54" s="20" t="str">
        <f>IF(ISBLANK(Planif[[#This Row],[Nom de la tâche]]),"",ROW(Planif[[#This Row],[Nom de la tâche]])-ROW(Planif[[#Headers],[Nom de la tâche]]))</f>
        <v/>
      </c>
      <c r="C54" s="12"/>
      <c r="D54" s="12"/>
      <c r="E54" s="56"/>
      <c r="F54" s="56"/>
      <c r="G54" s="56"/>
      <c r="H54" s="17"/>
      <c r="I54" s="57"/>
      <c r="M54" s="7">
        <v>0.42708333333337101</v>
      </c>
      <c r="Q54" s="18">
        <f t="shared" si="3"/>
        <v>0</v>
      </c>
      <c r="R54" s="18">
        <f t="shared" si="3"/>
        <v>0</v>
      </c>
      <c r="S54" s="18">
        <f t="shared" si="3"/>
        <v>0</v>
      </c>
      <c r="T54" s="18">
        <f t="shared" si="3"/>
        <v>0</v>
      </c>
      <c r="U54" s="18"/>
      <c r="V54" s="18"/>
      <c r="W54" s="18"/>
      <c r="X54" s="18"/>
    </row>
    <row r="55" spans="2:24" x14ac:dyDescent="0.2">
      <c r="B55" s="20" t="str">
        <f>IF(ISBLANK(Planif[[#This Row],[Nom de la tâche]]),"",ROW(Planif[[#This Row],[Nom de la tâche]])-ROW(Planif[[#Headers],[Nom de la tâche]]))</f>
        <v/>
      </c>
      <c r="C55" s="12"/>
      <c r="D55" s="12"/>
      <c r="E55" s="56"/>
      <c r="F55" s="56"/>
      <c r="G55" s="56"/>
      <c r="H55" s="17"/>
      <c r="I55" s="57"/>
      <c r="M55" s="7">
        <v>0.43750000000004002</v>
      </c>
      <c r="Q55" s="18">
        <f t="shared" si="3"/>
        <v>0</v>
      </c>
      <c r="R55" s="18">
        <f t="shared" si="3"/>
        <v>0</v>
      </c>
      <c r="S55" s="18">
        <f t="shared" si="3"/>
        <v>0</v>
      </c>
      <c r="T55" s="18">
        <f t="shared" si="3"/>
        <v>0</v>
      </c>
      <c r="U55" s="18"/>
      <c r="V55" s="18"/>
      <c r="W55" s="18"/>
      <c r="X55" s="18"/>
    </row>
    <row r="56" spans="2:24" x14ac:dyDescent="0.2">
      <c r="B56" s="20" t="str">
        <f>IF(ISBLANK(Planif[[#This Row],[Nom de la tâche]]),"",ROW(Planif[[#This Row],[Nom de la tâche]])-ROW(Planif[[#Headers],[Nom de la tâche]]))</f>
        <v/>
      </c>
      <c r="C56" s="12"/>
      <c r="D56" s="12"/>
      <c r="E56" s="56"/>
      <c r="F56" s="56"/>
      <c r="G56" s="56"/>
      <c r="H56" s="17"/>
      <c r="I56" s="57"/>
      <c r="M56" s="7">
        <v>0.44791666666670898</v>
      </c>
      <c r="Q56" s="18">
        <f t="shared" si="3"/>
        <v>0</v>
      </c>
      <c r="R56" s="18">
        <f t="shared" si="3"/>
        <v>0</v>
      </c>
      <c r="S56" s="18">
        <f t="shared" si="3"/>
        <v>0</v>
      </c>
      <c r="T56" s="18">
        <f t="shared" si="3"/>
        <v>0</v>
      </c>
      <c r="U56" s="18"/>
      <c r="V56" s="18"/>
      <c r="W56" s="18"/>
      <c r="X56" s="18"/>
    </row>
    <row r="57" spans="2:24" x14ac:dyDescent="0.2">
      <c r="B57" s="20" t="str">
        <f>IF(ISBLANK(Planif[[#This Row],[Nom de la tâche]]),"",ROW(Planif[[#This Row],[Nom de la tâche]])-ROW(Planif[[#Headers],[Nom de la tâche]]))</f>
        <v/>
      </c>
      <c r="C57" s="12"/>
      <c r="D57" s="12"/>
      <c r="E57" s="56"/>
      <c r="F57" s="56"/>
      <c r="G57" s="56"/>
      <c r="H57" s="17"/>
      <c r="I57" s="57"/>
      <c r="M57" s="7">
        <v>0.458333333333378</v>
      </c>
      <c r="Q57" s="18">
        <f t="shared" si="3"/>
        <v>0</v>
      </c>
      <c r="R57" s="18">
        <f t="shared" si="3"/>
        <v>0</v>
      </c>
      <c r="S57" s="18">
        <f t="shared" si="3"/>
        <v>0</v>
      </c>
      <c r="T57" s="18">
        <f t="shared" si="3"/>
        <v>0</v>
      </c>
      <c r="U57" s="18"/>
      <c r="V57" s="18"/>
      <c r="W57" s="18"/>
      <c r="X57" s="18"/>
    </row>
    <row r="58" spans="2:24" x14ac:dyDescent="0.2">
      <c r="B58" s="20" t="str">
        <f>IF(ISBLANK(Planif[[#This Row],[Nom de la tâche]]),"",ROW(Planif[[#This Row],[Nom de la tâche]])-ROW(Planif[[#Headers],[Nom de la tâche]]))</f>
        <v/>
      </c>
      <c r="C58" s="12"/>
      <c r="D58" s="12"/>
      <c r="E58" s="56"/>
      <c r="F58" s="56"/>
      <c r="G58" s="56"/>
      <c r="H58" s="17"/>
      <c r="I58" s="57"/>
      <c r="M58" s="7">
        <v>0.46875000000004702</v>
      </c>
      <c r="Q58" s="18">
        <f t="shared" si="3"/>
        <v>0</v>
      </c>
      <c r="R58" s="18">
        <f t="shared" si="3"/>
        <v>0</v>
      </c>
      <c r="S58" s="18">
        <f t="shared" si="3"/>
        <v>0</v>
      </c>
      <c r="T58" s="18">
        <f t="shared" si="3"/>
        <v>0</v>
      </c>
      <c r="U58" s="18"/>
      <c r="V58" s="18"/>
      <c r="W58" s="18"/>
      <c r="X58" s="18"/>
    </row>
    <row r="59" spans="2:24" x14ac:dyDescent="0.2">
      <c r="B59" s="20" t="str">
        <f>IF(ISBLANK(Planif[[#This Row],[Nom de la tâche]]),"",ROW(Planif[[#This Row],[Nom de la tâche]])-ROW(Planif[[#Headers],[Nom de la tâche]]))</f>
        <v/>
      </c>
      <c r="C59" s="12"/>
      <c r="D59" s="12"/>
      <c r="E59" s="56"/>
      <c r="F59" s="56"/>
      <c r="G59" s="56"/>
      <c r="H59" s="17"/>
      <c r="I59" s="57"/>
      <c r="M59" s="7">
        <v>0.47916666666671598</v>
      </c>
      <c r="Q59" s="18">
        <f t="shared" si="3"/>
        <v>0</v>
      </c>
      <c r="R59" s="18">
        <f t="shared" si="3"/>
        <v>0</v>
      </c>
      <c r="S59" s="18">
        <f t="shared" si="3"/>
        <v>0</v>
      </c>
      <c r="T59" s="18">
        <f t="shared" si="3"/>
        <v>0</v>
      </c>
      <c r="U59" s="18"/>
      <c r="V59" s="18"/>
      <c r="W59" s="18"/>
      <c r="X59" s="18"/>
    </row>
    <row r="60" spans="2:24" x14ac:dyDescent="0.2">
      <c r="B60" s="20" t="str">
        <f>IF(ISBLANK(Planif[[#This Row],[Nom de la tâche]]),"",ROW(Planif[[#This Row],[Nom de la tâche]])-ROW(Planif[[#Headers],[Nom de la tâche]]))</f>
        <v/>
      </c>
      <c r="C60" s="12"/>
      <c r="D60" s="12"/>
      <c r="E60" s="56"/>
      <c r="F60" s="56"/>
      <c r="G60" s="56"/>
      <c r="H60" s="17"/>
      <c r="I60" s="57"/>
      <c r="M60" s="7">
        <v>0.489583333333385</v>
      </c>
      <c r="Q60" s="18">
        <f t="shared" si="3"/>
        <v>0</v>
      </c>
      <c r="R60" s="18">
        <f t="shared" si="3"/>
        <v>0</v>
      </c>
      <c r="S60" s="18">
        <f t="shared" si="3"/>
        <v>0</v>
      </c>
      <c r="T60" s="18">
        <f t="shared" si="3"/>
        <v>0</v>
      </c>
      <c r="U60" s="18"/>
      <c r="V60" s="18"/>
      <c r="W60" s="18"/>
      <c r="X60" s="18"/>
    </row>
    <row r="61" spans="2:24" x14ac:dyDescent="0.2">
      <c r="B61" s="20" t="str">
        <f>IF(ISBLANK(Planif[[#This Row],[Nom de la tâche]]),"",ROW(Planif[[#This Row],[Nom de la tâche]])-ROW(Planif[[#Headers],[Nom de la tâche]]))</f>
        <v/>
      </c>
      <c r="C61" s="12"/>
      <c r="D61" s="12"/>
      <c r="E61" s="56"/>
      <c r="F61" s="56"/>
      <c r="G61" s="56"/>
      <c r="H61" s="17"/>
      <c r="I61" s="57"/>
      <c r="M61" s="7">
        <v>0.50000000000005296</v>
      </c>
      <c r="Q61" s="18">
        <f t="shared" si="3"/>
        <v>0</v>
      </c>
      <c r="R61" s="18">
        <f t="shared" si="3"/>
        <v>0</v>
      </c>
      <c r="S61" s="18">
        <f t="shared" si="3"/>
        <v>0</v>
      </c>
      <c r="T61" s="18">
        <f t="shared" si="3"/>
        <v>0</v>
      </c>
      <c r="U61" s="18"/>
      <c r="V61" s="18"/>
      <c r="W61" s="18"/>
      <c r="X61" s="18"/>
    </row>
    <row r="62" spans="2:24" x14ac:dyDescent="0.2">
      <c r="B62" s="21" t="str">
        <f>IF(ISBLANK(Planif[[#This Row],[Nom de la tâche]]),"",ROW(Planif[[#This Row],[Nom de la tâche]])-ROW(Planif[[#Headers],[Nom de la tâche]]))</f>
        <v/>
      </c>
      <c r="C62" s="12"/>
      <c r="D62" s="12"/>
      <c r="E62" s="56"/>
      <c r="F62" s="56"/>
      <c r="G62" s="56"/>
      <c r="H62" s="17"/>
      <c r="I62" s="57"/>
      <c r="Q62" s="18">
        <f t="shared" si="3"/>
        <v>0</v>
      </c>
      <c r="R62" s="18">
        <f t="shared" si="3"/>
        <v>0</v>
      </c>
      <c r="S62" s="18">
        <f t="shared" si="3"/>
        <v>0</v>
      </c>
      <c r="T62" s="18">
        <f t="shared" si="3"/>
        <v>0</v>
      </c>
      <c r="U62" s="18"/>
      <c r="V62" s="18"/>
      <c r="W62" s="18"/>
      <c r="X62" s="18"/>
    </row>
    <row r="63" spans="2:24" x14ac:dyDescent="0.2">
      <c r="L63" s="1" t="s">
        <v>41</v>
      </c>
      <c r="M63" s="1" t="s">
        <v>42</v>
      </c>
      <c r="N63" s="1" t="s">
        <v>43</v>
      </c>
      <c r="P63" s="1"/>
      <c r="U63" s="2"/>
      <c r="V63" s="2"/>
      <c r="W63" s="2"/>
      <c r="X63" s="2"/>
    </row>
    <row r="64" spans="2:24" x14ac:dyDescent="0.2">
      <c r="B64" s="9"/>
      <c r="L64" s="50">
        <f>SUM(Planif[Temps requis])</f>
        <v>1.5208333333333606</v>
      </c>
      <c r="M64" s="2">
        <f>HOUR(L64)+DAY(L64)*24</f>
        <v>36</v>
      </c>
      <c r="N64" s="2">
        <f>MINUTE(L64)</f>
        <v>30</v>
      </c>
      <c r="Q64" s="18">
        <f>SUM(Q13:Q62)</f>
        <v>0.79166666666669294</v>
      </c>
      <c r="R64" s="18">
        <f t="shared" ref="R64:T64" si="4">SUM(R13:R62)</f>
        <v>0.20833333333333401</v>
      </c>
      <c r="S64" s="18">
        <f t="shared" si="4"/>
        <v>0.125</v>
      </c>
      <c r="T64" s="18">
        <f t="shared" si="4"/>
        <v>0.3958333333333337</v>
      </c>
      <c r="U64" s="18">
        <f>SUM(Q64:T64)</f>
        <v>1.5208333333333606</v>
      </c>
      <c r="V64" s="18"/>
      <c r="W64" s="18"/>
      <c r="X64" s="18"/>
    </row>
    <row r="65" spans="17:21" x14ac:dyDescent="0.2">
      <c r="Q65" s="2">
        <f>COUNTIF($I$13:$I$62,Q12)</f>
        <v>4</v>
      </c>
      <c r="R65" s="2">
        <f t="shared" ref="R65:T65" si="5">COUNTIF($I$13:$I$62,R12)</f>
        <v>1</v>
      </c>
      <c r="S65" s="2">
        <f t="shared" si="5"/>
        <v>1</v>
      </c>
      <c r="T65" s="2">
        <f t="shared" si="5"/>
        <v>6</v>
      </c>
      <c r="U65" s="51">
        <f>SUM(Q65:T65)</f>
        <v>12</v>
      </c>
    </row>
  </sheetData>
  <sheetProtection password="D073" sheet="1" objects="1" scenarios="1" selectLockedCells="1"/>
  <mergeCells count="5">
    <mergeCell ref="B9:I9"/>
    <mergeCell ref="H4:I4"/>
    <mergeCell ref="H5:I5"/>
    <mergeCell ref="H6:I6"/>
    <mergeCell ref="B2:I2"/>
  </mergeCells>
  <conditionalFormatting sqref="H13 H15 H17 H19 H21 H23 H25 H27 H29 H31 H33 H35 H37 H39 H41 H43 H45 H47 H49 H51 H53 H55 H57 H59 H61">
    <cfRule type="dataBar" priority="33">
      <dataBar>
        <cfvo type="num" val="0"/>
        <cfvo type="num" val="0.375"/>
        <color rgb="FFCDDBEB"/>
      </dataBar>
      <extLst>
        <ext xmlns:x14="http://schemas.microsoft.com/office/spreadsheetml/2009/9/main" uri="{B025F937-C7B1-47D3-B67F-A62EFF666E3E}">
          <x14:id>{CAEC07CA-D487-4C77-96DA-98C78F16CFFE}</x14:id>
        </ext>
      </extLst>
    </cfRule>
  </conditionalFormatting>
  <conditionalFormatting sqref="H16 H14 H18 H20 H22 H24 H26 H28 H30 H32 H34 H36 H38 H40 H42 H44 H46 H48 H50 H52 H54 H56 H58 H60 H62">
    <cfRule type="dataBar" priority="32">
      <dataBar>
        <cfvo type="num" val="0"/>
        <cfvo type="num" val="0.375"/>
        <color rgb="FFBDD0E5"/>
      </dataBar>
      <extLst>
        <ext xmlns:x14="http://schemas.microsoft.com/office/spreadsheetml/2009/9/main" uri="{B025F937-C7B1-47D3-B67F-A62EFF666E3E}">
          <x14:id>{5B53A030-3D8B-4B82-9D1A-C757E34CCD41}</x14:id>
        </ext>
      </extLst>
    </cfRule>
  </conditionalFormatting>
  <conditionalFormatting sqref="F13 F15 F17 F19 F21 F23 F25 F27 F29 F31 F33 F35 F37 F39 F41 F43 F45 F47 F49 F51 F53 F55 F57 F59 F61">
    <cfRule type="cellIs" dxfId="152" priority="21" operator="equal">
      <formula>2</formula>
    </cfRule>
    <cfRule type="cellIs" dxfId="151" priority="23" operator="equal">
      <formula>1</formula>
    </cfRule>
  </conditionalFormatting>
  <conditionalFormatting sqref="G13 G15 G17 G19 G21 G23 G25 G27 G29 G31 G33 G35 G37 G39 G41 G43 G45 G47 G49 G51 G53 G55 G57 G59 G61">
    <cfRule type="cellIs" dxfId="150" priority="14" operator="equal">
      <formula>1</formula>
    </cfRule>
    <cfRule type="cellIs" dxfId="149" priority="16" operator="equal">
      <formula>2</formula>
    </cfRule>
    <cfRule type="cellIs" dxfId="148" priority="18" operator="equal">
      <formula>3</formula>
    </cfRule>
  </conditionalFormatting>
  <conditionalFormatting sqref="F14 F16 F18 F20 F22 F24 F26 F28 F30 F32 F34 F36 F38 F40 F42 F44 F46 F48 F50 F52 F54 F56 F58 F60 F62">
    <cfRule type="cellIs" dxfId="147" priority="20" operator="equal">
      <formula>2</formula>
    </cfRule>
    <cfRule type="cellIs" dxfId="146" priority="22" operator="equal">
      <formula>1</formula>
    </cfRule>
  </conditionalFormatting>
  <conditionalFormatting sqref="G14 G16 G18 G20 G22 G24 G26 G28 G30 G32 G34 G36 G38 G40 G42 G44 G46 G48 G50 G52 G54 G56 G58 G60 G62">
    <cfRule type="cellIs" dxfId="145" priority="13" operator="equal">
      <formula>1</formula>
    </cfRule>
    <cfRule type="cellIs" dxfId="144" priority="15" operator="equal">
      <formula>2</formula>
    </cfRule>
    <cfRule type="cellIs" dxfId="143" priority="17" operator="equal">
      <formula>3</formula>
    </cfRule>
  </conditionalFormatting>
  <conditionalFormatting sqref="F13:F62">
    <cfRule type="cellIs" dxfId="142" priority="19" operator="equal">
      <formula>3</formula>
    </cfRule>
  </conditionalFormatting>
  <conditionalFormatting sqref="H18 H20 H22">
    <cfRule type="dataBar" priority="12">
      <dataBar>
        <cfvo type="num" val="0"/>
        <cfvo type="num" val="0.375"/>
        <color rgb="FFCDDBEB"/>
      </dataBar>
      <extLst>
        <ext xmlns:x14="http://schemas.microsoft.com/office/spreadsheetml/2009/9/main" uri="{B025F937-C7B1-47D3-B67F-A62EFF666E3E}">
          <x14:id>{1134B83A-39A3-43F6-9844-529DB79D1309}</x14:id>
        </ext>
      </extLst>
    </cfRule>
  </conditionalFormatting>
  <conditionalFormatting sqref="H17 H19 H21">
    <cfRule type="dataBar" priority="11">
      <dataBar>
        <cfvo type="num" val="0"/>
        <cfvo type="num" val="0.375"/>
        <color rgb="FFBDD0E5"/>
      </dataBar>
      <extLst>
        <ext xmlns:x14="http://schemas.microsoft.com/office/spreadsheetml/2009/9/main" uri="{B025F937-C7B1-47D3-B67F-A62EFF666E3E}">
          <x14:id>{7C3539AA-9C75-4F99-AD8A-FF1B95A7A981}</x14:id>
        </ext>
      </extLst>
    </cfRule>
  </conditionalFormatting>
  <conditionalFormatting sqref="F18 F20 F22">
    <cfRule type="cellIs" dxfId="141" priority="8" operator="equal">
      <formula>2</formula>
    </cfRule>
    <cfRule type="cellIs" dxfId="140" priority="10" operator="equal">
      <formula>1</formula>
    </cfRule>
  </conditionalFormatting>
  <conditionalFormatting sqref="G18 G20 G22">
    <cfRule type="cellIs" dxfId="139" priority="2" operator="equal">
      <formula>1</formula>
    </cfRule>
    <cfRule type="cellIs" dxfId="138" priority="4" operator="equal">
      <formula>2</formula>
    </cfRule>
    <cfRule type="cellIs" dxfId="137" priority="6" operator="equal">
      <formula>3</formula>
    </cfRule>
  </conditionalFormatting>
  <conditionalFormatting sqref="F17 F19 F21">
    <cfRule type="cellIs" dxfId="136" priority="7" operator="equal">
      <formula>2</formula>
    </cfRule>
    <cfRule type="cellIs" dxfId="135" priority="9" operator="equal">
      <formula>1</formula>
    </cfRule>
  </conditionalFormatting>
  <conditionalFormatting sqref="G17 G19 G21">
    <cfRule type="cellIs" dxfId="134" priority="1" operator="equal">
      <formula>1</formula>
    </cfRule>
    <cfRule type="cellIs" dxfId="133" priority="3" operator="equal">
      <formula>2</formula>
    </cfRule>
    <cfRule type="cellIs" dxfId="132" priority="5" operator="equal">
      <formula>3</formula>
    </cfRule>
  </conditionalFormatting>
  <dataValidations xWindow="1012" yWindow="434" count="5">
    <dataValidation type="list" allowBlank="1" showInputMessage="1" showErrorMessage="1" errorTitle="Saisie erronnée" error="Seules les valeurs indiquées sont permises._x000a_" promptTitle="Sprint" prompt="Veuillez saisir le sprint pour lequel la tâche devra être complétée." sqref="I13:I62">
      <formula1>ListeSprint</formula1>
    </dataValidation>
    <dataValidation type="list" allowBlank="1" showInputMessage="1" showErrorMessage="1" errorTitle="Saisie erronnée" error="Vous ne pouvez saisir que des estimations de temps entre 0 et 6 heures par interval de 15 minutes._x000a__x000a_Si votre tâche requiert plus de temps, c'est que vous pouvez la scinder en plusieurs sous-tâches._x000a_" promptTitle="Temps requis" prompt="Veuillez saisir le temps prévu à la réalisation de la tâche." sqref="H14:H62">
      <formula1>TempsRequis</formula1>
    </dataValidation>
    <dataValidation type="list" allowBlank="1" showInputMessage="1" showErrorMessage="1" errorTitle="Saisie erronnée" error="Seules les valeurs indiquées sont permises._x000a_" promptTitle="Niveau de difficulté" prompt="Veuillez saisir le niveau de difficulté prévu :_x000a_ - 1  |  plus facile_x000a_ - 2  |  moyen_x000a_ - 3  |  plus difficile" sqref="G13:G62">
      <formula1>NiveauDifficulte</formula1>
    </dataValidation>
    <dataValidation type="list" allowBlank="1" showInputMessage="1" showErrorMessage="1" errorTitle="Saisie erronnée" error="Seules les valeurs indiquées sont permises._x000a_" promptTitle="Niveau de priorité" prompt="Veuillez saisir le niveau de priorité de la tâche :_x000a_ - 1  |  prioritaire_x000a_ - 2  |  important_x000a_ - 3  |  moins important" sqref="F13:F62">
      <formula1>NiveauPriorite</formula1>
    </dataValidation>
    <dataValidation type="list" allowBlank="1" showInputMessage="1" showErrorMessage="1" errorTitle="Saisie erronnée" error="Vous ne pouvez saisir que des estimations de temps entre 0 et 9 heures par interval de 15 minutes._x000a__x000a_Si votre tâche requiert plus de temps, c'est que vous pouvez la scinder en plusieurs sous-tâches._x000a_" promptTitle="Temps requis" prompt="Veuillez saisir le temps prévu à la réalisation de la tâche." sqref="H13">
      <formula1>TempsRequis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EC07CA-D487-4C77-96DA-98C78F16CFFE}">
            <x14:dataBar minLength="0" maxLength="100" gradient="0" direction="leftToRight">
              <x14:cfvo type="num">
                <xm:f>0</xm:f>
              </x14:cfvo>
              <x14:cfvo type="num">
                <xm:f>0.375</xm:f>
              </x14:cfvo>
              <x14:negativeFillColor rgb="FFFF0000"/>
              <x14:axisColor rgb="FF000000"/>
            </x14:dataBar>
          </x14:cfRule>
          <xm:sqref>H13 H15 H17 H19 H21 H23 H25 H27 H29 H31 H33 H35 H37 H39 H41 H43 H45 H47 H49 H51 H53 H55 H57 H59 H61</xm:sqref>
        </x14:conditionalFormatting>
        <x14:conditionalFormatting xmlns:xm="http://schemas.microsoft.com/office/excel/2006/main">
          <x14:cfRule type="dataBar" id="{5B53A030-3D8B-4B82-9D1A-C757E34CCD41}">
            <x14:dataBar minLength="0" maxLength="100" gradient="0">
              <x14:cfvo type="num">
                <xm:f>0</xm:f>
              </x14:cfvo>
              <x14:cfvo type="num">
                <xm:f>0.375</xm:f>
              </x14:cfvo>
              <x14:negativeFillColor rgb="FFFF0000"/>
              <x14:axisColor rgb="FF000000"/>
            </x14:dataBar>
          </x14:cfRule>
          <xm:sqref>H16 H14 H18 H20 H22 H24 H26 H28 H30 H32 H34 H36 H38 H40 H42 H44 H46 H48 H50 H52 H54 H56 H58 H60 H62</xm:sqref>
        </x14:conditionalFormatting>
        <x14:conditionalFormatting xmlns:xm="http://schemas.microsoft.com/office/excel/2006/main">
          <x14:cfRule type="dataBar" id="{1134B83A-39A3-43F6-9844-529DB79D1309}">
            <x14:dataBar minLength="0" maxLength="100" gradient="0" direction="leftToRight">
              <x14:cfvo type="num">
                <xm:f>0</xm:f>
              </x14:cfvo>
              <x14:cfvo type="num">
                <xm:f>0.375</xm:f>
              </x14:cfvo>
              <x14:negativeFillColor rgb="FFFF0000"/>
              <x14:axisColor rgb="FF000000"/>
            </x14:dataBar>
          </x14:cfRule>
          <xm:sqref>H18 H20 H22</xm:sqref>
        </x14:conditionalFormatting>
        <x14:conditionalFormatting xmlns:xm="http://schemas.microsoft.com/office/excel/2006/main">
          <x14:cfRule type="dataBar" id="{7C3539AA-9C75-4F99-AD8A-FF1B95A7A981}">
            <x14:dataBar minLength="0" maxLength="100" gradient="0">
              <x14:cfvo type="num">
                <xm:f>0</xm:f>
              </x14:cfvo>
              <x14:cfvo type="num">
                <xm:f>0.375</xm:f>
              </x14:cfvo>
              <x14:negativeFillColor rgb="FFFF0000"/>
              <x14:axisColor rgb="FF000000"/>
            </x14:dataBar>
          </x14:cfRule>
          <xm:sqref>H17 H19 H21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8"/>
  <sheetViews>
    <sheetView showGridLines="0" topLeftCell="A7" workbookViewId="0">
      <selection activeCell="G18" sqref="G18"/>
    </sheetView>
  </sheetViews>
  <sheetFormatPr baseColWidth="10" defaultRowHeight="10.199999999999999" x14ac:dyDescent="0.2"/>
  <cols>
    <col min="1" max="1" width="1.109375" style="1" customWidth="1"/>
    <col min="2" max="2" width="2.77734375" style="1" customWidth="1"/>
    <col min="3" max="3" width="38.88671875" style="1" customWidth="1"/>
    <col min="4" max="4" width="8.33203125" style="2" customWidth="1"/>
    <col min="5" max="6" width="8.33203125" style="1" customWidth="1"/>
    <col min="7" max="8" width="36.77734375" style="1" customWidth="1"/>
    <col min="9" max="9" width="1.109375" style="1" customWidth="1"/>
    <col min="10" max="11" width="1.109375" style="1" hidden="1" customWidth="1"/>
    <col min="12" max="12" width="14" style="1" hidden="1" customWidth="1"/>
    <col min="13" max="14" width="1.109375" style="1" hidden="1" customWidth="1"/>
    <col min="15" max="17" width="0" style="2" hidden="1" customWidth="1"/>
    <col min="18" max="16384" width="11.5546875" style="1"/>
  </cols>
  <sheetData>
    <row r="1" spans="2:17" ht="6" customHeight="1" x14ac:dyDescent="0.2">
      <c r="Q1" s="1"/>
    </row>
    <row r="2" spans="2:17" ht="18" customHeight="1" x14ac:dyDescent="0.4">
      <c r="B2" s="79" t="str">
        <f>NomProjet</f>
        <v>Nom du projet</v>
      </c>
      <c r="C2" s="79"/>
      <c r="D2" s="79"/>
      <c r="E2" s="79"/>
      <c r="F2" s="79"/>
      <c r="G2" s="79"/>
      <c r="H2" s="79"/>
      <c r="Q2" s="1"/>
    </row>
    <row r="3" spans="2:17" ht="6" customHeight="1" x14ac:dyDescent="0.2">
      <c r="B3" s="3"/>
      <c r="Q3" s="1"/>
    </row>
    <row r="4" spans="2:17" x14ac:dyDescent="0.2">
      <c r="C4" s="3"/>
      <c r="E4" s="3"/>
      <c r="G4" s="4"/>
      <c r="H4" s="14"/>
      <c r="Q4" s="1"/>
    </row>
    <row r="5" spans="2:17" x14ac:dyDescent="0.2">
      <c r="G5" s="4"/>
      <c r="H5" s="15"/>
      <c r="Q5" s="1"/>
    </row>
    <row r="6" spans="2:17" x14ac:dyDescent="0.2">
      <c r="G6" s="4"/>
      <c r="H6" s="15"/>
      <c r="Q6" s="1"/>
    </row>
    <row r="7" spans="2:17" ht="6" customHeight="1" x14ac:dyDescent="0.2">
      <c r="Q7" s="1"/>
    </row>
    <row r="8" spans="2:17" ht="6" customHeight="1" x14ac:dyDescent="0.2">
      <c r="Q8" s="1"/>
    </row>
    <row r="9" spans="2:17" ht="15.6" customHeight="1" x14ac:dyDescent="0.2">
      <c r="B9" s="75" t="str">
        <f>"Ce sprint totalise " &amp; P68 &amp; " heures et " &amp; Q68 &amp; " minutes de travail réalisé. "</f>
        <v xml:space="preserve">Ce sprint totalise 18 heures et 0 minutes de travail réalisé. </v>
      </c>
      <c r="C9" s="75"/>
      <c r="D9" s="75"/>
      <c r="E9" s="75"/>
      <c r="F9" s="75"/>
      <c r="G9" s="75"/>
      <c r="H9" s="75"/>
      <c r="Q9" s="1"/>
    </row>
    <row r="10" spans="2:17" ht="10.199999999999999" customHeight="1" x14ac:dyDescent="0.2">
      <c r="H10" s="19" t="str">
        <f>IF(O65=0,"","Attention : "&amp;IF(O65=1,"1 tâche est",O65&amp;" tâches sont")&amp;" en retard. ")</f>
        <v xml:space="preserve">Attention : 1 tâche est en retard. </v>
      </c>
      <c r="Q10" s="1"/>
    </row>
    <row r="11" spans="2:17" ht="6" customHeight="1" x14ac:dyDescent="0.2">
      <c r="Q11" s="1"/>
    </row>
    <row r="12" spans="2:17" ht="73.2" customHeight="1" thickBot="1" x14ac:dyDescent="0.25">
      <c r="B12" s="25" t="s">
        <v>0</v>
      </c>
      <c r="C12" s="26" t="s">
        <v>1</v>
      </c>
      <c r="D12" s="25" t="s">
        <v>44</v>
      </c>
      <c r="E12" s="22" t="s">
        <v>35</v>
      </c>
      <c r="F12" s="25" t="s">
        <v>81</v>
      </c>
      <c r="G12" s="26" t="s">
        <v>36</v>
      </c>
      <c r="H12" s="26" t="s">
        <v>37</v>
      </c>
      <c r="K12" s="40"/>
      <c r="L12" s="40"/>
      <c r="M12" s="40"/>
      <c r="O12" s="2" t="s">
        <v>7</v>
      </c>
      <c r="P12" s="2">
        <f>VLOOKUP($O$12,CorrespondanceSprint,2)</f>
        <v>1</v>
      </c>
      <c r="Q12" s="1"/>
    </row>
    <row r="13" spans="2:17" ht="12.6" thickBot="1" x14ac:dyDescent="0.35">
      <c r="B13" s="46">
        <f>Planif[[#This Row],[Numéro de la tâche]]</f>
        <v>1</v>
      </c>
      <c r="C13" s="47" t="str">
        <f>IF(ISBLANK(Planif[[#This Row],[Nom de la tâche]]),"",Planif[[#This Row],[Nom de la tâche]])</f>
        <v>Réaliser les éléments de conceptions techniques</v>
      </c>
      <c r="D13" s="46" t="str">
        <f>IF(ISBLANK(Planif[[#This Row],[Nom de la tâche]]),"",Planif[[#This Row],[Sprint visé]])</f>
        <v>Sprint 1</v>
      </c>
      <c r="E13" s="29">
        <v>0.41666666666670199</v>
      </c>
      <c r="F13" s="27">
        <v>1</v>
      </c>
      <c r="G13" s="31" t="s">
        <v>50</v>
      </c>
      <c r="H13" s="31" t="s">
        <v>50</v>
      </c>
      <c r="K13" s="41"/>
      <c r="L13" s="42" t="s">
        <v>55</v>
      </c>
      <c r="M13" s="41"/>
      <c r="O13" s="2" t="str">
        <f>IF(ISBLANK(Planif[[#This Row],[Nom de la tâche]]),"",IF(VLOOKUP(D13,CorrespondanceSprint,2)&lt;$P$12,"Sprint antérieur",IF(VLOOKUP(D13,CorrespondanceSprint,2)=$P$12,"Sprint courant","Sprint suivant")))</f>
        <v>Sprint courant</v>
      </c>
      <c r="P13" s="2" t="str">
        <f>IF(ISBLANK(Planif[[#This Row],[Nom de la tâche]]),"",IF(Suivi1[[#This Row],[Avancement  ]]=0%, IF(VLOOKUP(D13,CorrespondanceSprint,2)&lt;=$P$12,"En retard","Non débutée"), IF(Suivi1[[#This Row],[Avancement  ]]&lt;100%,IF(VLOOKUP(D13,CorrespondanceSprint,2)&lt;=$P$12,"En retard","En cours"),"Terminée")))</f>
        <v>Terminée</v>
      </c>
      <c r="Q13" s="1"/>
    </row>
    <row r="14" spans="2:17" x14ac:dyDescent="0.2">
      <c r="B14" s="46">
        <f>Planif[[#This Row],[Numéro de la tâche]]</f>
        <v>2</v>
      </c>
      <c r="C14" s="47" t="str">
        <f>IF(ISBLANK(Planif[[#This Row],[Nom de la tâche]]),"",Planif[[#This Row],[Nom de la tâche]])</f>
        <v>Rédaction du document de conception</v>
      </c>
      <c r="D14" s="46" t="str">
        <f>IF(ISBLANK(Planif[[#This Row],[Nom de la tâche]]),"",Planif[[#This Row],[Sprint visé]])</f>
        <v>Sprint 1</v>
      </c>
      <c r="E14" s="29">
        <v>0.104166666666667</v>
      </c>
      <c r="F14" s="27">
        <v>1</v>
      </c>
      <c r="G14" s="31" t="s">
        <v>50</v>
      </c>
      <c r="H14" s="31" t="s">
        <v>50</v>
      </c>
      <c r="I14" s="35"/>
      <c r="J14" s="44"/>
      <c r="K14" s="35"/>
      <c r="L14" s="35"/>
      <c r="M14" s="43"/>
      <c r="O14" s="2" t="str">
        <f>IF(ISBLANK(Planif[[#This Row],[Nom de la tâche]]),"",IF(VLOOKUP(D14,CorrespondanceSprint,2)&lt;$P$12,"Sprint antérieur",IF(VLOOKUP(D14,CorrespondanceSprint,2)=$P$12,"Sprint courant","Sprint suivant")))</f>
        <v>Sprint courant</v>
      </c>
      <c r="P14" s="2" t="str">
        <f>IF(ISBLANK(Planif[[#This Row],[Nom de la tâche]]),"",IF(Suivi1[[#This Row],[Avancement  ]]=0%, IF(VLOOKUP(D14,CorrespondanceSprint,2)&lt;=$P$12,"En retard","Non débutée"), IF(Suivi1[[#This Row],[Avancement  ]]&lt;100%,IF(VLOOKUP(D14,CorrespondanceSprint,2)&lt;=$P$12,"En retard","En cours"),"Terminée")))</f>
        <v>Terminée</v>
      </c>
      <c r="Q14" s="1"/>
    </row>
    <row r="15" spans="2:17" x14ac:dyDescent="0.2">
      <c r="B15" s="46">
        <f>Planif[[#This Row],[Numéro de la tâche]]</f>
        <v>3</v>
      </c>
      <c r="C15" s="47" t="str">
        <f>IF(ISBLANK(Planif[[#This Row],[Nom de la tâche]]),"",Planif[[#This Row],[Nom de la tâche]])</f>
        <v>Rédaction du document de planification</v>
      </c>
      <c r="D15" s="46" t="str">
        <f>IF(ISBLANK(Planif[[#This Row],[Nom de la tâche]]),"",Planif[[#This Row],[Sprint visé]])</f>
        <v>Sprint 1</v>
      </c>
      <c r="E15" s="29">
        <v>2.0833333333333332E-2</v>
      </c>
      <c r="F15" s="27">
        <v>1</v>
      </c>
      <c r="G15" s="31" t="s">
        <v>50</v>
      </c>
      <c r="H15" s="31" t="s">
        <v>50</v>
      </c>
      <c r="I15" s="35"/>
      <c r="J15" s="44"/>
      <c r="K15" s="35"/>
      <c r="L15" s="36" t="s">
        <v>51</v>
      </c>
      <c r="M15" s="44"/>
      <c r="O15" s="2" t="str">
        <f>IF(ISBLANK(Planif[[#This Row],[Nom de la tâche]]),"",IF(VLOOKUP(D15,CorrespondanceSprint,2)&lt;$P$12,"Sprint antérieur",IF(VLOOKUP(D15,CorrespondanceSprint,2)=$P$12,"Sprint courant","Sprint suivant")))</f>
        <v>Sprint courant</v>
      </c>
      <c r="P15" s="2" t="str">
        <f>IF(ISBLANK(Planif[[#This Row],[Nom de la tâche]]),"",IF(Suivi1[[#This Row],[Avancement  ]]=0%, IF(VLOOKUP(D15,CorrespondanceSprint,2)&lt;=$P$12,"En retard","Non débutée"), IF(Suivi1[[#This Row],[Avancement  ]]&lt;100%,IF(VLOOKUP(D15,CorrespondanceSprint,2)&lt;=$P$12,"En retard","En cours"),"Terminée")))</f>
        <v>Terminée</v>
      </c>
      <c r="Q15" s="1"/>
    </row>
    <row r="16" spans="2:17" x14ac:dyDescent="0.2">
      <c r="B16" s="46">
        <f>Planif[[#This Row],[Numéro de la tâche]]</f>
        <v>4</v>
      </c>
      <c r="C16" s="47" t="str">
        <f>IF(ISBLANK(Planif[[#This Row],[Nom de la tâche]]),"",Planif[[#This Row],[Nom de la tâche]])</f>
        <v>Prototypage de l'algorithme de planification de trajectoire</v>
      </c>
      <c r="D16" s="46" t="str">
        <f>IF(ISBLANK(Planif[[#This Row],[Nom de la tâche]]),"",Planif[[#This Row],[Sprint visé]])</f>
        <v>Sprint 1</v>
      </c>
      <c r="E16" s="29">
        <v>0.125</v>
      </c>
      <c r="F16" s="27">
        <v>0.75</v>
      </c>
      <c r="G16" s="31" t="s">
        <v>61</v>
      </c>
      <c r="H16" s="31" t="s">
        <v>62</v>
      </c>
      <c r="I16" s="35"/>
      <c r="J16" s="44"/>
      <c r="K16" s="35"/>
      <c r="L16" s="37" t="s">
        <v>52</v>
      </c>
      <c r="M16" s="44"/>
      <c r="O16" s="2" t="str">
        <f>IF(ISBLANK(Planif[[#This Row],[Nom de la tâche]]),"",IF(VLOOKUP(D16,CorrespondanceSprint,2)&lt;$P$12,"Sprint antérieur",IF(VLOOKUP(D16,CorrespondanceSprint,2)=$P$12,"Sprint courant","Sprint suivant")))</f>
        <v>Sprint courant</v>
      </c>
      <c r="P16" s="2" t="str">
        <f>IF(ISBLANK(Planif[[#This Row],[Nom de la tâche]]),"",IF(Suivi1[[#This Row],[Avancement  ]]=0%, IF(VLOOKUP(D16,CorrespondanceSprint,2)&lt;=$P$12,"En retard","Non débutée"), IF(Suivi1[[#This Row],[Avancement  ]]&lt;100%,IF(VLOOKUP(D16,CorrespondanceSprint,2)&lt;=$P$12,"En retard","En cours"),"Terminée")))</f>
        <v>En retard</v>
      </c>
      <c r="Q16" s="1"/>
    </row>
    <row r="17" spans="2:17" x14ac:dyDescent="0.2">
      <c r="B17" s="46">
        <f>Planif[[#This Row],[Numéro de la tâche]]</f>
        <v>5</v>
      </c>
      <c r="C17" s="47" t="str">
        <f>IF(ISBLANK(Planif[[#This Row],[Nom de la tâche]]),"",Planif[[#This Row],[Nom de la tâche]])</f>
        <v>Finalisation et remise de l'application finale</v>
      </c>
      <c r="D17" s="46" t="str">
        <f>IF(ISBLANK(Planif[[#This Row],[Nom de la tâche]]),"",Planif[[#This Row],[Sprint visé]])</f>
        <v>Sprint 4</v>
      </c>
      <c r="E17" s="29">
        <v>0</v>
      </c>
      <c r="F17" s="27">
        <v>0</v>
      </c>
      <c r="G17" s="31" t="s">
        <v>50</v>
      </c>
      <c r="H17" s="31" t="s">
        <v>50</v>
      </c>
      <c r="I17" s="35"/>
      <c r="J17" s="44"/>
      <c r="K17" s="35"/>
      <c r="L17" s="38" t="s">
        <v>53</v>
      </c>
      <c r="M17" s="44"/>
      <c r="O17" s="2" t="str">
        <f>IF(ISBLANK(Planif[[#This Row],[Nom de la tâche]]),"",IF(VLOOKUP(D17,CorrespondanceSprint,2)&lt;$P$12,"Sprint antérieur",IF(VLOOKUP(D17,CorrespondanceSprint,2)=$P$12,"Sprint courant","Sprint suivant")))</f>
        <v>Sprint suivant</v>
      </c>
      <c r="P17" s="2" t="str">
        <f>IF(ISBLANK(Planif[[#This Row],[Nom de la tâche]]),"",IF(Suivi1[[#This Row],[Avancement  ]]=0%, IF(VLOOKUP(D17,CorrespondanceSprint,2)&lt;=$P$12,"En retard","Non débutée"), IF(Suivi1[[#This Row],[Avancement  ]]&lt;100%,IF(VLOOKUP(D17,CorrespondanceSprint,2)&lt;=$P$12,"En retard","En cours"),"Terminée")))</f>
        <v>Non débutée</v>
      </c>
      <c r="Q17" s="1"/>
    </row>
    <row r="18" spans="2:17" x14ac:dyDescent="0.2">
      <c r="B18" s="46">
        <f>Planif[[#This Row],[Numéro de la tâche]]</f>
        <v>6</v>
      </c>
      <c r="C18" s="47" t="str">
        <f>IF(ISBLANK(Planif[[#This Row],[Nom de la tâche]]),"",Planif[[#This Row],[Nom de la tâche]])</f>
        <v>Rédaction du document LisezMoi.txt</v>
      </c>
      <c r="D18" s="46" t="str">
        <f>IF(ISBLANK(Planif[[#This Row],[Nom de la tâche]]),"",Planif[[#This Row],[Sprint visé]])</f>
        <v>Sprint 4</v>
      </c>
      <c r="E18" s="29">
        <v>0</v>
      </c>
      <c r="F18" s="27">
        <v>0</v>
      </c>
      <c r="G18" s="31" t="s">
        <v>50</v>
      </c>
      <c r="H18" s="31" t="s">
        <v>50</v>
      </c>
      <c r="I18" s="35"/>
      <c r="J18" s="44"/>
      <c r="K18" s="35"/>
      <c r="L18" s="39" t="s">
        <v>54</v>
      </c>
      <c r="M18" s="44"/>
      <c r="O18" s="2" t="str">
        <f>IF(ISBLANK(Planif[[#This Row],[Nom de la tâche]]),"",IF(VLOOKUP(D18,CorrespondanceSprint,2)&lt;$P$12,"Sprint antérieur",IF(VLOOKUP(D18,CorrespondanceSprint,2)=$P$12,"Sprint courant","Sprint suivant")))</f>
        <v>Sprint suivant</v>
      </c>
      <c r="P18" s="2" t="str">
        <f>IF(ISBLANK(Planif[[#This Row],[Nom de la tâche]]),"",IF(Suivi1[[#This Row],[Avancement  ]]=0%, IF(VLOOKUP(D18,CorrespondanceSprint,2)&lt;=$P$12,"En retard","Non débutée"), IF(Suivi1[[#This Row],[Avancement  ]]&lt;100%,IF(VLOOKUP(D18,CorrespondanceSprint,2)&lt;=$P$12,"En retard","En cours"),"Terminée")))</f>
        <v>Non débutée</v>
      </c>
      <c r="Q18" s="1"/>
    </row>
    <row r="19" spans="2:17" ht="10.8" thickBot="1" x14ac:dyDescent="0.25">
      <c r="B19" s="46">
        <f>Planif[[#This Row],[Numéro de la tâche]]</f>
        <v>7</v>
      </c>
      <c r="C19" s="47" t="str">
        <f>IF(ISBLANK(Planif[[#This Row],[Nom de la tâche]]),"",Planif[[#This Row],[Nom de la tâche]])</f>
        <v>Rédaction du manuel de l'usager</v>
      </c>
      <c r="D19" s="46" t="str">
        <f>IF(ISBLANK(Planif[[#This Row],[Nom de la tâche]]),"",Planif[[#This Row],[Sprint visé]])</f>
        <v>Sprint 4</v>
      </c>
      <c r="E19" s="29">
        <v>0</v>
      </c>
      <c r="F19" s="27">
        <v>0</v>
      </c>
      <c r="G19" s="31" t="s">
        <v>50</v>
      </c>
      <c r="H19" s="31" t="s">
        <v>50</v>
      </c>
      <c r="I19" s="35"/>
      <c r="J19" s="44"/>
      <c r="K19" s="40"/>
      <c r="L19" s="40"/>
      <c r="M19" s="45"/>
      <c r="O19" s="2" t="str">
        <f>IF(ISBLANK(Planif[[#This Row],[Nom de la tâche]]),"",IF(VLOOKUP(D19,CorrespondanceSprint,2)&lt;$P$12,"Sprint antérieur",IF(VLOOKUP(D19,CorrespondanceSprint,2)=$P$12,"Sprint courant","Sprint suivant")))</f>
        <v>Sprint suivant</v>
      </c>
      <c r="P19" s="2" t="str">
        <f>IF(ISBLANK(Planif[[#This Row],[Nom de la tâche]]),"",IF(Suivi1[[#This Row],[Avancement  ]]=0%, IF(VLOOKUP(D19,CorrespondanceSprint,2)&lt;=$P$12,"En retard","Non débutée"), IF(Suivi1[[#This Row],[Avancement  ]]&lt;100%,IF(VLOOKUP(D19,CorrespondanceSprint,2)&lt;=$P$12,"En retard","En cours"),"Terminée")))</f>
        <v>Non débutée</v>
      </c>
      <c r="Q19" s="1"/>
    </row>
    <row r="20" spans="2:17" x14ac:dyDescent="0.2">
      <c r="B20" s="46">
        <f>Planif[[#This Row],[Numéro de la tâche]]</f>
        <v>8</v>
      </c>
      <c r="C20" s="47" t="str">
        <f>IF(ISBLANK(Planif[[#This Row],[Nom de la tâche]]),"",Planif[[#This Row],[Nom de la tâche]])</f>
        <v>Réalisation du site web de présentation</v>
      </c>
      <c r="D20" s="46" t="str">
        <f>IF(ISBLANK(Planif[[#This Row],[Nom de la tâche]]),"",Planif[[#This Row],[Sprint visé]])</f>
        <v>Sprint 4</v>
      </c>
      <c r="E20" s="29">
        <v>0</v>
      </c>
      <c r="F20" s="27">
        <v>0</v>
      </c>
      <c r="G20" s="31" t="s">
        <v>50</v>
      </c>
      <c r="H20" s="31" t="s">
        <v>50</v>
      </c>
      <c r="O20" s="2" t="str">
        <f>IF(ISBLANK(Planif[[#This Row],[Nom de la tâche]]),"",IF(VLOOKUP(D20,CorrespondanceSprint,2)&lt;$P$12,"Sprint antérieur",IF(VLOOKUP(D20,CorrespondanceSprint,2)=$P$12,"Sprint courant","Sprint suivant")))</f>
        <v>Sprint suivant</v>
      </c>
      <c r="P20" s="2" t="str">
        <f>IF(ISBLANK(Planif[[#This Row],[Nom de la tâche]]),"",IF(Suivi1[[#This Row],[Avancement  ]]=0%, IF(VLOOKUP(D20,CorrespondanceSprint,2)&lt;=$P$12,"En retard","Non débutée"), IF(Suivi1[[#This Row],[Avancement  ]]&lt;100%,IF(VLOOKUP(D20,CorrespondanceSprint,2)&lt;=$P$12,"En retard","En cours"),"Terminée")))</f>
        <v>Non débutée</v>
      </c>
      <c r="Q20" s="1"/>
    </row>
    <row r="21" spans="2:17" x14ac:dyDescent="0.2">
      <c r="B21" s="46">
        <f>Planif[[#This Row],[Numéro de la tâche]]</f>
        <v>9</v>
      </c>
      <c r="C21" s="47" t="str">
        <f>IF(ISBLANK(Planif[[#This Row],[Nom de la tâche]]),"",Planif[[#This Row],[Nom de la tâche]])</f>
        <v>Réalisation du vidéo de présentation</v>
      </c>
      <c r="D21" s="46" t="str">
        <f>IF(ISBLANK(Planif[[#This Row],[Nom de la tâche]]),"",Planif[[#This Row],[Sprint visé]])</f>
        <v>Sprint 4</v>
      </c>
      <c r="E21" s="30">
        <v>0</v>
      </c>
      <c r="F21" s="28">
        <v>0</v>
      </c>
      <c r="G21" s="32"/>
      <c r="H21" s="32"/>
      <c r="O21" s="2" t="str">
        <f>IF(ISBLANK(Planif[[#This Row],[Nom de la tâche]]),"",IF(VLOOKUP(D21,CorrespondanceSprint,2)&lt;$P$12,"Sprint antérieur",IF(VLOOKUP(D21,CorrespondanceSprint,2)=$P$12,"Sprint courant","Sprint suivant")))</f>
        <v>Sprint suivant</v>
      </c>
      <c r="P21" s="2" t="str">
        <f>IF(ISBLANK(Planif[[#This Row],[Nom de la tâche]]),"",IF(Suivi1[[#This Row],[Avancement  ]]=0%, IF(VLOOKUP(D21,CorrespondanceSprint,2)&lt;=$P$12,"En retard","Non débutée"), IF(Suivi1[[#This Row],[Avancement  ]]&lt;100%,IF(VLOOKUP(D21,CorrespondanceSprint,2)&lt;=$P$12,"En retard","En cours"),"Terminée")))</f>
        <v>Non débutée</v>
      </c>
      <c r="Q21" s="1"/>
    </row>
    <row r="22" spans="2:17" x14ac:dyDescent="0.2">
      <c r="B22" s="46">
        <f>Planif[[#This Row],[Numéro de la tâche]]</f>
        <v>10</v>
      </c>
      <c r="C22" s="47" t="str">
        <f>IF(ISBLANK(Planif[[#This Row],[Nom de la tâche]]),"",Planif[[#This Row],[Nom de la tâche]])</f>
        <v>Configuration du réseau</v>
      </c>
      <c r="D22" s="46" t="str">
        <f>IF(ISBLANK(Planif[[#This Row],[Nom de la tâche]]),"",Planif[[#This Row],[Sprint visé]])</f>
        <v>Sprint 2</v>
      </c>
      <c r="E22" s="30">
        <v>8.3333333333333398E-2</v>
      </c>
      <c r="F22" s="28">
        <v>0.5</v>
      </c>
      <c r="G22" s="32"/>
      <c r="H22" s="32"/>
      <c r="O22" s="2" t="str">
        <f>IF(ISBLANK(Planif[[#This Row],[Nom de la tâche]]),"",IF(VLOOKUP(D22,CorrespondanceSprint,2)&lt;$P$12,"Sprint antérieur",IF(VLOOKUP(D22,CorrespondanceSprint,2)=$P$12,"Sprint courant","Sprint suivant")))</f>
        <v>Sprint suivant</v>
      </c>
      <c r="P22" s="2" t="str">
        <f>IF(ISBLANK(Planif[[#This Row],[Nom de la tâche]]),"",IF(Suivi1[[#This Row],[Avancement  ]]=0%, IF(VLOOKUP(D22,CorrespondanceSprint,2)&lt;=$P$12,"En retard","Non débutée"), IF(Suivi1[[#This Row],[Avancement  ]]&lt;100%,IF(VLOOKUP(D22,CorrespondanceSprint,2)&lt;=$P$12,"En retard","En cours"),"Terminée")))</f>
        <v>En cours</v>
      </c>
      <c r="Q22" s="1"/>
    </row>
    <row r="23" spans="2:17" x14ac:dyDescent="0.2">
      <c r="B23" s="46">
        <f>Planif[[#This Row],[Numéro de la tâche]]</f>
        <v>11</v>
      </c>
      <c r="C23" s="47" t="str">
        <f>IF(ISBLANK(Planif[[#This Row],[Nom de la tâche]]),"",Planif[[#This Row],[Nom de la tâche]])</f>
        <v>Développement de l'interface Web</v>
      </c>
      <c r="D23" s="46" t="str">
        <f>IF(ISBLANK(Planif[[#This Row],[Nom de la tâche]]),"",Planif[[#This Row],[Sprint visé]])</f>
        <v>Sprint 3</v>
      </c>
      <c r="E23" s="30">
        <v>0</v>
      </c>
      <c r="F23" s="28">
        <v>0</v>
      </c>
      <c r="G23" s="32"/>
      <c r="H23" s="32"/>
      <c r="O23" s="2" t="str">
        <f>IF(ISBLANK(Planif[[#This Row],[Nom de la tâche]]),"",IF(VLOOKUP(D23,CorrespondanceSprint,2)&lt;$P$12,"Sprint antérieur",IF(VLOOKUP(D23,CorrespondanceSprint,2)=$P$12,"Sprint courant","Sprint suivant")))</f>
        <v>Sprint suivant</v>
      </c>
      <c r="P23" s="2" t="str">
        <f>IF(ISBLANK(Planif[[#This Row],[Nom de la tâche]]),"",IF(Suivi1[[#This Row],[Avancement  ]]=0%, IF(VLOOKUP(D23,CorrespondanceSprint,2)&lt;=$P$12,"En retard","Non débutée"), IF(Suivi1[[#This Row],[Avancement  ]]&lt;100%,IF(VLOOKUP(D23,CorrespondanceSprint,2)&lt;=$P$12,"En retard","En cours"),"Terminée")))</f>
        <v>Non débutée</v>
      </c>
      <c r="Q23" s="1"/>
    </row>
    <row r="24" spans="2:17" x14ac:dyDescent="0.2">
      <c r="B24" s="46">
        <f>Planif[[#This Row],[Numéro de la tâche]]</f>
        <v>12</v>
      </c>
      <c r="C24" s="47" t="str">
        <f>IF(ISBLANK(Planif[[#This Row],[Nom de la tâche]]),"",Planif[[#This Row],[Nom de la tâche]])</f>
        <v>Implémentation du suivi de trajectoire</v>
      </c>
      <c r="D24" s="46" t="str">
        <f>IF(ISBLANK(Planif[[#This Row],[Nom de la tâche]]),"",Planif[[#This Row],[Sprint visé]])</f>
        <v>Sprint 4</v>
      </c>
      <c r="E24" s="30">
        <v>0</v>
      </c>
      <c r="F24" s="28">
        <v>0</v>
      </c>
      <c r="G24" s="32"/>
      <c r="H24" s="32"/>
      <c r="O24" s="2" t="str">
        <f>IF(ISBLANK(Planif[[#This Row],[Nom de la tâche]]),"",IF(VLOOKUP(D24,CorrespondanceSprint,2)&lt;$P$12,"Sprint antérieur",IF(VLOOKUP(D24,CorrespondanceSprint,2)=$P$12,"Sprint courant","Sprint suivant")))</f>
        <v>Sprint suivant</v>
      </c>
      <c r="P24" s="2" t="str">
        <f>IF(ISBLANK(Planif[[#This Row],[Nom de la tâche]]),"",IF(Suivi1[[#This Row],[Avancement  ]]=0%, IF(VLOOKUP(D24,CorrespondanceSprint,2)&lt;=$P$12,"En retard","Non débutée"), IF(Suivi1[[#This Row],[Avancement  ]]&lt;100%,IF(VLOOKUP(D24,CorrespondanceSprint,2)&lt;=$P$12,"En retard","En cours"),"Terminée")))</f>
        <v>Non débutée</v>
      </c>
      <c r="Q24" s="1"/>
    </row>
    <row r="25" spans="2:17" x14ac:dyDescent="0.2">
      <c r="B25" s="46" t="str">
        <f>Planif[[#This Row],[Numéro de la tâche]]</f>
        <v/>
      </c>
      <c r="C25" s="47" t="str">
        <f>IF(ISBLANK(Planif[[#This Row],[Nom de la tâche]]),"",Planif[[#This Row],[Nom de la tâche]])</f>
        <v/>
      </c>
      <c r="D25" s="46" t="str">
        <f>IF(ISBLANK(Planif[[#This Row],[Nom de la tâche]]),"",Planif[[#This Row],[Sprint visé]])</f>
        <v/>
      </c>
      <c r="E25" s="30"/>
      <c r="F25" s="28"/>
      <c r="G25" s="32"/>
      <c r="H25" s="32"/>
      <c r="O25" s="2" t="str">
        <f>IF(ISBLANK(Planif[[#This Row],[Nom de la tâche]]),"",IF(VLOOKUP(D25,CorrespondanceSprint,2)&lt;$P$12,"Sprint antérieur",IF(VLOOKUP(D25,CorrespondanceSprint,2)=$P$12,"Sprint courant","Sprint suivant")))</f>
        <v/>
      </c>
      <c r="P25" s="2" t="str">
        <f>IF(ISBLANK(Planif[[#This Row],[Nom de la tâche]]),"",IF(Suivi1[[#This Row],[Avancement  ]]=0%, IF(VLOOKUP(D25,CorrespondanceSprint,2)&lt;=$P$12,"En retard","Non débutée"), IF(Suivi1[[#This Row],[Avancement  ]]&lt;100%,IF(VLOOKUP(D25,CorrespondanceSprint,2)&lt;=$P$12,"En retard","En cours"),"Terminée")))</f>
        <v/>
      </c>
      <c r="Q25" s="1"/>
    </row>
    <row r="26" spans="2:17" x14ac:dyDescent="0.2">
      <c r="B26" s="46" t="str">
        <f>Planif[[#This Row],[Numéro de la tâche]]</f>
        <v/>
      </c>
      <c r="C26" s="47" t="str">
        <f>IF(ISBLANK(Planif[[#This Row],[Nom de la tâche]]),"",Planif[[#This Row],[Nom de la tâche]])</f>
        <v/>
      </c>
      <c r="D26" s="46" t="str">
        <f>IF(ISBLANK(Planif[[#This Row],[Nom de la tâche]]),"",Planif[[#This Row],[Sprint visé]])</f>
        <v/>
      </c>
      <c r="E26" s="30"/>
      <c r="F26" s="28"/>
      <c r="G26" s="32"/>
      <c r="H26" s="32"/>
      <c r="O26" s="2" t="str">
        <f>IF(ISBLANK(Planif[[#This Row],[Nom de la tâche]]),"",IF(VLOOKUP(D26,CorrespondanceSprint,2)&lt;$P$12,"Sprint antérieur",IF(VLOOKUP(D26,CorrespondanceSprint,2)=$P$12,"Sprint courant","Sprint suivant")))</f>
        <v/>
      </c>
      <c r="P26" s="2" t="str">
        <f>IF(ISBLANK(Planif[[#This Row],[Nom de la tâche]]),"",IF(Suivi1[[#This Row],[Avancement  ]]=0%, IF(VLOOKUP(D26,CorrespondanceSprint,2)&lt;=$P$12,"En retard","Non débutée"), IF(Suivi1[[#This Row],[Avancement  ]]&lt;100%,IF(VLOOKUP(D26,CorrespondanceSprint,2)&lt;=$P$12,"En retard","En cours"),"Terminée")))</f>
        <v/>
      </c>
      <c r="Q26" s="1"/>
    </row>
    <row r="27" spans="2:17" x14ac:dyDescent="0.2">
      <c r="B27" s="46" t="str">
        <f>Planif[[#This Row],[Numéro de la tâche]]</f>
        <v/>
      </c>
      <c r="C27" s="47" t="str">
        <f>IF(ISBLANK(Planif[[#This Row],[Nom de la tâche]]),"",Planif[[#This Row],[Nom de la tâche]])</f>
        <v/>
      </c>
      <c r="D27" s="46" t="str">
        <f>IF(ISBLANK(Planif[[#This Row],[Nom de la tâche]]),"",Planif[[#This Row],[Sprint visé]])</f>
        <v/>
      </c>
      <c r="E27" s="30"/>
      <c r="F27" s="28"/>
      <c r="G27" s="32"/>
      <c r="H27" s="32"/>
      <c r="O27" s="2" t="str">
        <f>IF(ISBLANK(Planif[[#This Row],[Nom de la tâche]]),"",IF(VLOOKUP(D27,CorrespondanceSprint,2)&lt;$P$12,"Sprint antérieur",IF(VLOOKUP(D27,CorrespondanceSprint,2)=$P$12,"Sprint courant","Sprint suivant")))</f>
        <v/>
      </c>
      <c r="P27" s="2" t="str">
        <f>IF(ISBLANK(Planif[[#This Row],[Nom de la tâche]]),"",IF(Suivi1[[#This Row],[Avancement  ]]=0%, IF(VLOOKUP(D27,CorrespondanceSprint,2)&lt;=$P$12,"En retard","Non débutée"), IF(Suivi1[[#This Row],[Avancement  ]]&lt;100%,IF(VLOOKUP(D27,CorrespondanceSprint,2)&lt;=$P$12,"En retard","En cours"),"Terminée")))</f>
        <v/>
      </c>
      <c r="Q27" s="1"/>
    </row>
    <row r="28" spans="2:17" x14ac:dyDescent="0.2">
      <c r="B28" s="46" t="str">
        <f>Planif[[#This Row],[Numéro de la tâche]]</f>
        <v/>
      </c>
      <c r="C28" s="47" t="str">
        <f>IF(ISBLANK(Planif[[#This Row],[Nom de la tâche]]),"",Planif[[#This Row],[Nom de la tâche]])</f>
        <v/>
      </c>
      <c r="D28" s="46" t="str">
        <f>IF(ISBLANK(Planif[[#This Row],[Nom de la tâche]]),"",Planif[[#This Row],[Sprint visé]])</f>
        <v/>
      </c>
      <c r="E28" s="30"/>
      <c r="F28" s="28"/>
      <c r="G28" s="32"/>
      <c r="H28" s="32"/>
      <c r="O28" s="2" t="str">
        <f>IF(ISBLANK(Planif[[#This Row],[Nom de la tâche]]),"",IF(VLOOKUP(D28,CorrespondanceSprint,2)&lt;$P$12,"Sprint antérieur",IF(VLOOKUP(D28,CorrespondanceSprint,2)=$P$12,"Sprint courant","Sprint suivant")))</f>
        <v/>
      </c>
      <c r="P28" s="2" t="str">
        <f>IF(ISBLANK(Planif[[#This Row],[Nom de la tâche]]),"",IF(Suivi1[[#This Row],[Avancement  ]]=0%, IF(VLOOKUP(D28,CorrespondanceSprint,2)&lt;=$P$12,"En retard","Non débutée"), IF(Suivi1[[#This Row],[Avancement  ]]&lt;100%,IF(VLOOKUP(D28,CorrespondanceSprint,2)&lt;=$P$12,"En retard","En cours"),"Terminée")))</f>
        <v/>
      </c>
      <c r="Q28" s="1"/>
    </row>
    <row r="29" spans="2:17" x14ac:dyDescent="0.2">
      <c r="B29" s="46" t="str">
        <f>Planif[[#This Row],[Numéro de la tâche]]</f>
        <v/>
      </c>
      <c r="C29" s="47" t="str">
        <f>IF(ISBLANK(Planif[[#This Row],[Nom de la tâche]]),"",Planif[[#This Row],[Nom de la tâche]])</f>
        <v/>
      </c>
      <c r="D29" s="46" t="str">
        <f>IF(ISBLANK(Planif[[#This Row],[Nom de la tâche]]),"",Planif[[#This Row],[Sprint visé]])</f>
        <v/>
      </c>
      <c r="E29" s="30"/>
      <c r="F29" s="28"/>
      <c r="G29" s="32"/>
      <c r="H29" s="32"/>
      <c r="O29" s="2" t="str">
        <f>IF(ISBLANK(Planif[[#This Row],[Nom de la tâche]]),"",IF(VLOOKUP(D29,CorrespondanceSprint,2)&lt;$P$12,"Sprint antérieur",IF(VLOOKUP(D29,CorrespondanceSprint,2)=$P$12,"Sprint courant","Sprint suivant")))</f>
        <v/>
      </c>
      <c r="P29" s="2" t="str">
        <f>IF(ISBLANK(Planif[[#This Row],[Nom de la tâche]]),"",IF(Suivi1[[#This Row],[Avancement  ]]=0%, IF(VLOOKUP(D29,CorrespondanceSprint,2)&lt;=$P$12,"En retard","Non débutée"), IF(Suivi1[[#This Row],[Avancement  ]]&lt;100%,IF(VLOOKUP(D29,CorrespondanceSprint,2)&lt;=$P$12,"En retard","En cours"),"Terminée")))</f>
        <v/>
      </c>
      <c r="Q29" s="1"/>
    </row>
    <row r="30" spans="2:17" x14ac:dyDescent="0.2">
      <c r="B30" s="46" t="str">
        <f>Planif[[#This Row],[Numéro de la tâche]]</f>
        <v/>
      </c>
      <c r="C30" s="47" t="str">
        <f>IF(ISBLANK(Planif[[#This Row],[Nom de la tâche]]),"",Planif[[#This Row],[Nom de la tâche]])</f>
        <v/>
      </c>
      <c r="D30" s="46" t="str">
        <f>IF(ISBLANK(Planif[[#This Row],[Nom de la tâche]]),"",Planif[[#This Row],[Sprint visé]])</f>
        <v/>
      </c>
      <c r="E30" s="30"/>
      <c r="F30" s="28"/>
      <c r="G30" s="32"/>
      <c r="H30" s="32"/>
      <c r="O30" s="2" t="str">
        <f>IF(ISBLANK(Planif[[#This Row],[Nom de la tâche]]),"",IF(VLOOKUP(D30,CorrespondanceSprint,2)&lt;$P$12,"Sprint antérieur",IF(VLOOKUP(D30,CorrespondanceSprint,2)=$P$12,"Sprint courant","Sprint suivant")))</f>
        <v/>
      </c>
      <c r="P30" s="2" t="str">
        <f>IF(ISBLANK(Planif[[#This Row],[Nom de la tâche]]),"",IF(Suivi1[[#This Row],[Avancement  ]]=0%, IF(VLOOKUP(D30,CorrespondanceSprint,2)&lt;=$P$12,"En retard","Non débutée"), IF(Suivi1[[#This Row],[Avancement  ]]&lt;100%,IF(VLOOKUP(D30,CorrespondanceSprint,2)&lt;=$P$12,"En retard","En cours"),"Terminée")))</f>
        <v/>
      </c>
      <c r="Q30" s="1"/>
    </row>
    <row r="31" spans="2:17" x14ac:dyDescent="0.2">
      <c r="B31" s="46" t="str">
        <f>Planif[[#This Row],[Numéro de la tâche]]</f>
        <v/>
      </c>
      <c r="C31" s="47" t="str">
        <f>IF(ISBLANK(Planif[[#This Row],[Nom de la tâche]]),"",Planif[[#This Row],[Nom de la tâche]])</f>
        <v/>
      </c>
      <c r="D31" s="46" t="str">
        <f>IF(ISBLANK(Planif[[#This Row],[Nom de la tâche]]),"",Planif[[#This Row],[Sprint visé]])</f>
        <v/>
      </c>
      <c r="E31" s="30"/>
      <c r="F31" s="28"/>
      <c r="G31" s="32"/>
      <c r="H31" s="32"/>
      <c r="O31" s="2" t="str">
        <f>IF(ISBLANK(Planif[[#This Row],[Nom de la tâche]]),"",IF(VLOOKUP(D31,CorrespondanceSprint,2)&lt;$P$12,"Sprint antérieur",IF(VLOOKUP(D31,CorrespondanceSprint,2)=$P$12,"Sprint courant","Sprint suivant")))</f>
        <v/>
      </c>
      <c r="P31" s="2" t="str">
        <f>IF(ISBLANK(Planif[[#This Row],[Nom de la tâche]]),"",IF(Suivi1[[#This Row],[Avancement  ]]=0%, IF(VLOOKUP(D31,CorrespondanceSprint,2)&lt;=$P$12,"En retard","Non débutée"), IF(Suivi1[[#This Row],[Avancement  ]]&lt;100%,IF(VLOOKUP(D31,CorrespondanceSprint,2)&lt;=$P$12,"En retard","En cours"),"Terminée")))</f>
        <v/>
      </c>
      <c r="Q31" s="1"/>
    </row>
    <row r="32" spans="2:17" x14ac:dyDescent="0.2">
      <c r="B32" s="46" t="str">
        <f>Planif[[#This Row],[Numéro de la tâche]]</f>
        <v/>
      </c>
      <c r="C32" s="47" t="str">
        <f>IF(ISBLANK(Planif[[#This Row],[Nom de la tâche]]),"",Planif[[#This Row],[Nom de la tâche]])</f>
        <v/>
      </c>
      <c r="D32" s="46" t="str">
        <f>IF(ISBLANK(Planif[[#This Row],[Nom de la tâche]]),"",Planif[[#This Row],[Sprint visé]])</f>
        <v/>
      </c>
      <c r="E32" s="30"/>
      <c r="F32" s="28"/>
      <c r="G32" s="32"/>
      <c r="H32" s="32"/>
      <c r="O32" s="2" t="str">
        <f>IF(ISBLANK(Planif[[#This Row],[Nom de la tâche]]),"",IF(VLOOKUP(D32,CorrespondanceSprint,2)&lt;$P$12,"Sprint antérieur",IF(VLOOKUP(D32,CorrespondanceSprint,2)=$P$12,"Sprint courant","Sprint suivant")))</f>
        <v/>
      </c>
      <c r="P32" s="2" t="str">
        <f>IF(ISBLANK(Planif[[#This Row],[Nom de la tâche]]),"",IF(Suivi1[[#This Row],[Avancement  ]]=0%, IF(VLOOKUP(D32,CorrespondanceSprint,2)&lt;=$P$12,"En retard","Non débutée"), IF(Suivi1[[#This Row],[Avancement  ]]&lt;100%,IF(VLOOKUP(D32,CorrespondanceSprint,2)&lt;=$P$12,"En retard","En cours"),"Terminée")))</f>
        <v/>
      </c>
      <c r="Q32" s="1"/>
    </row>
    <row r="33" spans="2:17" x14ac:dyDescent="0.2">
      <c r="B33" s="46" t="str">
        <f>Planif[[#This Row],[Numéro de la tâche]]</f>
        <v/>
      </c>
      <c r="C33" s="47" t="str">
        <f>IF(ISBLANK(Planif[[#This Row],[Nom de la tâche]]),"",Planif[[#This Row],[Nom de la tâche]])</f>
        <v/>
      </c>
      <c r="D33" s="46" t="str">
        <f>IF(ISBLANK(Planif[[#This Row],[Nom de la tâche]]),"",Planif[[#This Row],[Sprint visé]])</f>
        <v/>
      </c>
      <c r="E33" s="30"/>
      <c r="F33" s="28"/>
      <c r="G33" s="32"/>
      <c r="H33" s="32"/>
      <c r="O33" s="2" t="str">
        <f>IF(ISBLANK(Planif[[#This Row],[Nom de la tâche]]),"",IF(VLOOKUP(D33,CorrespondanceSprint,2)&lt;$P$12,"Sprint antérieur",IF(VLOOKUP(D33,CorrespondanceSprint,2)=$P$12,"Sprint courant","Sprint suivant")))</f>
        <v/>
      </c>
      <c r="P33" s="2" t="str">
        <f>IF(ISBLANK(Planif[[#This Row],[Nom de la tâche]]),"",IF(Suivi1[[#This Row],[Avancement  ]]=0%, IF(VLOOKUP(D33,CorrespondanceSprint,2)&lt;=$P$12,"En retard","Non débutée"), IF(Suivi1[[#This Row],[Avancement  ]]&lt;100%,IF(VLOOKUP(D33,CorrespondanceSprint,2)&lt;=$P$12,"En retard","En cours"),"Terminée")))</f>
        <v/>
      </c>
      <c r="Q33" s="1"/>
    </row>
    <row r="34" spans="2:17" x14ac:dyDescent="0.2">
      <c r="B34" s="46" t="str">
        <f>Planif[[#This Row],[Numéro de la tâche]]</f>
        <v/>
      </c>
      <c r="C34" s="47" t="str">
        <f>IF(ISBLANK(Planif[[#This Row],[Nom de la tâche]]),"",Planif[[#This Row],[Nom de la tâche]])</f>
        <v/>
      </c>
      <c r="D34" s="46" t="str">
        <f>IF(ISBLANK(Planif[[#This Row],[Nom de la tâche]]),"",Planif[[#This Row],[Sprint visé]])</f>
        <v/>
      </c>
      <c r="E34" s="30"/>
      <c r="F34" s="28"/>
      <c r="G34" s="32"/>
      <c r="H34" s="32"/>
      <c r="O34" s="2" t="str">
        <f>IF(ISBLANK(Planif[[#This Row],[Nom de la tâche]]),"",IF(VLOOKUP(D34,CorrespondanceSprint,2)&lt;$P$12,"Sprint antérieur",IF(VLOOKUP(D34,CorrespondanceSprint,2)=$P$12,"Sprint courant","Sprint suivant")))</f>
        <v/>
      </c>
      <c r="P34" s="2" t="str">
        <f>IF(ISBLANK(Planif[[#This Row],[Nom de la tâche]]),"",IF(Suivi1[[#This Row],[Avancement  ]]=0%, IF(VLOOKUP(D34,CorrespondanceSprint,2)&lt;=$P$12,"En retard","Non débutée"), IF(Suivi1[[#This Row],[Avancement  ]]&lt;100%,IF(VLOOKUP(D34,CorrespondanceSprint,2)&lt;=$P$12,"En retard","En cours"),"Terminée")))</f>
        <v/>
      </c>
      <c r="Q34" s="1"/>
    </row>
    <row r="35" spans="2:17" x14ac:dyDescent="0.2">
      <c r="B35" s="46" t="str">
        <f>Planif[[#This Row],[Numéro de la tâche]]</f>
        <v/>
      </c>
      <c r="C35" s="47" t="str">
        <f>IF(ISBLANK(Planif[[#This Row],[Nom de la tâche]]),"",Planif[[#This Row],[Nom de la tâche]])</f>
        <v/>
      </c>
      <c r="D35" s="46" t="str">
        <f>IF(ISBLANK(Planif[[#This Row],[Nom de la tâche]]),"",Planif[[#This Row],[Sprint visé]])</f>
        <v/>
      </c>
      <c r="E35" s="30"/>
      <c r="F35" s="28"/>
      <c r="G35" s="32"/>
      <c r="H35" s="32"/>
      <c r="O35" s="2" t="str">
        <f>IF(ISBLANK(Planif[[#This Row],[Nom de la tâche]]),"",IF(VLOOKUP(D35,CorrespondanceSprint,2)&lt;$P$12,"Sprint antérieur",IF(VLOOKUP(D35,CorrespondanceSprint,2)=$P$12,"Sprint courant","Sprint suivant")))</f>
        <v/>
      </c>
      <c r="P35" s="2" t="str">
        <f>IF(ISBLANK(Planif[[#This Row],[Nom de la tâche]]),"",IF(Suivi1[[#This Row],[Avancement  ]]=0%, IF(VLOOKUP(D35,CorrespondanceSprint,2)&lt;=$P$12,"En retard","Non débutée"), IF(Suivi1[[#This Row],[Avancement  ]]&lt;100%,IF(VLOOKUP(D35,CorrespondanceSprint,2)&lt;=$P$12,"En retard","En cours"),"Terminée")))</f>
        <v/>
      </c>
      <c r="Q35" s="1"/>
    </row>
    <row r="36" spans="2:17" x14ac:dyDescent="0.2">
      <c r="B36" s="46" t="str">
        <f>Planif[[#This Row],[Numéro de la tâche]]</f>
        <v/>
      </c>
      <c r="C36" s="47" t="str">
        <f>IF(ISBLANK(Planif[[#This Row],[Nom de la tâche]]),"",Planif[[#This Row],[Nom de la tâche]])</f>
        <v/>
      </c>
      <c r="D36" s="46" t="str">
        <f>IF(ISBLANK(Planif[[#This Row],[Nom de la tâche]]),"",Planif[[#This Row],[Sprint visé]])</f>
        <v/>
      </c>
      <c r="E36" s="30"/>
      <c r="F36" s="28"/>
      <c r="G36" s="32"/>
      <c r="H36" s="32"/>
      <c r="O36" s="2" t="str">
        <f>IF(ISBLANK(Planif[[#This Row],[Nom de la tâche]]),"",IF(VLOOKUP(D36,CorrespondanceSprint,2)&lt;$P$12,"Sprint antérieur",IF(VLOOKUP(D36,CorrespondanceSprint,2)=$P$12,"Sprint courant","Sprint suivant")))</f>
        <v/>
      </c>
      <c r="P36" s="2" t="str">
        <f>IF(ISBLANK(Planif[[#This Row],[Nom de la tâche]]),"",IF(Suivi1[[#This Row],[Avancement  ]]=0%, IF(VLOOKUP(D36,CorrespondanceSprint,2)&lt;=$P$12,"En retard","Non débutée"), IF(Suivi1[[#This Row],[Avancement  ]]&lt;100%,IF(VLOOKUP(D36,CorrespondanceSprint,2)&lt;=$P$12,"En retard","En cours"),"Terminée")))</f>
        <v/>
      </c>
      <c r="Q36" s="1"/>
    </row>
    <row r="37" spans="2:17" x14ac:dyDescent="0.2">
      <c r="B37" s="46" t="str">
        <f>Planif[[#This Row],[Numéro de la tâche]]</f>
        <v/>
      </c>
      <c r="C37" s="47" t="str">
        <f>IF(ISBLANK(Planif[[#This Row],[Nom de la tâche]]),"",Planif[[#This Row],[Nom de la tâche]])</f>
        <v/>
      </c>
      <c r="D37" s="46" t="str">
        <f>IF(ISBLANK(Planif[[#This Row],[Nom de la tâche]]),"",Planif[[#This Row],[Sprint visé]])</f>
        <v/>
      </c>
      <c r="E37" s="30"/>
      <c r="F37" s="28"/>
      <c r="G37" s="32"/>
      <c r="H37" s="32"/>
      <c r="O37" s="2" t="str">
        <f>IF(ISBLANK(Planif[[#This Row],[Nom de la tâche]]),"",IF(VLOOKUP(D37,CorrespondanceSprint,2)&lt;$P$12,"Sprint antérieur",IF(VLOOKUP(D37,CorrespondanceSprint,2)=$P$12,"Sprint courant","Sprint suivant")))</f>
        <v/>
      </c>
      <c r="P37" s="2" t="str">
        <f>IF(ISBLANK(Planif[[#This Row],[Nom de la tâche]]),"",IF(Suivi1[[#This Row],[Avancement  ]]=0%, IF(VLOOKUP(D37,CorrespondanceSprint,2)&lt;=$P$12,"En retard","Non débutée"), IF(Suivi1[[#This Row],[Avancement  ]]&lt;100%,IF(VLOOKUP(D37,CorrespondanceSprint,2)&lt;=$P$12,"En retard","En cours"),"Terminée")))</f>
        <v/>
      </c>
      <c r="Q37" s="1"/>
    </row>
    <row r="38" spans="2:17" x14ac:dyDescent="0.2">
      <c r="B38" s="46" t="str">
        <f>Planif[[#This Row],[Numéro de la tâche]]</f>
        <v/>
      </c>
      <c r="C38" s="47" t="str">
        <f>IF(ISBLANK(Planif[[#This Row],[Nom de la tâche]]),"",Planif[[#This Row],[Nom de la tâche]])</f>
        <v/>
      </c>
      <c r="D38" s="46" t="str">
        <f>IF(ISBLANK(Planif[[#This Row],[Nom de la tâche]]),"",Planif[[#This Row],[Sprint visé]])</f>
        <v/>
      </c>
      <c r="E38" s="30"/>
      <c r="F38" s="28"/>
      <c r="G38" s="32"/>
      <c r="H38" s="32"/>
      <c r="O38" s="2" t="str">
        <f>IF(ISBLANK(Planif[[#This Row],[Nom de la tâche]]),"",IF(VLOOKUP(D38,CorrespondanceSprint,2)&lt;$P$12,"Sprint antérieur",IF(VLOOKUP(D38,CorrespondanceSprint,2)=$P$12,"Sprint courant","Sprint suivant")))</f>
        <v/>
      </c>
      <c r="P38" s="2" t="str">
        <f>IF(ISBLANK(Planif[[#This Row],[Nom de la tâche]]),"",IF(Suivi1[[#This Row],[Avancement  ]]=0%, IF(VLOOKUP(D38,CorrespondanceSprint,2)&lt;=$P$12,"En retard","Non débutée"), IF(Suivi1[[#This Row],[Avancement  ]]&lt;100%,IF(VLOOKUP(D38,CorrespondanceSprint,2)&lt;=$P$12,"En retard","En cours"),"Terminée")))</f>
        <v/>
      </c>
      <c r="Q38" s="1"/>
    </row>
    <row r="39" spans="2:17" x14ac:dyDescent="0.2">
      <c r="B39" s="46" t="str">
        <f>Planif[[#This Row],[Numéro de la tâche]]</f>
        <v/>
      </c>
      <c r="C39" s="47" t="str">
        <f>IF(ISBLANK(Planif[[#This Row],[Nom de la tâche]]),"",Planif[[#This Row],[Nom de la tâche]])</f>
        <v/>
      </c>
      <c r="D39" s="46" t="str">
        <f>IF(ISBLANK(Planif[[#This Row],[Nom de la tâche]]),"",Planif[[#This Row],[Sprint visé]])</f>
        <v/>
      </c>
      <c r="E39" s="30"/>
      <c r="F39" s="28"/>
      <c r="G39" s="32"/>
      <c r="H39" s="32"/>
      <c r="O39" s="2" t="str">
        <f>IF(ISBLANK(Planif[[#This Row],[Nom de la tâche]]),"",IF(VLOOKUP(D39,CorrespondanceSprint,2)&lt;$P$12,"Sprint antérieur",IF(VLOOKUP(D39,CorrespondanceSprint,2)=$P$12,"Sprint courant","Sprint suivant")))</f>
        <v/>
      </c>
      <c r="P39" s="2" t="str">
        <f>IF(ISBLANK(Planif[[#This Row],[Nom de la tâche]]),"",IF(Suivi1[[#This Row],[Avancement  ]]=0%, IF(VLOOKUP(D39,CorrespondanceSprint,2)&lt;=$P$12,"En retard","Non débutée"), IF(Suivi1[[#This Row],[Avancement  ]]&lt;100%,IF(VLOOKUP(D39,CorrespondanceSprint,2)&lt;=$P$12,"En retard","En cours"),"Terminée")))</f>
        <v/>
      </c>
      <c r="Q39" s="1"/>
    </row>
    <row r="40" spans="2:17" x14ac:dyDescent="0.2">
      <c r="B40" s="46" t="str">
        <f>Planif[[#This Row],[Numéro de la tâche]]</f>
        <v/>
      </c>
      <c r="C40" s="47" t="str">
        <f>IF(ISBLANK(Planif[[#This Row],[Nom de la tâche]]),"",Planif[[#This Row],[Nom de la tâche]])</f>
        <v/>
      </c>
      <c r="D40" s="46" t="str">
        <f>IF(ISBLANK(Planif[[#This Row],[Nom de la tâche]]),"",Planif[[#This Row],[Sprint visé]])</f>
        <v/>
      </c>
      <c r="E40" s="30"/>
      <c r="F40" s="28"/>
      <c r="G40" s="32"/>
      <c r="H40" s="32"/>
      <c r="O40" s="2" t="str">
        <f>IF(ISBLANK(Planif[[#This Row],[Nom de la tâche]]),"",IF(VLOOKUP(D40,CorrespondanceSprint,2)&lt;$P$12,"Sprint antérieur",IF(VLOOKUP(D40,CorrespondanceSprint,2)=$P$12,"Sprint courant","Sprint suivant")))</f>
        <v/>
      </c>
      <c r="P40" s="2" t="str">
        <f>IF(ISBLANK(Planif[[#This Row],[Nom de la tâche]]),"",IF(Suivi1[[#This Row],[Avancement  ]]=0%, IF(VLOOKUP(D40,CorrespondanceSprint,2)&lt;=$P$12,"En retard","Non débutée"), IF(Suivi1[[#This Row],[Avancement  ]]&lt;100%,IF(VLOOKUP(D40,CorrespondanceSprint,2)&lt;=$P$12,"En retard","En cours"),"Terminée")))</f>
        <v/>
      </c>
      <c r="Q40" s="1"/>
    </row>
    <row r="41" spans="2:17" x14ac:dyDescent="0.2">
      <c r="B41" s="46" t="str">
        <f>Planif[[#This Row],[Numéro de la tâche]]</f>
        <v/>
      </c>
      <c r="C41" s="47" t="str">
        <f>IF(ISBLANK(Planif[[#This Row],[Nom de la tâche]]),"",Planif[[#This Row],[Nom de la tâche]])</f>
        <v/>
      </c>
      <c r="D41" s="46" t="str">
        <f>IF(ISBLANK(Planif[[#This Row],[Nom de la tâche]]),"",Planif[[#This Row],[Sprint visé]])</f>
        <v/>
      </c>
      <c r="E41" s="30"/>
      <c r="F41" s="28"/>
      <c r="G41" s="32"/>
      <c r="H41" s="32"/>
      <c r="O41" s="2" t="str">
        <f>IF(ISBLANK(Planif[[#This Row],[Nom de la tâche]]),"",IF(VLOOKUP(D41,CorrespondanceSprint,2)&lt;$P$12,"Sprint antérieur",IF(VLOOKUP(D41,CorrespondanceSprint,2)=$P$12,"Sprint courant","Sprint suivant")))</f>
        <v/>
      </c>
      <c r="P41" s="2" t="str">
        <f>IF(ISBLANK(Planif[[#This Row],[Nom de la tâche]]),"",IF(Suivi1[[#This Row],[Avancement  ]]=0%, IF(VLOOKUP(D41,CorrespondanceSprint,2)&lt;=$P$12,"En retard","Non débutée"), IF(Suivi1[[#This Row],[Avancement  ]]&lt;100%,IF(VLOOKUP(D41,CorrespondanceSprint,2)&lt;=$P$12,"En retard","En cours"),"Terminée")))</f>
        <v/>
      </c>
      <c r="Q41" s="1"/>
    </row>
    <row r="42" spans="2:17" x14ac:dyDescent="0.2">
      <c r="B42" s="46" t="str">
        <f>Planif[[#This Row],[Numéro de la tâche]]</f>
        <v/>
      </c>
      <c r="C42" s="47" t="str">
        <f>IF(ISBLANK(Planif[[#This Row],[Nom de la tâche]]),"",Planif[[#This Row],[Nom de la tâche]])</f>
        <v/>
      </c>
      <c r="D42" s="46" t="str">
        <f>IF(ISBLANK(Planif[[#This Row],[Nom de la tâche]]),"",Planif[[#This Row],[Sprint visé]])</f>
        <v/>
      </c>
      <c r="E42" s="30"/>
      <c r="F42" s="28"/>
      <c r="G42" s="32"/>
      <c r="H42" s="32"/>
      <c r="O42" s="2" t="str">
        <f>IF(ISBLANK(Planif[[#This Row],[Nom de la tâche]]),"",IF(VLOOKUP(D42,CorrespondanceSprint,2)&lt;$P$12,"Sprint antérieur",IF(VLOOKUP(D42,CorrespondanceSprint,2)=$P$12,"Sprint courant","Sprint suivant")))</f>
        <v/>
      </c>
      <c r="P42" s="2" t="str">
        <f>IF(ISBLANK(Planif[[#This Row],[Nom de la tâche]]),"",IF(Suivi1[[#This Row],[Avancement  ]]=0%, IF(VLOOKUP(D42,CorrespondanceSprint,2)&lt;=$P$12,"En retard","Non débutée"), IF(Suivi1[[#This Row],[Avancement  ]]&lt;100%,IF(VLOOKUP(D42,CorrespondanceSprint,2)&lt;=$P$12,"En retard","En cours"),"Terminée")))</f>
        <v/>
      </c>
      <c r="Q42" s="1"/>
    </row>
    <row r="43" spans="2:17" x14ac:dyDescent="0.2">
      <c r="B43" s="46" t="str">
        <f>Planif[[#This Row],[Numéro de la tâche]]</f>
        <v/>
      </c>
      <c r="C43" s="47" t="str">
        <f>IF(ISBLANK(Planif[[#This Row],[Nom de la tâche]]),"",Planif[[#This Row],[Nom de la tâche]])</f>
        <v/>
      </c>
      <c r="D43" s="46" t="str">
        <f>IF(ISBLANK(Planif[[#This Row],[Nom de la tâche]]),"",Planif[[#This Row],[Sprint visé]])</f>
        <v/>
      </c>
      <c r="E43" s="30"/>
      <c r="F43" s="28"/>
      <c r="G43" s="32"/>
      <c r="H43" s="32"/>
      <c r="O43" s="2" t="str">
        <f>IF(ISBLANK(Planif[[#This Row],[Nom de la tâche]]),"",IF(VLOOKUP(D43,CorrespondanceSprint,2)&lt;$P$12,"Sprint antérieur",IF(VLOOKUP(D43,CorrespondanceSprint,2)=$P$12,"Sprint courant","Sprint suivant")))</f>
        <v/>
      </c>
      <c r="P43" s="2" t="str">
        <f>IF(ISBLANK(Planif[[#This Row],[Nom de la tâche]]),"",IF(Suivi1[[#This Row],[Avancement  ]]=0%, IF(VLOOKUP(D43,CorrespondanceSprint,2)&lt;=$P$12,"En retard","Non débutée"), IF(Suivi1[[#This Row],[Avancement  ]]&lt;100%,IF(VLOOKUP(D43,CorrespondanceSprint,2)&lt;=$P$12,"En retard","En cours"),"Terminée")))</f>
        <v/>
      </c>
      <c r="Q43" s="1"/>
    </row>
    <row r="44" spans="2:17" x14ac:dyDescent="0.2">
      <c r="B44" s="46" t="str">
        <f>Planif[[#This Row],[Numéro de la tâche]]</f>
        <v/>
      </c>
      <c r="C44" s="47" t="str">
        <f>IF(ISBLANK(Planif[[#This Row],[Nom de la tâche]]),"",Planif[[#This Row],[Nom de la tâche]])</f>
        <v/>
      </c>
      <c r="D44" s="46" t="str">
        <f>IF(ISBLANK(Planif[[#This Row],[Nom de la tâche]]),"",Planif[[#This Row],[Sprint visé]])</f>
        <v/>
      </c>
      <c r="E44" s="30"/>
      <c r="F44" s="28"/>
      <c r="G44" s="32"/>
      <c r="H44" s="32"/>
      <c r="O44" s="2" t="str">
        <f>IF(ISBLANK(Planif[[#This Row],[Nom de la tâche]]),"",IF(VLOOKUP(D44,CorrespondanceSprint,2)&lt;$P$12,"Sprint antérieur",IF(VLOOKUP(D44,CorrespondanceSprint,2)=$P$12,"Sprint courant","Sprint suivant")))</f>
        <v/>
      </c>
      <c r="P44" s="2" t="str">
        <f>IF(ISBLANK(Planif[[#This Row],[Nom de la tâche]]),"",IF(Suivi1[[#This Row],[Avancement  ]]=0%, IF(VLOOKUP(D44,CorrespondanceSprint,2)&lt;=$P$12,"En retard","Non débutée"), IF(Suivi1[[#This Row],[Avancement  ]]&lt;100%,IF(VLOOKUP(D44,CorrespondanceSprint,2)&lt;=$P$12,"En retard","En cours"),"Terminée")))</f>
        <v/>
      </c>
      <c r="Q44" s="1"/>
    </row>
    <row r="45" spans="2:17" x14ac:dyDescent="0.2">
      <c r="B45" s="46" t="str">
        <f>Planif[[#This Row],[Numéro de la tâche]]</f>
        <v/>
      </c>
      <c r="C45" s="47" t="str">
        <f>IF(ISBLANK(Planif[[#This Row],[Nom de la tâche]]),"",Planif[[#This Row],[Nom de la tâche]])</f>
        <v/>
      </c>
      <c r="D45" s="46" t="str">
        <f>IF(ISBLANK(Planif[[#This Row],[Nom de la tâche]]),"",Planif[[#This Row],[Sprint visé]])</f>
        <v/>
      </c>
      <c r="E45" s="30"/>
      <c r="F45" s="28"/>
      <c r="G45" s="32"/>
      <c r="H45" s="32"/>
      <c r="O45" s="2" t="str">
        <f>IF(ISBLANK(Planif[[#This Row],[Nom de la tâche]]),"",IF(VLOOKUP(D45,CorrespondanceSprint,2)&lt;$P$12,"Sprint antérieur",IF(VLOOKUP(D45,CorrespondanceSprint,2)=$P$12,"Sprint courant","Sprint suivant")))</f>
        <v/>
      </c>
      <c r="P45" s="2" t="str">
        <f>IF(ISBLANK(Planif[[#This Row],[Nom de la tâche]]),"",IF(Suivi1[[#This Row],[Avancement  ]]=0%, IF(VLOOKUP(D45,CorrespondanceSprint,2)&lt;=$P$12,"En retard","Non débutée"), IF(Suivi1[[#This Row],[Avancement  ]]&lt;100%,IF(VLOOKUP(D45,CorrespondanceSprint,2)&lt;=$P$12,"En retard","En cours"),"Terminée")))</f>
        <v/>
      </c>
      <c r="Q45" s="1"/>
    </row>
    <row r="46" spans="2:17" x14ac:dyDescent="0.2">
      <c r="B46" s="46" t="str">
        <f>Planif[[#This Row],[Numéro de la tâche]]</f>
        <v/>
      </c>
      <c r="C46" s="47" t="str">
        <f>IF(ISBLANK(Planif[[#This Row],[Nom de la tâche]]),"",Planif[[#This Row],[Nom de la tâche]])</f>
        <v/>
      </c>
      <c r="D46" s="46" t="str">
        <f>IF(ISBLANK(Planif[[#This Row],[Nom de la tâche]]),"",Planif[[#This Row],[Sprint visé]])</f>
        <v/>
      </c>
      <c r="E46" s="30"/>
      <c r="F46" s="28"/>
      <c r="G46" s="32"/>
      <c r="H46" s="32"/>
      <c r="O46" s="2" t="str">
        <f>IF(ISBLANK(Planif[[#This Row],[Nom de la tâche]]),"",IF(VLOOKUP(D46,CorrespondanceSprint,2)&lt;$P$12,"Sprint antérieur",IF(VLOOKUP(D46,CorrespondanceSprint,2)=$P$12,"Sprint courant","Sprint suivant")))</f>
        <v/>
      </c>
      <c r="P46" s="2" t="str">
        <f>IF(ISBLANK(Planif[[#This Row],[Nom de la tâche]]),"",IF(Suivi1[[#This Row],[Avancement  ]]=0%, IF(VLOOKUP(D46,CorrespondanceSprint,2)&lt;=$P$12,"En retard","Non débutée"), IF(Suivi1[[#This Row],[Avancement  ]]&lt;100%,IF(VLOOKUP(D46,CorrespondanceSprint,2)&lt;=$P$12,"En retard","En cours"),"Terminée")))</f>
        <v/>
      </c>
      <c r="Q46" s="1"/>
    </row>
    <row r="47" spans="2:17" x14ac:dyDescent="0.2">
      <c r="B47" s="46" t="str">
        <f>Planif[[#This Row],[Numéro de la tâche]]</f>
        <v/>
      </c>
      <c r="C47" s="47" t="str">
        <f>IF(ISBLANK(Planif[[#This Row],[Nom de la tâche]]),"",Planif[[#This Row],[Nom de la tâche]])</f>
        <v/>
      </c>
      <c r="D47" s="46" t="str">
        <f>IF(ISBLANK(Planif[[#This Row],[Nom de la tâche]]),"",Planif[[#This Row],[Sprint visé]])</f>
        <v/>
      </c>
      <c r="E47" s="30"/>
      <c r="F47" s="28"/>
      <c r="G47" s="32"/>
      <c r="H47" s="32"/>
      <c r="O47" s="2" t="str">
        <f>IF(ISBLANK(Planif[[#This Row],[Nom de la tâche]]),"",IF(VLOOKUP(D47,CorrespondanceSprint,2)&lt;$P$12,"Sprint antérieur",IF(VLOOKUP(D47,CorrespondanceSprint,2)=$P$12,"Sprint courant","Sprint suivant")))</f>
        <v/>
      </c>
      <c r="P47" s="2" t="str">
        <f>IF(ISBLANK(Planif[[#This Row],[Nom de la tâche]]),"",IF(Suivi1[[#This Row],[Avancement  ]]=0%, IF(VLOOKUP(D47,CorrespondanceSprint,2)&lt;=$P$12,"En retard","Non débutée"), IF(Suivi1[[#This Row],[Avancement  ]]&lt;100%,IF(VLOOKUP(D47,CorrespondanceSprint,2)&lt;=$P$12,"En retard","En cours"),"Terminée")))</f>
        <v/>
      </c>
      <c r="Q47" s="1"/>
    </row>
    <row r="48" spans="2:17" x14ac:dyDescent="0.2">
      <c r="B48" s="46" t="str">
        <f>Planif[[#This Row],[Numéro de la tâche]]</f>
        <v/>
      </c>
      <c r="C48" s="47" t="str">
        <f>IF(ISBLANK(Planif[[#This Row],[Nom de la tâche]]),"",Planif[[#This Row],[Nom de la tâche]])</f>
        <v/>
      </c>
      <c r="D48" s="46" t="str">
        <f>IF(ISBLANK(Planif[[#This Row],[Nom de la tâche]]),"",Planif[[#This Row],[Sprint visé]])</f>
        <v/>
      </c>
      <c r="E48" s="30"/>
      <c r="F48" s="28"/>
      <c r="G48" s="32"/>
      <c r="H48" s="32"/>
      <c r="O48" s="2" t="str">
        <f>IF(ISBLANK(Planif[[#This Row],[Nom de la tâche]]),"",IF(VLOOKUP(D48,CorrespondanceSprint,2)&lt;$P$12,"Sprint antérieur",IF(VLOOKUP(D48,CorrespondanceSprint,2)=$P$12,"Sprint courant","Sprint suivant")))</f>
        <v/>
      </c>
      <c r="P48" s="2" t="str">
        <f>IF(ISBLANK(Planif[[#This Row],[Nom de la tâche]]),"",IF(Suivi1[[#This Row],[Avancement  ]]=0%, IF(VLOOKUP(D48,CorrespondanceSprint,2)&lt;=$P$12,"En retard","Non débutée"), IF(Suivi1[[#This Row],[Avancement  ]]&lt;100%,IF(VLOOKUP(D48,CorrespondanceSprint,2)&lt;=$P$12,"En retard","En cours"),"Terminée")))</f>
        <v/>
      </c>
      <c r="Q48" s="1"/>
    </row>
    <row r="49" spans="2:17" x14ac:dyDescent="0.2">
      <c r="B49" s="46" t="str">
        <f>Planif[[#This Row],[Numéro de la tâche]]</f>
        <v/>
      </c>
      <c r="C49" s="47" t="str">
        <f>IF(ISBLANK(Planif[[#This Row],[Nom de la tâche]]),"",Planif[[#This Row],[Nom de la tâche]])</f>
        <v/>
      </c>
      <c r="D49" s="46" t="str">
        <f>IF(ISBLANK(Planif[[#This Row],[Nom de la tâche]]),"",Planif[[#This Row],[Sprint visé]])</f>
        <v/>
      </c>
      <c r="E49" s="30"/>
      <c r="F49" s="28"/>
      <c r="G49" s="32"/>
      <c r="H49" s="32"/>
      <c r="O49" s="2" t="str">
        <f>IF(ISBLANK(Planif[[#This Row],[Nom de la tâche]]),"",IF(VLOOKUP(D49,CorrespondanceSprint,2)&lt;$P$12,"Sprint antérieur",IF(VLOOKUP(D49,CorrespondanceSprint,2)=$P$12,"Sprint courant","Sprint suivant")))</f>
        <v/>
      </c>
      <c r="P49" s="2" t="str">
        <f>IF(ISBLANK(Planif[[#This Row],[Nom de la tâche]]),"",IF(Suivi1[[#This Row],[Avancement  ]]=0%, IF(VLOOKUP(D49,CorrespondanceSprint,2)&lt;=$P$12,"En retard","Non débutée"), IF(Suivi1[[#This Row],[Avancement  ]]&lt;100%,IF(VLOOKUP(D49,CorrespondanceSprint,2)&lt;=$P$12,"En retard","En cours"),"Terminée")))</f>
        <v/>
      </c>
      <c r="Q49" s="1"/>
    </row>
    <row r="50" spans="2:17" x14ac:dyDescent="0.2">
      <c r="B50" s="46" t="str">
        <f>Planif[[#This Row],[Numéro de la tâche]]</f>
        <v/>
      </c>
      <c r="C50" s="47" t="str">
        <f>IF(ISBLANK(Planif[[#This Row],[Nom de la tâche]]),"",Planif[[#This Row],[Nom de la tâche]])</f>
        <v/>
      </c>
      <c r="D50" s="46" t="str">
        <f>IF(ISBLANK(Planif[[#This Row],[Nom de la tâche]]),"",Planif[[#This Row],[Sprint visé]])</f>
        <v/>
      </c>
      <c r="E50" s="30"/>
      <c r="F50" s="28"/>
      <c r="G50" s="32"/>
      <c r="H50" s="32"/>
      <c r="O50" s="2" t="str">
        <f>IF(ISBLANK(Planif[[#This Row],[Nom de la tâche]]),"",IF(VLOOKUP(D50,CorrespondanceSprint,2)&lt;$P$12,"Sprint antérieur",IF(VLOOKUP(D50,CorrespondanceSprint,2)=$P$12,"Sprint courant","Sprint suivant")))</f>
        <v/>
      </c>
      <c r="P50" s="2" t="str">
        <f>IF(ISBLANK(Planif[[#This Row],[Nom de la tâche]]),"",IF(Suivi1[[#This Row],[Avancement  ]]=0%, IF(VLOOKUP(D50,CorrespondanceSprint,2)&lt;=$P$12,"En retard","Non débutée"), IF(Suivi1[[#This Row],[Avancement  ]]&lt;100%,IF(VLOOKUP(D50,CorrespondanceSprint,2)&lt;=$P$12,"En retard","En cours"),"Terminée")))</f>
        <v/>
      </c>
      <c r="Q50" s="1"/>
    </row>
    <row r="51" spans="2:17" x14ac:dyDescent="0.2">
      <c r="B51" s="46" t="str">
        <f>Planif[[#This Row],[Numéro de la tâche]]</f>
        <v/>
      </c>
      <c r="C51" s="47" t="str">
        <f>IF(ISBLANK(Planif[[#This Row],[Nom de la tâche]]),"",Planif[[#This Row],[Nom de la tâche]])</f>
        <v/>
      </c>
      <c r="D51" s="46" t="str">
        <f>IF(ISBLANK(Planif[[#This Row],[Nom de la tâche]]),"",Planif[[#This Row],[Sprint visé]])</f>
        <v/>
      </c>
      <c r="E51" s="30"/>
      <c r="F51" s="28"/>
      <c r="G51" s="32"/>
      <c r="H51" s="32"/>
      <c r="O51" s="2" t="str">
        <f>IF(ISBLANK(Planif[[#This Row],[Nom de la tâche]]),"",IF(VLOOKUP(D51,CorrespondanceSprint,2)&lt;$P$12,"Sprint antérieur",IF(VLOOKUP(D51,CorrespondanceSprint,2)=$P$12,"Sprint courant","Sprint suivant")))</f>
        <v/>
      </c>
      <c r="P51" s="2" t="str">
        <f>IF(ISBLANK(Planif[[#This Row],[Nom de la tâche]]),"",IF(Suivi1[[#This Row],[Avancement  ]]=0%, IF(VLOOKUP(D51,CorrespondanceSprint,2)&lt;=$P$12,"En retard","Non débutée"), IF(Suivi1[[#This Row],[Avancement  ]]&lt;100%,IF(VLOOKUP(D51,CorrespondanceSprint,2)&lt;=$P$12,"En retard","En cours"),"Terminée")))</f>
        <v/>
      </c>
      <c r="Q51" s="1"/>
    </row>
    <row r="52" spans="2:17" x14ac:dyDescent="0.2">
      <c r="B52" s="46" t="str">
        <f>Planif[[#This Row],[Numéro de la tâche]]</f>
        <v/>
      </c>
      <c r="C52" s="47" t="str">
        <f>IF(ISBLANK(Planif[[#This Row],[Nom de la tâche]]),"",Planif[[#This Row],[Nom de la tâche]])</f>
        <v/>
      </c>
      <c r="D52" s="46" t="str">
        <f>IF(ISBLANK(Planif[[#This Row],[Nom de la tâche]]),"",Planif[[#This Row],[Sprint visé]])</f>
        <v/>
      </c>
      <c r="E52" s="30"/>
      <c r="F52" s="28"/>
      <c r="G52" s="32"/>
      <c r="H52" s="32"/>
      <c r="O52" s="2" t="str">
        <f>IF(ISBLANK(Planif[[#This Row],[Nom de la tâche]]),"",IF(VLOOKUP(D52,CorrespondanceSprint,2)&lt;$P$12,"Sprint antérieur",IF(VLOOKUP(D52,CorrespondanceSprint,2)=$P$12,"Sprint courant","Sprint suivant")))</f>
        <v/>
      </c>
      <c r="P52" s="2" t="str">
        <f>IF(ISBLANK(Planif[[#This Row],[Nom de la tâche]]),"",IF(Suivi1[[#This Row],[Avancement  ]]=0%, IF(VLOOKUP(D52,CorrespondanceSprint,2)&lt;=$P$12,"En retard","Non débutée"), IF(Suivi1[[#This Row],[Avancement  ]]&lt;100%,IF(VLOOKUP(D52,CorrespondanceSprint,2)&lt;=$P$12,"En retard","En cours"),"Terminée")))</f>
        <v/>
      </c>
      <c r="Q52" s="1"/>
    </row>
    <row r="53" spans="2:17" x14ac:dyDescent="0.2">
      <c r="B53" s="46" t="str">
        <f>Planif[[#This Row],[Numéro de la tâche]]</f>
        <v/>
      </c>
      <c r="C53" s="47" t="str">
        <f>IF(ISBLANK(Planif[[#This Row],[Nom de la tâche]]),"",Planif[[#This Row],[Nom de la tâche]])</f>
        <v/>
      </c>
      <c r="D53" s="46" t="str">
        <f>IF(ISBLANK(Planif[[#This Row],[Nom de la tâche]]),"",Planif[[#This Row],[Sprint visé]])</f>
        <v/>
      </c>
      <c r="E53" s="30"/>
      <c r="F53" s="28"/>
      <c r="G53" s="32"/>
      <c r="H53" s="32"/>
      <c r="O53" s="2" t="str">
        <f>IF(ISBLANK(Planif[[#This Row],[Nom de la tâche]]),"",IF(VLOOKUP(D53,CorrespondanceSprint,2)&lt;$P$12,"Sprint antérieur",IF(VLOOKUP(D53,CorrespondanceSprint,2)=$P$12,"Sprint courant","Sprint suivant")))</f>
        <v/>
      </c>
      <c r="P53" s="2" t="str">
        <f>IF(ISBLANK(Planif[[#This Row],[Nom de la tâche]]),"",IF(Suivi1[[#This Row],[Avancement  ]]=0%, IF(VLOOKUP(D53,CorrespondanceSprint,2)&lt;=$P$12,"En retard","Non débutée"), IF(Suivi1[[#This Row],[Avancement  ]]&lt;100%,IF(VLOOKUP(D53,CorrespondanceSprint,2)&lt;=$P$12,"En retard","En cours"),"Terminée")))</f>
        <v/>
      </c>
      <c r="Q53" s="1"/>
    </row>
    <row r="54" spans="2:17" x14ac:dyDescent="0.2">
      <c r="B54" s="46" t="str">
        <f>Planif[[#This Row],[Numéro de la tâche]]</f>
        <v/>
      </c>
      <c r="C54" s="47" t="str">
        <f>IF(ISBLANK(Planif[[#This Row],[Nom de la tâche]]),"",Planif[[#This Row],[Nom de la tâche]])</f>
        <v/>
      </c>
      <c r="D54" s="46" t="str">
        <f>IF(ISBLANK(Planif[[#This Row],[Nom de la tâche]]),"",Planif[[#This Row],[Sprint visé]])</f>
        <v/>
      </c>
      <c r="E54" s="30"/>
      <c r="F54" s="28"/>
      <c r="G54" s="32"/>
      <c r="H54" s="32"/>
      <c r="O54" s="2" t="str">
        <f>IF(ISBLANK(Planif[[#This Row],[Nom de la tâche]]),"",IF(VLOOKUP(D54,CorrespondanceSprint,2)&lt;$P$12,"Sprint antérieur",IF(VLOOKUP(D54,CorrespondanceSprint,2)=$P$12,"Sprint courant","Sprint suivant")))</f>
        <v/>
      </c>
      <c r="P54" s="2" t="str">
        <f>IF(ISBLANK(Planif[[#This Row],[Nom de la tâche]]),"",IF(Suivi1[[#This Row],[Avancement  ]]=0%, IF(VLOOKUP(D54,CorrespondanceSprint,2)&lt;=$P$12,"En retard","Non débutée"), IF(Suivi1[[#This Row],[Avancement  ]]&lt;100%,IF(VLOOKUP(D54,CorrespondanceSprint,2)&lt;=$P$12,"En retard","En cours"),"Terminée")))</f>
        <v/>
      </c>
      <c r="Q54" s="1"/>
    </row>
    <row r="55" spans="2:17" x14ac:dyDescent="0.2">
      <c r="B55" s="46" t="str">
        <f>Planif[[#This Row],[Numéro de la tâche]]</f>
        <v/>
      </c>
      <c r="C55" s="47" t="str">
        <f>IF(ISBLANK(Planif[[#This Row],[Nom de la tâche]]),"",Planif[[#This Row],[Nom de la tâche]])</f>
        <v/>
      </c>
      <c r="D55" s="46" t="str">
        <f>IF(ISBLANK(Planif[[#This Row],[Nom de la tâche]]),"",Planif[[#This Row],[Sprint visé]])</f>
        <v/>
      </c>
      <c r="E55" s="30"/>
      <c r="F55" s="28"/>
      <c r="G55" s="32"/>
      <c r="H55" s="32"/>
      <c r="O55" s="2" t="str">
        <f>IF(ISBLANK(Planif[[#This Row],[Nom de la tâche]]),"",IF(VLOOKUP(D55,CorrespondanceSprint,2)&lt;$P$12,"Sprint antérieur",IF(VLOOKUP(D55,CorrespondanceSprint,2)=$P$12,"Sprint courant","Sprint suivant")))</f>
        <v/>
      </c>
      <c r="P55" s="2" t="str">
        <f>IF(ISBLANK(Planif[[#This Row],[Nom de la tâche]]),"",IF(Suivi1[[#This Row],[Avancement  ]]=0%, IF(VLOOKUP(D55,CorrespondanceSprint,2)&lt;=$P$12,"En retard","Non débutée"), IF(Suivi1[[#This Row],[Avancement  ]]&lt;100%,IF(VLOOKUP(D55,CorrespondanceSprint,2)&lt;=$P$12,"En retard","En cours"),"Terminée")))</f>
        <v/>
      </c>
      <c r="Q55" s="1"/>
    </row>
    <row r="56" spans="2:17" x14ac:dyDescent="0.2">
      <c r="B56" s="46" t="str">
        <f>Planif[[#This Row],[Numéro de la tâche]]</f>
        <v/>
      </c>
      <c r="C56" s="47" t="str">
        <f>IF(ISBLANK(Planif[[#This Row],[Nom de la tâche]]),"",Planif[[#This Row],[Nom de la tâche]])</f>
        <v/>
      </c>
      <c r="D56" s="46" t="str">
        <f>IF(ISBLANK(Planif[[#This Row],[Nom de la tâche]]),"",Planif[[#This Row],[Sprint visé]])</f>
        <v/>
      </c>
      <c r="E56" s="30"/>
      <c r="F56" s="28"/>
      <c r="G56" s="32"/>
      <c r="H56" s="32"/>
      <c r="O56" s="2" t="str">
        <f>IF(ISBLANK(Planif[[#This Row],[Nom de la tâche]]),"",IF(VLOOKUP(D56,CorrespondanceSprint,2)&lt;$P$12,"Sprint antérieur",IF(VLOOKUP(D56,CorrespondanceSprint,2)=$P$12,"Sprint courant","Sprint suivant")))</f>
        <v/>
      </c>
      <c r="P56" s="2" t="str">
        <f>IF(ISBLANK(Planif[[#This Row],[Nom de la tâche]]),"",IF(Suivi1[[#This Row],[Avancement  ]]=0%, IF(VLOOKUP(D56,CorrespondanceSprint,2)&lt;=$P$12,"En retard","Non débutée"), IF(Suivi1[[#This Row],[Avancement  ]]&lt;100%,IF(VLOOKUP(D56,CorrespondanceSprint,2)&lt;=$P$12,"En retard","En cours"),"Terminée")))</f>
        <v/>
      </c>
      <c r="Q56" s="1"/>
    </row>
    <row r="57" spans="2:17" x14ac:dyDescent="0.2">
      <c r="B57" s="46" t="str">
        <f>Planif[[#This Row],[Numéro de la tâche]]</f>
        <v/>
      </c>
      <c r="C57" s="47" t="str">
        <f>IF(ISBLANK(Planif[[#This Row],[Nom de la tâche]]),"",Planif[[#This Row],[Nom de la tâche]])</f>
        <v/>
      </c>
      <c r="D57" s="46" t="str">
        <f>IF(ISBLANK(Planif[[#This Row],[Nom de la tâche]]),"",Planif[[#This Row],[Sprint visé]])</f>
        <v/>
      </c>
      <c r="E57" s="30"/>
      <c r="F57" s="28"/>
      <c r="G57" s="32"/>
      <c r="H57" s="32"/>
      <c r="O57" s="2" t="str">
        <f>IF(ISBLANK(Planif[[#This Row],[Nom de la tâche]]),"",IF(VLOOKUP(D57,CorrespondanceSprint,2)&lt;$P$12,"Sprint antérieur",IF(VLOOKUP(D57,CorrespondanceSprint,2)=$P$12,"Sprint courant","Sprint suivant")))</f>
        <v/>
      </c>
      <c r="P57" s="2" t="str">
        <f>IF(ISBLANK(Planif[[#This Row],[Nom de la tâche]]),"",IF(Suivi1[[#This Row],[Avancement  ]]=0%, IF(VLOOKUP(D57,CorrespondanceSprint,2)&lt;=$P$12,"En retard","Non débutée"), IF(Suivi1[[#This Row],[Avancement  ]]&lt;100%,IF(VLOOKUP(D57,CorrespondanceSprint,2)&lt;=$P$12,"En retard","En cours"),"Terminée")))</f>
        <v/>
      </c>
      <c r="Q57" s="1"/>
    </row>
    <row r="58" spans="2:17" x14ac:dyDescent="0.2">
      <c r="B58" s="46" t="str">
        <f>Planif[[#This Row],[Numéro de la tâche]]</f>
        <v/>
      </c>
      <c r="C58" s="47" t="str">
        <f>IF(ISBLANK(Planif[[#This Row],[Nom de la tâche]]),"",Planif[[#This Row],[Nom de la tâche]])</f>
        <v/>
      </c>
      <c r="D58" s="46" t="str">
        <f>IF(ISBLANK(Planif[[#This Row],[Nom de la tâche]]),"",Planif[[#This Row],[Sprint visé]])</f>
        <v/>
      </c>
      <c r="E58" s="30"/>
      <c r="F58" s="28"/>
      <c r="G58" s="32"/>
      <c r="H58" s="32"/>
      <c r="O58" s="2" t="str">
        <f>IF(ISBLANK(Planif[[#This Row],[Nom de la tâche]]),"",IF(VLOOKUP(D58,CorrespondanceSprint,2)&lt;$P$12,"Sprint antérieur",IF(VLOOKUP(D58,CorrespondanceSprint,2)=$P$12,"Sprint courant","Sprint suivant")))</f>
        <v/>
      </c>
      <c r="P58" s="2" t="str">
        <f>IF(ISBLANK(Planif[[#This Row],[Nom de la tâche]]),"",IF(Suivi1[[#This Row],[Avancement  ]]=0%, IF(VLOOKUP(D58,CorrespondanceSprint,2)&lt;=$P$12,"En retard","Non débutée"), IF(Suivi1[[#This Row],[Avancement  ]]&lt;100%,IF(VLOOKUP(D58,CorrespondanceSprint,2)&lt;=$P$12,"En retard","En cours"),"Terminée")))</f>
        <v/>
      </c>
      <c r="Q58" s="1"/>
    </row>
    <row r="59" spans="2:17" x14ac:dyDescent="0.2">
      <c r="B59" s="46" t="str">
        <f>Planif[[#This Row],[Numéro de la tâche]]</f>
        <v/>
      </c>
      <c r="C59" s="47" t="str">
        <f>IF(ISBLANK(Planif[[#This Row],[Nom de la tâche]]),"",Planif[[#This Row],[Nom de la tâche]])</f>
        <v/>
      </c>
      <c r="D59" s="46" t="str">
        <f>IF(ISBLANK(Planif[[#This Row],[Nom de la tâche]]),"",Planif[[#This Row],[Sprint visé]])</f>
        <v/>
      </c>
      <c r="E59" s="30"/>
      <c r="F59" s="28"/>
      <c r="G59" s="32"/>
      <c r="H59" s="32"/>
      <c r="O59" s="2" t="str">
        <f>IF(ISBLANK(Planif[[#This Row],[Nom de la tâche]]),"",IF(VLOOKUP(D59,CorrespondanceSprint,2)&lt;$P$12,"Sprint antérieur",IF(VLOOKUP(D59,CorrespondanceSprint,2)=$P$12,"Sprint courant","Sprint suivant")))</f>
        <v/>
      </c>
      <c r="P59" s="2" t="str">
        <f>IF(ISBLANK(Planif[[#This Row],[Nom de la tâche]]),"",IF(Suivi1[[#This Row],[Avancement  ]]=0%, IF(VLOOKUP(D59,CorrespondanceSprint,2)&lt;=$P$12,"En retard","Non débutée"), IF(Suivi1[[#This Row],[Avancement  ]]&lt;100%,IF(VLOOKUP(D59,CorrespondanceSprint,2)&lt;=$P$12,"En retard","En cours"),"Terminée")))</f>
        <v/>
      </c>
      <c r="Q59" s="1"/>
    </row>
    <row r="60" spans="2:17" x14ac:dyDescent="0.2">
      <c r="B60" s="46" t="str">
        <f>Planif[[#This Row],[Numéro de la tâche]]</f>
        <v/>
      </c>
      <c r="C60" s="47" t="str">
        <f>IF(ISBLANK(Planif[[#This Row],[Nom de la tâche]]),"",Planif[[#This Row],[Nom de la tâche]])</f>
        <v/>
      </c>
      <c r="D60" s="46" t="str">
        <f>IF(ISBLANK(Planif[[#This Row],[Nom de la tâche]]),"",Planif[[#This Row],[Sprint visé]])</f>
        <v/>
      </c>
      <c r="E60" s="30"/>
      <c r="F60" s="28"/>
      <c r="G60" s="32"/>
      <c r="H60" s="32"/>
      <c r="O60" s="2" t="str">
        <f>IF(ISBLANK(Planif[[#This Row],[Nom de la tâche]]),"",IF(VLOOKUP(D60,CorrespondanceSprint,2)&lt;$P$12,"Sprint antérieur",IF(VLOOKUP(D60,CorrespondanceSprint,2)=$P$12,"Sprint courant","Sprint suivant")))</f>
        <v/>
      </c>
      <c r="P60" s="2" t="str">
        <f>IF(ISBLANK(Planif[[#This Row],[Nom de la tâche]]),"",IF(Suivi1[[#This Row],[Avancement  ]]=0%, IF(VLOOKUP(D60,CorrespondanceSprint,2)&lt;=$P$12,"En retard","Non débutée"), IF(Suivi1[[#This Row],[Avancement  ]]&lt;100%,IF(VLOOKUP(D60,CorrespondanceSprint,2)&lt;=$P$12,"En retard","En cours"),"Terminée")))</f>
        <v/>
      </c>
      <c r="Q60" s="1"/>
    </row>
    <row r="61" spans="2:17" x14ac:dyDescent="0.2">
      <c r="B61" s="46" t="str">
        <f>Planif[[#This Row],[Numéro de la tâche]]</f>
        <v/>
      </c>
      <c r="C61" s="47" t="str">
        <f>IF(ISBLANK(Planif[[#This Row],[Nom de la tâche]]),"",Planif[[#This Row],[Nom de la tâche]])</f>
        <v/>
      </c>
      <c r="D61" s="46" t="str">
        <f>IF(ISBLANK(Planif[[#This Row],[Nom de la tâche]]),"",Planif[[#This Row],[Sprint visé]])</f>
        <v/>
      </c>
      <c r="E61" s="30"/>
      <c r="F61" s="28"/>
      <c r="G61" s="32"/>
      <c r="H61" s="32"/>
      <c r="O61" s="2" t="str">
        <f>IF(ISBLANK(Planif[[#This Row],[Nom de la tâche]]),"",IF(VLOOKUP(D61,CorrespondanceSprint,2)&lt;$P$12,"Sprint antérieur",IF(VLOOKUP(D61,CorrespondanceSprint,2)=$P$12,"Sprint courant","Sprint suivant")))</f>
        <v/>
      </c>
      <c r="P61" s="2" t="str">
        <f>IF(ISBLANK(Planif[[#This Row],[Nom de la tâche]]),"",IF(Suivi1[[#This Row],[Avancement  ]]=0%, IF(VLOOKUP(D61,CorrespondanceSprint,2)&lt;=$P$12,"En retard","Non débutée"), IF(Suivi1[[#This Row],[Avancement  ]]&lt;100%,IF(VLOOKUP(D61,CorrespondanceSprint,2)&lt;=$P$12,"En retard","En cours"),"Terminée")))</f>
        <v/>
      </c>
      <c r="Q61" s="1"/>
    </row>
    <row r="62" spans="2:17" x14ac:dyDescent="0.2">
      <c r="B62" s="48" t="str">
        <f>Planif[[#This Row],[Numéro de la tâche]]</f>
        <v/>
      </c>
      <c r="C62" s="47" t="str">
        <f>IF(ISBLANK(Planif[[#This Row],[Nom de la tâche]]),"",Planif[[#This Row],[Nom de la tâche]])</f>
        <v/>
      </c>
      <c r="D62" s="46" t="str">
        <f>IF(ISBLANK(Planif[[#This Row],[Nom de la tâche]]),"",Planif[[#This Row],[Sprint visé]])</f>
        <v/>
      </c>
      <c r="E62" s="30"/>
      <c r="F62" s="28"/>
      <c r="G62" s="32"/>
      <c r="H62" s="32"/>
      <c r="O62" s="2" t="str">
        <f>IF(ISBLANK(Planif[[#This Row],[Nom de la tâche]]),"",IF(VLOOKUP(D62,CorrespondanceSprint,2)&lt;$P$12,"Sprint antérieur",IF(VLOOKUP(D62,CorrespondanceSprint,2)=$P$12,"Sprint courant","Sprint suivant")))</f>
        <v/>
      </c>
      <c r="P62" s="2" t="str">
        <f>IF(ISBLANK(Planif[[#This Row],[Nom de la tâche]]),"",IF(Suivi1[[#This Row],[Avancement  ]]=0%, IF(VLOOKUP(D62,CorrespondanceSprint,2)&lt;=$P$12,"En retard","Non débutée"), IF(Suivi1[[#This Row],[Avancement  ]]&lt;100%,IF(VLOOKUP(D62,CorrespondanceSprint,2)&lt;=$P$12,"En retard","En cours"),"Terminée")))</f>
        <v/>
      </c>
      <c r="Q62" s="1"/>
    </row>
    <row r="63" spans="2:17" x14ac:dyDescent="0.2">
      <c r="O63" s="2">
        <f>COUNTIF($P$13:$P$62,P63)</f>
        <v>7</v>
      </c>
      <c r="P63" s="2" t="s">
        <v>45</v>
      </c>
      <c r="Q63" s="1"/>
    </row>
    <row r="64" spans="2:17" x14ac:dyDescent="0.2">
      <c r="B64" s="9" t="s">
        <v>49</v>
      </c>
      <c r="O64" s="2">
        <f>COUNTIF($P$13:$P$62,P64)</f>
        <v>1</v>
      </c>
      <c r="P64" s="2" t="s">
        <v>46</v>
      </c>
      <c r="Q64" s="1"/>
    </row>
    <row r="65" spans="3:17" x14ac:dyDescent="0.2">
      <c r="C65" s="1" t="str">
        <f>" - " &amp; O63 &amp; " tâche(s) non débutée(s) sans être en retard."</f>
        <v xml:space="preserve"> - 7 tâche(s) non débutée(s) sans être en retard.</v>
      </c>
      <c r="D65" s="13"/>
      <c r="O65" s="2">
        <f>COUNTIF($P$13:$P$62,P65)</f>
        <v>1</v>
      </c>
      <c r="P65" s="2" t="s">
        <v>47</v>
      </c>
    </row>
    <row r="66" spans="3:17" x14ac:dyDescent="0.2">
      <c r="C66" s="1" t="str">
        <f>" - " &amp; O64 &amp; " tâche(s) en cours."</f>
        <v xml:space="preserve"> - 1 tâche(s) en cours.</v>
      </c>
      <c r="O66" s="2">
        <f>COUNTIF($P$13:$P$62,P66)</f>
        <v>3</v>
      </c>
      <c r="P66" s="2" t="s">
        <v>48</v>
      </c>
    </row>
    <row r="67" spans="3:17" x14ac:dyDescent="0.2">
      <c r="C67" s="1" t="str">
        <f>" - " &amp; O65 &amp; " tâche(s) en retard."</f>
        <v xml:space="preserve"> - 1 tâche(s) en retard.</v>
      </c>
      <c r="O67" s="2" t="s">
        <v>39</v>
      </c>
      <c r="P67" s="2" t="s">
        <v>38</v>
      </c>
      <c r="Q67" s="2" t="s">
        <v>40</v>
      </c>
    </row>
    <row r="68" spans="3:17" x14ac:dyDescent="0.2">
      <c r="C68" s="1" t="str">
        <f>" - " &amp; O66 &amp; " tâche(s) terminée(s)."</f>
        <v xml:space="preserve"> - 3 tâche(s) terminée(s).</v>
      </c>
      <c r="O68" s="49">
        <f>SUM(Suivi1[Temps investi])</f>
        <v>0.75000000000003575</v>
      </c>
      <c r="P68" s="2">
        <f>HOUR(O68)+DAY(O68)*24</f>
        <v>18</v>
      </c>
      <c r="Q68" s="2">
        <f>MINUTE(O68)</f>
        <v>0</v>
      </c>
    </row>
  </sheetData>
  <sheetProtection password="D073" sheet="1" objects="1" scenarios="1" selectLockedCells="1"/>
  <mergeCells count="2">
    <mergeCell ref="B2:H2"/>
    <mergeCell ref="B9:H9"/>
  </mergeCells>
  <conditionalFormatting sqref="E13:H13 E21:H21 E23:H23 E25:H25 E27:H27 E29:H29 E31:H31 E33:H33 E35:H35 E37:H37 E39:H39 E41:H41 E43:H43 E45:H45 E47:H47 E49:H49 E51:H51 E53:H53 E55:H55 E57:H57 E59:H59 E61:H61 E19:H19 E15:H15 E17:H17">
    <cfRule type="expression" dxfId="120" priority="24">
      <formula>$P13="En retard"</formula>
    </cfRule>
    <cfRule type="expression" dxfId="119" priority="40">
      <formula>$P13="En cours"</formula>
    </cfRule>
  </conditionalFormatting>
  <conditionalFormatting sqref="E14:H14 E16:H16 E18:H18 E22:H22 E24:H24 E26:H26 E28:H28 E30:H30 E32:H32 E34:H34 E36:H36 E38:H38 E40:H40 E42:H42 E44:H44 E46:H46 E48:H48 E50:H50 E52:H52 E54:H54 E56:H56 E58:H58 E60:H60 E62:H62 E20:H20">
    <cfRule type="expression" dxfId="118" priority="25">
      <formula>$P14="En retard"</formula>
    </cfRule>
    <cfRule type="expression" dxfId="117" priority="65">
      <formula>$P14="En cours"</formula>
    </cfRule>
  </conditionalFormatting>
  <conditionalFormatting sqref="E13:H62">
    <cfRule type="expression" dxfId="116" priority="91">
      <formula>$P13="Terminée"</formula>
    </cfRule>
    <cfRule type="expression" dxfId="115" priority="92">
      <formula>$P13="Non débutée"</formula>
    </cfRule>
  </conditionalFormatting>
  <conditionalFormatting sqref="B13:D62">
    <cfRule type="expression" dxfId="114" priority="21">
      <formula>$O13="Sprint suivant"</formula>
    </cfRule>
    <cfRule type="expression" dxfId="113" priority="22">
      <formula>$O13="Sprint courant"</formula>
    </cfRule>
    <cfRule type="expression" dxfId="112" priority="23">
      <formula>$O13="Sprint antérieur"</formula>
    </cfRule>
  </conditionalFormatting>
  <dataValidations count="2">
    <dataValidation type="list" allowBlank="1" showInputMessage="1" showErrorMessage="1" errorTitle="Saisie erronnée" error="Vous ne pouvez saisir que des estimations de temps entre 0 et 12 heures par interval de 15 minutes._x000a__x000a_Si votre tâche requiert plus de temps, c'est que vous pouvez la scinder en plusieurs sous-tâches." promptTitle="Temps requis" prompt="Veuillez saisir le temps investi pour la réalisation de la tâche." sqref="E13:E62">
      <formula1>TempsTravaille</formula1>
    </dataValidation>
    <dataValidation type="list" allowBlank="1" showInputMessage="1" showErrorMessage="1" errorTitle="Saisie erronnée" error="Vous ne pouvez saisir que des avancements de 0% à 100% par interval de 5%." promptTitle="Avancement" prompt="Veuillez saisir l'avancement fait de la tâche en pourcentage." sqref="F13:F62">
      <formula1>Avancement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8"/>
  <sheetViews>
    <sheetView showGridLines="0" workbookViewId="0">
      <selection activeCell="G13" sqref="G13"/>
    </sheetView>
  </sheetViews>
  <sheetFormatPr baseColWidth="10" defaultRowHeight="10.199999999999999" x14ac:dyDescent="0.2"/>
  <cols>
    <col min="1" max="1" width="1.109375" style="1" customWidth="1"/>
    <col min="2" max="2" width="2.77734375" style="1" customWidth="1"/>
    <col min="3" max="3" width="38.88671875" style="1" customWidth="1"/>
    <col min="4" max="6" width="8.33203125" style="2" customWidth="1"/>
    <col min="7" max="8" width="8.33203125" style="1" customWidth="1"/>
    <col min="9" max="10" width="36.77734375" style="1" customWidth="1"/>
    <col min="11" max="11" width="1.109375" style="1" customWidth="1"/>
    <col min="12" max="13" width="1.109375" style="1" hidden="1" customWidth="1"/>
    <col min="14" max="14" width="14" style="1" hidden="1" customWidth="1"/>
    <col min="15" max="16" width="1.109375" style="1" hidden="1" customWidth="1"/>
    <col min="17" max="19" width="0" style="2" hidden="1" customWidth="1"/>
    <col min="20" max="16384" width="11.5546875" style="1"/>
  </cols>
  <sheetData>
    <row r="1" spans="2:19" ht="6" customHeight="1" x14ac:dyDescent="0.2">
      <c r="S1" s="1"/>
    </row>
    <row r="2" spans="2:19" ht="18" customHeight="1" x14ac:dyDescent="0.4">
      <c r="B2" s="79" t="str">
        <f>NomProjet</f>
        <v>Nom du projet</v>
      </c>
      <c r="C2" s="79"/>
      <c r="D2" s="79"/>
      <c r="E2" s="79"/>
      <c r="F2" s="79"/>
      <c r="G2" s="79"/>
      <c r="H2" s="79"/>
      <c r="I2" s="79"/>
      <c r="J2" s="79"/>
      <c r="S2" s="1"/>
    </row>
    <row r="3" spans="2:19" ht="6" customHeight="1" x14ac:dyDescent="0.2">
      <c r="B3" s="3"/>
      <c r="S3" s="1"/>
    </row>
    <row r="4" spans="2:19" x14ac:dyDescent="0.2">
      <c r="C4" s="3"/>
      <c r="G4" s="3"/>
      <c r="I4" s="4"/>
      <c r="J4" s="14"/>
      <c r="S4" s="1"/>
    </row>
    <row r="5" spans="2:19" x14ac:dyDescent="0.2">
      <c r="I5" s="4"/>
      <c r="J5" s="15"/>
      <c r="S5" s="1"/>
    </row>
    <row r="6" spans="2:19" x14ac:dyDescent="0.2">
      <c r="I6" s="4"/>
      <c r="J6" s="15"/>
      <c r="S6" s="1"/>
    </row>
    <row r="7" spans="2:19" ht="6" customHeight="1" x14ac:dyDescent="0.2">
      <c r="S7" s="1"/>
    </row>
    <row r="8" spans="2:19" ht="6" customHeight="1" x14ac:dyDescent="0.2">
      <c r="S8" s="1"/>
    </row>
    <row r="9" spans="2:19" ht="15.6" customHeight="1" x14ac:dyDescent="0.2">
      <c r="B9" s="75" t="str">
        <f>"Ce sprint totalise " &amp; R68 &amp; " heures et " &amp; S68 &amp; " minutes de travail réalisé. "</f>
        <v xml:space="preserve">Ce sprint totalise 5 heures et 45 minutes de travail réalisé. </v>
      </c>
      <c r="C9" s="75"/>
      <c r="D9" s="75"/>
      <c r="E9" s="75"/>
      <c r="F9" s="75"/>
      <c r="G9" s="75"/>
      <c r="H9" s="75"/>
      <c r="I9" s="75"/>
      <c r="J9" s="75"/>
      <c r="S9" s="1"/>
    </row>
    <row r="10" spans="2:19" ht="10.199999999999999" customHeight="1" x14ac:dyDescent="0.2">
      <c r="J10" s="19" t="str">
        <f>IF(Q65=0,"","Attention : "&amp;IF(Q65=1,"1 tâche est",Q65&amp;" tâches sont")&amp;" en retard. ")</f>
        <v xml:space="preserve">Attention : 2 tâches sont en retard. </v>
      </c>
      <c r="S10" s="1"/>
    </row>
    <row r="11" spans="2:19" ht="6" customHeight="1" x14ac:dyDescent="0.2">
      <c r="S11" s="1"/>
    </row>
    <row r="12" spans="2:19" ht="68.400000000000006" thickBot="1" x14ac:dyDescent="0.25">
      <c r="B12" s="25" t="s">
        <v>0</v>
      </c>
      <c r="C12" s="26" t="s">
        <v>1</v>
      </c>
      <c r="D12" s="25" t="s">
        <v>44</v>
      </c>
      <c r="E12" s="25" t="s">
        <v>82</v>
      </c>
      <c r="F12" s="25" t="s">
        <v>83</v>
      </c>
      <c r="G12" s="22" t="s">
        <v>57</v>
      </c>
      <c r="H12" s="25" t="s">
        <v>84</v>
      </c>
      <c r="I12" s="26" t="s">
        <v>36</v>
      </c>
      <c r="J12" s="26" t="s">
        <v>37</v>
      </c>
      <c r="M12" s="40"/>
      <c r="N12" s="40"/>
      <c r="O12" s="40"/>
      <c r="Q12" s="2" t="s">
        <v>8</v>
      </c>
      <c r="R12" s="2">
        <f>VLOOKUP($Q$12,CorrespondanceSprint,2)</f>
        <v>2</v>
      </c>
      <c r="S12" s="1"/>
    </row>
    <row r="13" spans="2:19" ht="12.6" thickBot="1" x14ac:dyDescent="0.35">
      <c r="B13" s="46">
        <f>Planif[[#This Row],[Numéro de la tâche]]</f>
        <v>1</v>
      </c>
      <c r="C13" s="47" t="str">
        <f>IF(ISBLANK(Planif[[#This Row],[Nom de la tâche]]),"",Planif[[#This Row],[Nom de la tâche]])</f>
        <v>Réaliser les éléments de conceptions techniques</v>
      </c>
      <c r="D13" s="46" t="str">
        <f>IF(ISBLANK(Planif[[#This Row],[Nom de la tâche]]),"",Planif[[#This Row],[Sprint visé]])</f>
        <v>Sprint 1</v>
      </c>
      <c r="E13" s="52">
        <f>IF(ISBLANK(Planif[[#This Row],[Nom de la tâche]]),"",Suivi1[[#This Row],[Temps investi]])</f>
        <v>0.41666666666670199</v>
      </c>
      <c r="F13" s="53">
        <f>IF(ISBLANK(Planif[[#This Row],[Nom de la tâche]]),"",Suivi1[[#This Row],[Avancement  ]])</f>
        <v>1</v>
      </c>
      <c r="G13" s="29">
        <v>5.2083333333333398E-2</v>
      </c>
      <c r="H13" s="27">
        <v>1</v>
      </c>
      <c r="I13" s="31" t="s">
        <v>50</v>
      </c>
      <c r="J13" s="31" t="s">
        <v>50</v>
      </c>
      <c r="M13" s="41"/>
      <c r="N13" s="42" t="s">
        <v>55</v>
      </c>
      <c r="O13" s="41"/>
      <c r="Q13" s="2" t="str">
        <f>IF(ISBLANK(Planif[[#This Row],[Nom de la tâche]]),"",IF(VLOOKUP(D13,CorrespondanceSprint,2)&lt;$R$12,"Sprint antérieur",IF(VLOOKUP(D13,CorrespondanceSprint,2)=$R$12,"Sprint courant","Sprint suivant")))</f>
        <v>Sprint antérieur</v>
      </c>
      <c r="R13" s="2" t="str">
        <f>IF(ISBLANK(Planif[[#This Row],[Nom de la tâche]]),"",IF(Suivi2[[#This Row],[Avancement à ce jour]]=0%, IF(VLOOKUP(D13,CorrespondanceSprint,2)&lt;=$R$12,"En retard","Non débutée"), IF(Suivi2[[#This Row],[Avancement à ce jour]]&lt;100%,IF(VLOOKUP(D13,CorrespondanceSprint,2)&lt;=$R$12,"En retard","En cours"),"Terminée")))</f>
        <v>Terminée</v>
      </c>
      <c r="S13" s="1"/>
    </row>
    <row r="14" spans="2:19" x14ac:dyDescent="0.2">
      <c r="B14" s="46">
        <f>Planif[[#This Row],[Numéro de la tâche]]</f>
        <v>2</v>
      </c>
      <c r="C14" s="47" t="str">
        <f>IF(ISBLANK(Planif[[#This Row],[Nom de la tâche]]),"",Planif[[#This Row],[Nom de la tâche]])</f>
        <v>Rédaction du document de conception</v>
      </c>
      <c r="D14" s="46" t="str">
        <f>IF(ISBLANK(Planif[[#This Row],[Nom de la tâche]]),"",Planif[[#This Row],[Sprint visé]])</f>
        <v>Sprint 1</v>
      </c>
      <c r="E14" s="52">
        <f>IF(ISBLANK(Planif[[#This Row],[Nom de la tâche]]),"",Suivi1[[#This Row],[Temps investi]])</f>
        <v>0.104166666666667</v>
      </c>
      <c r="F14" s="53">
        <f>IF(ISBLANK(Planif[[#This Row],[Nom de la tâche]]),"",Suivi1[[#This Row],[Avancement  ]])</f>
        <v>1</v>
      </c>
      <c r="G14" s="29">
        <v>0</v>
      </c>
      <c r="H14" s="27">
        <v>1</v>
      </c>
      <c r="I14" s="31" t="s">
        <v>50</v>
      </c>
      <c r="J14" s="31" t="s">
        <v>50</v>
      </c>
      <c r="K14" s="35"/>
      <c r="L14" s="44"/>
      <c r="M14" s="35"/>
      <c r="N14" s="35"/>
      <c r="O14" s="43"/>
      <c r="Q14" s="2" t="str">
        <f>IF(ISBLANK(Planif[[#This Row],[Nom de la tâche]]),"",IF(VLOOKUP(D14,CorrespondanceSprint,2)&lt;$R$12,"Sprint antérieur",IF(VLOOKUP(D14,CorrespondanceSprint,2)=$R$12,"Sprint courant","Sprint suivant")))</f>
        <v>Sprint antérieur</v>
      </c>
      <c r="R14" s="2" t="str">
        <f>IF(ISBLANK(Planif[[#This Row],[Nom de la tâche]]),"",IF(Suivi2[[#This Row],[Avancement à ce jour]]=0%, IF(VLOOKUP(D14,CorrespondanceSprint,2)&lt;=$R$12,"En retard","Non débutée"), IF(Suivi2[[#This Row],[Avancement à ce jour]]&lt;100%,IF(VLOOKUP(D14,CorrespondanceSprint,2)&lt;=$R$12,"En retard","En cours"),"Terminée")))</f>
        <v>Terminée</v>
      </c>
      <c r="S14" s="1"/>
    </row>
    <row r="15" spans="2:19" x14ac:dyDescent="0.2">
      <c r="B15" s="46">
        <f>Planif[[#This Row],[Numéro de la tâche]]</f>
        <v>3</v>
      </c>
      <c r="C15" s="47" t="str">
        <f>IF(ISBLANK(Planif[[#This Row],[Nom de la tâche]]),"",Planif[[#This Row],[Nom de la tâche]])</f>
        <v>Rédaction du document de planification</v>
      </c>
      <c r="D15" s="46" t="str">
        <f>IF(ISBLANK(Planif[[#This Row],[Nom de la tâche]]),"",Planif[[#This Row],[Sprint visé]])</f>
        <v>Sprint 1</v>
      </c>
      <c r="E15" s="52">
        <f>IF(ISBLANK(Planif[[#This Row],[Nom de la tâche]]),"",Suivi1[[#This Row],[Temps investi]])</f>
        <v>2.0833333333333332E-2</v>
      </c>
      <c r="F15" s="53">
        <f>IF(ISBLANK(Planif[[#This Row],[Nom de la tâche]]),"",Suivi1[[#This Row],[Avancement  ]])</f>
        <v>1</v>
      </c>
      <c r="G15" s="29">
        <v>0</v>
      </c>
      <c r="H15" s="27">
        <v>1</v>
      </c>
      <c r="I15" s="31" t="s">
        <v>50</v>
      </c>
      <c r="J15" s="31" t="s">
        <v>50</v>
      </c>
      <c r="K15" s="35"/>
      <c r="L15" s="44"/>
      <c r="M15" s="35"/>
      <c r="N15" s="36" t="s">
        <v>51</v>
      </c>
      <c r="O15" s="44"/>
      <c r="Q15" s="2" t="str">
        <f>IF(ISBLANK(Planif[[#This Row],[Nom de la tâche]]),"",IF(VLOOKUP(D15,CorrespondanceSprint,2)&lt;$R$12,"Sprint antérieur",IF(VLOOKUP(D15,CorrespondanceSprint,2)=$R$12,"Sprint courant","Sprint suivant")))</f>
        <v>Sprint antérieur</v>
      </c>
      <c r="R15" s="2" t="str">
        <f>IF(ISBLANK(Planif[[#This Row],[Nom de la tâche]]),"",IF(Suivi2[[#This Row],[Avancement à ce jour]]=0%, IF(VLOOKUP(D15,CorrespondanceSprint,2)&lt;=$R$12,"En retard","Non débutée"), IF(Suivi2[[#This Row],[Avancement à ce jour]]&lt;100%,IF(VLOOKUP(D15,CorrespondanceSprint,2)&lt;=$R$12,"En retard","En cours"),"Terminée")))</f>
        <v>Terminée</v>
      </c>
      <c r="S15" s="1"/>
    </row>
    <row r="16" spans="2:19" x14ac:dyDescent="0.2">
      <c r="B16" s="46">
        <f>Planif[[#This Row],[Numéro de la tâche]]</f>
        <v>4</v>
      </c>
      <c r="C16" s="47" t="str">
        <f>IF(ISBLANK(Planif[[#This Row],[Nom de la tâche]]),"",Planif[[#This Row],[Nom de la tâche]])</f>
        <v>Prototypage de l'algorithme de planification de trajectoire</v>
      </c>
      <c r="D16" s="46" t="str">
        <f>IF(ISBLANK(Planif[[#This Row],[Nom de la tâche]]),"",Planif[[#This Row],[Sprint visé]])</f>
        <v>Sprint 1</v>
      </c>
      <c r="E16" s="52">
        <f>IF(ISBLANK(Planif[[#This Row],[Nom de la tâche]]),"",Suivi1[[#This Row],[Temps investi]])</f>
        <v>0.125</v>
      </c>
      <c r="F16" s="53">
        <f>IF(ISBLANK(Planif[[#This Row],[Nom de la tâche]]),"",Suivi1[[#This Row],[Avancement  ]])</f>
        <v>0.75</v>
      </c>
      <c r="G16" s="29">
        <v>4.1666666666666699E-2</v>
      </c>
      <c r="H16" s="27">
        <v>0.75</v>
      </c>
      <c r="I16" s="31" t="s">
        <v>63</v>
      </c>
      <c r="J16" s="31" t="s">
        <v>66</v>
      </c>
      <c r="K16" s="35"/>
      <c r="L16" s="44"/>
      <c r="M16" s="35"/>
      <c r="N16" s="37" t="s">
        <v>52</v>
      </c>
      <c r="O16" s="44"/>
      <c r="Q16" s="2" t="str">
        <f>IF(ISBLANK(Planif[[#This Row],[Nom de la tâche]]),"",IF(VLOOKUP(D16,CorrespondanceSprint,2)&lt;$R$12,"Sprint antérieur",IF(VLOOKUP(D16,CorrespondanceSprint,2)=$R$12,"Sprint courant","Sprint suivant")))</f>
        <v>Sprint antérieur</v>
      </c>
      <c r="R16" s="2" t="str">
        <f>IF(ISBLANK(Planif[[#This Row],[Nom de la tâche]]),"",IF(Suivi2[[#This Row],[Avancement à ce jour]]=0%, IF(VLOOKUP(D16,CorrespondanceSprint,2)&lt;=$R$12,"En retard","Non débutée"), IF(Suivi2[[#This Row],[Avancement à ce jour]]&lt;100%,IF(VLOOKUP(D16,CorrespondanceSprint,2)&lt;=$R$12,"En retard","En cours"),"Terminée")))</f>
        <v>En retard</v>
      </c>
      <c r="S16" s="1"/>
    </row>
    <row r="17" spans="2:19" x14ac:dyDescent="0.2">
      <c r="B17" s="46">
        <f>Planif[[#This Row],[Numéro de la tâche]]</f>
        <v>5</v>
      </c>
      <c r="C17" s="47" t="str">
        <f>IF(ISBLANK(Planif[[#This Row],[Nom de la tâche]]),"",Planif[[#This Row],[Nom de la tâche]])</f>
        <v>Finalisation et remise de l'application finale</v>
      </c>
      <c r="D17" s="46" t="str">
        <f>IF(ISBLANK(Planif[[#This Row],[Nom de la tâche]]),"",Planif[[#This Row],[Sprint visé]])</f>
        <v>Sprint 4</v>
      </c>
      <c r="E17" s="52">
        <f>IF(ISBLANK(Planif[[#This Row],[Nom de la tâche]]),"",Suivi1[[#This Row],[Temps investi]])</f>
        <v>0</v>
      </c>
      <c r="F17" s="53">
        <f>IF(ISBLANK(Planif[[#This Row],[Nom de la tâche]]),"",Suivi1[[#This Row],[Avancement  ]])</f>
        <v>0</v>
      </c>
      <c r="G17" s="29">
        <v>0</v>
      </c>
      <c r="H17" s="27">
        <v>0</v>
      </c>
      <c r="I17" s="31" t="s">
        <v>50</v>
      </c>
      <c r="J17" s="31" t="s">
        <v>50</v>
      </c>
      <c r="K17" s="35"/>
      <c r="L17" s="44"/>
      <c r="M17" s="35"/>
      <c r="N17" s="38" t="s">
        <v>53</v>
      </c>
      <c r="O17" s="44"/>
      <c r="Q17" s="2" t="str">
        <f>IF(ISBLANK(Planif[[#This Row],[Nom de la tâche]]),"",IF(VLOOKUP(D17,CorrespondanceSprint,2)&lt;$R$12,"Sprint antérieur",IF(VLOOKUP(D17,CorrespondanceSprint,2)=$R$12,"Sprint courant","Sprint suivant")))</f>
        <v>Sprint suivant</v>
      </c>
      <c r="R17" s="2" t="str">
        <f>IF(ISBLANK(Planif[[#This Row],[Nom de la tâche]]),"",IF(Suivi2[[#This Row],[Avancement à ce jour]]=0%, IF(VLOOKUP(D17,CorrespondanceSprint,2)&lt;=$R$12,"En retard","Non débutée"), IF(Suivi2[[#This Row],[Avancement à ce jour]]&lt;100%,IF(VLOOKUP(D17,CorrespondanceSprint,2)&lt;=$R$12,"En retard","En cours"),"Terminée")))</f>
        <v>Non débutée</v>
      </c>
      <c r="S17" s="1"/>
    </row>
    <row r="18" spans="2:19" x14ac:dyDescent="0.2">
      <c r="B18" s="46">
        <f>Planif[[#This Row],[Numéro de la tâche]]</f>
        <v>6</v>
      </c>
      <c r="C18" s="47" t="str">
        <f>IF(ISBLANK(Planif[[#This Row],[Nom de la tâche]]),"",Planif[[#This Row],[Nom de la tâche]])</f>
        <v>Rédaction du document LisezMoi.txt</v>
      </c>
      <c r="D18" s="46" t="str">
        <f>IF(ISBLANK(Planif[[#This Row],[Nom de la tâche]]),"",Planif[[#This Row],[Sprint visé]])</f>
        <v>Sprint 4</v>
      </c>
      <c r="E18" s="52">
        <f>IF(ISBLANK(Planif[[#This Row],[Nom de la tâche]]),"",Suivi1[[#This Row],[Temps investi]])</f>
        <v>0</v>
      </c>
      <c r="F18" s="53">
        <f>IF(ISBLANK(Planif[[#This Row],[Nom de la tâche]]),"",Suivi1[[#This Row],[Avancement  ]])</f>
        <v>0</v>
      </c>
      <c r="G18" s="29">
        <v>0</v>
      </c>
      <c r="H18" s="27">
        <v>0</v>
      </c>
      <c r="I18" s="31" t="s">
        <v>50</v>
      </c>
      <c r="J18" s="31" t="s">
        <v>50</v>
      </c>
      <c r="K18" s="35"/>
      <c r="L18" s="44"/>
      <c r="M18" s="35"/>
      <c r="N18" s="39" t="s">
        <v>54</v>
      </c>
      <c r="O18" s="44"/>
      <c r="Q18" s="2" t="str">
        <f>IF(ISBLANK(Planif[[#This Row],[Nom de la tâche]]),"",IF(VLOOKUP(D18,CorrespondanceSprint,2)&lt;$R$12,"Sprint antérieur",IF(VLOOKUP(D18,CorrespondanceSprint,2)=$R$12,"Sprint courant","Sprint suivant")))</f>
        <v>Sprint suivant</v>
      </c>
      <c r="R18" s="2" t="str">
        <f>IF(ISBLANK(Planif[[#This Row],[Nom de la tâche]]),"",IF(Suivi2[[#This Row],[Avancement à ce jour]]=0%, IF(VLOOKUP(D18,CorrespondanceSprint,2)&lt;=$R$12,"En retard","Non débutée"), IF(Suivi2[[#This Row],[Avancement à ce jour]]&lt;100%,IF(VLOOKUP(D18,CorrespondanceSprint,2)&lt;=$R$12,"En retard","En cours"),"Terminée")))</f>
        <v>Non débutée</v>
      </c>
      <c r="S18" s="1"/>
    </row>
    <row r="19" spans="2:19" ht="10.8" thickBot="1" x14ac:dyDescent="0.25">
      <c r="B19" s="46">
        <f>Planif[[#This Row],[Numéro de la tâche]]</f>
        <v>7</v>
      </c>
      <c r="C19" s="47" t="str">
        <f>IF(ISBLANK(Planif[[#This Row],[Nom de la tâche]]),"",Planif[[#This Row],[Nom de la tâche]])</f>
        <v>Rédaction du manuel de l'usager</v>
      </c>
      <c r="D19" s="46" t="str">
        <f>IF(ISBLANK(Planif[[#This Row],[Nom de la tâche]]),"",Planif[[#This Row],[Sprint visé]])</f>
        <v>Sprint 4</v>
      </c>
      <c r="E19" s="52">
        <f>IF(ISBLANK(Planif[[#This Row],[Nom de la tâche]]),"",Suivi1[[#This Row],[Temps investi]])</f>
        <v>0</v>
      </c>
      <c r="F19" s="53">
        <f>IF(ISBLANK(Planif[[#This Row],[Nom de la tâche]]),"",Suivi1[[#This Row],[Avancement  ]])</f>
        <v>0</v>
      </c>
      <c r="G19" s="29">
        <v>0</v>
      </c>
      <c r="H19" s="27">
        <v>0</v>
      </c>
      <c r="I19" s="31" t="s">
        <v>50</v>
      </c>
      <c r="J19" s="31" t="s">
        <v>50</v>
      </c>
      <c r="K19" s="35"/>
      <c r="L19" s="44"/>
      <c r="M19" s="40"/>
      <c r="N19" s="40"/>
      <c r="O19" s="45"/>
      <c r="Q19" s="2" t="str">
        <f>IF(ISBLANK(Planif[[#This Row],[Nom de la tâche]]),"",IF(VLOOKUP(D19,CorrespondanceSprint,2)&lt;$R$12,"Sprint antérieur",IF(VLOOKUP(D19,CorrespondanceSprint,2)=$R$12,"Sprint courant","Sprint suivant")))</f>
        <v>Sprint suivant</v>
      </c>
      <c r="R19" s="2" t="str">
        <f>IF(ISBLANK(Planif[[#This Row],[Nom de la tâche]]),"",IF(Suivi2[[#This Row],[Avancement à ce jour]]=0%, IF(VLOOKUP(D19,CorrespondanceSprint,2)&lt;=$R$12,"En retard","Non débutée"), IF(Suivi2[[#This Row],[Avancement à ce jour]]&lt;100%,IF(VLOOKUP(D19,CorrespondanceSprint,2)&lt;=$R$12,"En retard","En cours"),"Terminée")))</f>
        <v>Non débutée</v>
      </c>
      <c r="S19" s="1"/>
    </row>
    <row r="20" spans="2:19" x14ac:dyDescent="0.2">
      <c r="B20" s="46">
        <f>Planif[[#This Row],[Numéro de la tâche]]</f>
        <v>8</v>
      </c>
      <c r="C20" s="47" t="str">
        <f>IF(ISBLANK(Planif[[#This Row],[Nom de la tâche]]),"",Planif[[#This Row],[Nom de la tâche]])</f>
        <v>Réalisation du site web de présentation</v>
      </c>
      <c r="D20" s="46" t="str">
        <f>IF(ISBLANK(Planif[[#This Row],[Nom de la tâche]]),"",Planif[[#This Row],[Sprint visé]])</f>
        <v>Sprint 4</v>
      </c>
      <c r="E20" s="52">
        <f>IF(ISBLANK(Planif[[#This Row],[Nom de la tâche]]),"",Suivi1[[#This Row],[Temps investi]])</f>
        <v>0</v>
      </c>
      <c r="F20" s="53">
        <f>IF(ISBLANK(Planif[[#This Row],[Nom de la tâche]]),"",Suivi1[[#This Row],[Avancement  ]])</f>
        <v>0</v>
      </c>
      <c r="G20" s="29">
        <v>0</v>
      </c>
      <c r="H20" s="27">
        <v>0</v>
      </c>
      <c r="I20" s="31" t="s">
        <v>50</v>
      </c>
      <c r="J20" s="31" t="s">
        <v>50</v>
      </c>
      <c r="Q20" s="2" t="str">
        <f>IF(ISBLANK(Planif[[#This Row],[Nom de la tâche]]),"",IF(VLOOKUP(D20,CorrespondanceSprint,2)&lt;$R$12,"Sprint antérieur",IF(VLOOKUP(D20,CorrespondanceSprint,2)=$R$12,"Sprint courant","Sprint suivant")))</f>
        <v>Sprint suivant</v>
      </c>
      <c r="R20" s="2" t="str">
        <f>IF(ISBLANK(Planif[[#This Row],[Nom de la tâche]]),"",IF(Suivi2[[#This Row],[Avancement à ce jour]]=0%, IF(VLOOKUP(D20,CorrespondanceSprint,2)&lt;=$R$12,"En retard","Non débutée"), IF(Suivi2[[#This Row],[Avancement à ce jour]]&lt;100%,IF(VLOOKUP(D20,CorrespondanceSprint,2)&lt;=$R$12,"En retard","En cours"),"Terminée")))</f>
        <v>Non débutée</v>
      </c>
      <c r="S20" s="1"/>
    </row>
    <row r="21" spans="2:19" x14ac:dyDescent="0.2">
      <c r="B21" s="46">
        <f>Planif[[#This Row],[Numéro de la tâche]]</f>
        <v>9</v>
      </c>
      <c r="C21" s="47" t="str">
        <f>IF(ISBLANK(Planif[[#This Row],[Nom de la tâche]]),"",Planif[[#This Row],[Nom de la tâche]])</f>
        <v>Réalisation du vidéo de présentation</v>
      </c>
      <c r="D21" s="46" t="str">
        <f>IF(ISBLANK(Planif[[#This Row],[Nom de la tâche]]),"",Planif[[#This Row],[Sprint visé]])</f>
        <v>Sprint 4</v>
      </c>
      <c r="E21" s="52">
        <f>IF(ISBLANK(Planif[[#This Row],[Nom de la tâche]]),"",Suivi1[[#This Row],[Temps investi]])</f>
        <v>0</v>
      </c>
      <c r="F21" s="53">
        <f>IF(ISBLANK(Planif[[#This Row],[Nom de la tâche]]),"",Suivi1[[#This Row],[Avancement  ]])</f>
        <v>0</v>
      </c>
      <c r="G21" s="30">
        <v>0</v>
      </c>
      <c r="H21" s="28">
        <v>0</v>
      </c>
      <c r="I21" s="31" t="s">
        <v>12</v>
      </c>
      <c r="J21" s="31" t="s">
        <v>12</v>
      </c>
      <c r="Q21" s="2" t="str">
        <f>IF(ISBLANK(Planif[[#This Row],[Nom de la tâche]]),"",IF(VLOOKUP(D21,CorrespondanceSprint,2)&lt;$R$12,"Sprint antérieur",IF(VLOOKUP(D21,CorrespondanceSprint,2)=$R$12,"Sprint courant","Sprint suivant")))</f>
        <v>Sprint suivant</v>
      </c>
      <c r="R21" s="2" t="str">
        <f>IF(ISBLANK(Planif[[#This Row],[Nom de la tâche]]),"",IF(Suivi2[[#This Row],[Avancement à ce jour]]=0%, IF(VLOOKUP(D21,CorrespondanceSprint,2)&lt;=$R$12,"En retard","Non débutée"), IF(Suivi2[[#This Row],[Avancement à ce jour]]&lt;100%,IF(VLOOKUP(D21,CorrespondanceSprint,2)&lt;=$R$12,"En retard","En cours"),"Terminée")))</f>
        <v>Non débutée</v>
      </c>
      <c r="S21" s="1"/>
    </row>
    <row r="22" spans="2:19" x14ac:dyDescent="0.2">
      <c r="B22" s="46">
        <f>Planif[[#This Row],[Numéro de la tâche]]</f>
        <v>10</v>
      </c>
      <c r="C22" s="47" t="str">
        <f>IF(ISBLANK(Planif[[#This Row],[Nom de la tâche]]),"",Planif[[#This Row],[Nom de la tâche]])</f>
        <v>Configuration du réseau</v>
      </c>
      <c r="D22" s="46" t="str">
        <f>IF(ISBLANK(Planif[[#This Row],[Nom de la tâche]]),"",Planif[[#This Row],[Sprint visé]])</f>
        <v>Sprint 2</v>
      </c>
      <c r="E22" s="52">
        <f>IF(ISBLANK(Planif[[#This Row],[Nom de la tâche]]),"",Suivi1[[#This Row],[Temps investi]])</f>
        <v>8.3333333333333398E-2</v>
      </c>
      <c r="F22" s="53">
        <f>IF(ISBLANK(Planif[[#This Row],[Nom de la tâche]]),"",Suivi1[[#This Row],[Avancement  ]])</f>
        <v>0.5</v>
      </c>
      <c r="G22" s="30">
        <v>0.125</v>
      </c>
      <c r="H22" s="28">
        <v>0.85</v>
      </c>
      <c r="I22" s="32" t="s">
        <v>64</v>
      </c>
      <c r="J22" s="32" t="s">
        <v>65</v>
      </c>
      <c r="Q22" s="2" t="str">
        <f>IF(ISBLANK(Planif[[#This Row],[Nom de la tâche]]),"",IF(VLOOKUP(D22,CorrespondanceSprint,2)&lt;$R$12,"Sprint antérieur",IF(VLOOKUP(D22,CorrespondanceSprint,2)=$R$12,"Sprint courant","Sprint suivant")))</f>
        <v>Sprint courant</v>
      </c>
      <c r="R22" s="2" t="str">
        <f>IF(ISBLANK(Planif[[#This Row],[Nom de la tâche]]),"",IF(Suivi2[[#This Row],[Avancement à ce jour]]=0%, IF(VLOOKUP(D22,CorrespondanceSprint,2)&lt;=$R$12,"En retard","Non débutée"), IF(Suivi2[[#This Row],[Avancement à ce jour]]&lt;100%,IF(VLOOKUP(D22,CorrespondanceSprint,2)&lt;=$R$12,"En retard","En cours"),"Terminée")))</f>
        <v>En retard</v>
      </c>
      <c r="S22" s="1"/>
    </row>
    <row r="23" spans="2:19" x14ac:dyDescent="0.2">
      <c r="B23" s="46">
        <f>Planif[[#This Row],[Numéro de la tâche]]</f>
        <v>11</v>
      </c>
      <c r="C23" s="47" t="str">
        <f>IF(ISBLANK(Planif[[#This Row],[Nom de la tâche]]),"",Planif[[#This Row],[Nom de la tâche]])</f>
        <v>Développement de l'interface Web</v>
      </c>
      <c r="D23" s="46" t="str">
        <f>IF(ISBLANK(Planif[[#This Row],[Nom de la tâche]]),"",Planif[[#This Row],[Sprint visé]])</f>
        <v>Sprint 3</v>
      </c>
      <c r="E23" s="52">
        <f>IF(ISBLANK(Planif[[#This Row],[Nom de la tâche]]),"",Suivi1[[#This Row],[Temps investi]])</f>
        <v>0</v>
      </c>
      <c r="F23" s="53">
        <f>IF(ISBLANK(Planif[[#This Row],[Nom de la tâche]]),"",Suivi1[[#This Row],[Avancement  ]])</f>
        <v>0</v>
      </c>
      <c r="G23" s="30">
        <v>2.0833333333333332E-2</v>
      </c>
      <c r="H23" s="28">
        <v>0.15</v>
      </c>
      <c r="I23" s="32"/>
      <c r="J23" s="32"/>
      <c r="Q23" s="2" t="str">
        <f>IF(ISBLANK(Planif[[#This Row],[Nom de la tâche]]),"",IF(VLOOKUP(D23,CorrespondanceSprint,2)&lt;$R$12,"Sprint antérieur",IF(VLOOKUP(D23,CorrespondanceSprint,2)=$R$12,"Sprint courant","Sprint suivant")))</f>
        <v>Sprint suivant</v>
      </c>
      <c r="R23" s="2" t="str">
        <f>IF(ISBLANK(Planif[[#This Row],[Nom de la tâche]]),"",IF(Suivi2[[#This Row],[Avancement à ce jour]]=0%, IF(VLOOKUP(D23,CorrespondanceSprint,2)&lt;=$R$12,"En retard","Non débutée"), IF(Suivi2[[#This Row],[Avancement à ce jour]]&lt;100%,IF(VLOOKUP(D23,CorrespondanceSprint,2)&lt;=$R$12,"En retard","En cours"),"Terminée")))</f>
        <v>En cours</v>
      </c>
      <c r="S23" s="1"/>
    </row>
    <row r="24" spans="2:19" x14ac:dyDescent="0.2">
      <c r="B24" s="46">
        <f>Planif[[#This Row],[Numéro de la tâche]]</f>
        <v>12</v>
      </c>
      <c r="C24" s="47" t="str">
        <f>IF(ISBLANK(Planif[[#This Row],[Nom de la tâche]]),"",Planif[[#This Row],[Nom de la tâche]])</f>
        <v>Implémentation du suivi de trajectoire</v>
      </c>
      <c r="D24" s="46" t="str">
        <f>IF(ISBLANK(Planif[[#This Row],[Nom de la tâche]]),"",Planif[[#This Row],[Sprint visé]])</f>
        <v>Sprint 4</v>
      </c>
      <c r="E24" s="52">
        <f>IF(ISBLANK(Planif[[#This Row],[Nom de la tâche]]),"",Suivi1[[#This Row],[Temps investi]])</f>
        <v>0</v>
      </c>
      <c r="F24" s="53">
        <f>IF(ISBLANK(Planif[[#This Row],[Nom de la tâche]]),"",Suivi1[[#This Row],[Avancement  ]])</f>
        <v>0</v>
      </c>
      <c r="G24" s="30">
        <v>0</v>
      </c>
      <c r="H24" s="28">
        <v>0</v>
      </c>
      <c r="I24" s="32"/>
      <c r="J24" s="32"/>
      <c r="Q24" s="2" t="str">
        <f>IF(ISBLANK(Planif[[#This Row],[Nom de la tâche]]),"",IF(VLOOKUP(D24,CorrespondanceSprint,2)&lt;$R$12,"Sprint antérieur",IF(VLOOKUP(D24,CorrespondanceSprint,2)=$R$12,"Sprint courant","Sprint suivant")))</f>
        <v>Sprint suivant</v>
      </c>
      <c r="R24" s="2" t="str">
        <f>IF(ISBLANK(Planif[[#This Row],[Nom de la tâche]]),"",IF(Suivi2[[#This Row],[Avancement à ce jour]]=0%, IF(VLOOKUP(D24,CorrespondanceSprint,2)&lt;=$R$12,"En retard","Non débutée"), IF(Suivi2[[#This Row],[Avancement à ce jour]]&lt;100%,IF(VLOOKUP(D24,CorrespondanceSprint,2)&lt;=$R$12,"En retard","En cours"),"Terminée")))</f>
        <v>Non débutée</v>
      </c>
      <c r="S24" s="1"/>
    </row>
    <row r="25" spans="2:19" x14ac:dyDescent="0.2">
      <c r="B25" s="46" t="str">
        <f>Planif[[#This Row],[Numéro de la tâche]]</f>
        <v/>
      </c>
      <c r="C25" s="47" t="str">
        <f>IF(ISBLANK(Planif[[#This Row],[Nom de la tâche]]),"",Planif[[#This Row],[Nom de la tâche]])</f>
        <v/>
      </c>
      <c r="D25" s="46" t="str">
        <f>IF(ISBLANK(Planif[[#This Row],[Nom de la tâche]]),"",Planif[[#This Row],[Sprint visé]])</f>
        <v/>
      </c>
      <c r="E25" s="52" t="str">
        <f>IF(ISBLANK(Planif[[#This Row],[Nom de la tâche]]),"",Suivi1[[#This Row],[Temps investi]])</f>
        <v/>
      </c>
      <c r="F25" s="53" t="str">
        <f>IF(ISBLANK(Planif[[#This Row],[Nom de la tâche]]),"",Suivi1[[#This Row],[Avancement  ]])</f>
        <v/>
      </c>
      <c r="G25" s="30"/>
      <c r="H25" s="28"/>
      <c r="I25" s="32"/>
      <c r="J25" s="32"/>
      <c r="Q25" s="2" t="str">
        <f>IF(ISBLANK(Planif[[#This Row],[Nom de la tâche]]),"",IF(VLOOKUP(D25,CorrespondanceSprint,2)&lt;$R$12,"Sprint antérieur",IF(VLOOKUP(D25,CorrespondanceSprint,2)=$R$12,"Sprint courant","Sprint suivant")))</f>
        <v/>
      </c>
      <c r="R25" s="2" t="str">
        <f>IF(ISBLANK(Planif[[#This Row],[Nom de la tâche]]),"",IF(Suivi2[[#This Row],[Avancement à ce jour]]=0%, IF(VLOOKUP(D25,CorrespondanceSprint,2)&lt;=$R$12,"En retard","Non débutée"), IF(Suivi2[[#This Row],[Avancement à ce jour]]&lt;100%,IF(VLOOKUP(D25,CorrespondanceSprint,2)&lt;=$R$12,"En retard","En cours"),"Terminée")))</f>
        <v/>
      </c>
      <c r="S25" s="1"/>
    </row>
    <row r="26" spans="2:19" x14ac:dyDescent="0.2">
      <c r="B26" s="46" t="str">
        <f>Planif[[#This Row],[Numéro de la tâche]]</f>
        <v/>
      </c>
      <c r="C26" s="47" t="str">
        <f>IF(ISBLANK(Planif[[#This Row],[Nom de la tâche]]),"",Planif[[#This Row],[Nom de la tâche]])</f>
        <v/>
      </c>
      <c r="D26" s="46" t="str">
        <f>IF(ISBLANK(Planif[[#This Row],[Nom de la tâche]]),"",Planif[[#This Row],[Sprint visé]])</f>
        <v/>
      </c>
      <c r="E26" s="52" t="str">
        <f>IF(ISBLANK(Planif[[#This Row],[Nom de la tâche]]),"",Suivi1[[#This Row],[Temps investi]])</f>
        <v/>
      </c>
      <c r="F26" s="53" t="str">
        <f>IF(ISBLANK(Planif[[#This Row],[Nom de la tâche]]),"",Suivi1[[#This Row],[Avancement  ]])</f>
        <v/>
      </c>
      <c r="G26" s="30"/>
      <c r="H26" s="28"/>
      <c r="I26" s="32"/>
      <c r="J26" s="32"/>
      <c r="Q26" s="2" t="str">
        <f>IF(ISBLANK(Planif[[#This Row],[Nom de la tâche]]),"",IF(VLOOKUP(D26,CorrespondanceSprint,2)&lt;$R$12,"Sprint antérieur",IF(VLOOKUP(D26,CorrespondanceSprint,2)=$R$12,"Sprint courant","Sprint suivant")))</f>
        <v/>
      </c>
      <c r="R26" s="2" t="str">
        <f>IF(ISBLANK(Planif[[#This Row],[Nom de la tâche]]),"",IF(Suivi2[[#This Row],[Avancement à ce jour]]=0%, IF(VLOOKUP(D26,CorrespondanceSprint,2)&lt;=$R$12,"En retard","Non débutée"), IF(Suivi2[[#This Row],[Avancement à ce jour]]&lt;100%,IF(VLOOKUP(D26,CorrespondanceSprint,2)&lt;=$R$12,"En retard","En cours"),"Terminée")))</f>
        <v/>
      </c>
      <c r="S26" s="1"/>
    </row>
    <row r="27" spans="2:19" x14ac:dyDescent="0.2">
      <c r="B27" s="46" t="str">
        <f>Planif[[#This Row],[Numéro de la tâche]]</f>
        <v/>
      </c>
      <c r="C27" s="47" t="str">
        <f>IF(ISBLANK(Planif[[#This Row],[Nom de la tâche]]),"",Planif[[#This Row],[Nom de la tâche]])</f>
        <v/>
      </c>
      <c r="D27" s="46" t="str">
        <f>IF(ISBLANK(Planif[[#This Row],[Nom de la tâche]]),"",Planif[[#This Row],[Sprint visé]])</f>
        <v/>
      </c>
      <c r="E27" s="52" t="str">
        <f>IF(ISBLANK(Planif[[#This Row],[Nom de la tâche]]),"",Suivi1[[#This Row],[Temps investi]])</f>
        <v/>
      </c>
      <c r="F27" s="53" t="str">
        <f>IF(ISBLANK(Planif[[#This Row],[Nom de la tâche]]),"",Suivi1[[#This Row],[Avancement  ]])</f>
        <v/>
      </c>
      <c r="G27" s="30"/>
      <c r="H27" s="28"/>
      <c r="I27" s="32"/>
      <c r="J27" s="32"/>
      <c r="Q27" s="2" t="str">
        <f>IF(ISBLANK(Planif[[#This Row],[Nom de la tâche]]),"",IF(VLOOKUP(D27,CorrespondanceSprint,2)&lt;$R$12,"Sprint antérieur",IF(VLOOKUP(D27,CorrespondanceSprint,2)=$R$12,"Sprint courant","Sprint suivant")))</f>
        <v/>
      </c>
      <c r="R27" s="2" t="str">
        <f>IF(ISBLANK(Planif[[#This Row],[Nom de la tâche]]),"",IF(Suivi2[[#This Row],[Avancement à ce jour]]=0%, IF(VLOOKUP(D27,CorrespondanceSprint,2)&lt;=$R$12,"En retard","Non débutée"), IF(Suivi2[[#This Row],[Avancement à ce jour]]&lt;100%,IF(VLOOKUP(D27,CorrespondanceSprint,2)&lt;=$R$12,"En retard","En cours"),"Terminée")))</f>
        <v/>
      </c>
      <c r="S27" s="1"/>
    </row>
    <row r="28" spans="2:19" x14ac:dyDescent="0.2">
      <c r="B28" s="46" t="str">
        <f>Planif[[#This Row],[Numéro de la tâche]]</f>
        <v/>
      </c>
      <c r="C28" s="47" t="str">
        <f>IF(ISBLANK(Planif[[#This Row],[Nom de la tâche]]),"",Planif[[#This Row],[Nom de la tâche]])</f>
        <v/>
      </c>
      <c r="D28" s="46" t="str">
        <f>IF(ISBLANK(Planif[[#This Row],[Nom de la tâche]]),"",Planif[[#This Row],[Sprint visé]])</f>
        <v/>
      </c>
      <c r="E28" s="52" t="str">
        <f>IF(ISBLANK(Planif[[#This Row],[Nom de la tâche]]),"",Suivi1[[#This Row],[Temps investi]])</f>
        <v/>
      </c>
      <c r="F28" s="53" t="str">
        <f>IF(ISBLANK(Planif[[#This Row],[Nom de la tâche]]),"",Suivi1[[#This Row],[Avancement  ]])</f>
        <v/>
      </c>
      <c r="G28" s="30"/>
      <c r="H28" s="28"/>
      <c r="I28" s="32"/>
      <c r="J28" s="32"/>
      <c r="Q28" s="2" t="str">
        <f>IF(ISBLANK(Planif[[#This Row],[Nom de la tâche]]),"",IF(VLOOKUP(D28,CorrespondanceSprint,2)&lt;$R$12,"Sprint antérieur",IF(VLOOKUP(D28,CorrespondanceSprint,2)=$R$12,"Sprint courant","Sprint suivant")))</f>
        <v/>
      </c>
      <c r="R28" s="2" t="str">
        <f>IF(ISBLANK(Planif[[#This Row],[Nom de la tâche]]),"",IF(Suivi2[[#This Row],[Avancement à ce jour]]=0%, IF(VLOOKUP(D28,CorrespondanceSprint,2)&lt;=$R$12,"En retard","Non débutée"), IF(Suivi2[[#This Row],[Avancement à ce jour]]&lt;100%,IF(VLOOKUP(D28,CorrespondanceSprint,2)&lt;=$R$12,"En retard","En cours"),"Terminée")))</f>
        <v/>
      </c>
      <c r="S28" s="1"/>
    </row>
    <row r="29" spans="2:19" x14ac:dyDescent="0.2">
      <c r="B29" s="46" t="str">
        <f>Planif[[#This Row],[Numéro de la tâche]]</f>
        <v/>
      </c>
      <c r="C29" s="47" t="str">
        <f>IF(ISBLANK(Planif[[#This Row],[Nom de la tâche]]),"",Planif[[#This Row],[Nom de la tâche]])</f>
        <v/>
      </c>
      <c r="D29" s="46" t="str">
        <f>IF(ISBLANK(Planif[[#This Row],[Nom de la tâche]]),"",Planif[[#This Row],[Sprint visé]])</f>
        <v/>
      </c>
      <c r="E29" s="52" t="str">
        <f>IF(ISBLANK(Planif[[#This Row],[Nom de la tâche]]),"",Suivi1[[#This Row],[Temps investi]])</f>
        <v/>
      </c>
      <c r="F29" s="53" t="str">
        <f>IF(ISBLANK(Planif[[#This Row],[Nom de la tâche]]),"",Suivi1[[#This Row],[Avancement  ]])</f>
        <v/>
      </c>
      <c r="G29" s="30"/>
      <c r="H29" s="28"/>
      <c r="I29" s="32"/>
      <c r="J29" s="32"/>
      <c r="Q29" s="2" t="str">
        <f>IF(ISBLANK(Planif[[#This Row],[Nom de la tâche]]),"",IF(VLOOKUP(D29,CorrespondanceSprint,2)&lt;$R$12,"Sprint antérieur",IF(VLOOKUP(D29,CorrespondanceSprint,2)=$R$12,"Sprint courant","Sprint suivant")))</f>
        <v/>
      </c>
      <c r="R29" s="2" t="str">
        <f>IF(ISBLANK(Planif[[#This Row],[Nom de la tâche]]),"",IF(Suivi2[[#This Row],[Avancement à ce jour]]=0%, IF(VLOOKUP(D29,CorrespondanceSprint,2)&lt;=$R$12,"En retard","Non débutée"), IF(Suivi2[[#This Row],[Avancement à ce jour]]&lt;100%,IF(VLOOKUP(D29,CorrespondanceSprint,2)&lt;=$R$12,"En retard","En cours"),"Terminée")))</f>
        <v/>
      </c>
      <c r="S29" s="1"/>
    </row>
    <row r="30" spans="2:19" x14ac:dyDescent="0.2">
      <c r="B30" s="46" t="str">
        <f>Planif[[#This Row],[Numéro de la tâche]]</f>
        <v/>
      </c>
      <c r="C30" s="47" t="str">
        <f>IF(ISBLANK(Planif[[#This Row],[Nom de la tâche]]),"",Planif[[#This Row],[Nom de la tâche]])</f>
        <v/>
      </c>
      <c r="D30" s="46" t="str">
        <f>IF(ISBLANK(Planif[[#This Row],[Nom de la tâche]]),"",Planif[[#This Row],[Sprint visé]])</f>
        <v/>
      </c>
      <c r="E30" s="52" t="str">
        <f>IF(ISBLANK(Planif[[#This Row],[Nom de la tâche]]),"",Suivi1[[#This Row],[Temps investi]])</f>
        <v/>
      </c>
      <c r="F30" s="53" t="str">
        <f>IF(ISBLANK(Planif[[#This Row],[Nom de la tâche]]),"",Suivi1[[#This Row],[Avancement  ]])</f>
        <v/>
      </c>
      <c r="G30" s="30"/>
      <c r="H30" s="28"/>
      <c r="I30" s="32"/>
      <c r="J30" s="32"/>
      <c r="Q30" s="2" t="str">
        <f>IF(ISBLANK(Planif[[#This Row],[Nom de la tâche]]),"",IF(VLOOKUP(D30,CorrespondanceSprint,2)&lt;$R$12,"Sprint antérieur",IF(VLOOKUP(D30,CorrespondanceSprint,2)=$R$12,"Sprint courant","Sprint suivant")))</f>
        <v/>
      </c>
      <c r="R30" s="2" t="str">
        <f>IF(ISBLANK(Planif[[#This Row],[Nom de la tâche]]),"",IF(Suivi2[[#This Row],[Avancement à ce jour]]=0%, IF(VLOOKUP(D30,CorrespondanceSprint,2)&lt;=$R$12,"En retard","Non débutée"), IF(Suivi2[[#This Row],[Avancement à ce jour]]&lt;100%,IF(VLOOKUP(D30,CorrespondanceSprint,2)&lt;=$R$12,"En retard","En cours"),"Terminée")))</f>
        <v/>
      </c>
      <c r="S30" s="1"/>
    </row>
    <row r="31" spans="2:19" x14ac:dyDescent="0.2">
      <c r="B31" s="46" t="str">
        <f>Planif[[#This Row],[Numéro de la tâche]]</f>
        <v/>
      </c>
      <c r="C31" s="47" t="str">
        <f>IF(ISBLANK(Planif[[#This Row],[Nom de la tâche]]),"",Planif[[#This Row],[Nom de la tâche]])</f>
        <v/>
      </c>
      <c r="D31" s="46" t="str">
        <f>IF(ISBLANK(Planif[[#This Row],[Nom de la tâche]]),"",Planif[[#This Row],[Sprint visé]])</f>
        <v/>
      </c>
      <c r="E31" s="52" t="str">
        <f>IF(ISBLANK(Planif[[#This Row],[Nom de la tâche]]),"",Suivi1[[#This Row],[Temps investi]])</f>
        <v/>
      </c>
      <c r="F31" s="53" t="str">
        <f>IF(ISBLANK(Planif[[#This Row],[Nom de la tâche]]),"",Suivi1[[#This Row],[Avancement  ]])</f>
        <v/>
      </c>
      <c r="G31" s="30"/>
      <c r="H31" s="28"/>
      <c r="I31" s="32"/>
      <c r="J31" s="32"/>
      <c r="Q31" s="2" t="str">
        <f>IF(ISBLANK(Planif[[#This Row],[Nom de la tâche]]),"",IF(VLOOKUP(D31,CorrespondanceSprint,2)&lt;$R$12,"Sprint antérieur",IF(VLOOKUP(D31,CorrespondanceSprint,2)=$R$12,"Sprint courant","Sprint suivant")))</f>
        <v/>
      </c>
      <c r="R31" s="2" t="str">
        <f>IF(ISBLANK(Planif[[#This Row],[Nom de la tâche]]),"",IF(Suivi2[[#This Row],[Avancement à ce jour]]=0%, IF(VLOOKUP(D31,CorrespondanceSprint,2)&lt;=$R$12,"En retard","Non débutée"), IF(Suivi2[[#This Row],[Avancement à ce jour]]&lt;100%,IF(VLOOKUP(D31,CorrespondanceSprint,2)&lt;=$R$12,"En retard","En cours"),"Terminée")))</f>
        <v/>
      </c>
      <c r="S31" s="1"/>
    </row>
    <row r="32" spans="2:19" x14ac:dyDescent="0.2">
      <c r="B32" s="46" t="str">
        <f>Planif[[#This Row],[Numéro de la tâche]]</f>
        <v/>
      </c>
      <c r="C32" s="47" t="str">
        <f>IF(ISBLANK(Planif[[#This Row],[Nom de la tâche]]),"",Planif[[#This Row],[Nom de la tâche]])</f>
        <v/>
      </c>
      <c r="D32" s="46" t="str">
        <f>IF(ISBLANK(Planif[[#This Row],[Nom de la tâche]]),"",Planif[[#This Row],[Sprint visé]])</f>
        <v/>
      </c>
      <c r="E32" s="52" t="str">
        <f>IF(ISBLANK(Planif[[#This Row],[Nom de la tâche]]),"",Suivi1[[#This Row],[Temps investi]])</f>
        <v/>
      </c>
      <c r="F32" s="53" t="str">
        <f>IF(ISBLANK(Planif[[#This Row],[Nom de la tâche]]),"",Suivi1[[#This Row],[Avancement  ]])</f>
        <v/>
      </c>
      <c r="G32" s="30"/>
      <c r="H32" s="28"/>
      <c r="I32" s="32"/>
      <c r="J32" s="32"/>
      <c r="Q32" s="2" t="str">
        <f>IF(ISBLANK(Planif[[#This Row],[Nom de la tâche]]),"",IF(VLOOKUP(D32,CorrespondanceSprint,2)&lt;$R$12,"Sprint antérieur",IF(VLOOKUP(D32,CorrespondanceSprint,2)=$R$12,"Sprint courant","Sprint suivant")))</f>
        <v/>
      </c>
      <c r="R32" s="2" t="str">
        <f>IF(ISBLANK(Planif[[#This Row],[Nom de la tâche]]),"",IF(Suivi2[[#This Row],[Avancement à ce jour]]=0%, IF(VLOOKUP(D32,CorrespondanceSprint,2)&lt;=$R$12,"En retard","Non débutée"), IF(Suivi2[[#This Row],[Avancement à ce jour]]&lt;100%,IF(VLOOKUP(D32,CorrespondanceSprint,2)&lt;=$R$12,"En retard","En cours"),"Terminée")))</f>
        <v/>
      </c>
      <c r="S32" s="1"/>
    </row>
    <row r="33" spans="2:19" x14ac:dyDescent="0.2">
      <c r="B33" s="46" t="str">
        <f>Planif[[#This Row],[Numéro de la tâche]]</f>
        <v/>
      </c>
      <c r="C33" s="47" t="str">
        <f>IF(ISBLANK(Planif[[#This Row],[Nom de la tâche]]),"",Planif[[#This Row],[Nom de la tâche]])</f>
        <v/>
      </c>
      <c r="D33" s="46" t="str">
        <f>IF(ISBLANK(Planif[[#This Row],[Nom de la tâche]]),"",Planif[[#This Row],[Sprint visé]])</f>
        <v/>
      </c>
      <c r="E33" s="52" t="str">
        <f>IF(ISBLANK(Planif[[#This Row],[Nom de la tâche]]),"",Suivi1[[#This Row],[Temps investi]])</f>
        <v/>
      </c>
      <c r="F33" s="53" t="str">
        <f>IF(ISBLANK(Planif[[#This Row],[Nom de la tâche]]),"",Suivi1[[#This Row],[Avancement  ]])</f>
        <v/>
      </c>
      <c r="G33" s="30"/>
      <c r="H33" s="28"/>
      <c r="I33" s="32"/>
      <c r="J33" s="32"/>
      <c r="Q33" s="2" t="str">
        <f>IF(ISBLANK(Planif[[#This Row],[Nom de la tâche]]),"",IF(VLOOKUP(D33,CorrespondanceSprint,2)&lt;$R$12,"Sprint antérieur",IF(VLOOKUP(D33,CorrespondanceSprint,2)=$R$12,"Sprint courant","Sprint suivant")))</f>
        <v/>
      </c>
      <c r="R33" s="2" t="str">
        <f>IF(ISBLANK(Planif[[#This Row],[Nom de la tâche]]),"",IF(Suivi2[[#This Row],[Avancement à ce jour]]=0%, IF(VLOOKUP(D33,CorrespondanceSprint,2)&lt;=$R$12,"En retard","Non débutée"), IF(Suivi2[[#This Row],[Avancement à ce jour]]&lt;100%,IF(VLOOKUP(D33,CorrespondanceSprint,2)&lt;=$R$12,"En retard","En cours"),"Terminée")))</f>
        <v/>
      </c>
      <c r="S33" s="1"/>
    </row>
    <row r="34" spans="2:19" x14ac:dyDescent="0.2">
      <c r="B34" s="46" t="str">
        <f>Planif[[#This Row],[Numéro de la tâche]]</f>
        <v/>
      </c>
      <c r="C34" s="47" t="str">
        <f>IF(ISBLANK(Planif[[#This Row],[Nom de la tâche]]),"",Planif[[#This Row],[Nom de la tâche]])</f>
        <v/>
      </c>
      <c r="D34" s="46" t="str">
        <f>IF(ISBLANK(Planif[[#This Row],[Nom de la tâche]]),"",Planif[[#This Row],[Sprint visé]])</f>
        <v/>
      </c>
      <c r="E34" s="52" t="str">
        <f>IF(ISBLANK(Planif[[#This Row],[Nom de la tâche]]),"",Suivi1[[#This Row],[Temps investi]])</f>
        <v/>
      </c>
      <c r="F34" s="53" t="str">
        <f>IF(ISBLANK(Planif[[#This Row],[Nom de la tâche]]),"",Suivi1[[#This Row],[Avancement  ]])</f>
        <v/>
      </c>
      <c r="G34" s="30"/>
      <c r="H34" s="28"/>
      <c r="I34" s="32"/>
      <c r="J34" s="32"/>
      <c r="Q34" s="2" t="str">
        <f>IF(ISBLANK(Planif[[#This Row],[Nom de la tâche]]),"",IF(VLOOKUP(D34,CorrespondanceSprint,2)&lt;$R$12,"Sprint antérieur",IF(VLOOKUP(D34,CorrespondanceSprint,2)=$R$12,"Sprint courant","Sprint suivant")))</f>
        <v/>
      </c>
      <c r="R34" s="2" t="str">
        <f>IF(ISBLANK(Planif[[#This Row],[Nom de la tâche]]),"",IF(Suivi2[[#This Row],[Avancement à ce jour]]=0%, IF(VLOOKUP(D34,CorrespondanceSprint,2)&lt;=$R$12,"En retard","Non débutée"), IF(Suivi2[[#This Row],[Avancement à ce jour]]&lt;100%,IF(VLOOKUP(D34,CorrespondanceSprint,2)&lt;=$R$12,"En retard","En cours"),"Terminée")))</f>
        <v/>
      </c>
      <c r="S34" s="1"/>
    </row>
    <row r="35" spans="2:19" x14ac:dyDescent="0.2">
      <c r="B35" s="46" t="str">
        <f>Planif[[#This Row],[Numéro de la tâche]]</f>
        <v/>
      </c>
      <c r="C35" s="47" t="str">
        <f>IF(ISBLANK(Planif[[#This Row],[Nom de la tâche]]),"",Planif[[#This Row],[Nom de la tâche]])</f>
        <v/>
      </c>
      <c r="D35" s="46" t="str">
        <f>IF(ISBLANK(Planif[[#This Row],[Nom de la tâche]]),"",Planif[[#This Row],[Sprint visé]])</f>
        <v/>
      </c>
      <c r="E35" s="52" t="str">
        <f>IF(ISBLANK(Planif[[#This Row],[Nom de la tâche]]),"",Suivi1[[#This Row],[Temps investi]])</f>
        <v/>
      </c>
      <c r="F35" s="53" t="str">
        <f>IF(ISBLANK(Planif[[#This Row],[Nom de la tâche]]),"",Suivi1[[#This Row],[Avancement  ]])</f>
        <v/>
      </c>
      <c r="G35" s="30"/>
      <c r="H35" s="28"/>
      <c r="I35" s="32"/>
      <c r="J35" s="32"/>
      <c r="Q35" s="2" t="str">
        <f>IF(ISBLANK(Planif[[#This Row],[Nom de la tâche]]),"",IF(VLOOKUP(D35,CorrespondanceSprint,2)&lt;$R$12,"Sprint antérieur",IF(VLOOKUP(D35,CorrespondanceSprint,2)=$R$12,"Sprint courant","Sprint suivant")))</f>
        <v/>
      </c>
      <c r="R35" s="2" t="str">
        <f>IF(ISBLANK(Planif[[#This Row],[Nom de la tâche]]),"",IF(Suivi2[[#This Row],[Avancement à ce jour]]=0%, IF(VLOOKUP(D35,CorrespondanceSprint,2)&lt;=$R$12,"En retard","Non débutée"), IF(Suivi2[[#This Row],[Avancement à ce jour]]&lt;100%,IF(VLOOKUP(D35,CorrespondanceSprint,2)&lt;=$R$12,"En retard","En cours"),"Terminée")))</f>
        <v/>
      </c>
      <c r="S35" s="1"/>
    </row>
    <row r="36" spans="2:19" x14ac:dyDescent="0.2">
      <c r="B36" s="46" t="str">
        <f>Planif[[#This Row],[Numéro de la tâche]]</f>
        <v/>
      </c>
      <c r="C36" s="47" t="str">
        <f>IF(ISBLANK(Planif[[#This Row],[Nom de la tâche]]),"",Planif[[#This Row],[Nom de la tâche]])</f>
        <v/>
      </c>
      <c r="D36" s="46" t="str">
        <f>IF(ISBLANK(Planif[[#This Row],[Nom de la tâche]]),"",Planif[[#This Row],[Sprint visé]])</f>
        <v/>
      </c>
      <c r="E36" s="52" t="str">
        <f>IF(ISBLANK(Planif[[#This Row],[Nom de la tâche]]),"",Suivi1[[#This Row],[Temps investi]])</f>
        <v/>
      </c>
      <c r="F36" s="53" t="str">
        <f>IF(ISBLANK(Planif[[#This Row],[Nom de la tâche]]),"",Suivi1[[#This Row],[Avancement  ]])</f>
        <v/>
      </c>
      <c r="G36" s="30"/>
      <c r="H36" s="28"/>
      <c r="I36" s="32"/>
      <c r="J36" s="32"/>
      <c r="Q36" s="2" t="str">
        <f>IF(ISBLANK(Planif[[#This Row],[Nom de la tâche]]),"",IF(VLOOKUP(D36,CorrespondanceSprint,2)&lt;$R$12,"Sprint antérieur",IF(VLOOKUP(D36,CorrespondanceSprint,2)=$R$12,"Sprint courant","Sprint suivant")))</f>
        <v/>
      </c>
      <c r="R36" s="2" t="str">
        <f>IF(ISBLANK(Planif[[#This Row],[Nom de la tâche]]),"",IF(Suivi2[[#This Row],[Avancement à ce jour]]=0%, IF(VLOOKUP(D36,CorrespondanceSprint,2)&lt;=$R$12,"En retard","Non débutée"), IF(Suivi2[[#This Row],[Avancement à ce jour]]&lt;100%,IF(VLOOKUP(D36,CorrespondanceSprint,2)&lt;=$R$12,"En retard","En cours"),"Terminée")))</f>
        <v/>
      </c>
      <c r="S36" s="1"/>
    </row>
    <row r="37" spans="2:19" x14ac:dyDescent="0.2">
      <c r="B37" s="46" t="str">
        <f>Planif[[#This Row],[Numéro de la tâche]]</f>
        <v/>
      </c>
      <c r="C37" s="47" t="str">
        <f>IF(ISBLANK(Planif[[#This Row],[Nom de la tâche]]),"",Planif[[#This Row],[Nom de la tâche]])</f>
        <v/>
      </c>
      <c r="D37" s="46" t="str">
        <f>IF(ISBLANK(Planif[[#This Row],[Nom de la tâche]]),"",Planif[[#This Row],[Sprint visé]])</f>
        <v/>
      </c>
      <c r="E37" s="52" t="str">
        <f>IF(ISBLANK(Planif[[#This Row],[Nom de la tâche]]),"",Suivi1[[#This Row],[Temps investi]])</f>
        <v/>
      </c>
      <c r="F37" s="53" t="str">
        <f>IF(ISBLANK(Planif[[#This Row],[Nom de la tâche]]),"",Suivi1[[#This Row],[Avancement  ]])</f>
        <v/>
      </c>
      <c r="G37" s="30"/>
      <c r="H37" s="28"/>
      <c r="I37" s="32"/>
      <c r="J37" s="32"/>
      <c r="Q37" s="2" t="str">
        <f>IF(ISBLANK(Planif[[#This Row],[Nom de la tâche]]),"",IF(VLOOKUP(D37,CorrespondanceSprint,2)&lt;$R$12,"Sprint antérieur",IF(VLOOKUP(D37,CorrespondanceSprint,2)=$R$12,"Sprint courant","Sprint suivant")))</f>
        <v/>
      </c>
      <c r="R37" s="2" t="str">
        <f>IF(ISBLANK(Planif[[#This Row],[Nom de la tâche]]),"",IF(Suivi2[[#This Row],[Avancement à ce jour]]=0%, IF(VLOOKUP(D37,CorrespondanceSprint,2)&lt;=$R$12,"En retard","Non débutée"), IF(Suivi2[[#This Row],[Avancement à ce jour]]&lt;100%,IF(VLOOKUP(D37,CorrespondanceSprint,2)&lt;=$R$12,"En retard","En cours"),"Terminée")))</f>
        <v/>
      </c>
      <c r="S37" s="1"/>
    </row>
    <row r="38" spans="2:19" x14ac:dyDescent="0.2">
      <c r="B38" s="46" t="str">
        <f>Planif[[#This Row],[Numéro de la tâche]]</f>
        <v/>
      </c>
      <c r="C38" s="47" t="str">
        <f>IF(ISBLANK(Planif[[#This Row],[Nom de la tâche]]),"",Planif[[#This Row],[Nom de la tâche]])</f>
        <v/>
      </c>
      <c r="D38" s="46" t="str">
        <f>IF(ISBLANK(Planif[[#This Row],[Nom de la tâche]]),"",Planif[[#This Row],[Sprint visé]])</f>
        <v/>
      </c>
      <c r="E38" s="52" t="str">
        <f>IF(ISBLANK(Planif[[#This Row],[Nom de la tâche]]),"",Suivi1[[#This Row],[Temps investi]])</f>
        <v/>
      </c>
      <c r="F38" s="53" t="str">
        <f>IF(ISBLANK(Planif[[#This Row],[Nom de la tâche]]),"",Suivi1[[#This Row],[Avancement  ]])</f>
        <v/>
      </c>
      <c r="G38" s="30"/>
      <c r="H38" s="28"/>
      <c r="I38" s="32"/>
      <c r="J38" s="32"/>
      <c r="Q38" s="2" t="str">
        <f>IF(ISBLANK(Planif[[#This Row],[Nom de la tâche]]),"",IF(VLOOKUP(D38,CorrespondanceSprint,2)&lt;$R$12,"Sprint antérieur",IF(VLOOKUP(D38,CorrespondanceSprint,2)=$R$12,"Sprint courant","Sprint suivant")))</f>
        <v/>
      </c>
      <c r="R38" s="2" t="str">
        <f>IF(ISBLANK(Planif[[#This Row],[Nom de la tâche]]),"",IF(Suivi2[[#This Row],[Avancement à ce jour]]=0%, IF(VLOOKUP(D38,CorrespondanceSprint,2)&lt;=$R$12,"En retard","Non débutée"), IF(Suivi2[[#This Row],[Avancement à ce jour]]&lt;100%,IF(VLOOKUP(D38,CorrespondanceSprint,2)&lt;=$R$12,"En retard","En cours"),"Terminée")))</f>
        <v/>
      </c>
      <c r="S38" s="1"/>
    </row>
    <row r="39" spans="2:19" x14ac:dyDescent="0.2">
      <c r="B39" s="46" t="str">
        <f>Planif[[#This Row],[Numéro de la tâche]]</f>
        <v/>
      </c>
      <c r="C39" s="47" t="str">
        <f>IF(ISBLANK(Planif[[#This Row],[Nom de la tâche]]),"",Planif[[#This Row],[Nom de la tâche]])</f>
        <v/>
      </c>
      <c r="D39" s="46" t="str">
        <f>IF(ISBLANK(Planif[[#This Row],[Nom de la tâche]]),"",Planif[[#This Row],[Sprint visé]])</f>
        <v/>
      </c>
      <c r="E39" s="52" t="str">
        <f>IF(ISBLANK(Planif[[#This Row],[Nom de la tâche]]),"",Suivi1[[#This Row],[Temps investi]])</f>
        <v/>
      </c>
      <c r="F39" s="53" t="str">
        <f>IF(ISBLANK(Planif[[#This Row],[Nom de la tâche]]),"",Suivi1[[#This Row],[Avancement  ]])</f>
        <v/>
      </c>
      <c r="G39" s="30"/>
      <c r="H39" s="28"/>
      <c r="I39" s="32"/>
      <c r="J39" s="32"/>
      <c r="Q39" s="2" t="str">
        <f>IF(ISBLANK(Planif[[#This Row],[Nom de la tâche]]),"",IF(VLOOKUP(D39,CorrespondanceSprint,2)&lt;$R$12,"Sprint antérieur",IF(VLOOKUP(D39,CorrespondanceSprint,2)=$R$12,"Sprint courant","Sprint suivant")))</f>
        <v/>
      </c>
      <c r="R39" s="2" t="str">
        <f>IF(ISBLANK(Planif[[#This Row],[Nom de la tâche]]),"",IF(Suivi2[[#This Row],[Avancement à ce jour]]=0%, IF(VLOOKUP(D39,CorrespondanceSprint,2)&lt;=$R$12,"En retard","Non débutée"), IF(Suivi2[[#This Row],[Avancement à ce jour]]&lt;100%,IF(VLOOKUP(D39,CorrespondanceSprint,2)&lt;=$R$12,"En retard","En cours"),"Terminée")))</f>
        <v/>
      </c>
      <c r="S39" s="1"/>
    </row>
    <row r="40" spans="2:19" x14ac:dyDescent="0.2">
      <c r="B40" s="46" t="str">
        <f>Planif[[#This Row],[Numéro de la tâche]]</f>
        <v/>
      </c>
      <c r="C40" s="47" t="str">
        <f>IF(ISBLANK(Planif[[#This Row],[Nom de la tâche]]),"",Planif[[#This Row],[Nom de la tâche]])</f>
        <v/>
      </c>
      <c r="D40" s="46" t="str">
        <f>IF(ISBLANK(Planif[[#This Row],[Nom de la tâche]]),"",Planif[[#This Row],[Sprint visé]])</f>
        <v/>
      </c>
      <c r="E40" s="52" t="str">
        <f>IF(ISBLANK(Planif[[#This Row],[Nom de la tâche]]),"",Suivi1[[#This Row],[Temps investi]])</f>
        <v/>
      </c>
      <c r="F40" s="53" t="str">
        <f>IF(ISBLANK(Planif[[#This Row],[Nom de la tâche]]),"",Suivi1[[#This Row],[Avancement  ]])</f>
        <v/>
      </c>
      <c r="G40" s="30"/>
      <c r="H40" s="28"/>
      <c r="I40" s="32"/>
      <c r="J40" s="32"/>
      <c r="Q40" s="2" t="str">
        <f>IF(ISBLANK(Planif[[#This Row],[Nom de la tâche]]),"",IF(VLOOKUP(D40,CorrespondanceSprint,2)&lt;$R$12,"Sprint antérieur",IF(VLOOKUP(D40,CorrespondanceSprint,2)=$R$12,"Sprint courant","Sprint suivant")))</f>
        <v/>
      </c>
      <c r="R40" s="2" t="str">
        <f>IF(ISBLANK(Planif[[#This Row],[Nom de la tâche]]),"",IF(Suivi2[[#This Row],[Avancement à ce jour]]=0%, IF(VLOOKUP(D40,CorrespondanceSprint,2)&lt;=$R$12,"En retard","Non débutée"), IF(Suivi2[[#This Row],[Avancement à ce jour]]&lt;100%,IF(VLOOKUP(D40,CorrespondanceSprint,2)&lt;=$R$12,"En retard","En cours"),"Terminée")))</f>
        <v/>
      </c>
      <c r="S40" s="1"/>
    </row>
    <row r="41" spans="2:19" x14ac:dyDescent="0.2">
      <c r="B41" s="46" t="str">
        <f>Planif[[#This Row],[Numéro de la tâche]]</f>
        <v/>
      </c>
      <c r="C41" s="47" t="str">
        <f>IF(ISBLANK(Planif[[#This Row],[Nom de la tâche]]),"",Planif[[#This Row],[Nom de la tâche]])</f>
        <v/>
      </c>
      <c r="D41" s="46" t="str">
        <f>IF(ISBLANK(Planif[[#This Row],[Nom de la tâche]]),"",Planif[[#This Row],[Sprint visé]])</f>
        <v/>
      </c>
      <c r="E41" s="52" t="str">
        <f>IF(ISBLANK(Planif[[#This Row],[Nom de la tâche]]),"",Suivi1[[#This Row],[Temps investi]])</f>
        <v/>
      </c>
      <c r="F41" s="53" t="str">
        <f>IF(ISBLANK(Planif[[#This Row],[Nom de la tâche]]),"",Suivi1[[#This Row],[Avancement  ]])</f>
        <v/>
      </c>
      <c r="G41" s="30"/>
      <c r="H41" s="28"/>
      <c r="I41" s="32"/>
      <c r="J41" s="32"/>
      <c r="Q41" s="2" t="str">
        <f>IF(ISBLANK(Planif[[#This Row],[Nom de la tâche]]),"",IF(VLOOKUP(D41,CorrespondanceSprint,2)&lt;$R$12,"Sprint antérieur",IF(VLOOKUP(D41,CorrespondanceSprint,2)=$R$12,"Sprint courant","Sprint suivant")))</f>
        <v/>
      </c>
      <c r="R41" s="2" t="str">
        <f>IF(ISBLANK(Planif[[#This Row],[Nom de la tâche]]),"",IF(Suivi2[[#This Row],[Avancement à ce jour]]=0%, IF(VLOOKUP(D41,CorrespondanceSprint,2)&lt;=$R$12,"En retard","Non débutée"), IF(Suivi2[[#This Row],[Avancement à ce jour]]&lt;100%,IF(VLOOKUP(D41,CorrespondanceSprint,2)&lt;=$R$12,"En retard","En cours"),"Terminée")))</f>
        <v/>
      </c>
      <c r="S41" s="1"/>
    </row>
    <row r="42" spans="2:19" x14ac:dyDescent="0.2">
      <c r="B42" s="46" t="str">
        <f>Planif[[#This Row],[Numéro de la tâche]]</f>
        <v/>
      </c>
      <c r="C42" s="47" t="str">
        <f>IF(ISBLANK(Planif[[#This Row],[Nom de la tâche]]),"",Planif[[#This Row],[Nom de la tâche]])</f>
        <v/>
      </c>
      <c r="D42" s="46" t="str">
        <f>IF(ISBLANK(Planif[[#This Row],[Nom de la tâche]]),"",Planif[[#This Row],[Sprint visé]])</f>
        <v/>
      </c>
      <c r="E42" s="52" t="str">
        <f>IF(ISBLANK(Planif[[#This Row],[Nom de la tâche]]),"",Suivi1[[#This Row],[Temps investi]])</f>
        <v/>
      </c>
      <c r="F42" s="53" t="str">
        <f>IF(ISBLANK(Planif[[#This Row],[Nom de la tâche]]),"",Suivi1[[#This Row],[Avancement  ]])</f>
        <v/>
      </c>
      <c r="G42" s="30"/>
      <c r="H42" s="28"/>
      <c r="I42" s="32"/>
      <c r="J42" s="32"/>
      <c r="Q42" s="2" t="str">
        <f>IF(ISBLANK(Planif[[#This Row],[Nom de la tâche]]),"",IF(VLOOKUP(D42,CorrespondanceSprint,2)&lt;$R$12,"Sprint antérieur",IF(VLOOKUP(D42,CorrespondanceSprint,2)=$R$12,"Sprint courant","Sprint suivant")))</f>
        <v/>
      </c>
      <c r="R42" s="2" t="str">
        <f>IF(ISBLANK(Planif[[#This Row],[Nom de la tâche]]),"",IF(Suivi2[[#This Row],[Avancement à ce jour]]=0%, IF(VLOOKUP(D42,CorrespondanceSprint,2)&lt;=$R$12,"En retard","Non débutée"), IF(Suivi2[[#This Row],[Avancement à ce jour]]&lt;100%,IF(VLOOKUP(D42,CorrespondanceSprint,2)&lt;=$R$12,"En retard","En cours"),"Terminée")))</f>
        <v/>
      </c>
      <c r="S42" s="1"/>
    </row>
    <row r="43" spans="2:19" x14ac:dyDescent="0.2">
      <c r="B43" s="46" t="str">
        <f>Planif[[#This Row],[Numéro de la tâche]]</f>
        <v/>
      </c>
      <c r="C43" s="47" t="str">
        <f>IF(ISBLANK(Planif[[#This Row],[Nom de la tâche]]),"",Planif[[#This Row],[Nom de la tâche]])</f>
        <v/>
      </c>
      <c r="D43" s="46" t="str">
        <f>IF(ISBLANK(Planif[[#This Row],[Nom de la tâche]]),"",Planif[[#This Row],[Sprint visé]])</f>
        <v/>
      </c>
      <c r="E43" s="52" t="str">
        <f>IF(ISBLANK(Planif[[#This Row],[Nom de la tâche]]),"",Suivi1[[#This Row],[Temps investi]])</f>
        <v/>
      </c>
      <c r="F43" s="53" t="str">
        <f>IF(ISBLANK(Planif[[#This Row],[Nom de la tâche]]),"",Suivi1[[#This Row],[Avancement  ]])</f>
        <v/>
      </c>
      <c r="G43" s="30"/>
      <c r="H43" s="28"/>
      <c r="I43" s="32"/>
      <c r="J43" s="32"/>
      <c r="Q43" s="2" t="str">
        <f>IF(ISBLANK(Planif[[#This Row],[Nom de la tâche]]),"",IF(VLOOKUP(D43,CorrespondanceSprint,2)&lt;$R$12,"Sprint antérieur",IF(VLOOKUP(D43,CorrespondanceSprint,2)=$R$12,"Sprint courant","Sprint suivant")))</f>
        <v/>
      </c>
      <c r="R43" s="2" t="str">
        <f>IF(ISBLANK(Planif[[#This Row],[Nom de la tâche]]),"",IF(Suivi2[[#This Row],[Avancement à ce jour]]=0%, IF(VLOOKUP(D43,CorrespondanceSprint,2)&lt;=$R$12,"En retard","Non débutée"), IF(Suivi2[[#This Row],[Avancement à ce jour]]&lt;100%,IF(VLOOKUP(D43,CorrespondanceSprint,2)&lt;=$R$12,"En retard","En cours"),"Terminée")))</f>
        <v/>
      </c>
      <c r="S43" s="1"/>
    </row>
    <row r="44" spans="2:19" x14ac:dyDescent="0.2">
      <c r="B44" s="46" t="str">
        <f>Planif[[#This Row],[Numéro de la tâche]]</f>
        <v/>
      </c>
      <c r="C44" s="47" t="str">
        <f>IF(ISBLANK(Planif[[#This Row],[Nom de la tâche]]),"",Planif[[#This Row],[Nom de la tâche]])</f>
        <v/>
      </c>
      <c r="D44" s="46" t="str">
        <f>IF(ISBLANK(Planif[[#This Row],[Nom de la tâche]]),"",Planif[[#This Row],[Sprint visé]])</f>
        <v/>
      </c>
      <c r="E44" s="52" t="str">
        <f>IF(ISBLANK(Planif[[#This Row],[Nom de la tâche]]),"",Suivi1[[#This Row],[Temps investi]])</f>
        <v/>
      </c>
      <c r="F44" s="53" t="str">
        <f>IF(ISBLANK(Planif[[#This Row],[Nom de la tâche]]),"",Suivi1[[#This Row],[Avancement  ]])</f>
        <v/>
      </c>
      <c r="G44" s="30"/>
      <c r="H44" s="28"/>
      <c r="I44" s="32"/>
      <c r="J44" s="32"/>
      <c r="Q44" s="2" t="str">
        <f>IF(ISBLANK(Planif[[#This Row],[Nom de la tâche]]),"",IF(VLOOKUP(D44,CorrespondanceSprint,2)&lt;$R$12,"Sprint antérieur",IF(VLOOKUP(D44,CorrespondanceSprint,2)=$R$12,"Sprint courant","Sprint suivant")))</f>
        <v/>
      </c>
      <c r="R44" s="2" t="str">
        <f>IF(ISBLANK(Planif[[#This Row],[Nom de la tâche]]),"",IF(Suivi2[[#This Row],[Avancement à ce jour]]=0%, IF(VLOOKUP(D44,CorrespondanceSprint,2)&lt;=$R$12,"En retard","Non débutée"), IF(Suivi2[[#This Row],[Avancement à ce jour]]&lt;100%,IF(VLOOKUP(D44,CorrespondanceSprint,2)&lt;=$R$12,"En retard","En cours"),"Terminée")))</f>
        <v/>
      </c>
      <c r="S44" s="1"/>
    </row>
    <row r="45" spans="2:19" x14ac:dyDescent="0.2">
      <c r="B45" s="46" t="str">
        <f>Planif[[#This Row],[Numéro de la tâche]]</f>
        <v/>
      </c>
      <c r="C45" s="47" t="str">
        <f>IF(ISBLANK(Planif[[#This Row],[Nom de la tâche]]),"",Planif[[#This Row],[Nom de la tâche]])</f>
        <v/>
      </c>
      <c r="D45" s="46" t="str">
        <f>IF(ISBLANK(Planif[[#This Row],[Nom de la tâche]]),"",Planif[[#This Row],[Sprint visé]])</f>
        <v/>
      </c>
      <c r="E45" s="52" t="str">
        <f>IF(ISBLANK(Planif[[#This Row],[Nom de la tâche]]),"",Suivi1[[#This Row],[Temps investi]])</f>
        <v/>
      </c>
      <c r="F45" s="53" t="str">
        <f>IF(ISBLANK(Planif[[#This Row],[Nom de la tâche]]),"",Suivi1[[#This Row],[Avancement  ]])</f>
        <v/>
      </c>
      <c r="G45" s="30"/>
      <c r="H45" s="28"/>
      <c r="I45" s="32"/>
      <c r="J45" s="32"/>
      <c r="Q45" s="2" t="str">
        <f>IF(ISBLANK(Planif[[#This Row],[Nom de la tâche]]),"",IF(VLOOKUP(D45,CorrespondanceSprint,2)&lt;$R$12,"Sprint antérieur",IF(VLOOKUP(D45,CorrespondanceSprint,2)=$R$12,"Sprint courant","Sprint suivant")))</f>
        <v/>
      </c>
      <c r="R45" s="2" t="str">
        <f>IF(ISBLANK(Planif[[#This Row],[Nom de la tâche]]),"",IF(Suivi2[[#This Row],[Avancement à ce jour]]=0%, IF(VLOOKUP(D45,CorrespondanceSprint,2)&lt;=$R$12,"En retard","Non débutée"), IF(Suivi2[[#This Row],[Avancement à ce jour]]&lt;100%,IF(VLOOKUP(D45,CorrespondanceSprint,2)&lt;=$R$12,"En retard","En cours"),"Terminée")))</f>
        <v/>
      </c>
      <c r="S45" s="1"/>
    </row>
    <row r="46" spans="2:19" x14ac:dyDescent="0.2">
      <c r="B46" s="46" t="str">
        <f>Planif[[#This Row],[Numéro de la tâche]]</f>
        <v/>
      </c>
      <c r="C46" s="47" t="str">
        <f>IF(ISBLANK(Planif[[#This Row],[Nom de la tâche]]),"",Planif[[#This Row],[Nom de la tâche]])</f>
        <v/>
      </c>
      <c r="D46" s="46" t="str">
        <f>IF(ISBLANK(Planif[[#This Row],[Nom de la tâche]]),"",Planif[[#This Row],[Sprint visé]])</f>
        <v/>
      </c>
      <c r="E46" s="52" t="str">
        <f>IF(ISBLANK(Planif[[#This Row],[Nom de la tâche]]),"",Suivi1[[#This Row],[Temps investi]])</f>
        <v/>
      </c>
      <c r="F46" s="53" t="str">
        <f>IF(ISBLANK(Planif[[#This Row],[Nom de la tâche]]),"",Suivi1[[#This Row],[Avancement  ]])</f>
        <v/>
      </c>
      <c r="G46" s="30"/>
      <c r="H46" s="28"/>
      <c r="I46" s="32"/>
      <c r="J46" s="32"/>
      <c r="Q46" s="2" t="str">
        <f>IF(ISBLANK(Planif[[#This Row],[Nom de la tâche]]),"",IF(VLOOKUP(D46,CorrespondanceSprint,2)&lt;$R$12,"Sprint antérieur",IF(VLOOKUP(D46,CorrespondanceSprint,2)=$R$12,"Sprint courant","Sprint suivant")))</f>
        <v/>
      </c>
      <c r="R46" s="2" t="str">
        <f>IF(ISBLANK(Planif[[#This Row],[Nom de la tâche]]),"",IF(Suivi2[[#This Row],[Avancement à ce jour]]=0%, IF(VLOOKUP(D46,CorrespondanceSprint,2)&lt;=$R$12,"En retard","Non débutée"), IF(Suivi2[[#This Row],[Avancement à ce jour]]&lt;100%,IF(VLOOKUP(D46,CorrespondanceSprint,2)&lt;=$R$12,"En retard","En cours"),"Terminée")))</f>
        <v/>
      </c>
      <c r="S46" s="1"/>
    </row>
    <row r="47" spans="2:19" x14ac:dyDescent="0.2">
      <c r="B47" s="46" t="str">
        <f>Planif[[#This Row],[Numéro de la tâche]]</f>
        <v/>
      </c>
      <c r="C47" s="47" t="str">
        <f>IF(ISBLANK(Planif[[#This Row],[Nom de la tâche]]),"",Planif[[#This Row],[Nom de la tâche]])</f>
        <v/>
      </c>
      <c r="D47" s="46" t="str">
        <f>IF(ISBLANK(Planif[[#This Row],[Nom de la tâche]]),"",Planif[[#This Row],[Sprint visé]])</f>
        <v/>
      </c>
      <c r="E47" s="52" t="str">
        <f>IF(ISBLANK(Planif[[#This Row],[Nom de la tâche]]),"",Suivi1[[#This Row],[Temps investi]])</f>
        <v/>
      </c>
      <c r="F47" s="53" t="str">
        <f>IF(ISBLANK(Planif[[#This Row],[Nom de la tâche]]),"",Suivi1[[#This Row],[Avancement  ]])</f>
        <v/>
      </c>
      <c r="G47" s="30"/>
      <c r="H47" s="28"/>
      <c r="I47" s="32"/>
      <c r="J47" s="32"/>
      <c r="Q47" s="2" t="str">
        <f>IF(ISBLANK(Planif[[#This Row],[Nom de la tâche]]),"",IF(VLOOKUP(D47,CorrespondanceSprint,2)&lt;$R$12,"Sprint antérieur",IF(VLOOKUP(D47,CorrespondanceSprint,2)=$R$12,"Sprint courant","Sprint suivant")))</f>
        <v/>
      </c>
      <c r="R47" s="2" t="str">
        <f>IF(ISBLANK(Planif[[#This Row],[Nom de la tâche]]),"",IF(Suivi2[[#This Row],[Avancement à ce jour]]=0%, IF(VLOOKUP(D47,CorrespondanceSprint,2)&lt;=$R$12,"En retard","Non débutée"), IF(Suivi2[[#This Row],[Avancement à ce jour]]&lt;100%,IF(VLOOKUP(D47,CorrespondanceSprint,2)&lt;=$R$12,"En retard","En cours"),"Terminée")))</f>
        <v/>
      </c>
      <c r="S47" s="1"/>
    </row>
    <row r="48" spans="2:19" x14ac:dyDescent="0.2">
      <c r="B48" s="46" t="str">
        <f>Planif[[#This Row],[Numéro de la tâche]]</f>
        <v/>
      </c>
      <c r="C48" s="47" t="str">
        <f>IF(ISBLANK(Planif[[#This Row],[Nom de la tâche]]),"",Planif[[#This Row],[Nom de la tâche]])</f>
        <v/>
      </c>
      <c r="D48" s="46" t="str">
        <f>IF(ISBLANK(Planif[[#This Row],[Nom de la tâche]]),"",Planif[[#This Row],[Sprint visé]])</f>
        <v/>
      </c>
      <c r="E48" s="52" t="str">
        <f>IF(ISBLANK(Planif[[#This Row],[Nom de la tâche]]),"",Suivi1[[#This Row],[Temps investi]])</f>
        <v/>
      </c>
      <c r="F48" s="53" t="str">
        <f>IF(ISBLANK(Planif[[#This Row],[Nom de la tâche]]),"",Suivi1[[#This Row],[Avancement  ]])</f>
        <v/>
      </c>
      <c r="G48" s="30"/>
      <c r="H48" s="28"/>
      <c r="I48" s="32"/>
      <c r="J48" s="32"/>
      <c r="Q48" s="2" t="str">
        <f>IF(ISBLANK(Planif[[#This Row],[Nom de la tâche]]),"",IF(VLOOKUP(D48,CorrespondanceSprint,2)&lt;$R$12,"Sprint antérieur",IF(VLOOKUP(D48,CorrespondanceSprint,2)=$R$12,"Sprint courant","Sprint suivant")))</f>
        <v/>
      </c>
      <c r="R48" s="2" t="str">
        <f>IF(ISBLANK(Planif[[#This Row],[Nom de la tâche]]),"",IF(Suivi2[[#This Row],[Avancement à ce jour]]=0%, IF(VLOOKUP(D48,CorrespondanceSprint,2)&lt;=$R$12,"En retard","Non débutée"), IF(Suivi2[[#This Row],[Avancement à ce jour]]&lt;100%,IF(VLOOKUP(D48,CorrespondanceSprint,2)&lt;=$R$12,"En retard","En cours"),"Terminée")))</f>
        <v/>
      </c>
      <c r="S48" s="1"/>
    </row>
    <row r="49" spans="2:19" x14ac:dyDescent="0.2">
      <c r="B49" s="46" t="str">
        <f>Planif[[#This Row],[Numéro de la tâche]]</f>
        <v/>
      </c>
      <c r="C49" s="47" t="str">
        <f>IF(ISBLANK(Planif[[#This Row],[Nom de la tâche]]),"",Planif[[#This Row],[Nom de la tâche]])</f>
        <v/>
      </c>
      <c r="D49" s="46" t="str">
        <f>IF(ISBLANK(Planif[[#This Row],[Nom de la tâche]]),"",Planif[[#This Row],[Sprint visé]])</f>
        <v/>
      </c>
      <c r="E49" s="52" t="str">
        <f>IF(ISBLANK(Planif[[#This Row],[Nom de la tâche]]),"",Suivi1[[#This Row],[Temps investi]])</f>
        <v/>
      </c>
      <c r="F49" s="53" t="str">
        <f>IF(ISBLANK(Planif[[#This Row],[Nom de la tâche]]),"",Suivi1[[#This Row],[Avancement  ]])</f>
        <v/>
      </c>
      <c r="G49" s="30"/>
      <c r="H49" s="28"/>
      <c r="I49" s="32"/>
      <c r="J49" s="32"/>
      <c r="Q49" s="2" t="str">
        <f>IF(ISBLANK(Planif[[#This Row],[Nom de la tâche]]),"",IF(VLOOKUP(D49,CorrespondanceSprint,2)&lt;$R$12,"Sprint antérieur",IF(VLOOKUP(D49,CorrespondanceSprint,2)=$R$12,"Sprint courant","Sprint suivant")))</f>
        <v/>
      </c>
      <c r="R49" s="2" t="str">
        <f>IF(ISBLANK(Planif[[#This Row],[Nom de la tâche]]),"",IF(Suivi2[[#This Row],[Avancement à ce jour]]=0%, IF(VLOOKUP(D49,CorrespondanceSprint,2)&lt;=$R$12,"En retard","Non débutée"), IF(Suivi2[[#This Row],[Avancement à ce jour]]&lt;100%,IF(VLOOKUP(D49,CorrespondanceSprint,2)&lt;=$R$12,"En retard","En cours"),"Terminée")))</f>
        <v/>
      </c>
      <c r="S49" s="1"/>
    </row>
    <row r="50" spans="2:19" x14ac:dyDescent="0.2">
      <c r="B50" s="46" t="str">
        <f>Planif[[#This Row],[Numéro de la tâche]]</f>
        <v/>
      </c>
      <c r="C50" s="47" t="str">
        <f>IF(ISBLANK(Planif[[#This Row],[Nom de la tâche]]),"",Planif[[#This Row],[Nom de la tâche]])</f>
        <v/>
      </c>
      <c r="D50" s="46" t="str">
        <f>IF(ISBLANK(Planif[[#This Row],[Nom de la tâche]]),"",Planif[[#This Row],[Sprint visé]])</f>
        <v/>
      </c>
      <c r="E50" s="52" t="str">
        <f>IF(ISBLANK(Planif[[#This Row],[Nom de la tâche]]),"",Suivi1[[#This Row],[Temps investi]])</f>
        <v/>
      </c>
      <c r="F50" s="53" t="str">
        <f>IF(ISBLANK(Planif[[#This Row],[Nom de la tâche]]),"",Suivi1[[#This Row],[Avancement  ]])</f>
        <v/>
      </c>
      <c r="G50" s="30"/>
      <c r="H50" s="28"/>
      <c r="I50" s="32"/>
      <c r="J50" s="32"/>
      <c r="Q50" s="2" t="str">
        <f>IF(ISBLANK(Planif[[#This Row],[Nom de la tâche]]),"",IF(VLOOKUP(D50,CorrespondanceSprint,2)&lt;$R$12,"Sprint antérieur",IF(VLOOKUP(D50,CorrespondanceSprint,2)=$R$12,"Sprint courant","Sprint suivant")))</f>
        <v/>
      </c>
      <c r="R50" s="2" t="str">
        <f>IF(ISBLANK(Planif[[#This Row],[Nom de la tâche]]),"",IF(Suivi2[[#This Row],[Avancement à ce jour]]=0%, IF(VLOOKUP(D50,CorrespondanceSprint,2)&lt;=$R$12,"En retard","Non débutée"), IF(Suivi2[[#This Row],[Avancement à ce jour]]&lt;100%,IF(VLOOKUP(D50,CorrespondanceSprint,2)&lt;=$R$12,"En retard","En cours"),"Terminée")))</f>
        <v/>
      </c>
      <c r="S50" s="1"/>
    </row>
    <row r="51" spans="2:19" x14ac:dyDescent="0.2">
      <c r="B51" s="46" t="str">
        <f>Planif[[#This Row],[Numéro de la tâche]]</f>
        <v/>
      </c>
      <c r="C51" s="47" t="str">
        <f>IF(ISBLANK(Planif[[#This Row],[Nom de la tâche]]),"",Planif[[#This Row],[Nom de la tâche]])</f>
        <v/>
      </c>
      <c r="D51" s="46" t="str">
        <f>IF(ISBLANK(Planif[[#This Row],[Nom de la tâche]]),"",Planif[[#This Row],[Sprint visé]])</f>
        <v/>
      </c>
      <c r="E51" s="52" t="str">
        <f>IF(ISBLANK(Planif[[#This Row],[Nom de la tâche]]),"",Suivi1[[#This Row],[Temps investi]])</f>
        <v/>
      </c>
      <c r="F51" s="53" t="str">
        <f>IF(ISBLANK(Planif[[#This Row],[Nom de la tâche]]),"",Suivi1[[#This Row],[Avancement  ]])</f>
        <v/>
      </c>
      <c r="G51" s="30"/>
      <c r="H51" s="28"/>
      <c r="I51" s="32"/>
      <c r="J51" s="32"/>
      <c r="Q51" s="2" t="str">
        <f>IF(ISBLANK(Planif[[#This Row],[Nom de la tâche]]),"",IF(VLOOKUP(D51,CorrespondanceSprint,2)&lt;$R$12,"Sprint antérieur",IF(VLOOKUP(D51,CorrespondanceSprint,2)=$R$12,"Sprint courant","Sprint suivant")))</f>
        <v/>
      </c>
      <c r="R51" s="2" t="str">
        <f>IF(ISBLANK(Planif[[#This Row],[Nom de la tâche]]),"",IF(Suivi2[[#This Row],[Avancement à ce jour]]=0%, IF(VLOOKUP(D51,CorrespondanceSprint,2)&lt;=$R$12,"En retard","Non débutée"), IF(Suivi2[[#This Row],[Avancement à ce jour]]&lt;100%,IF(VLOOKUP(D51,CorrespondanceSprint,2)&lt;=$R$12,"En retard","En cours"),"Terminée")))</f>
        <v/>
      </c>
      <c r="S51" s="1"/>
    </row>
    <row r="52" spans="2:19" x14ac:dyDescent="0.2">
      <c r="B52" s="46" t="str">
        <f>Planif[[#This Row],[Numéro de la tâche]]</f>
        <v/>
      </c>
      <c r="C52" s="47" t="str">
        <f>IF(ISBLANK(Planif[[#This Row],[Nom de la tâche]]),"",Planif[[#This Row],[Nom de la tâche]])</f>
        <v/>
      </c>
      <c r="D52" s="46" t="str">
        <f>IF(ISBLANK(Planif[[#This Row],[Nom de la tâche]]),"",Planif[[#This Row],[Sprint visé]])</f>
        <v/>
      </c>
      <c r="E52" s="52" t="str">
        <f>IF(ISBLANK(Planif[[#This Row],[Nom de la tâche]]),"",Suivi1[[#This Row],[Temps investi]])</f>
        <v/>
      </c>
      <c r="F52" s="53" t="str">
        <f>IF(ISBLANK(Planif[[#This Row],[Nom de la tâche]]),"",Suivi1[[#This Row],[Avancement  ]])</f>
        <v/>
      </c>
      <c r="G52" s="30"/>
      <c r="H52" s="28"/>
      <c r="I52" s="32"/>
      <c r="J52" s="32"/>
      <c r="Q52" s="2" t="str">
        <f>IF(ISBLANK(Planif[[#This Row],[Nom de la tâche]]),"",IF(VLOOKUP(D52,CorrespondanceSprint,2)&lt;$R$12,"Sprint antérieur",IF(VLOOKUP(D52,CorrespondanceSprint,2)=$R$12,"Sprint courant","Sprint suivant")))</f>
        <v/>
      </c>
      <c r="R52" s="2" t="str">
        <f>IF(ISBLANK(Planif[[#This Row],[Nom de la tâche]]),"",IF(Suivi2[[#This Row],[Avancement à ce jour]]=0%, IF(VLOOKUP(D52,CorrespondanceSprint,2)&lt;=$R$12,"En retard","Non débutée"), IF(Suivi2[[#This Row],[Avancement à ce jour]]&lt;100%,IF(VLOOKUP(D52,CorrespondanceSprint,2)&lt;=$R$12,"En retard","En cours"),"Terminée")))</f>
        <v/>
      </c>
      <c r="S52" s="1"/>
    </row>
    <row r="53" spans="2:19" x14ac:dyDescent="0.2">
      <c r="B53" s="46" t="str">
        <f>Planif[[#This Row],[Numéro de la tâche]]</f>
        <v/>
      </c>
      <c r="C53" s="47" t="str">
        <f>IF(ISBLANK(Planif[[#This Row],[Nom de la tâche]]),"",Planif[[#This Row],[Nom de la tâche]])</f>
        <v/>
      </c>
      <c r="D53" s="46" t="str">
        <f>IF(ISBLANK(Planif[[#This Row],[Nom de la tâche]]),"",Planif[[#This Row],[Sprint visé]])</f>
        <v/>
      </c>
      <c r="E53" s="52" t="str">
        <f>IF(ISBLANK(Planif[[#This Row],[Nom de la tâche]]),"",Suivi1[[#This Row],[Temps investi]])</f>
        <v/>
      </c>
      <c r="F53" s="53" t="str">
        <f>IF(ISBLANK(Planif[[#This Row],[Nom de la tâche]]),"",Suivi1[[#This Row],[Avancement  ]])</f>
        <v/>
      </c>
      <c r="G53" s="30"/>
      <c r="H53" s="28"/>
      <c r="I53" s="32"/>
      <c r="J53" s="32"/>
      <c r="Q53" s="2" t="str">
        <f>IF(ISBLANK(Planif[[#This Row],[Nom de la tâche]]),"",IF(VLOOKUP(D53,CorrespondanceSprint,2)&lt;$R$12,"Sprint antérieur",IF(VLOOKUP(D53,CorrespondanceSprint,2)=$R$12,"Sprint courant","Sprint suivant")))</f>
        <v/>
      </c>
      <c r="R53" s="2" t="str">
        <f>IF(ISBLANK(Planif[[#This Row],[Nom de la tâche]]),"",IF(Suivi2[[#This Row],[Avancement à ce jour]]=0%, IF(VLOOKUP(D53,CorrespondanceSprint,2)&lt;=$R$12,"En retard","Non débutée"), IF(Suivi2[[#This Row],[Avancement à ce jour]]&lt;100%,IF(VLOOKUP(D53,CorrespondanceSprint,2)&lt;=$R$12,"En retard","En cours"),"Terminée")))</f>
        <v/>
      </c>
      <c r="S53" s="1"/>
    </row>
    <row r="54" spans="2:19" x14ac:dyDescent="0.2">
      <c r="B54" s="46" t="str">
        <f>Planif[[#This Row],[Numéro de la tâche]]</f>
        <v/>
      </c>
      <c r="C54" s="47" t="str">
        <f>IF(ISBLANK(Planif[[#This Row],[Nom de la tâche]]),"",Planif[[#This Row],[Nom de la tâche]])</f>
        <v/>
      </c>
      <c r="D54" s="46" t="str">
        <f>IF(ISBLANK(Planif[[#This Row],[Nom de la tâche]]),"",Planif[[#This Row],[Sprint visé]])</f>
        <v/>
      </c>
      <c r="E54" s="52" t="str">
        <f>IF(ISBLANK(Planif[[#This Row],[Nom de la tâche]]),"",Suivi1[[#This Row],[Temps investi]])</f>
        <v/>
      </c>
      <c r="F54" s="53" t="str">
        <f>IF(ISBLANK(Planif[[#This Row],[Nom de la tâche]]),"",Suivi1[[#This Row],[Avancement  ]])</f>
        <v/>
      </c>
      <c r="G54" s="30"/>
      <c r="H54" s="28"/>
      <c r="I54" s="32"/>
      <c r="J54" s="32"/>
      <c r="Q54" s="2" t="str">
        <f>IF(ISBLANK(Planif[[#This Row],[Nom de la tâche]]),"",IF(VLOOKUP(D54,CorrespondanceSprint,2)&lt;$R$12,"Sprint antérieur",IF(VLOOKUP(D54,CorrespondanceSprint,2)=$R$12,"Sprint courant","Sprint suivant")))</f>
        <v/>
      </c>
      <c r="R54" s="2" t="str">
        <f>IF(ISBLANK(Planif[[#This Row],[Nom de la tâche]]),"",IF(Suivi2[[#This Row],[Avancement à ce jour]]=0%, IF(VLOOKUP(D54,CorrespondanceSprint,2)&lt;=$R$12,"En retard","Non débutée"), IF(Suivi2[[#This Row],[Avancement à ce jour]]&lt;100%,IF(VLOOKUP(D54,CorrespondanceSprint,2)&lt;=$R$12,"En retard","En cours"),"Terminée")))</f>
        <v/>
      </c>
      <c r="S54" s="1"/>
    </row>
    <row r="55" spans="2:19" x14ac:dyDescent="0.2">
      <c r="B55" s="46" t="str">
        <f>Planif[[#This Row],[Numéro de la tâche]]</f>
        <v/>
      </c>
      <c r="C55" s="47" t="str">
        <f>IF(ISBLANK(Planif[[#This Row],[Nom de la tâche]]),"",Planif[[#This Row],[Nom de la tâche]])</f>
        <v/>
      </c>
      <c r="D55" s="46" t="str">
        <f>IF(ISBLANK(Planif[[#This Row],[Nom de la tâche]]),"",Planif[[#This Row],[Sprint visé]])</f>
        <v/>
      </c>
      <c r="E55" s="52" t="str">
        <f>IF(ISBLANK(Planif[[#This Row],[Nom de la tâche]]),"",Suivi1[[#This Row],[Temps investi]])</f>
        <v/>
      </c>
      <c r="F55" s="53" t="str">
        <f>IF(ISBLANK(Planif[[#This Row],[Nom de la tâche]]),"",Suivi1[[#This Row],[Avancement  ]])</f>
        <v/>
      </c>
      <c r="G55" s="30"/>
      <c r="H55" s="28"/>
      <c r="I55" s="32"/>
      <c r="J55" s="32"/>
      <c r="Q55" s="2" t="str">
        <f>IF(ISBLANK(Planif[[#This Row],[Nom de la tâche]]),"",IF(VLOOKUP(D55,CorrespondanceSprint,2)&lt;$R$12,"Sprint antérieur",IF(VLOOKUP(D55,CorrespondanceSprint,2)=$R$12,"Sprint courant","Sprint suivant")))</f>
        <v/>
      </c>
      <c r="R55" s="2" t="str">
        <f>IF(ISBLANK(Planif[[#This Row],[Nom de la tâche]]),"",IF(Suivi2[[#This Row],[Avancement à ce jour]]=0%, IF(VLOOKUP(D55,CorrespondanceSprint,2)&lt;=$R$12,"En retard","Non débutée"), IF(Suivi2[[#This Row],[Avancement à ce jour]]&lt;100%,IF(VLOOKUP(D55,CorrespondanceSprint,2)&lt;=$R$12,"En retard","En cours"),"Terminée")))</f>
        <v/>
      </c>
      <c r="S55" s="1"/>
    </row>
    <row r="56" spans="2:19" x14ac:dyDescent="0.2">
      <c r="B56" s="46" t="str">
        <f>Planif[[#This Row],[Numéro de la tâche]]</f>
        <v/>
      </c>
      <c r="C56" s="47" t="str">
        <f>IF(ISBLANK(Planif[[#This Row],[Nom de la tâche]]),"",Planif[[#This Row],[Nom de la tâche]])</f>
        <v/>
      </c>
      <c r="D56" s="46" t="str">
        <f>IF(ISBLANK(Planif[[#This Row],[Nom de la tâche]]),"",Planif[[#This Row],[Sprint visé]])</f>
        <v/>
      </c>
      <c r="E56" s="52" t="str">
        <f>IF(ISBLANK(Planif[[#This Row],[Nom de la tâche]]),"",Suivi1[[#This Row],[Temps investi]])</f>
        <v/>
      </c>
      <c r="F56" s="53" t="str">
        <f>IF(ISBLANK(Planif[[#This Row],[Nom de la tâche]]),"",Suivi1[[#This Row],[Avancement  ]])</f>
        <v/>
      </c>
      <c r="G56" s="30"/>
      <c r="H56" s="28"/>
      <c r="I56" s="32"/>
      <c r="J56" s="32"/>
      <c r="Q56" s="2" t="str">
        <f>IF(ISBLANK(Planif[[#This Row],[Nom de la tâche]]),"",IF(VLOOKUP(D56,CorrespondanceSprint,2)&lt;$R$12,"Sprint antérieur",IF(VLOOKUP(D56,CorrespondanceSprint,2)=$R$12,"Sprint courant","Sprint suivant")))</f>
        <v/>
      </c>
      <c r="R56" s="2" t="str">
        <f>IF(ISBLANK(Planif[[#This Row],[Nom de la tâche]]),"",IF(Suivi2[[#This Row],[Avancement à ce jour]]=0%, IF(VLOOKUP(D56,CorrespondanceSprint,2)&lt;=$R$12,"En retard","Non débutée"), IF(Suivi2[[#This Row],[Avancement à ce jour]]&lt;100%,IF(VLOOKUP(D56,CorrespondanceSprint,2)&lt;=$R$12,"En retard","En cours"),"Terminée")))</f>
        <v/>
      </c>
      <c r="S56" s="1"/>
    </row>
    <row r="57" spans="2:19" x14ac:dyDescent="0.2">
      <c r="B57" s="46" t="str">
        <f>Planif[[#This Row],[Numéro de la tâche]]</f>
        <v/>
      </c>
      <c r="C57" s="47" t="str">
        <f>IF(ISBLANK(Planif[[#This Row],[Nom de la tâche]]),"",Planif[[#This Row],[Nom de la tâche]])</f>
        <v/>
      </c>
      <c r="D57" s="46" t="str">
        <f>IF(ISBLANK(Planif[[#This Row],[Nom de la tâche]]),"",Planif[[#This Row],[Sprint visé]])</f>
        <v/>
      </c>
      <c r="E57" s="52" t="str">
        <f>IF(ISBLANK(Planif[[#This Row],[Nom de la tâche]]),"",Suivi1[[#This Row],[Temps investi]])</f>
        <v/>
      </c>
      <c r="F57" s="53" t="str">
        <f>IF(ISBLANK(Planif[[#This Row],[Nom de la tâche]]),"",Suivi1[[#This Row],[Avancement  ]])</f>
        <v/>
      </c>
      <c r="G57" s="30"/>
      <c r="H57" s="28"/>
      <c r="I57" s="32"/>
      <c r="J57" s="32"/>
      <c r="Q57" s="2" t="str">
        <f>IF(ISBLANK(Planif[[#This Row],[Nom de la tâche]]),"",IF(VLOOKUP(D57,CorrespondanceSprint,2)&lt;$R$12,"Sprint antérieur",IF(VLOOKUP(D57,CorrespondanceSprint,2)=$R$12,"Sprint courant","Sprint suivant")))</f>
        <v/>
      </c>
      <c r="R57" s="2" t="str">
        <f>IF(ISBLANK(Planif[[#This Row],[Nom de la tâche]]),"",IF(Suivi2[[#This Row],[Avancement à ce jour]]=0%, IF(VLOOKUP(D57,CorrespondanceSprint,2)&lt;=$R$12,"En retard","Non débutée"), IF(Suivi2[[#This Row],[Avancement à ce jour]]&lt;100%,IF(VLOOKUP(D57,CorrespondanceSprint,2)&lt;=$R$12,"En retard","En cours"),"Terminée")))</f>
        <v/>
      </c>
      <c r="S57" s="1"/>
    </row>
    <row r="58" spans="2:19" x14ac:dyDescent="0.2">
      <c r="B58" s="46" t="str">
        <f>Planif[[#This Row],[Numéro de la tâche]]</f>
        <v/>
      </c>
      <c r="C58" s="47" t="str">
        <f>IF(ISBLANK(Planif[[#This Row],[Nom de la tâche]]),"",Planif[[#This Row],[Nom de la tâche]])</f>
        <v/>
      </c>
      <c r="D58" s="46" t="str">
        <f>IF(ISBLANK(Planif[[#This Row],[Nom de la tâche]]),"",Planif[[#This Row],[Sprint visé]])</f>
        <v/>
      </c>
      <c r="E58" s="52" t="str">
        <f>IF(ISBLANK(Planif[[#This Row],[Nom de la tâche]]),"",Suivi1[[#This Row],[Temps investi]])</f>
        <v/>
      </c>
      <c r="F58" s="53" t="str">
        <f>IF(ISBLANK(Planif[[#This Row],[Nom de la tâche]]),"",Suivi1[[#This Row],[Avancement  ]])</f>
        <v/>
      </c>
      <c r="G58" s="30"/>
      <c r="H58" s="28"/>
      <c r="I58" s="32"/>
      <c r="J58" s="32"/>
      <c r="Q58" s="2" t="str">
        <f>IF(ISBLANK(Planif[[#This Row],[Nom de la tâche]]),"",IF(VLOOKUP(D58,CorrespondanceSprint,2)&lt;$R$12,"Sprint antérieur",IF(VLOOKUP(D58,CorrespondanceSprint,2)=$R$12,"Sprint courant","Sprint suivant")))</f>
        <v/>
      </c>
      <c r="R58" s="2" t="str">
        <f>IF(ISBLANK(Planif[[#This Row],[Nom de la tâche]]),"",IF(Suivi2[[#This Row],[Avancement à ce jour]]=0%, IF(VLOOKUP(D58,CorrespondanceSprint,2)&lt;=$R$12,"En retard","Non débutée"), IF(Suivi2[[#This Row],[Avancement à ce jour]]&lt;100%,IF(VLOOKUP(D58,CorrespondanceSprint,2)&lt;=$R$12,"En retard","En cours"),"Terminée")))</f>
        <v/>
      </c>
      <c r="S58" s="1"/>
    </row>
    <row r="59" spans="2:19" x14ac:dyDescent="0.2">
      <c r="B59" s="46" t="str">
        <f>Planif[[#This Row],[Numéro de la tâche]]</f>
        <v/>
      </c>
      <c r="C59" s="47" t="str">
        <f>IF(ISBLANK(Planif[[#This Row],[Nom de la tâche]]),"",Planif[[#This Row],[Nom de la tâche]])</f>
        <v/>
      </c>
      <c r="D59" s="46" t="str">
        <f>IF(ISBLANK(Planif[[#This Row],[Nom de la tâche]]),"",Planif[[#This Row],[Sprint visé]])</f>
        <v/>
      </c>
      <c r="E59" s="52" t="str">
        <f>IF(ISBLANK(Planif[[#This Row],[Nom de la tâche]]),"",Suivi1[[#This Row],[Temps investi]])</f>
        <v/>
      </c>
      <c r="F59" s="53" t="str">
        <f>IF(ISBLANK(Planif[[#This Row],[Nom de la tâche]]),"",Suivi1[[#This Row],[Avancement  ]])</f>
        <v/>
      </c>
      <c r="G59" s="30"/>
      <c r="H59" s="28"/>
      <c r="I59" s="32"/>
      <c r="J59" s="32"/>
      <c r="Q59" s="2" t="str">
        <f>IF(ISBLANK(Planif[[#This Row],[Nom de la tâche]]),"",IF(VLOOKUP(D59,CorrespondanceSprint,2)&lt;$R$12,"Sprint antérieur",IF(VLOOKUP(D59,CorrespondanceSprint,2)=$R$12,"Sprint courant","Sprint suivant")))</f>
        <v/>
      </c>
      <c r="R59" s="2" t="str">
        <f>IF(ISBLANK(Planif[[#This Row],[Nom de la tâche]]),"",IF(Suivi2[[#This Row],[Avancement à ce jour]]=0%, IF(VLOOKUP(D59,CorrespondanceSprint,2)&lt;=$R$12,"En retard","Non débutée"), IF(Suivi2[[#This Row],[Avancement à ce jour]]&lt;100%,IF(VLOOKUP(D59,CorrespondanceSprint,2)&lt;=$R$12,"En retard","En cours"),"Terminée")))</f>
        <v/>
      </c>
      <c r="S59" s="1"/>
    </row>
    <row r="60" spans="2:19" x14ac:dyDescent="0.2">
      <c r="B60" s="46" t="str">
        <f>Planif[[#This Row],[Numéro de la tâche]]</f>
        <v/>
      </c>
      <c r="C60" s="47" t="str">
        <f>IF(ISBLANK(Planif[[#This Row],[Nom de la tâche]]),"",Planif[[#This Row],[Nom de la tâche]])</f>
        <v/>
      </c>
      <c r="D60" s="46" t="str">
        <f>IF(ISBLANK(Planif[[#This Row],[Nom de la tâche]]),"",Planif[[#This Row],[Sprint visé]])</f>
        <v/>
      </c>
      <c r="E60" s="52" t="str">
        <f>IF(ISBLANK(Planif[[#This Row],[Nom de la tâche]]),"",Suivi1[[#This Row],[Temps investi]])</f>
        <v/>
      </c>
      <c r="F60" s="53" t="str">
        <f>IF(ISBLANK(Planif[[#This Row],[Nom de la tâche]]),"",Suivi1[[#This Row],[Avancement  ]])</f>
        <v/>
      </c>
      <c r="G60" s="30"/>
      <c r="H60" s="28"/>
      <c r="I60" s="32"/>
      <c r="J60" s="32"/>
      <c r="Q60" s="2" t="str">
        <f>IF(ISBLANK(Planif[[#This Row],[Nom de la tâche]]),"",IF(VLOOKUP(D60,CorrespondanceSprint,2)&lt;$R$12,"Sprint antérieur",IF(VLOOKUP(D60,CorrespondanceSprint,2)=$R$12,"Sprint courant","Sprint suivant")))</f>
        <v/>
      </c>
      <c r="R60" s="2" t="str">
        <f>IF(ISBLANK(Planif[[#This Row],[Nom de la tâche]]),"",IF(Suivi2[[#This Row],[Avancement à ce jour]]=0%, IF(VLOOKUP(D60,CorrespondanceSprint,2)&lt;=$R$12,"En retard","Non débutée"), IF(Suivi2[[#This Row],[Avancement à ce jour]]&lt;100%,IF(VLOOKUP(D60,CorrespondanceSprint,2)&lt;=$R$12,"En retard","En cours"),"Terminée")))</f>
        <v/>
      </c>
      <c r="S60" s="1"/>
    </row>
    <row r="61" spans="2:19" x14ac:dyDescent="0.2">
      <c r="B61" s="46" t="str">
        <f>Planif[[#This Row],[Numéro de la tâche]]</f>
        <v/>
      </c>
      <c r="C61" s="47" t="str">
        <f>IF(ISBLANK(Planif[[#This Row],[Nom de la tâche]]),"",Planif[[#This Row],[Nom de la tâche]])</f>
        <v/>
      </c>
      <c r="D61" s="46" t="str">
        <f>IF(ISBLANK(Planif[[#This Row],[Nom de la tâche]]),"",Planif[[#This Row],[Sprint visé]])</f>
        <v/>
      </c>
      <c r="E61" s="52" t="str">
        <f>IF(ISBLANK(Planif[[#This Row],[Nom de la tâche]]),"",Suivi1[[#This Row],[Temps investi]])</f>
        <v/>
      </c>
      <c r="F61" s="53" t="str">
        <f>IF(ISBLANK(Planif[[#This Row],[Nom de la tâche]]),"",Suivi1[[#This Row],[Avancement  ]])</f>
        <v/>
      </c>
      <c r="G61" s="30"/>
      <c r="H61" s="28"/>
      <c r="I61" s="32"/>
      <c r="J61" s="32"/>
      <c r="Q61" s="2" t="str">
        <f>IF(ISBLANK(Planif[[#This Row],[Nom de la tâche]]),"",IF(VLOOKUP(D61,CorrespondanceSprint,2)&lt;$R$12,"Sprint antérieur",IF(VLOOKUP(D61,CorrespondanceSprint,2)=$R$12,"Sprint courant","Sprint suivant")))</f>
        <v/>
      </c>
      <c r="R61" s="2" t="str">
        <f>IF(ISBLANK(Planif[[#This Row],[Nom de la tâche]]),"",IF(Suivi2[[#This Row],[Avancement à ce jour]]=0%, IF(VLOOKUP(D61,CorrespondanceSprint,2)&lt;=$R$12,"En retard","Non débutée"), IF(Suivi2[[#This Row],[Avancement à ce jour]]&lt;100%,IF(VLOOKUP(D61,CorrespondanceSprint,2)&lt;=$R$12,"En retard","En cours"),"Terminée")))</f>
        <v/>
      </c>
      <c r="S61" s="1"/>
    </row>
    <row r="62" spans="2:19" x14ac:dyDescent="0.2">
      <c r="B62" s="48" t="str">
        <f>Planif[[#This Row],[Numéro de la tâche]]</f>
        <v/>
      </c>
      <c r="C62" s="47" t="str">
        <f>IF(ISBLANK(Planif[[#This Row],[Nom de la tâche]]),"",Planif[[#This Row],[Nom de la tâche]])</f>
        <v/>
      </c>
      <c r="D62" s="46" t="str">
        <f>IF(ISBLANK(Planif[[#This Row],[Nom de la tâche]]),"",Planif[[#This Row],[Sprint visé]])</f>
        <v/>
      </c>
      <c r="E62" s="52" t="str">
        <f>IF(ISBLANK(Planif[[#This Row],[Nom de la tâche]]),"",Suivi1[[#This Row],[Temps investi]])</f>
        <v/>
      </c>
      <c r="F62" s="53" t="str">
        <f>IF(ISBLANK(Planif[[#This Row],[Nom de la tâche]]),"",Suivi1[[#This Row],[Avancement  ]])</f>
        <v/>
      </c>
      <c r="G62" s="30"/>
      <c r="H62" s="28"/>
      <c r="I62" s="32"/>
      <c r="J62" s="32"/>
      <c r="Q62" s="2" t="str">
        <f>IF(ISBLANK(Planif[[#This Row],[Nom de la tâche]]),"",IF(VLOOKUP(D62,CorrespondanceSprint,2)&lt;$R$12,"Sprint antérieur",IF(VLOOKUP(D62,CorrespondanceSprint,2)=$R$12,"Sprint courant","Sprint suivant")))</f>
        <v/>
      </c>
      <c r="R62" s="2" t="str">
        <f>IF(ISBLANK(Planif[[#This Row],[Nom de la tâche]]),"",IF(Suivi2[[#This Row],[Avancement à ce jour]]=0%, IF(VLOOKUP(D62,CorrespondanceSprint,2)&lt;=$R$12,"En retard","Non débutée"), IF(Suivi2[[#This Row],[Avancement à ce jour]]&lt;100%,IF(VLOOKUP(D62,CorrespondanceSprint,2)&lt;=$R$12,"En retard","En cours"),"Terminée")))</f>
        <v/>
      </c>
      <c r="S62" s="1"/>
    </row>
    <row r="63" spans="2:19" x14ac:dyDescent="0.2">
      <c r="Q63" s="2">
        <f>COUNTIF($R$13:$R$62,R63)</f>
        <v>6</v>
      </c>
      <c r="R63" s="2" t="s">
        <v>45</v>
      </c>
      <c r="S63" s="1"/>
    </row>
    <row r="64" spans="2:19" x14ac:dyDescent="0.2">
      <c r="B64" s="9" t="s">
        <v>49</v>
      </c>
      <c r="Q64" s="2">
        <f>COUNTIF($R$13:$R$62,R64)</f>
        <v>1</v>
      </c>
      <c r="R64" s="2" t="s">
        <v>46</v>
      </c>
      <c r="S64" s="1"/>
    </row>
    <row r="65" spans="3:19" x14ac:dyDescent="0.2">
      <c r="C65" s="1" t="str">
        <f>" - " &amp; Q63 &amp; " tâche(s) non débutée(s) sans être en retard."</f>
        <v xml:space="preserve"> - 6 tâche(s) non débutée(s) sans être en retard.</v>
      </c>
      <c r="D65" s="13"/>
      <c r="E65" s="13"/>
      <c r="F65" s="13"/>
      <c r="Q65" s="2">
        <f>COUNTIF($R$13:$R$62,R65)</f>
        <v>2</v>
      </c>
      <c r="R65" s="2" t="s">
        <v>47</v>
      </c>
    </row>
    <row r="66" spans="3:19" x14ac:dyDescent="0.2">
      <c r="C66" s="1" t="str">
        <f>" - " &amp; Q64 &amp; " tâche(s) en cours."</f>
        <v xml:space="preserve"> - 1 tâche(s) en cours.</v>
      </c>
      <c r="Q66" s="2">
        <f>COUNTIF($R$13:$R$62,R66)</f>
        <v>3</v>
      </c>
      <c r="R66" s="2" t="s">
        <v>48</v>
      </c>
    </row>
    <row r="67" spans="3:19" x14ac:dyDescent="0.2">
      <c r="C67" s="1" t="str">
        <f>" - " &amp; Q65 &amp; " tâche(s) en retard."</f>
        <v xml:space="preserve"> - 2 tâche(s) en retard.</v>
      </c>
      <c r="Q67" s="2" t="s">
        <v>39</v>
      </c>
      <c r="R67" s="2" t="s">
        <v>38</v>
      </c>
      <c r="S67" s="2" t="s">
        <v>40</v>
      </c>
    </row>
    <row r="68" spans="3:19" x14ac:dyDescent="0.2">
      <c r="C68" s="1" t="str">
        <f>" - " &amp; Q66 &amp; " tâche(s) terminée(s)."</f>
        <v xml:space="preserve"> - 3 tâche(s) terminée(s).</v>
      </c>
      <c r="Q68" s="10">
        <f>SUM(Suivi2[Temps investi pour ce sprint])</f>
        <v>0.23958333333333345</v>
      </c>
      <c r="R68" s="51">
        <f>HOUR(Q68)+DAY(Q68)*24</f>
        <v>5</v>
      </c>
      <c r="S68" s="2">
        <f>MINUTE(Q68)</f>
        <v>45</v>
      </c>
    </row>
  </sheetData>
  <sheetProtection password="D073" sheet="1" objects="1" scenarios="1" selectLockedCells="1"/>
  <mergeCells count="2">
    <mergeCell ref="B2:J2"/>
    <mergeCell ref="B9:J9"/>
  </mergeCells>
  <conditionalFormatting sqref="G13:J13 G21:J21 G23:J23 G25:J25 G27:J27 G29:J29 G31:J31 G33:J33 G35:J35 G37:J37 G39:J39 G41:J41 G43:J43 G45:J45 G47:J47 G49:J49 G51:J51 G53:J53 G55:J55 G57:J57 G59:J59 G61:J61 G19:J19 G15:J15 G17:J17">
    <cfRule type="expression" dxfId="97" priority="24">
      <formula>$R13="En retard"</formula>
    </cfRule>
    <cfRule type="expression" dxfId="96" priority="26">
      <formula>$R13="En cours"</formula>
    </cfRule>
  </conditionalFormatting>
  <conditionalFormatting sqref="G14:J14 G16:J16 G18:J18 G22:J22 G24:J24 G26:J26 G28:J28 G30:J30 G32:J32 G34:J34 G36:J36 G38:J38 G40:J40 G42:J42 G44:J44 G46:J46 G48:J48 G50:J50 G52:J52 G54:J54 G56:J56 G58:J58 G60:J60 G62:J62 G20:J20">
    <cfRule type="expression" dxfId="95" priority="25">
      <formula>$R14="En retard"</formula>
    </cfRule>
    <cfRule type="expression" dxfId="94" priority="27">
      <formula>$R14="En cours"</formula>
    </cfRule>
  </conditionalFormatting>
  <conditionalFormatting sqref="G13:J62">
    <cfRule type="expression" dxfId="93" priority="28">
      <formula>$R13="Terminée"</formula>
    </cfRule>
    <cfRule type="expression" dxfId="92" priority="29">
      <formula>$R13="Non débutée"</formula>
    </cfRule>
  </conditionalFormatting>
  <conditionalFormatting sqref="B13:F62">
    <cfRule type="expression" dxfId="91" priority="21">
      <formula>$Q13="Sprint suivant"</formula>
    </cfRule>
    <cfRule type="expression" dxfId="90" priority="22">
      <formula>$Q13="Sprint courant"</formula>
    </cfRule>
    <cfRule type="expression" dxfId="89" priority="23">
      <formula>$Q13="Sprint antérieur"</formula>
    </cfRule>
  </conditionalFormatting>
  <dataValidations count="2">
    <dataValidation type="list" allowBlank="1" showInputMessage="1" showErrorMessage="1" errorTitle="Saisie erronnée" error="Vous ne pouvez saisir que des avancements de 0% à 100% par interval de 5%." promptTitle="Avancement" prompt="Veuillez saisir l'avancement fait de la tâche en pourcentage." sqref="H13:H62">
      <formula1>Avancement</formula1>
    </dataValidation>
    <dataValidation type="list" allowBlank="1" showInputMessage="1" showErrorMessage="1" errorTitle="Saisie erronnée" error="Vous ne pouvez saisir que des estimations de temps entre 0 et 12 heures par interval de 15 minutes._x000a__x000a_Si votre tâche requiert plus de temps, c'est que vous pouvez la scinder en plusieurs sous-tâches." promptTitle="Temps requis" prompt="Veuillez saisir le temps investi pour la réalisation de la tâche." sqref="G13:G62">
      <formula1>TempsTravaille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8"/>
  <sheetViews>
    <sheetView showGridLines="0" topLeftCell="A58" workbookViewId="0">
      <selection activeCell="G13" sqref="G13"/>
    </sheetView>
  </sheetViews>
  <sheetFormatPr baseColWidth="10" defaultRowHeight="10.199999999999999" x14ac:dyDescent="0.2"/>
  <cols>
    <col min="1" max="1" width="1.109375" style="1" customWidth="1"/>
    <col min="2" max="2" width="2.77734375" style="1" customWidth="1"/>
    <col min="3" max="3" width="38.88671875" style="1" customWidth="1"/>
    <col min="4" max="6" width="8.33203125" style="2" customWidth="1"/>
    <col min="7" max="8" width="8.33203125" style="1" customWidth="1"/>
    <col min="9" max="10" width="36.77734375" style="1" customWidth="1"/>
    <col min="11" max="11" width="1.109375" style="1" customWidth="1"/>
    <col min="12" max="13" width="1.109375" style="1" hidden="1" customWidth="1"/>
    <col min="14" max="14" width="14" style="1" hidden="1" customWidth="1"/>
    <col min="15" max="16" width="1.109375" style="1" hidden="1" customWidth="1"/>
    <col min="17" max="19" width="0" style="2" hidden="1" customWidth="1"/>
    <col min="20" max="16384" width="11.5546875" style="1"/>
  </cols>
  <sheetData>
    <row r="1" spans="2:19" ht="6" customHeight="1" x14ac:dyDescent="0.2">
      <c r="S1" s="1"/>
    </row>
    <row r="2" spans="2:19" ht="18" customHeight="1" x14ac:dyDescent="0.4">
      <c r="B2" s="79" t="str">
        <f>NomProjet</f>
        <v>Nom du projet</v>
      </c>
      <c r="C2" s="79"/>
      <c r="D2" s="79"/>
      <c r="E2" s="79"/>
      <c r="F2" s="79"/>
      <c r="G2" s="79"/>
      <c r="H2" s="79"/>
      <c r="I2" s="79"/>
      <c r="J2" s="79"/>
      <c r="S2" s="1"/>
    </row>
    <row r="3" spans="2:19" ht="6" customHeight="1" x14ac:dyDescent="0.2">
      <c r="B3" s="3"/>
      <c r="S3" s="1"/>
    </row>
    <row r="4" spans="2:19" x14ac:dyDescent="0.2">
      <c r="C4" s="3"/>
      <c r="G4" s="3"/>
      <c r="I4" s="4"/>
      <c r="J4" s="14"/>
      <c r="S4" s="1"/>
    </row>
    <row r="5" spans="2:19" x14ac:dyDescent="0.2">
      <c r="I5" s="4"/>
      <c r="J5" s="15"/>
      <c r="S5" s="1"/>
    </row>
    <row r="6" spans="2:19" x14ac:dyDescent="0.2">
      <c r="I6" s="4"/>
      <c r="J6" s="15"/>
      <c r="S6" s="1"/>
    </row>
    <row r="7" spans="2:19" ht="6" customHeight="1" x14ac:dyDescent="0.2">
      <c r="S7" s="1"/>
    </row>
    <row r="8" spans="2:19" ht="6" customHeight="1" x14ac:dyDescent="0.2">
      <c r="S8" s="1"/>
    </row>
    <row r="9" spans="2:19" ht="15.6" customHeight="1" x14ac:dyDescent="0.2">
      <c r="B9" s="75" t="str">
        <f>"Ce sprint totalise " &amp; R68 &amp; " heures et " &amp; S68 &amp; " minutes de travail réalisé. "</f>
        <v xml:space="preserve">Ce sprint totalise 4 heures et 30 minutes de travail réalisé. </v>
      </c>
      <c r="C9" s="75"/>
      <c r="D9" s="75"/>
      <c r="E9" s="75"/>
      <c r="F9" s="75"/>
      <c r="G9" s="75"/>
      <c r="H9" s="75"/>
      <c r="I9" s="75"/>
      <c r="J9" s="75"/>
      <c r="S9" s="1"/>
    </row>
    <row r="10" spans="2:19" x14ac:dyDescent="0.2">
      <c r="J10" s="19" t="str">
        <f>IF(Q65=0,"","Attention : "&amp;IF(Q65=1,"1 tâche est",Q65&amp;" tâches sont")&amp;" en retard. ")</f>
        <v/>
      </c>
      <c r="S10" s="1"/>
    </row>
    <row r="11" spans="2:19" ht="6" customHeight="1" x14ac:dyDescent="0.2">
      <c r="S11" s="1"/>
    </row>
    <row r="12" spans="2:19" ht="68.400000000000006" thickBot="1" x14ac:dyDescent="0.25">
      <c r="B12" s="25" t="s">
        <v>0</v>
      </c>
      <c r="C12" s="26" t="s">
        <v>1</v>
      </c>
      <c r="D12" s="25" t="s">
        <v>44</v>
      </c>
      <c r="E12" s="25" t="s">
        <v>82</v>
      </c>
      <c r="F12" s="25" t="s">
        <v>83</v>
      </c>
      <c r="G12" s="22" t="s">
        <v>57</v>
      </c>
      <c r="H12" s="25" t="s">
        <v>84</v>
      </c>
      <c r="I12" s="26" t="s">
        <v>36</v>
      </c>
      <c r="J12" s="26" t="s">
        <v>37</v>
      </c>
      <c r="M12" s="40"/>
      <c r="N12" s="40"/>
      <c r="O12" s="40"/>
      <c r="Q12" s="2" t="s">
        <v>9</v>
      </c>
      <c r="R12" s="2">
        <f>VLOOKUP($Q$12,CorrespondanceSprint,2)</f>
        <v>3</v>
      </c>
      <c r="S12" s="1"/>
    </row>
    <row r="13" spans="2:19" ht="12.6" thickBot="1" x14ac:dyDescent="0.35">
      <c r="B13" s="46">
        <f>Planif[[#This Row],[Numéro de la tâche]]</f>
        <v>1</v>
      </c>
      <c r="C13" s="47" t="str">
        <f>IF(ISBLANK(Planif[[#This Row],[Nom de la tâche]]),"",Planif[[#This Row],[Nom de la tâche]])</f>
        <v>Réaliser les éléments de conceptions techniques</v>
      </c>
      <c r="D13" s="46" t="str">
        <f>IF(ISBLANK(Planif[[#This Row],[Nom de la tâche]]),"",Planif[[#This Row],[Sprint visé]])</f>
        <v>Sprint 1</v>
      </c>
      <c r="E13" s="52">
        <f>IF(ISBLANK(Planif[[#This Row],[Nom de la tâche]]),"",Suivi2[[#This Row],[Temps mis pour le sprint précédent]]+Suivi2[[#This Row],[Temps investi pour ce sprint]])</f>
        <v>0.46875000000003542</v>
      </c>
      <c r="F13" s="53">
        <f>IF(ISBLANK(Planif[[#This Row],[Nom de la tâche]]),"",Suivi2[[#This Row],[Avancement à ce jour]])</f>
        <v>1</v>
      </c>
      <c r="G13" s="29">
        <v>0</v>
      </c>
      <c r="H13" s="27">
        <v>1</v>
      </c>
      <c r="I13" s="31" t="s">
        <v>50</v>
      </c>
      <c r="J13" s="31" t="s">
        <v>50</v>
      </c>
      <c r="M13" s="41"/>
      <c r="N13" s="42" t="s">
        <v>55</v>
      </c>
      <c r="O13" s="41"/>
      <c r="Q13" s="2" t="str">
        <f>IF(ISBLANK(Planif[[#This Row],[Nom de la tâche]]),"",IF(VLOOKUP(D13,CorrespondanceSprint,2)&lt;$R$12,"Sprint antérieur",IF(VLOOKUP(D13,CorrespondanceSprint,2)=$R$12,"Sprint courant","Sprint suivant")))</f>
        <v>Sprint antérieur</v>
      </c>
      <c r="R13" s="2" t="str">
        <f>IF(ISBLANK(Planif[[#This Row],[Nom de la tâche]]),"",IF(Suivi3[[#This Row],[Avancement à ce jour]]=0%, IF(VLOOKUP(D13,CorrespondanceSprint,2)&lt;=$R$12,"En retard","Non débutée"), IF(Suivi3[[#This Row],[Avancement à ce jour]]&lt;100%,IF(VLOOKUP(D13,CorrespondanceSprint,2)&lt;=$R$12,"En retard","En cours"),"Terminée")))</f>
        <v>Terminée</v>
      </c>
      <c r="S13" s="1"/>
    </row>
    <row r="14" spans="2:19" x14ac:dyDescent="0.2">
      <c r="B14" s="46">
        <f>Planif[[#This Row],[Numéro de la tâche]]</f>
        <v>2</v>
      </c>
      <c r="C14" s="47" t="str">
        <f>IF(ISBLANK(Planif[[#This Row],[Nom de la tâche]]),"",Planif[[#This Row],[Nom de la tâche]])</f>
        <v>Rédaction du document de conception</v>
      </c>
      <c r="D14" s="46" t="str">
        <f>IF(ISBLANK(Planif[[#This Row],[Nom de la tâche]]),"",Planif[[#This Row],[Sprint visé]])</f>
        <v>Sprint 1</v>
      </c>
      <c r="E14" s="52">
        <f>IF(ISBLANK(Planif[[#This Row],[Nom de la tâche]]),"",Suivi2[[#This Row],[Temps mis pour le sprint précédent]]+Suivi2[[#This Row],[Temps investi pour ce sprint]])</f>
        <v>0.104166666666667</v>
      </c>
      <c r="F14" s="54">
        <f>IF(ISBLANK(Planif[[#This Row],[Nom de la tâche]]),"",Suivi2[[#This Row],[Avancement à ce jour]])</f>
        <v>1</v>
      </c>
      <c r="G14" s="29">
        <v>0</v>
      </c>
      <c r="H14" s="27">
        <v>1</v>
      </c>
      <c r="I14" s="31" t="s">
        <v>50</v>
      </c>
      <c r="J14" s="31" t="s">
        <v>50</v>
      </c>
      <c r="K14" s="35"/>
      <c r="L14" s="44"/>
      <c r="M14" s="35"/>
      <c r="N14" s="35"/>
      <c r="O14" s="43"/>
      <c r="Q14" s="2" t="str">
        <f>IF(ISBLANK(Planif[[#This Row],[Nom de la tâche]]),"",IF(VLOOKUP(D14,CorrespondanceSprint,2)&lt;$R$12,"Sprint antérieur",IF(VLOOKUP(D14,CorrespondanceSprint,2)=$R$12,"Sprint courant","Sprint suivant")))</f>
        <v>Sprint antérieur</v>
      </c>
      <c r="R14" s="2" t="str">
        <f>IF(ISBLANK(Planif[[#This Row],[Nom de la tâche]]),"",IF(Suivi3[[#This Row],[Avancement à ce jour]]=0%, IF(VLOOKUP(D14,CorrespondanceSprint,2)&lt;=$R$12,"En retard","Non débutée"), IF(Suivi3[[#This Row],[Avancement à ce jour]]&lt;100%,IF(VLOOKUP(D14,CorrespondanceSprint,2)&lt;=$R$12,"En retard","En cours"),"Terminée")))</f>
        <v>Terminée</v>
      </c>
      <c r="S14" s="1"/>
    </row>
    <row r="15" spans="2:19" x14ac:dyDescent="0.2">
      <c r="B15" s="46">
        <f>Planif[[#This Row],[Numéro de la tâche]]</f>
        <v>3</v>
      </c>
      <c r="C15" s="47" t="str">
        <f>IF(ISBLANK(Planif[[#This Row],[Nom de la tâche]]),"",Planif[[#This Row],[Nom de la tâche]])</f>
        <v>Rédaction du document de planification</v>
      </c>
      <c r="D15" s="46" t="str">
        <f>IF(ISBLANK(Planif[[#This Row],[Nom de la tâche]]),"",Planif[[#This Row],[Sprint visé]])</f>
        <v>Sprint 1</v>
      </c>
      <c r="E15" s="52">
        <f>IF(ISBLANK(Planif[[#This Row],[Nom de la tâche]]),"",Suivi2[[#This Row],[Temps mis pour le sprint précédent]]+Suivi2[[#This Row],[Temps investi pour ce sprint]])</f>
        <v>2.0833333333333332E-2</v>
      </c>
      <c r="F15" s="54">
        <f>IF(ISBLANK(Planif[[#This Row],[Nom de la tâche]]),"",Suivi2[[#This Row],[Avancement à ce jour]])</f>
        <v>1</v>
      </c>
      <c r="G15" s="29">
        <v>0</v>
      </c>
      <c r="H15" s="27">
        <v>1</v>
      </c>
      <c r="I15" s="31" t="s">
        <v>50</v>
      </c>
      <c r="J15" s="31" t="s">
        <v>50</v>
      </c>
      <c r="K15" s="35"/>
      <c r="L15" s="44"/>
      <c r="M15" s="35"/>
      <c r="N15" s="36" t="s">
        <v>51</v>
      </c>
      <c r="O15" s="44"/>
      <c r="Q15" s="2" t="str">
        <f>IF(ISBLANK(Planif[[#This Row],[Nom de la tâche]]),"",IF(VLOOKUP(D15,CorrespondanceSprint,2)&lt;$R$12,"Sprint antérieur",IF(VLOOKUP(D15,CorrespondanceSprint,2)=$R$12,"Sprint courant","Sprint suivant")))</f>
        <v>Sprint antérieur</v>
      </c>
      <c r="R15" s="2" t="str">
        <f>IF(ISBLANK(Planif[[#This Row],[Nom de la tâche]]),"",IF(Suivi3[[#This Row],[Avancement à ce jour]]=0%, IF(VLOOKUP(D15,CorrespondanceSprint,2)&lt;=$R$12,"En retard","Non débutée"), IF(Suivi3[[#This Row],[Avancement à ce jour]]&lt;100%,IF(VLOOKUP(D15,CorrespondanceSprint,2)&lt;=$R$12,"En retard","En cours"),"Terminée")))</f>
        <v>Terminée</v>
      </c>
      <c r="S15" s="1"/>
    </row>
    <row r="16" spans="2:19" x14ac:dyDescent="0.2">
      <c r="B16" s="46">
        <f>Planif[[#This Row],[Numéro de la tâche]]</f>
        <v>4</v>
      </c>
      <c r="C16" s="47" t="str">
        <f>IF(ISBLANK(Planif[[#This Row],[Nom de la tâche]]),"",Planif[[#This Row],[Nom de la tâche]])</f>
        <v>Prototypage de l'algorithme de planification de trajectoire</v>
      </c>
      <c r="D16" s="46" t="str">
        <f>IF(ISBLANK(Planif[[#This Row],[Nom de la tâche]]),"",Planif[[#This Row],[Sprint visé]])</f>
        <v>Sprint 1</v>
      </c>
      <c r="E16" s="52">
        <f>IF(ISBLANK(Planif[[#This Row],[Nom de la tâche]]),"",Suivi2[[#This Row],[Temps mis pour le sprint précédent]]+Suivi2[[#This Row],[Temps investi pour ce sprint]])</f>
        <v>0.16666666666666669</v>
      </c>
      <c r="F16" s="54">
        <f>IF(ISBLANK(Planif[[#This Row],[Nom de la tâche]]),"",Suivi2[[#This Row],[Avancement à ce jour]])</f>
        <v>0.75</v>
      </c>
      <c r="G16" s="29">
        <v>8.3333333333333398E-2</v>
      </c>
      <c r="H16" s="27">
        <v>1</v>
      </c>
      <c r="I16" s="31" t="s">
        <v>50</v>
      </c>
      <c r="J16" s="31" t="s">
        <v>50</v>
      </c>
      <c r="K16" s="35"/>
      <c r="L16" s="44"/>
      <c r="M16" s="35"/>
      <c r="N16" s="37" t="s">
        <v>52</v>
      </c>
      <c r="O16" s="44"/>
      <c r="Q16" s="2" t="str">
        <f>IF(ISBLANK(Planif[[#This Row],[Nom de la tâche]]),"",IF(VLOOKUP(D16,CorrespondanceSprint,2)&lt;$R$12,"Sprint antérieur",IF(VLOOKUP(D16,CorrespondanceSprint,2)=$R$12,"Sprint courant","Sprint suivant")))</f>
        <v>Sprint antérieur</v>
      </c>
      <c r="R16" s="2" t="str">
        <f>IF(ISBLANK(Planif[[#This Row],[Nom de la tâche]]),"",IF(Suivi3[[#This Row],[Avancement à ce jour]]=0%, IF(VLOOKUP(D16,CorrespondanceSprint,2)&lt;=$R$12,"En retard","Non débutée"), IF(Suivi3[[#This Row],[Avancement à ce jour]]&lt;100%,IF(VLOOKUP(D16,CorrespondanceSprint,2)&lt;=$R$12,"En retard","En cours"),"Terminée")))</f>
        <v>Terminée</v>
      </c>
      <c r="S16" s="1"/>
    </row>
    <row r="17" spans="2:19" x14ac:dyDescent="0.2">
      <c r="B17" s="46">
        <f>Planif[[#This Row],[Numéro de la tâche]]</f>
        <v>5</v>
      </c>
      <c r="C17" s="47" t="str">
        <f>IF(ISBLANK(Planif[[#This Row],[Nom de la tâche]]),"",Planif[[#This Row],[Nom de la tâche]])</f>
        <v>Finalisation et remise de l'application finale</v>
      </c>
      <c r="D17" s="46" t="str">
        <f>IF(ISBLANK(Planif[[#This Row],[Nom de la tâche]]),"",Planif[[#This Row],[Sprint visé]])</f>
        <v>Sprint 4</v>
      </c>
      <c r="E17" s="52">
        <f>IF(ISBLANK(Planif[[#This Row],[Nom de la tâche]]),"",Suivi2[[#This Row],[Temps mis pour le sprint précédent]]+Suivi2[[#This Row],[Temps investi pour ce sprint]])</f>
        <v>0</v>
      </c>
      <c r="F17" s="54">
        <f>IF(ISBLANK(Planif[[#This Row],[Nom de la tâche]]),"",Suivi2[[#This Row],[Avancement à ce jour]])</f>
        <v>0</v>
      </c>
      <c r="G17" s="29">
        <v>0</v>
      </c>
      <c r="H17" s="27">
        <v>0</v>
      </c>
      <c r="I17" s="31" t="s">
        <v>50</v>
      </c>
      <c r="J17" s="31" t="s">
        <v>50</v>
      </c>
      <c r="K17" s="35"/>
      <c r="L17" s="44"/>
      <c r="M17" s="35"/>
      <c r="N17" s="38" t="s">
        <v>53</v>
      </c>
      <c r="O17" s="44"/>
      <c r="Q17" s="2" t="str">
        <f>IF(ISBLANK(Planif[[#This Row],[Nom de la tâche]]),"",IF(VLOOKUP(D17,CorrespondanceSprint,2)&lt;$R$12,"Sprint antérieur",IF(VLOOKUP(D17,CorrespondanceSprint,2)=$R$12,"Sprint courant","Sprint suivant")))</f>
        <v>Sprint suivant</v>
      </c>
      <c r="R17" s="2" t="str">
        <f>IF(ISBLANK(Planif[[#This Row],[Nom de la tâche]]),"",IF(Suivi3[[#This Row],[Avancement à ce jour]]=0%, IF(VLOOKUP(D17,CorrespondanceSprint,2)&lt;=$R$12,"En retard","Non débutée"), IF(Suivi3[[#This Row],[Avancement à ce jour]]&lt;100%,IF(VLOOKUP(D17,CorrespondanceSprint,2)&lt;=$R$12,"En retard","En cours"),"Terminée")))</f>
        <v>Non débutée</v>
      </c>
      <c r="S17" s="1"/>
    </row>
    <row r="18" spans="2:19" x14ac:dyDescent="0.2">
      <c r="B18" s="46">
        <f>Planif[[#This Row],[Numéro de la tâche]]</f>
        <v>6</v>
      </c>
      <c r="C18" s="47" t="str">
        <f>IF(ISBLANK(Planif[[#This Row],[Nom de la tâche]]),"",Planif[[#This Row],[Nom de la tâche]])</f>
        <v>Rédaction du document LisezMoi.txt</v>
      </c>
      <c r="D18" s="46" t="str">
        <f>IF(ISBLANK(Planif[[#This Row],[Nom de la tâche]]),"",Planif[[#This Row],[Sprint visé]])</f>
        <v>Sprint 4</v>
      </c>
      <c r="E18" s="52">
        <f>IF(ISBLANK(Planif[[#This Row],[Nom de la tâche]]),"",Suivi2[[#This Row],[Temps mis pour le sprint précédent]]+Suivi2[[#This Row],[Temps investi pour ce sprint]])</f>
        <v>0</v>
      </c>
      <c r="F18" s="54">
        <f>IF(ISBLANK(Planif[[#This Row],[Nom de la tâche]]),"",Suivi2[[#This Row],[Avancement à ce jour]])</f>
        <v>0</v>
      </c>
      <c r="G18" s="29">
        <v>0</v>
      </c>
      <c r="H18" s="27">
        <v>0</v>
      </c>
      <c r="I18" s="31" t="s">
        <v>50</v>
      </c>
      <c r="J18" s="31" t="s">
        <v>50</v>
      </c>
      <c r="K18" s="35"/>
      <c r="L18" s="44"/>
      <c r="M18" s="35"/>
      <c r="N18" s="39" t="s">
        <v>54</v>
      </c>
      <c r="O18" s="44"/>
      <c r="Q18" s="2" t="str">
        <f>IF(ISBLANK(Planif[[#This Row],[Nom de la tâche]]),"",IF(VLOOKUP(D18,CorrespondanceSprint,2)&lt;$R$12,"Sprint antérieur",IF(VLOOKUP(D18,CorrespondanceSprint,2)=$R$12,"Sprint courant","Sprint suivant")))</f>
        <v>Sprint suivant</v>
      </c>
      <c r="R18" s="2" t="str">
        <f>IF(ISBLANK(Planif[[#This Row],[Nom de la tâche]]),"",IF(Suivi3[[#This Row],[Avancement à ce jour]]=0%, IF(VLOOKUP(D18,CorrespondanceSprint,2)&lt;=$R$12,"En retard","Non débutée"), IF(Suivi3[[#This Row],[Avancement à ce jour]]&lt;100%,IF(VLOOKUP(D18,CorrespondanceSprint,2)&lt;=$R$12,"En retard","En cours"),"Terminée")))</f>
        <v>Non débutée</v>
      </c>
      <c r="S18" s="1"/>
    </row>
    <row r="19" spans="2:19" ht="10.8" thickBot="1" x14ac:dyDescent="0.25">
      <c r="B19" s="46">
        <f>Planif[[#This Row],[Numéro de la tâche]]</f>
        <v>7</v>
      </c>
      <c r="C19" s="47" t="str">
        <f>IF(ISBLANK(Planif[[#This Row],[Nom de la tâche]]),"",Planif[[#This Row],[Nom de la tâche]])</f>
        <v>Rédaction du manuel de l'usager</v>
      </c>
      <c r="D19" s="46" t="str">
        <f>IF(ISBLANK(Planif[[#This Row],[Nom de la tâche]]),"",Planif[[#This Row],[Sprint visé]])</f>
        <v>Sprint 4</v>
      </c>
      <c r="E19" s="52">
        <f>IF(ISBLANK(Planif[[#This Row],[Nom de la tâche]]),"",Suivi2[[#This Row],[Temps mis pour le sprint précédent]]+Suivi2[[#This Row],[Temps investi pour ce sprint]])</f>
        <v>0</v>
      </c>
      <c r="F19" s="54">
        <f>IF(ISBLANK(Planif[[#This Row],[Nom de la tâche]]),"",Suivi2[[#This Row],[Avancement à ce jour]])</f>
        <v>0</v>
      </c>
      <c r="G19" s="29">
        <v>0</v>
      </c>
      <c r="H19" s="27">
        <v>0</v>
      </c>
      <c r="I19" s="31" t="s">
        <v>50</v>
      </c>
      <c r="J19" s="31" t="s">
        <v>50</v>
      </c>
      <c r="K19" s="35"/>
      <c r="L19" s="44"/>
      <c r="M19" s="40"/>
      <c r="N19" s="40"/>
      <c r="O19" s="45"/>
      <c r="Q19" s="2" t="str">
        <f>IF(ISBLANK(Planif[[#This Row],[Nom de la tâche]]),"",IF(VLOOKUP(D19,CorrespondanceSprint,2)&lt;$R$12,"Sprint antérieur",IF(VLOOKUP(D19,CorrespondanceSprint,2)=$R$12,"Sprint courant","Sprint suivant")))</f>
        <v>Sprint suivant</v>
      </c>
      <c r="R19" s="2" t="str">
        <f>IF(ISBLANK(Planif[[#This Row],[Nom de la tâche]]),"",IF(Suivi3[[#This Row],[Avancement à ce jour]]=0%, IF(VLOOKUP(D19,CorrespondanceSprint,2)&lt;=$R$12,"En retard","Non débutée"), IF(Suivi3[[#This Row],[Avancement à ce jour]]&lt;100%,IF(VLOOKUP(D19,CorrespondanceSprint,2)&lt;=$R$12,"En retard","En cours"),"Terminée")))</f>
        <v>Non débutée</v>
      </c>
      <c r="S19" s="1"/>
    </row>
    <row r="20" spans="2:19" x14ac:dyDescent="0.2">
      <c r="B20" s="46">
        <f>Planif[[#This Row],[Numéro de la tâche]]</f>
        <v>8</v>
      </c>
      <c r="C20" s="47" t="str">
        <f>IF(ISBLANK(Planif[[#This Row],[Nom de la tâche]]),"",Planif[[#This Row],[Nom de la tâche]])</f>
        <v>Réalisation du site web de présentation</v>
      </c>
      <c r="D20" s="46" t="str">
        <f>IF(ISBLANK(Planif[[#This Row],[Nom de la tâche]]),"",Planif[[#This Row],[Sprint visé]])</f>
        <v>Sprint 4</v>
      </c>
      <c r="E20" s="52">
        <f>IF(ISBLANK(Planif[[#This Row],[Nom de la tâche]]),"",Suivi2[[#This Row],[Temps mis pour le sprint précédent]]+Suivi2[[#This Row],[Temps investi pour ce sprint]])</f>
        <v>0</v>
      </c>
      <c r="F20" s="54">
        <f>IF(ISBLANK(Planif[[#This Row],[Nom de la tâche]]),"",Suivi2[[#This Row],[Avancement à ce jour]])</f>
        <v>0</v>
      </c>
      <c r="G20" s="29">
        <v>0</v>
      </c>
      <c r="H20" s="27">
        <v>0</v>
      </c>
      <c r="I20" s="31" t="s">
        <v>50</v>
      </c>
      <c r="J20" s="31" t="s">
        <v>50</v>
      </c>
      <c r="Q20" s="2" t="str">
        <f>IF(ISBLANK(Planif[[#This Row],[Nom de la tâche]]),"",IF(VLOOKUP(D20,CorrespondanceSprint,2)&lt;$R$12,"Sprint antérieur",IF(VLOOKUP(D20,CorrespondanceSprint,2)=$R$12,"Sprint courant","Sprint suivant")))</f>
        <v>Sprint suivant</v>
      </c>
      <c r="R20" s="2" t="str">
        <f>IF(ISBLANK(Planif[[#This Row],[Nom de la tâche]]),"",IF(Suivi3[[#This Row],[Avancement à ce jour]]=0%, IF(VLOOKUP(D20,CorrespondanceSprint,2)&lt;=$R$12,"En retard","Non débutée"), IF(Suivi3[[#This Row],[Avancement à ce jour]]&lt;100%,IF(VLOOKUP(D20,CorrespondanceSprint,2)&lt;=$R$12,"En retard","En cours"),"Terminée")))</f>
        <v>Non débutée</v>
      </c>
      <c r="S20" s="1"/>
    </row>
    <row r="21" spans="2:19" x14ac:dyDescent="0.2">
      <c r="B21" s="46">
        <f>Planif[[#This Row],[Numéro de la tâche]]</f>
        <v>9</v>
      </c>
      <c r="C21" s="47" t="str">
        <f>IF(ISBLANK(Planif[[#This Row],[Nom de la tâche]]),"",Planif[[#This Row],[Nom de la tâche]])</f>
        <v>Réalisation du vidéo de présentation</v>
      </c>
      <c r="D21" s="46" t="str">
        <f>IF(ISBLANK(Planif[[#This Row],[Nom de la tâche]]),"",Planif[[#This Row],[Sprint visé]])</f>
        <v>Sprint 4</v>
      </c>
      <c r="E21" s="52">
        <f>IF(ISBLANK(Planif[[#This Row],[Nom de la tâche]]),"",Suivi2[[#This Row],[Temps mis pour le sprint précédent]]+Suivi2[[#This Row],[Temps investi pour ce sprint]])</f>
        <v>0</v>
      </c>
      <c r="F21" s="54">
        <f>IF(ISBLANK(Planif[[#This Row],[Nom de la tâche]]),"",Suivi2[[#This Row],[Avancement à ce jour]])</f>
        <v>0</v>
      </c>
      <c r="G21" s="30">
        <v>0</v>
      </c>
      <c r="H21" s="28">
        <v>0</v>
      </c>
      <c r="I21" s="31" t="s">
        <v>12</v>
      </c>
      <c r="J21" s="31" t="s">
        <v>12</v>
      </c>
      <c r="Q21" s="2" t="str">
        <f>IF(ISBLANK(Planif[[#This Row],[Nom de la tâche]]),"",IF(VLOOKUP(D21,CorrespondanceSprint,2)&lt;$R$12,"Sprint antérieur",IF(VLOOKUP(D21,CorrespondanceSprint,2)=$R$12,"Sprint courant","Sprint suivant")))</f>
        <v>Sprint suivant</v>
      </c>
      <c r="R21" s="2" t="str">
        <f>IF(ISBLANK(Planif[[#This Row],[Nom de la tâche]]),"",IF(Suivi3[[#This Row],[Avancement à ce jour]]=0%, IF(VLOOKUP(D21,CorrespondanceSprint,2)&lt;=$R$12,"En retard","Non débutée"), IF(Suivi3[[#This Row],[Avancement à ce jour]]&lt;100%,IF(VLOOKUP(D21,CorrespondanceSprint,2)&lt;=$R$12,"En retard","En cours"),"Terminée")))</f>
        <v>Non débutée</v>
      </c>
      <c r="S21" s="1"/>
    </row>
    <row r="22" spans="2:19" x14ac:dyDescent="0.2">
      <c r="B22" s="46">
        <f>Planif[[#This Row],[Numéro de la tâche]]</f>
        <v>10</v>
      </c>
      <c r="C22" s="47" t="str">
        <f>IF(ISBLANK(Planif[[#This Row],[Nom de la tâche]]),"",Planif[[#This Row],[Nom de la tâche]])</f>
        <v>Configuration du réseau</v>
      </c>
      <c r="D22" s="46" t="str">
        <f>IF(ISBLANK(Planif[[#This Row],[Nom de la tâche]]),"",Planif[[#This Row],[Sprint visé]])</f>
        <v>Sprint 2</v>
      </c>
      <c r="E22" s="52">
        <f>IF(ISBLANK(Planif[[#This Row],[Nom de la tâche]]),"",Suivi2[[#This Row],[Temps mis pour le sprint précédent]]+Suivi2[[#This Row],[Temps investi pour ce sprint]])</f>
        <v>0.2083333333333334</v>
      </c>
      <c r="F22" s="54">
        <f>IF(ISBLANK(Planif[[#This Row],[Nom de la tâche]]),"",Suivi2[[#This Row],[Avancement à ce jour]])</f>
        <v>0.85</v>
      </c>
      <c r="G22" s="30">
        <v>4.1666666666666699E-2</v>
      </c>
      <c r="H22" s="28">
        <v>1</v>
      </c>
      <c r="I22" s="31" t="s">
        <v>12</v>
      </c>
      <c r="J22" s="31" t="s">
        <v>12</v>
      </c>
      <c r="Q22" s="2" t="str">
        <f>IF(ISBLANK(Planif[[#This Row],[Nom de la tâche]]),"",IF(VLOOKUP(D22,CorrespondanceSprint,2)&lt;$R$12,"Sprint antérieur",IF(VLOOKUP(D22,CorrespondanceSprint,2)=$R$12,"Sprint courant","Sprint suivant")))</f>
        <v>Sprint antérieur</v>
      </c>
      <c r="R22" s="2" t="str">
        <f>IF(ISBLANK(Planif[[#This Row],[Nom de la tâche]]),"",IF(Suivi3[[#This Row],[Avancement à ce jour]]=0%, IF(VLOOKUP(D22,CorrespondanceSprint,2)&lt;=$R$12,"En retard","Non débutée"), IF(Suivi3[[#This Row],[Avancement à ce jour]]&lt;100%,IF(VLOOKUP(D22,CorrespondanceSprint,2)&lt;=$R$12,"En retard","En cours"),"Terminée")))</f>
        <v>Terminée</v>
      </c>
      <c r="S22" s="1"/>
    </row>
    <row r="23" spans="2:19" x14ac:dyDescent="0.2">
      <c r="B23" s="46">
        <f>Planif[[#This Row],[Numéro de la tâche]]</f>
        <v>11</v>
      </c>
      <c r="C23" s="47" t="str">
        <f>IF(ISBLANK(Planif[[#This Row],[Nom de la tâche]]),"",Planif[[#This Row],[Nom de la tâche]])</f>
        <v>Développement de l'interface Web</v>
      </c>
      <c r="D23" s="46" t="str">
        <f>IF(ISBLANK(Planif[[#This Row],[Nom de la tâche]]),"",Planif[[#This Row],[Sprint visé]])</f>
        <v>Sprint 3</v>
      </c>
      <c r="E23" s="52">
        <f>IF(ISBLANK(Planif[[#This Row],[Nom de la tâche]]),"",Suivi2[[#This Row],[Temps mis pour le sprint précédent]]+Suivi2[[#This Row],[Temps investi pour ce sprint]])</f>
        <v>2.0833333333333332E-2</v>
      </c>
      <c r="F23" s="54">
        <f>IF(ISBLANK(Planif[[#This Row],[Nom de la tâche]]),"",Suivi2[[#This Row],[Avancement à ce jour]])</f>
        <v>0.15</v>
      </c>
      <c r="G23" s="30">
        <v>6.25E-2</v>
      </c>
      <c r="H23" s="28">
        <v>1</v>
      </c>
      <c r="I23" s="31" t="s">
        <v>12</v>
      </c>
      <c r="J23" s="31" t="s">
        <v>12</v>
      </c>
      <c r="Q23" s="2" t="str">
        <f>IF(ISBLANK(Planif[[#This Row],[Nom de la tâche]]),"",IF(VLOOKUP(D23,CorrespondanceSprint,2)&lt;$R$12,"Sprint antérieur",IF(VLOOKUP(D23,CorrespondanceSprint,2)=$R$12,"Sprint courant","Sprint suivant")))</f>
        <v>Sprint courant</v>
      </c>
      <c r="R23" s="2" t="str">
        <f>IF(ISBLANK(Planif[[#This Row],[Nom de la tâche]]),"",IF(Suivi3[[#This Row],[Avancement à ce jour]]=0%, IF(VLOOKUP(D23,CorrespondanceSprint,2)&lt;=$R$12,"En retard","Non débutée"), IF(Suivi3[[#This Row],[Avancement à ce jour]]&lt;100%,IF(VLOOKUP(D23,CorrespondanceSprint,2)&lt;=$R$12,"En retard","En cours"),"Terminée")))</f>
        <v>Terminée</v>
      </c>
      <c r="S23" s="1"/>
    </row>
    <row r="24" spans="2:19" x14ac:dyDescent="0.2">
      <c r="B24" s="46">
        <f>Planif[[#This Row],[Numéro de la tâche]]</f>
        <v>12</v>
      </c>
      <c r="C24" s="47" t="str">
        <f>IF(ISBLANK(Planif[[#This Row],[Nom de la tâche]]),"",Planif[[#This Row],[Nom de la tâche]])</f>
        <v>Implémentation du suivi de trajectoire</v>
      </c>
      <c r="D24" s="46" t="str">
        <f>IF(ISBLANK(Planif[[#This Row],[Nom de la tâche]]),"",Planif[[#This Row],[Sprint visé]])</f>
        <v>Sprint 4</v>
      </c>
      <c r="E24" s="52">
        <f>IF(ISBLANK(Planif[[#This Row],[Nom de la tâche]]),"",Suivi2[[#This Row],[Temps mis pour le sprint précédent]]+Suivi2[[#This Row],[Temps investi pour ce sprint]])</f>
        <v>0</v>
      </c>
      <c r="F24" s="54">
        <f>IF(ISBLANK(Planif[[#This Row],[Nom de la tâche]]),"",Suivi2[[#This Row],[Avancement à ce jour]])</f>
        <v>0</v>
      </c>
      <c r="G24" s="30">
        <v>0</v>
      </c>
      <c r="H24" s="28">
        <v>0</v>
      </c>
      <c r="I24" s="32"/>
      <c r="J24" s="32"/>
      <c r="Q24" s="2" t="str">
        <f>IF(ISBLANK(Planif[[#This Row],[Nom de la tâche]]),"",IF(VLOOKUP(D24,CorrespondanceSprint,2)&lt;$R$12,"Sprint antérieur",IF(VLOOKUP(D24,CorrespondanceSprint,2)=$R$12,"Sprint courant","Sprint suivant")))</f>
        <v>Sprint suivant</v>
      </c>
      <c r="R24" s="2" t="str">
        <f>IF(ISBLANK(Planif[[#This Row],[Nom de la tâche]]),"",IF(Suivi3[[#This Row],[Avancement à ce jour]]=0%, IF(VLOOKUP(D24,CorrespondanceSprint,2)&lt;=$R$12,"En retard","Non débutée"), IF(Suivi3[[#This Row],[Avancement à ce jour]]&lt;100%,IF(VLOOKUP(D24,CorrespondanceSprint,2)&lt;=$R$12,"En retard","En cours"),"Terminée")))</f>
        <v>Non débutée</v>
      </c>
      <c r="S24" s="1"/>
    </row>
    <row r="25" spans="2:19" x14ac:dyDescent="0.2">
      <c r="B25" s="46" t="str">
        <f>Planif[[#This Row],[Numéro de la tâche]]</f>
        <v/>
      </c>
      <c r="C25" s="47" t="str">
        <f>IF(ISBLANK(Planif[[#This Row],[Nom de la tâche]]),"",Planif[[#This Row],[Nom de la tâche]])</f>
        <v/>
      </c>
      <c r="D25" s="46" t="str">
        <f>IF(ISBLANK(Planif[[#This Row],[Nom de la tâche]]),"",Planif[[#This Row],[Sprint visé]])</f>
        <v/>
      </c>
      <c r="E25" s="52" t="str">
        <f>IF(ISBLANK(Planif[[#This Row],[Nom de la tâche]]),"",Suivi2[[#This Row],[Temps mis pour le sprint précédent]]+Suivi2[[#This Row],[Temps investi pour ce sprint]])</f>
        <v/>
      </c>
      <c r="F25" s="54" t="str">
        <f>IF(ISBLANK(Planif[[#This Row],[Nom de la tâche]]),"",Suivi2[[#This Row],[Avancement à ce jour]])</f>
        <v/>
      </c>
      <c r="G25" s="30"/>
      <c r="H25" s="28"/>
      <c r="I25" s="32"/>
      <c r="J25" s="32"/>
      <c r="Q25" s="2" t="str">
        <f>IF(ISBLANK(Planif[[#This Row],[Nom de la tâche]]),"",IF(VLOOKUP(D25,CorrespondanceSprint,2)&lt;$R$12,"Sprint antérieur",IF(VLOOKUP(D25,CorrespondanceSprint,2)=$R$12,"Sprint courant","Sprint suivant")))</f>
        <v/>
      </c>
      <c r="R25" s="2" t="str">
        <f>IF(ISBLANK(Planif[[#This Row],[Nom de la tâche]]),"",IF(Suivi3[[#This Row],[Avancement à ce jour]]=0%, IF(VLOOKUP(D25,CorrespondanceSprint,2)&lt;=$R$12,"En retard","Non débutée"), IF(Suivi3[[#This Row],[Avancement à ce jour]]&lt;100%,IF(VLOOKUP(D25,CorrespondanceSprint,2)&lt;=$R$12,"En retard","En cours"),"Terminée")))</f>
        <v/>
      </c>
      <c r="S25" s="1"/>
    </row>
    <row r="26" spans="2:19" x14ac:dyDescent="0.2">
      <c r="B26" s="46" t="str">
        <f>Planif[[#This Row],[Numéro de la tâche]]</f>
        <v/>
      </c>
      <c r="C26" s="47" t="str">
        <f>IF(ISBLANK(Planif[[#This Row],[Nom de la tâche]]),"",Planif[[#This Row],[Nom de la tâche]])</f>
        <v/>
      </c>
      <c r="D26" s="46" t="str">
        <f>IF(ISBLANK(Planif[[#This Row],[Nom de la tâche]]),"",Planif[[#This Row],[Sprint visé]])</f>
        <v/>
      </c>
      <c r="E26" s="52" t="str">
        <f>IF(ISBLANK(Planif[[#This Row],[Nom de la tâche]]),"",Suivi2[[#This Row],[Temps mis pour le sprint précédent]]+Suivi2[[#This Row],[Temps investi pour ce sprint]])</f>
        <v/>
      </c>
      <c r="F26" s="54" t="str">
        <f>IF(ISBLANK(Planif[[#This Row],[Nom de la tâche]]),"",Suivi2[[#This Row],[Avancement à ce jour]])</f>
        <v/>
      </c>
      <c r="G26" s="30"/>
      <c r="H26" s="28"/>
      <c r="I26" s="32"/>
      <c r="J26" s="32"/>
      <c r="Q26" s="2" t="str">
        <f>IF(ISBLANK(Planif[[#This Row],[Nom de la tâche]]),"",IF(VLOOKUP(D26,CorrespondanceSprint,2)&lt;$R$12,"Sprint antérieur",IF(VLOOKUP(D26,CorrespondanceSprint,2)=$R$12,"Sprint courant","Sprint suivant")))</f>
        <v/>
      </c>
      <c r="R26" s="2" t="str">
        <f>IF(ISBLANK(Planif[[#This Row],[Nom de la tâche]]),"",IF(Suivi3[[#This Row],[Avancement à ce jour]]=0%, IF(VLOOKUP(D26,CorrespondanceSprint,2)&lt;=$R$12,"En retard","Non débutée"), IF(Suivi3[[#This Row],[Avancement à ce jour]]&lt;100%,IF(VLOOKUP(D26,CorrespondanceSprint,2)&lt;=$R$12,"En retard","En cours"),"Terminée")))</f>
        <v/>
      </c>
      <c r="S26" s="1"/>
    </row>
    <row r="27" spans="2:19" x14ac:dyDescent="0.2">
      <c r="B27" s="46" t="str">
        <f>Planif[[#This Row],[Numéro de la tâche]]</f>
        <v/>
      </c>
      <c r="C27" s="47" t="str">
        <f>IF(ISBLANK(Planif[[#This Row],[Nom de la tâche]]),"",Planif[[#This Row],[Nom de la tâche]])</f>
        <v/>
      </c>
      <c r="D27" s="46" t="str">
        <f>IF(ISBLANK(Planif[[#This Row],[Nom de la tâche]]),"",Planif[[#This Row],[Sprint visé]])</f>
        <v/>
      </c>
      <c r="E27" s="52" t="str">
        <f>IF(ISBLANK(Planif[[#This Row],[Nom de la tâche]]),"",Suivi2[[#This Row],[Temps mis pour le sprint précédent]]+Suivi2[[#This Row],[Temps investi pour ce sprint]])</f>
        <v/>
      </c>
      <c r="F27" s="54" t="str">
        <f>IF(ISBLANK(Planif[[#This Row],[Nom de la tâche]]),"",Suivi2[[#This Row],[Avancement à ce jour]])</f>
        <v/>
      </c>
      <c r="G27" s="30"/>
      <c r="H27" s="28"/>
      <c r="I27" s="32"/>
      <c r="J27" s="32"/>
      <c r="Q27" s="2" t="str">
        <f>IF(ISBLANK(Planif[[#This Row],[Nom de la tâche]]),"",IF(VLOOKUP(D27,CorrespondanceSprint,2)&lt;$R$12,"Sprint antérieur",IF(VLOOKUP(D27,CorrespondanceSprint,2)=$R$12,"Sprint courant","Sprint suivant")))</f>
        <v/>
      </c>
      <c r="R27" s="2" t="str">
        <f>IF(ISBLANK(Planif[[#This Row],[Nom de la tâche]]),"",IF(Suivi3[[#This Row],[Avancement à ce jour]]=0%, IF(VLOOKUP(D27,CorrespondanceSprint,2)&lt;=$R$12,"En retard","Non débutée"), IF(Suivi3[[#This Row],[Avancement à ce jour]]&lt;100%,IF(VLOOKUP(D27,CorrespondanceSprint,2)&lt;=$R$12,"En retard","En cours"),"Terminée")))</f>
        <v/>
      </c>
      <c r="S27" s="1"/>
    </row>
    <row r="28" spans="2:19" x14ac:dyDescent="0.2">
      <c r="B28" s="46" t="str">
        <f>Planif[[#This Row],[Numéro de la tâche]]</f>
        <v/>
      </c>
      <c r="C28" s="47" t="str">
        <f>IF(ISBLANK(Planif[[#This Row],[Nom de la tâche]]),"",Planif[[#This Row],[Nom de la tâche]])</f>
        <v/>
      </c>
      <c r="D28" s="46" t="str">
        <f>IF(ISBLANK(Planif[[#This Row],[Nom de la tâche]]),"",Planif[[#This Row],[Sprint visé]])</f>
        <v/>
      </c>
      <c r="E28" s="52" t="str">
        <f>IF(ISBLANK(Planif[[#This Row],[Nom de la tâche]]),"",Suivi2[[#This Row],[Temps mis pour le sprint précédent]]+Suivi2[[#This Row],[Temps investi pour ce sprint]])</f>
        <v/>
      </c>
      <c r="F28" s="54" t="str">
        <f>IF(ISBLANK(Planif[[#This Row],[Nom de la tâche]]),"",Suivi2[[#This Row],[Avancement à ce jour]])</f>
        <v/>
      </c>
      <c r="G28" s="30"/>
      <c r="H28" s="28"/>
      <c r="I28" s="32"/>
      <c r="J28" s="32"/>
      <c r="Q28" s="2" t="str">
        <f>IF(ISBLANK(Planif[[#This Row],[Nom de la tâche]]),"",IF(VLOOKUP(D28,CorrespondanceSprint,2)&lt;$R$12,"Sprint antérieur",IF(VLOOKUP(D28,CorrespondanceSprint,2)=$R$12,"Sprint courant","Sprint suivant")))</f>
        <v/>
      </c>
      <c r="R28" s="2" t="str">
        <f>IF(ISBLANK(Planif[[#This Row],[Nom de la tâche]]),"",IF(Suivi3[[#This Row],[Avancement à ce jour]]=0%, IF(VLOOKUP(D28,CorrespondanceSprint,2)&lt;=$R$12,"En retard","Non débutée"), IF(Suivi3[[#This Row],[Avancement à ce jour]]&lt;100%,IF(VLOOKUP(D28,CorrespondanceSprint,2)&lt;=$R$12,"En retard","En cours"),"Terminée")))</f>
        <v/>
      </c>
      <c r="S28" s="1"/>
    </row>
    <row r="29" spans="2:19" x14ac:dyDescent="0.2">
      <c r="B29" s="46" t="str">
        <f>Planif[[#This Row],[Numéro de la tâche]]</f>
        <v/>
      </c>
      <c r="C29" s="47" t="str">
        <f>IF(ISBLANK(Planif[[#This Row],[Nom de la tâche]]),"",Planif[[#This Row],[Nom de la tâche]])</f>
        <v/>
      </c>
      <c r="D29" s="46" t="str">
        <f>IF(ISBLANK(Planif[[#This Row],[Nom de la tâche]]),"",Planif[[#This Row],[Sprint visé]])</f>
        <v/>
      </c>
      <c r="E29" s="52" t="str">
        <f>IF(ISBLANK(Planif[[#This Row],[Nom de la tâche]]),"",Suivi2[[#This Row],[Temps mis pour le sprint précédent]]+Suivi2[[#This Row],[Temps investi pour ce sprint]])</f>
        <v/>
      </c>
      <c r="F29" s="54" t="str">
        <f>IF(ISBLANK(Planif[[#This Row],[Nom de la tâche]]),"",Suivi2[[#This Row],[Avancement à ce jour]])</f>
        <v/>
      </c>
      <c r="G29" s="30"/>
      <c r="H29" s="28"/>
      <c r="I29" s="32"/>
      <c r="J29" s="32"/>
      <c r="Q29" s="2" t="str">
        <f>IF(ISBLANK(Planif[[#This Row],[Nom de la tâche]]),"",IF(VLOOKUP(D29,CorrespondanceSprint,2)&lt;$R$12,"Sprint antérieur",IF(VLOOKUP(D29,CorrespondanceSprint,2)=$R$12,"Sprint courant","Sprint suivant")))</f>
        <v/>
      </c>
      <c r="R29" s="2" t="str">
        <f>IF(ISBLANK(Planif[[#This Row],[Nom de la tâche]]),"",IF(Suivi3[[#This Row],[Avancement à ce jour]]=0%, IF(VLOOKUP(D29,CorrespondanceSprint,2)&lt;=$R$12,"En retard","Non débutée"), IF(Suivi3[[#This Row],[Avancement à ce jour]]&lt;100%,IF(VLOOKUP(D29,CorrespondanceSprint,2)&lt;=$R$12,"En retard","En cours"),"Terminée")))</f>
        <v/>
      </c>
      <c r="S29" s="1"/>
    </row>
    <row r="30" spans="2:19" x14ac:dyDescent="0.2">
      <c r="B30" s="46" t="str">
        <f>Planif[[#This Row],[Numéro de la tâche]]</f>
        <v/>
      </c>
      <c r="C30" s="47" t="str">
        <f>IF(ISBLANK(Planif[[#This Row],[Nom de la tâche]]),"",Planif[[#This Row],[Nom de la tâche]])</f>
        <v/>
      </c>
      <c r="D30" s="46" t="str">
        <f>IF(ISBLANK(Planif[[#This Row],[Nom de la tâche]]),"",Planif[[#This Row],[Sprint visé]])</f>
        <v/>
      </c>
      <c r="E30" s="52" t="str">
        <f>IF(ISBLANK(Planif[[#This Row],[Nom de la tâche]]),"",Suivi2[[#This Row],[Temps mis pour le sprint précédent]]+Suivi2[[#This Row],[Temps investi pour ce sprint]])</f>
        <v/>
      </c>
      <c r="F30" s="54" t="str">
        <f>IF(ISBLANK(Planif[[#This Row],[Nom de la tâche]]),"",Suivi2[[#This Row],[Avancement à ce jour]])</f>
        <v/>
      </c>
      <c r="G30" s="30"/>
      <c r="H30" s="28"/>
      <c r="I30" s="32"/>
      <c r="J30" s="32"/>
      <c r="Q30" s="2" t="str">
        <f>IF(ISBLANK(Planif[[#This Row],[Nom de la tâche]]),"",IF(VLOOKUP(D30,CorrespondanceSprint,2)&lt;$R$12,"Sprint antérieur",IF(VLOOKUP(D30,CorrespondanceSprint,2)=$R$12,"Sprint courant","Sprint suivant")))</f>
        <v/>
      </c>
      <c r="R30" s="2" t="str">
        <f>IF(ISBLANK(Planif[[#This Row],[Nom de la tâche]]),"",IF(Suivi3[[#This Row],[Avancement à ce jour]]=0%, IF(VLOOKUP(D30,CorrespondanceSprint,2)&lt;=$R$12,"En retard","Non débutée"), IF(Suivi3[[#This Row],[Avancement à ce jour]]&lt;100%,IF(VLOOKUP(D30,CorrespondanceSprint,2)&lt;=$R$12,"En retard","En cours"),"Terminée")))</f>
        <v/>
      </c>
      <c r="S30" s="1"/>
    </row>
    <row r="31" spans="2:19" x14ac:dyDescent="0.2">
      <c r="B31" s="46" t="str">
        <f>Planif[[#This Row],[Numéro de la tâche]]</f>
        <v/>
      </c>
      <c r="C31" s="47" t="str">
        <f>IF(ISBLANK(Planif[[#This Row],[Nom de la tâche]]),"",Planif[[#This Row],[Nom de la tâche]])</f>
        <v/>
      </c>
      <c r="D31" s="46" t="str">
        <f>IF(ISBLANK(Planif[[#This Row],[Nom de la tâche]]),"",Planif[[#This Row],[Sprint visé]])</f>
        <v/>
      </c>
      <c r="E31" s="52" t="str">
        <f>IF(ISBLANK(Planif[[#This Row],[Nom de la tâche]]),"",Suivi2[[#This Row],[Temps mis pour le sprint précédent]]+Suivi2[[#This Row],[Temps investi pour ce sprint]])</f>
        <v/>
      </c>
      <c r="F31" s="54" t="str">
        <f>IF(ISBLANK(Planif[[#This Row],[Nom de la tâche]]),"",Suivi2[[#This Row],[Avancement à ce jour]])</f>
        <v/>
      </c>
      <c r="G31" s="30"/>
      <c r="H31" s="28"/>
      <c r="I31" s="32"/>
      <c r="J31" s="32"/>
      <c r="Q31" s="2" t="str">
        <f>IF(ISBLANK(Planif[[#This Row],[Nom de la tâche]]),"",IF(VLOOKUP(D31,CorrespondanceSprint,2)&lt;$R$12,"Sprint antérieur",IF(VLOOKUP(D31,CorrespondanceSprint,2)=$R$12,"Sprint courant","Sprint suivant")))</f>
        <v/>
      </c>
      <c r="R31" s="2" t="str">
        <f>IF(ISBLANK(Planif[[#This Row],[Nom de la tâche]]),"",IF(Suivi3[[#This Row],[Avancement à ce jour]]=0%, IF(VLOOKUP(D31,CorrespondanceSprint,2)&lt;=$R$12,"En retard","Non débutée"), IF(Suivi3[[#This Row],[Avancement à ce jour]]&lt;100%,IF(VLOOKUP(D31,CorrespondanceSprint,2)&lt;=$R$12,"En retard","En cours"),"Terminée")))</f>
        <v/>
      </c>
      <c r="S31" s="1"/>
    </row>
    <row r="32" spans="2:19" x14ac:dyDescent="0.2">
      <c r="B32" s="46" t="str">
        <f>Planif[[#This Row],[Numéro de la tâche]]</f>
        <v/>
      </c>
      <c r="C32" s="47" t="str">
        <f>IF(ISBLANK(Planif[[#This Row],[Nom de la tâche]]),"",Planif[[#This Row],[Nom de la tâche]])</f>
        <v/>
      </c>
      <c r="D32" s="46" t="str">
        <f>IF(ISBLANK(Planif[[#This Row],[Nom de la tâche]]),"",Planif[[#This Row],[Sprint visé]])</f>
        <v/>
      </c>
      <c r="E32" s="52" t="str">
        <f>IF(ISBLANK(Planif[[#This Row],[Nom de la tâche]]),"",Suivi2[[#This Row],[Temps mis pour le sprint précédent]]+Suivi2[[#This Row],[Temps investi pour ce sprint]])</f>
        <v/>
      </c>
      <c r="F32" s="54" t="str">
        <f>IF(ISBLANK(Planif[[#This Row],[Nom de la tâche]]),"",Suivi2[[#This Row],[Avancement à ce jour]])</f>
        <v/>
      </c>
      <c r="G32" s="30"/>
      <c r="H32" s="28"/>
      <c r="I32" s="32"/>
      <c r="J32" s="32"/>
      <c r="Q32" s="2" t="str">
        <f>IF(ISBLANK(Planif[[#This Row],[Nom de la tâche]]),"",IF(VLOOKUP(D32,CorrespondanceSprint,2)&lt;$R$12,"Sprint antérieur",IF(VLOOKUP(D32,CorrespondanceSprint,2)=$R$12,"Sprint courant","Sprint suivant")))</f>
        <v/>
      </c>
      <c r="R32" s="2" t="str">
        <f>IF(ISBLANK(Planif[[#This Row],[Nom de la tâche]]),"",IF(Suivi3[[#This Row],[Avancement à ce jour]]=0%, IF(VLOOKUP(D32,CorrespondanceSprint,2)&lt;=$R$12,"En retard","Non débutée"), IF(Suivi3[[#This Row],[Avancement à ce jour]]&lt;100%,IF(VLOOKUP(D32,CorrespondanceSprint,2)&lt;=$R$12,"En retard","En cours"),"Terminée")))</f>
        <v/>
      </c>
      <c r="S32" s="1"/>
    </row>
    <row r="33" spans="2:19" x14ac:dyDescent="0.2">
      <c r="B33" s="46" t="str">
        <f>Planif[[#This Row],[Numéro de la tâche]]</f>
        <v/>
      </c>
      <c r="C33" s="47" t="str">
        <f>IF(ISBLANK(Planif[[#This Row],[Nom de la tâche]]),"",Planif[[#This Row],[Nom de la tâche]])</f>
        <v/>
      </c>
      <c r="D33" s="46" t="str">
        <f>IF(ISBLANK(Planif[[#This Row],[Nom de la tâche]]),"",Planif[[#This Row],[Sprint visé]])</f>
        <v/>
      </c>
      <c r="E33" s="52" t="str">
        <f>IF(ISBLANK(Planif[[#This Row],[Nom de la tâche]]),"",Suivi2[[#This Row],[Temps mis pour le sprint précédent]]+Suivi2[[#This Row],[Temps investi pour ce sprint]])</f>
        <v/>
      </c>
      <c r="F33" s="54" t="str">
        <f>IF(ISBLANK(Planif[[#This Row],[Nom de la tâche]]),"",Suivi2[[#This Row],[Avancement à ce jour]])</f>
        <v/>
      </c>
      <c r="G33" s="30"/>
      <c r="H33" s="28"/>
      <c r="I33" s="32"/>
      <c r="J33" s="32"/>
      <c r="Q33" s="2" t="str">
        <f>IF(ISBLANK(Planif[[#This Row],[Nom de la tâche]]),"",IF(VLOOKUP(D33,CorrespondanceSprint,2)&lt;$R$12,"Sprint antérieur",IF(VLOOKUP(D33,CorrespondanceSprint,2)=$R$12,"Sprint courant","Sprint suivant")))</f>
        <v/>
      </c>
      <c r="R33" s="2" t="str">
        <f>IF(ISBLANK(Planif[[#This Row],[Nom de la tâche]]),"",IF(Suivi3[[#This Row],[Avancement à ce jour]]=0%, IF(VLOOKUP(D33,CorrespondanceSprint,2)&lt;=$R$12,"En retard","Non débutée"), IF(Suivi3[[#This Row],[Avancement à ce jour]]&lt;100%,IF(VLOOKUP(D33,CorrespondanceSprint,2)&lt;=$R$12,"En retard","En cours"),"Terminée")))</f>
        <v/>
      </c>
      <c r="S33" s="1"/>
    </row>
    <row r="34" spans="2:19" x14ac:dyDescent="0.2">
      <c r="B34" s="46" t="str">
        <f>Planif[[#This Row],[Numéro de la tâche]]</f>
        <v/>
      </c>
      <c r="C34" s="47" t="str">
        <f>IF(ISBLANK(Planif[[#This Row],[Nom de la tâche]]),"",Planif[[#This Row],[Nom de la tâche]])</f>
        <v/>
      </c>
      <c r="D34" s="46" t="str">
        <f>IF(ISBLANK(Planif[[#This Row],[Nom de la tâche]]),"",Planif[[#This Row],[Sprint visé]])</f>
        <v/>
      </c>
      <c r="E34" s="52" t="str">
        <f>IF(ISBLANK(Planif[[#This Row],[Nom de la tâche]]),"",Suivi2[[#This Row],[Temps mis pour le sprint précédent]]+Suivi2[[#This Row],[Temps investi pour ce sprint]])</f>
        <v/>
      </c>
      <c r="F34" s="54" t="str">
        <f>IF(ISBLANK(Planif[[#This Row],[Nom de la tâche]]),"",Suivi2[[#This Row],[Avancement à ce jour]])</f>
        <v/>
      </c>
      <c r="G34" s="30"/>
      <c r="H34" s="28"/>
      <c r="I34" s="32"/>
      <c r="J34" s="32"/>
      <c r="Q34" s="2" t="str">
        <f>IF(ISBLANK(Planif[[#This Row],[Nom de la tâche]]),"",IF(VLOOKUP(D34,CorrespondanceSprint,2)&lt;$R$12,"Sprint antérieur",IF(VLOOKUP(D34,CorrespondanceSprint,2)=$R$12,"Sprint courant","Sprint suivant")))</f>
        <v/>
      </c>
      <c r="R34" s="2" t="str">
        <f>IF(ISBLANK(Planif[[#This Row],[Nom de la tâche]]),"",IF(Suivi3[[#This Row],[Avancement à ce jour]]=0%, IF(VLOOKUP(D34,CorrespondanceSprint,2)&lt;=$R$12,"En retard","Non débutée"), IF(Suivi3[[#This Row],[Avancement à ce jour]]&lt;100%,IF(VLOOKUP(D34,CorrespondanceSprint,2)&lt;=$R$12,"En retard","En cours"),"Terminée")))</f>
        <v/>
      </c>
      <c r="S34" s="1"/>
    </row>
    <row r="35" spans="2:19" x14ac:dyDescent="0.2">
      <c r="B35" s="46" t="str">
        <f>Planif[[#This Row],[Numéro de la tâche]]</f>
        <v/>
      </c>
      <c r="C35" s="47" t="str">
        <f>IF(ISBLANK(Planif[[#This Row],[Nom de la tâche]]),"",Planif[[#This Row],[Nom de la tâche]])</f>
        <v/>
      </c>
      <c r="D35" s="46" t="str">
        <f>IF(ISBLANK(Planif[[#This Row],[Nom de la tâche]]),"",Planif[[#This Row],[Sprint visé]])</f>
        <v/>
      </c>
      <c r="E35" s="52" t="str">
        <f>IF(ISBLANK(Planif[[#This Row],[Nom de la tâche]]),"",Suivi2[[#This Row],[Temps mis pour le sprint précédent]]+Suivi2[[#This Row],[Temps investi pour ce sprint]])</f>
        <v/>
      </c>
      <c r="F35" s="54" t="str">
        <f>IF(ISBLANK(Planif[[#This Row],[Nom de la tâche]]),"",Suivi2[[#This Row],[Avancement à ce jour]])</f>
        <v/>
      </c>
      <c r="G35" s="30"/>
      <c r="H35" s="28"/>
      <c r="I35" s="32"/>
      <c r="J35" s="32"/>
      <c r="Q35" s="2" t="str">
        <f>IF(ISBLANK(Planif[[#This Row],[Nom de la tâche]]),"",IF(VLOOKUP(D35,CorrespondanceSprint,2)&lt;$R$12,"Sprint antérieur",IF(VLOOKUP(D35,CorrespondanceSprint,2)=$R$12,"Sprint courant","Sprint suivant")))</f>
        <v/>
      </c>
      <c r="R35" s="2" t="str">
        <f>IF(ISBLANK(Planif[[#This Row],[Nom de la tâche]]),"",IF(Suivi3[[#This Row],[Avancement à ce jour]]=0%, IF(VLOOKUP(D35,CorrespondanceSprint,2)&lt;=$R$12,"En retard","Non débutée"), IF(Suivi3[[#This Row],[Avancement à ce jour]]&lt;100%,IF(VLOOKUP(D35,CorrespondanceSprint,2)&lt;=$R$12,"En retard","En cours"),"Terminée")))</f>
        <v/>
      </c>
      <c r="S35" s="1"/>
    </row>
    <row r="36" spans="2:19" x14ac:dyDescent="0.2">
      <c r="B36" s="46" t="str">
        <f>Planif[[#This Row],[Numéro de la tâche]]</f>
        <v/>
      </c>
      <c r="C36" s="47" t="str">
        <f>IF(ISBLANK(Planif[[#This Row],[Nom de la tâche]]),"",Planif[[#This Row],[Nom de la tâche]])</f>
        <v/>
      </c>
      <c r="D36" s="46" t="str">
        <f>IF(ISBLANK(Planif[[#This Row],[Nom de la tâche]]),"",Planif[[#This Row],[Sprint visé]])</f>
        <v/>
      </c>
      <c r="E36" s="52" t="str">
        <f>IF(ISBLANK(Planif[[#This Row],[Nom de la tâche]]),"",Suivi2[[#This Row],[Temps mis pour le sprint précédent]]+Suivi2[[#This Row],[Temps investi pour ce sprint]])</f>
        <v/>
      </c>
      <c r="F36" s="54" t="str">
        <f>IF(ISBLANK(Planif[[#This Row],[Nom de la tâche]]),"",Suivi2[[#This Row],[Avancement à ce jour]])</f>
        <v/>
      </c>
      <c r="G36" s="30"/>
      <c r="H36" s="28"/>
      <c r="I36" s="32"/>
      <c r="J36" s="32"/>
      <c r="Q36" s="2" t="str">
        <f>IF(ISBLANK(Planif[[#This Row],[Nom de la tâche]]),"",IF(VLOOKUP(D36,CorrespondanceSprint,2)&lt;$R$12,"Sprint antérieur",IF(VLOOKUP(D36,CorrespondanceSprint,2)=$R$12,"Sprint courant","Sprint suivant")))</f>
        <v/>
      </c>
      <c r="R36" s="2" t="str">
        <f>IF(ISBLANK(Planif[[#This Row],[Nom de la tâche]]),"",IF(Suivi3[[#This Row],[Avancement à ce jour]]=0%, IF(VLOOKUP(D36,CorrespondanceSprint,2)&lt;=$R$12,"En retard","Non débutée"), IF(Suivi3[[#This Row],[Avancement à ce jour]]&lt;100%,IF(VLOOKUP(D36,CorrespondanceSprint,2)&lt;=$R$12,"En retard","En cours"),"Terminée")))</f>
        <v/>
      </c>
      <c r="S36" s="1"/>
    </row>
    <row r="37" spans="2:19" x14ac:dyDescent="0.2">
      <c r="B37" s="46" t="str">
        <f>Planif[[#This Row],[Numéro de la tâche]]</f>
        <v/>
      </c>
      <c r="C37" s="47" t="str">
        <f>IF(ISBLANK(Planif[[#This Row],[Nom de la tâche]]),"",Planif[[#This Row],[Nom de la tâche]])</f>
        <v/>
      </c>
      <c r="D37" s="46" t="str">
        <f>IF(ISBLANK(Planif[[#This Row],[Nom de la tâche]]),"",Planif[[#This Row],[Sprint visé]])</f>
        <v/>
      </c>
      <c r="E37" s="52" t="str">
        <f>IF(ISBLANK(Planif[[#This Row],[Nom de la tâche]]),"",Suivi2[[#This Row],[Temps mis pour le sprint précédent]]+Suivi2[[#This Row],[Temps investi pour ce sprint]])</f>
        <v/>
      </c>
      <c r="F37" s="54" t="str">
        <f>IF(ISBLANK(Planif[[#This Row],[Nom de la tâche]]),"",Suivi2[[#This Row],[Avancement à ce jour]])</f>
        <v/>
      </c>
      <c r="G37" s="30"/>
      <c r="H37" s="28"/>
      <c r="I37" s="32"/>
      <c r="J37" s="32"/>
      <c r="Q37" s="2" t="str">
        <f>IF(ISBLANK(Planif[[#This Row],[Nom de la tâche]]),"",IF(VLOOKUP(D37,CorrespondanceSprint,2)&lt;$R$12,"Sprint antérieur",IF(VLOOKUP(D37,CorrespondanceSprint,2)=$R$12,"Sprint courant","Sprint suivant")))</f>
        <v/>
      </c>
      <c r="R37" s="2" t="str">
        <f>IF(ISBLANK(Planif[[#This Row],[Nom de la tâche]]),"",IF(Suivi3[[#This Row],[Avancement à ce jour]]=0%, IF(VLOOKUP(D37,CorrespondanceSprint,2)&lt;=$R$12,"En retard","Non débutée"), IF(Suivi3[[#This Row],[Avancement à ce jour]]&lt;100%,IF(VLOOKUP(D37,CorrespondanceSprint,2)&lt;=$R$12,"En retard","En cours"),"Terminée")))</f>
        <v/>
      </c>
      <c r="S37" s="1"/>
    </row>
    <row r="38" spans="2:19" x14ac:dyDescent="0.2">
      <c r="B38" s="46" t="str">
        <f>Planif[[#This Row],[Numéro de la tâche]]</f>
        <v/>
      </c>
      <c r="C38" s="47" t="str">
        <f>IF(ISBLANK(Planif[[#This Row],[Nom de la tâche]]),"",Planif[[#This Row],[Nom de la tâche]])</f>
        <v/>
      </c>
      <c r="D38" s="46" t="str">
        <f>IF(ISBLANK(Planif[[#This Row],[Nom de la tâche]]),"",Planif[[#This Row],[Sprint visé]])</f>
        <v/>
      </c>
      <c r="E38" s="52" t="str">
        <f>IF(ISBLANK(Planif[[#This Row],[Nom de la tâche]]),"",Suivi2[[#This Row],[Temps mis pour le sprint précédent]]+Suivi2[[#This Row],[Temps investi pour ce sprint]])</f>
        <v/>
      </c>
      <c r="F38" s="54" t="str">
        <f>IF(ISBLANK(Planif[[#This Row],[Nom de la tâche]]),"",Suivi2[[#This Row],[Avancement à ce jour]])</f>
        <v/>
      </c>
      <c r="G38" s="30"/>
      <c r="H38" s="28"/>
      <c r="I38" s="32"/>
      <c r="J38" s="32"/>
      <c r="Q38" s="2" t="str">
        <f>IF(ISBLANK(Planif[[#This Row],[Nom de la tâche]]),"",IF(VLOOKUP(D38,CorrespondanceSprint,2)&lt;$R$12,"Sprint antérieur",IF(VLOOKUP(D38,CorrespondanceSprint,2)=$R$12,"Sprint courant","Sprint suivant")))</f>
        <v/>
      </c>
      <c r="R38" s="2" t="str">
        <f>IF(ISBLANK(Planif[[#This Row],[Nom de la tâche]]),"",IF(Suivi3[[#This Row],[Avancement à ce jour]]=0%, IF(VLOOKUP(D38,CorrespondanceSprint,2)&lt;=$R$12,"En retard","Non débutée"), IF(Suivi3[[#This Row],[Avancement à ce jour]]&lt;100%,IF(VLOOKUP(D38,CorrespondanceSprint,2)&lt;=$R$12,"En retard","En cours"),"Terminée")))</f>
        <v/>
      </c>
      <c r="S38" s="1"/>
    </row>
    <row r="39" spans="2:19" x14ac:dyDescent="0.2">
      <c r="B39" s="46" t="str">
        <f>Planif[[#This Row],[Numéro de la tâche]]</f>
        <v/>
      </c>
      <c r="C39" s="47" t="str">
        <f>IF(ISBLANK(Planif[[#This Row],[Nom de la tâche]]),"",Planif[[#This Row],[Nom de la tâche]])</f>
        <v/>
      </c>
      <c r="D39" s="46" t="str">
        <f>IF(ISBLANK(Planif[[#This Row],[Nom de la tâche]]),"",Planif[[#This Row],[Sprint visé]])</f>
        <v/>
      </c>
      <c r="E39" s="52" t="str">
        <f>IF(ISBLANK(Planif[[#This Row],[Nom de la tâche]]),"",Suivi2[[#This Row],[Temps mis pour le sprint précédent]]+Suivi2[[#This Row],[Temps investi pour ce sprint]])</f>
        <v/>
      </c>
      <c r="F39" s="54" t="str">
        <f>IF(ISBLANK(Planif[[#This Row],[Nom de la tâche]]),"",Suivi2[[#This Row],[Avancement à ce jour]])</f>
        <v/>
      </c>
      <c r="G39" s="30"/>
      <c r="H39" s="28"/>
      <c r="I39" s="32"/>
      <c r="J39" s="32"/>
      <c r="Q39" s="2" t="str">
        <f>IF(ISBLANK(Planif[[#This Row],[Nom de la tâche]]),"",IF(VLOOKUP(D39,CorrespondanceSprint,2)&lt;$R$12,"Sprint antérieur",IF(VLOOKUP(D39,CorrespondanceSprint,2)=$R$12,"Sprint courant","Sprint suivant")))</f>
        <v/>
      </c>
      <c r="R39" s="2" t="str">
        <f>IF(ISBLANK(Planif[[#This Row],[Nom de la tâche]]),"",IF(Suivi3[[#This Row],[Avancement à ce jour]]=0%, IF(VLOOKUP(D39,CorrespondanceSprint,2)&lt;=$R$12,"En retard","Non débutée"), IF(Suivi3[[#This Row],[Avancement à ce jour]]&lt;100%,IF(VLOOKUP(D39,CorrespondanceSprint,2)&lt;=$R$12,"En retard","En cours"),"Terminée")))</f>
        <v/>
      </c>
      <c r="S39" s="1"/>
    </row>
    <row r="40" spans="2:19" x14ac:dyDescent="0.2">
      <c r="B40" s="46" t="str">
        <f>Planif[[#This Row],[Numéro de la tâche]]</f>
        <v/>
      </c>
      <c r="C40" s="47" t="str">
        <f>IF(ISBLANK(Planif[[#This Row],[Nom de la tâche]]),"",Planif[[#This Row],[Nom de la tâche]])</f>
        <v/>
      </c>
      <c r="D40" s="46" t="str">
        <f>IF(ISBLANK(Planif[[#This Row],[Nom de la tâche]]),"",Planif[[#This Row],[Sprint visé]])</f>
        <v/>
      </c>
      <c r="E40" s="52" t="str">
        <f>IF(ISBLANK(Planif[[#This Row],[Nom de la tâche]]),"",Suivi2[[#This Row],[Temps mis pour le sprint précédent]]+Suivi2[[#This Row],[Temps investi pour ce sprint]])</f>
        <v/>
      </c>
      <c r="F40" s="54" t="str">
        <f>IF(ISBLANK(Planif[[#This Row],[Nom de la tâche]]),"",Suivi2[[#This Row],[Avancement à ce jour]])</f>
        <v/>
      </c>
      <c r="G40" s="30"/>
      <c r="H40" s="28"/>
      <c r="I40" s="32"/>
      <c r="J40" s="32"/>
      <c r="Q40" s="2" t="str">
        <f>IF(ISBLANK(Planif[[#This Row],[Nom de la tâche]]),"",IF(VLOOKUP(D40,CorrespondanceSprint,2)&lt;$R$12,"Sprint antérieur",IF(VLOOKUP(D40,CorrespondanceSprint,2)=$R$12,"Sprint courant","Sprint suivant")))</f>
        <v/>
      </c>
      <c r="R40" s="2" t="str">
        <f>IF(ISBLANK(Planif[[#This Row],[Nom de la tâche]]),"",IF(Suivi3[[#This Row],[Avancement à ce jour]]=0%, IF(VLOOKUP(D40,CorrespondanceSprint,2)&lt;=$R$12,"En retard","Non débutée"), IF(Suivi3[[#This Row],[Avancement à ce jour]]&lt;100%,IF(VLOOKUP(D40,CorrespondanceSprint,2)&lt;=$R$12,"En retard","En cours"),"Terminée")))</f>
        <v/>
      </c>
      <c r="S40" s="1"/>
    </row>
    <row r="41" spans="2:19" x14ac:dyDescent="0.2">
      <c r="B41" s="46" t="str">
        <f>Planif[[#This Row],[Numéro de la tâche]]</f>
        <v/>
      </c>
      <c r="C41" s="47" t="str">
        <f>IF(ISBLANK(Planif[[#This Row],[Nom de la tâche]]),"",Planif[[#This Row],[Nom de la tâche]])</f>
        <v/>
      </c>
      <c r="D41" s="46" t="str">
        <f>IF(ISBLANK(Planif[[#This Row],[Nom de la tâche]]),"",Planif[[#This Row],[Sprint visé]])</f>
        <v/>
      </c>
      <c r="E41" s="52" t="str">
        <f>IF(ISBLANK(Planif[[#This Row],[Nom de la tâche]]),"",Suivi2[[#This Row],[Temps mis pour le sprint précédent]]+Suivi2[[#This Row],[Temps investi pour ce sprint]])</f>
        <v/>
      </c>
      <c r="F41" s="54" t="str">
        <f>IF(ISBLANK(Planif[[#This Row],[Nom de la tâche]]),"",Suivi2[[#This Row],[Avancement à ce jour]])</f>
        <v/>
      </c>
      <c r="G41" s="30"/>
      <c r="H41" s="28"/>
      <c r="I41" s="32"/>
      <c r="J41" s="32"/>
      <c r="Q41" s="2" t="str">
        <f>IF(ISBLANK(Planif[[#This Row],[Nom de la tâche]]),"",IF(VLOOKUP(D41,CorrespondanceSprint,2)&lt;$R$12,"Sprint antérieur",IF(VLOOKUP(D41,CorrespondanceSprint,2)=$R$12,"Sprint courant","Sprint suivant")))</f>
        <v/>
      </c>
      <c r="R41" s="2" t="str">
        <f>IF(ISBLANK(Planif[[#This Row],[Nom de la tâche]]),"",IF(Suivi3[[#This Row],[Avancement à ce jour]]=0%, IF(VLOOKUP(D41,CorrespondanceSprint,2)&lt;=$R$12,"En retard","Non débutée"), IF(Suivi3[[#This Row],[Avancement à ce jour]]&lt;100%,IF(VLOOKUP(D41,CorrespondanceSprint,2)&lt;=$R$12,"En retard","En cours"),"Terminée")))</f>
        <v/>
      </c>
      <c r="S41" s="1"/>
    </row>
    <row r="42" spans="2:19" x14ac:dyDescent="0.2">
      <c r="B42" s="46" t="str">
        <f>Planif[[#This Row],[Numéro de la tâche]]</f>
        <v/>
      </c>
      <c r="C42" s="47" t="str">
        <f>IF(ISBLANK(Planif[[#This Row],[Nom de la tâche]]),"",Planif[[#This Row],[Nom de la tâche]])</f>
        <v/>
      </c>
      <c r="D42" s="46" t="str">
        <f>IF(ISBLANK(Planif[[#This Row],[Nom de la tâche]]),"",Planif[[#This Row],[Sprint visé]])</f>
        <v/>
      </c>
      <c r="E42" s="52" t="str">
        <f>IF(ISBLANK(Planif[[#This Row],[Nom de la tâche]]),"",Suivi2[[#This Row],[Temps mis pour le sprint précédent]]+Suivi2[[#This Row],[Temps investi pour ce sprint]])</f>
        <v/>
      </c>
      <c r="F42" s="54" t="str">
        <f>IF(ISBLANK(Planif[[#This Row],[Nom de la tâche]]),"",Suivi2[[#This Row],[Avancement à ce jour]])</f>
        <v/>
      </c>
      <c r="G42" s="30"/>
      <c r="H42" s="28"/>
      <c r="I42" s="32"/>
      <c r="J42" s="32"/>
      <c r="Q42" s="2" t="str">
        <f>IF(ISBLANK(Planif[[#This Row],[Nom de la tâche]]),"",IF(VLOOKUP(D42,CorrespondanceSprint,2)&lt;$R$12,"Sprint antérieur",IF(VLOOKUP(D42,CorrespondanceSprint,2)=$R$12,"Sprint courant","Sprint suivant")))</f>
        <v/>
      </c>
      <c r="R42" s="2" t="str">
        <f>IF(ISBLANK(Planif[[#This Row],[Nom de la tâche]]),"",IF(Suivi3[[#This Row],[Avancement à ce jour]]=0%, IF(VLOOKUP(D42,CorrespondanceSprint,2)&lt;=$R$12,"En retard","Non débutée"), IF(Suivi3[[#This Row],[Avancement à ce jour]]&lt;100%,IF(VLOOKUP(D42,CorrespondanceSprint,2)&lt;=$R$12,"En retard","En cours"),"Terminée")))</f>
        <v/>
      </c>
      <c r="S42" s="1"/>
    </row>
    <row r="43" spans="2:19" x14ac:dyDescent="0.2">
      <c r="B43" s="46" t="str">
        <f>Planif[[#This Row],[Numéro de la tâche]]</f>
        <v/>
      </c>
      <c r="C43" s="47" t="str">
        <f>IF(ISBLANK(Planif[[#This Row],[Nom de la tâche]]),"",Planif[[#This Row],[Nom de la tâche]])</f>
        <v/>
      </c>
      <c r="D43" s="46" t="str">
        <f>IF(ISBLANK(Planif[[#This Row],[Nom de la tâche]]),"",Planif[[#This Row],[Sprint visé]])</f>
        <v/>
      </c>
      <c r="E43" s="52" t="str">
        <f>IF(ISBLANK(Planif[[#This Row],[Nom de la tâche]]),"",Suivi2[[#This Row],[Temps mis pour le sprint précédent]]+Suivi2[[#This Row],[Temps investi pour ce sprint]])</f>
        <v/>
      </c>
      <c r="F43" s="54" t="str">
        <f>IF(ISBLANK(Planif[[#This Row],[Nom de la tâche]]),"",Suivi2[[#This Row],[Avancement à ce jour]])</f>
        <v/>
      </c>
      <c r="G43" s="30"/>
      <c r="H43" s="28"/>
      <c r="I43" s="32"/>
      <c r="J43" s="32"/>
      <c r="Q43" s="2" t="str">
        <f>IF(ISBLANK(Planif[[#This Row],[Nom de la tâche]]),"",IF(VLOOKUP(D43,CorrespondanceSprint,2)&lt;$R$12,"Sprint antérieur",IF(VLOOKUP(D43,CorrespondanceSprint,2)=$R$12,"Sprint courant","Sprint suivant")))</f>
        <v/>
      </c>
      <c r="R43" s="2" t="str">
        <f>IF(ISBLANK(Planif[[#This Row],[Nom de la tâche]]),"",IF(Suivi3[[#This Row],[Avancement à ce jour]]=0%, IF(VLOOKUP(D43,CorrespondanceSprint,2)&lt;=$R$12,"En retard","Non débutée"), IF(Suivi3[[#This Row],[Avancement à ce jour]]&lt;100%,IF(VLOOKUP(D43,CorrespondanceSprint,2)&lt;=$R$12,"En retard","En cours"),"Terminée")))</f>
        <v/>
      </c>
      <c r="S43" s="1"/>
    </row>
    <row r="44" spans="2:19" x14ac:dyDescent="0.2">
      <c r="B44" s="46" t="str">
        <f>Planif[[#This Row],[Numéro de la tâche]]</f>
        <v/>
      </c>
      <c r="C44" s="47" t="str">
        <f>IF(ISBLANK(Planif[[#This Row],[Nom de la tâche]]),"",Planif[[#This Row],[Nom de la tâche]])</f>
        <v/>
      </c>
      <c r="D44" s="46" t="str">
        <f>IF(ISBLANK(Planif[[#This Row],[Nom de la tâche]]),"",Planif[[#This Row],[Sprint visé]])</f>
        <v/>
      </c>
      <c r="E44" s="52" t="str">
        <f>IF(ISBLANK(Planif[[#This Row],[Nom de la tâche]]),"",Suivi2[[#This Row],[Temps mis pour le sprint précédent]]+Suivi2[[#This Row],[Temps investi pour ce sprint]])</f>
        <v/>
      </c>
      <c r="F44" s="54" t="str">
        <f>IF(ISBLANK(Planif[[#This Row],[Nom de la tâche]]),"",Suivi2[[#This Row],[Avancement à ce jour]])</f>
        <v/>
      </c>
      <c r="G44" s="30"/>
      <c r="H44" s="28"/>
      <c r="I44" s="32"/>
      <c r="J44" s="32"/>
      <c r="Q44" s="2" t="str">
        <f>IF(ISBLANK(Planif[[#This Row],[Nom de la tâche]]),"",IF(VLOOKUP(D44,CorrespondanceSprint,2)&lt;$R$12,"Sprint antérieur",IF(VLOOKUP(D44,CorrespondanceSprint,2)=$R$12,"Sprint courant","Sprint suivant")))</f>
        <v/>
      </c>
      <c r="R44" s="2" t="str">
        <f>IF(ISBLANK(Planif[[#This Row],[Nom de la tâche]]),"",IF(Suivi3[[#This Row],[Avancement à ce jour]]=0%, IF(VLOOKUP(D44,CorrespondanceSprint,2)&lt;=$R$12,"En retard","Non débutée"), IF(Suivi3[[#This Row],[Avancement à ce jour]]&lt;100%,IF(VLOOKUP(D44,CorrespondanceSprint,2)&lt;=$R$12,"En retard","En cours"),"Terminée")))</f>
        <v/>
      </c>
      <c r="S44" s="1"/>
    </row>
    <row r="45" spans="2:19" x14ac:dyDescent="0.2">
      <c r="B45" s="46" t="str">
        <f>Planif[[#This Row],[Numéro de la tâche]]</f>
        <v/>
      </c>
      <c r="C45" s="47" t="str">
        <f>IF(ISBLANK(Planif[[#This Row],[Nom de la tâche]]),"",Planif[[#This Row],[Nom de la tâche]])</f>
        <v/>
      </c>
      <c r="D45" s="46" t="str">
        <f>IF(ISBLANK(Planif[[#This Row],[Nom de la tâche]]),"",Planif[[#This Row],[Sprint visé]])</f>
        <v/>
      </c>
      <c r="E45" s="52" t="str">
        <f>IF(ISBLANK(Planif[[#This Row],[Nom de la tâche]]),"",Suivi2[[#This Row],[Temps mis pour le sprint précédent]]+Suivi2[[#This Row],[Temps investi pour ce sprint]])</f>
        <v/>
      </c>
      <c r="F45" s="54" t="str">
        <f>IF(ISBLANK(Planif[[#This Row],[Nom de la tâche]]),"",Suivi2[[#This Row],[Avancement à ce jour]])</f>
        <v/>
      </c>
      <c r="G45" s="30"/>
      <c r="H45" s="28"/>
      <c r="I45" s="32"/>
      <c r="J45" s="32"/>
      <c r="Q45" s="2" t="str">
        <f>IF(ISBLANK(Planif[[#This Row],[Nom de la tâche]]),"",IF(VLOOKUP(D45,CorrespondanceSprint,2)&lt;$R$12,"Sprint antérieur",IF(VLOOKUP(D45,CorrespondanceSprint,2)=$R$12,"Sprint courant","Sprint suivant")))</f>
        <v/>
      </c>
      <c r="R45" s="2" t="str">
        <f>IF(ISBLANK(Planif[[#This Row],[Nom de la tâche]]),"",IF(Suivi3[[#This Row],[Avancement à ce jour]]=0%, IF(VLOOKUP(D45,CorrespondanceSprint,2)&lt;=$R$12,"En retard","Non débutée"), IF(Suivi3[[#This Row],[Avancement à ce jour]]&lt;100%,IF(VLOOKUP(D45,CorrespondanceSprint,2)&lt;=$R$12,"En retard","En cours"),"Terminée")))</f>
        <v/>
      </c>
      <c r="S45" s="1"/>
    </row>
    <row r="46" spans="2:19" x14ac:dyDescent="0.2">
      <c r="B46" s="46" t="str">
        <f>Planif[[#This Row],[Numéro de la tâche]]</f>
        <v/>
      </c>
      <c r="C46" s="47" t="str">
        <f>IF(ISBLANK(Planif[[#This Row],[Nom de la tâche]]),"",Planif[[#This Row],[Nom de la tâche]])</f>
        <v/>
      </c>
      <c r="D46" s="46" t="str">
        <f>IF(ISBLANK(Planif[[#This Row],[Nom de la tâche]]),"",Planif[[#This Row],[Sprint visé]])</f>
        <v/>
      </c>
      <c r="E46" s="52" t="str">
        <f>IF(ISBLANK(Planif[[#This Row],[Nom de la tâche]]),"",Suivi2[[#This Row],[Temps mis pour le sprint précédent]]+Suivi2[[#This Row],[Temps investi pour ce sprint]])</f>
        <v/>
      </c>
      <c r="F46" s="54" t="str">
        <f>IF(ISBLANK(Planif[[#This Row],[Nom de la tâche]]),"",Suivi2[[#This Row],[Avancement à ce jour]])</f>
        <v/>
      </c>
      <c r="G46" s="30"/>
      <c r="H46" s="28"/>
      <c r="I46" s="32"/>
      <c r="J46" s="32"/>
      <c r="Q46" s="2" t="str">
        <f>IF(ISBLANK(Planif[[#This Row],[Nom de la tâche]]),"",IF(VLOOKUP(D46,CorrespondanceSprint,2)&lt;$R$12,"Sprint antérieur",IF(VLOOKUP(D46,CorrespondanceSprint,2)=$R$12,"Sprint courant","Sprint suivant")))</f>
        <v/>
      </c>
      <c r="R46" s="2" t="str">
        <f>IF(ISBLANK(Planif[[#This Row],[Nom de la tâche]]),"",IF(Suivi3[[#This Row],[Avancement à ce jour]]=0%, IF(VLOOKUP(D46,CorrespondanceSprint,2)&lt;=$R$12,"En retard","Non débutée"), IF(Suivi3[[#This Row],[Avancement à ce jour]]&lt;100%,IF(VLOOKUP(D46,CorrespondanceSprint,2)&lt;=$R$12,"En retard","En cours"),"Terminée")))</f>
        <v/>
      </c>
      <c r="S46" s="1"/>
    </row>
    <row r="47" spans="2:19" x14ac:dyDescent="0.2">
      <c r="B47" s="46" t="str">
        <f>Planif[[#This Row],[Numéro de la tâche]]</f>
        <v/>
      </c>
      <c r="C47" s="47" t="str">
        <f>IF(ISBLANK(Planif[[#This Row],[Nom de la tâche]]),"",Planif[[#This Row],[Nom de la tâche]])</f>
        <v/>
      </c>
      <c r="D47" s="46" t="str">
        <f>IF(ISBLANK(Planif[[#This Row],[Nom de la tâche]]),"",Planif[[#This Row],[Sprint visé]])</f>
        <v/>
      </c>
      <c r="E47" s="52" t="str">
        <f>IF(ISBLANK(Planif[[#This Row],[Nom de la tâche]]),"",Suivi2[[#This Row],[Temps mis pour le sprint précédent]]+Suivi2[[#This Row],[Temps investi pour ce sprint]])</f>
        <v/>
      </c>
      <c r="F47" s="54" t="str">
        <f>IF(ISBLANK(Planif[[#This Row],[Nom de la tâche]]),"",Suivi2[[#This Row],[Avancement à ce jour]])</f>
        <v/>
      </c>
      <c r="G47" s="30"/>
      <c r="H47" s="28"/>
      <c r="I47" s="32"/>
      <c r="J47" s="32"/>
      <c r="Q47" s="2" t="str">
        <f>IF(ISBLANK(Planif[[#This Row],[Nom de la tâche]]),"",IF(VLOOKUP(D47,CorrespondanceSprint,2)&lt;$R$12,"Sprint antérieur",IF(VLOOKUP(D47,CorrespondanceSprint,2)=$R$12,"Sprint courant","Sprint suivant")))</f>
        <v/>
      </c>
      <c r="R47" s="2" t="str">
        <f>IF(ISBLANK(Planif[[#This Row],[Nom de la tâche]]),"",IF(Suivi3[[#This Row],[Avancement à ce jour]]=0%, IF(VLOOKUP(D47,CorrespondanceSprint,2)&lt;=$R$12,"En retard","Non débutée"), IF(Suivi3[[#This Row],[Avancement à ce jour]]&lt;100%,IF(VLOOKUP(D47,CorrespondanceSprint,2)&lt;=$R$12,"En retard","En cours"),"Terminée")))</f>
        <v/>
      </c>
      <c r="S47" s="1"/>
    </row>
    <row r="48" spans="2:19" x14ac:dyDescent="0.2">
      <c r="B48" s="46" t="str">
        <f>Planif[[#This Row],[Numéro de la tâche]]</f>
        <v/>
      </c>
      <c r="C48" s="47" t="str">
        <f>IF(ISBLANK(Planif[[#This Row],[Nom de la tâche]]),"",Planif[[#This Row],[Nom de la tâche]])</f>
        <v/>
      </c>
      <c r="D48" s="46" t="str">
        <f>IF(ISBLANK(Planif[[#This Row],[Nom de la tâche]]),"",Planif[[#This Row],[Sprint visé]])</f>
        <v/>
      </c>
      <c r="E48" s="52" t="str">
        <f>IF(ISBLANK(Planif[[#This Row],[Nom de la tâche]]),"",Suivi2[[#This Row],[Temps mis pour le sprint précédent]]+Suivi2[[#This Row],[Temps investi pour ce sprint]])</f>
        <v/>
      </c>
      <c r="F48" s="54" t="str">
        <f>IF(ISBLANK(Planif[[#This Row],[Nom de la tâche]]),"",Suivi2[[#This Row],[Avancement à ce jour]])</f>
        <v/>
      </c>
      <c r="G48" s="30"/>
      <c r="H48" s="28"/>
      <c r="I48" s="32"/>
      <c r="J48" s="32"/>
      <c r="Q48" s="2" t="str">
        <f>IF(ISBLANK(Planif[[#This Row],[Nom de la tâche]]),"",IF(VLOOKUP(D48,CorrespondanceSprint,2)&lt;$R$12,"Sprint antérieur",IF(VLOOKUP(D48,CorrespondanceSprint,2)=$R$12,"Sprint courant","Sprint suivant")))</f>
        <v/>
      </c>
      <c r="R48" s="2" t="str">
        <f>IF(ISBLANK(Planif[[#This Row],[Nom de la tâche]]),"",IF(Suivi3[[#This Row],[Avancement à ce jour]]=0%, IF(VLOOKUP(D48,CorrespondanceSprint,2)&lt;=$R$12,"En retard","Non débutée"), IF(Suivi3[[#This Row],[Avancement à ce jour]]&lt;100%,IF(VLOOKUP(D48,CorrespondanceSprint,2)&lt;=$R$12,"En retard","En cours"),"Terminée")))</f>
        <v/>
      </c>
      <c r="S48" s="1"/>
    </row>
    <row r="49" spans="2:19" x14ac:dyDescent="0.2">
      <c r="B49" s="46" t="str">
        <f>Planif[[#This Row],[Numéro de la tâche]]</f>
        <v/>
      </c>
      <c r="C49" s="47" t="str">
        <f>IF(ISBLANK(Planif[[#This Row],[Nom de la tâche]]),"",Planif[[#This Row],[Nom de la tâche]])</f>
        <v/>
      </c>
      <c r="D49" s="46" t="str">
        <f>IF(ISBLANK(Planif[[#This Row],[Nom de la tâche]]),"",Planif[[#This Row],[Sprint visé]])</f>
        <v/>
      </c>
      <c r="E49" s="52" t="str">
        <f>IF(ISBLANK(Planif[[#This Row],[Nom de la tâche]]),"",Suivi2[[#This Row],[Temps mis pour le sprint précédent]]+Suivi2[[#This Row],[Temps investi pour ce sprint]])</f>
        <v/>
      </c>
      <c r="F49" s="54" t="str">
        <f>IF(ISBLANK(Planif[[#This Row],[Nom de la tâche]]),"",Suivi2[[#This Row],[Avancement à ce jour]])</f>
        <v/>
      </c>
      <c r="G49" s="30"/>
      <c r="H49" s="28"/>
      <c r="I49" s="32"/>
      <c r="J49" s="32"/>
      <c r="Q49" s="2" t="str">
        <f>IF(ISBLANK(Planif[[#This Row],[Nom de la tâche]]),"",IF(VLOOKUP(D49,CorrespondanceSprint,2)&lt;$R$12,"Sprint antérieur",IF(VLOOKUP(D49,CorrespondanceSprint,2)=$R$12,"Sprint courant","Sprint suivant")))</f>
        <v/>
      </c>
      <c r="R49" s="2" t="str">
        <f>IF(ISBLANK(Planif[[#This Row],[Nom de la tâche]]),"",IF(Suivi3[[#This Row],[Avancement à ce jour]]=0%, IF(VLOOKUP(D49,CorrespondanceSprint,2)&lt;=$R$12,"En retard","Non débutée"), IF(Suivi3[[#This Row],[Avancement à ce jour]]&lt;100%,IF(VLOOKUP(D49,CorrespondanceSprint,2)&lt;=$R$12,"En retard","En cours"),"Terminée")))</f>
        <v/>
      </c>
      <c r="S49" s="1"/>
    </row>
    <row r="50" spans="2:19" x14ac:dyDescent="0.2">
      <c r="B50" s="46" t="str">
        <f>Planif[[#This Row],[Numéro de la tâche]]</f>
        <v/>
      </c>
      <c r="C50" s="47" t="str">
        <f>IF(ISBLANK(Planif[[#This Row],[Nom de la tâche]]),"",Planif[[#This Row],[Nom de la tâche]])</f>
        <v/>
      </c>
      <c r="D50" s="46" t="str">
        <f>IF(ISBLANK(Planif[[#This Row],[Nom de la tâche]]),"",Planif[[#This Row],[Sprint visé]])</f>
        <v/>
      </c>
      <c r="E50" s="52" t="str">
        <f>IF(ISBLANK(Planif[[#This Row],[Nom de la tâche]]),"",Suivi2[[#This Row],[Temps mis pour le sprint précédent]]+Suivi2[[#This Row],[Temps investi pour ce sprint]])</f>
        <v/>
      </c>
      <c r="F50" s="54" t="str">
        <f>IF(ISBLANK(Planif[[#This Row],[Nom de la tâche]]),"",Suivi2[[#This Row],[Avancement à ce jour]])</f>
        <v/>
      </c>
      <c r="G50" s="30"/>
      <c r="H50" s="28"/>
      <c r="I50" s="32"/>
      <c r="J50" s="32"/>
      <c r="Q50" s="2" t="str">
        <f>IF(ISBLANK(Planif[[#This Row],[Nom de la tâche]]),"",IF(VLOOKUP(D50,CorrespondanceSprint,2)&lt;$R$12,"Sprint antérieur",IF(VLOOKUP(D50,CorrespondanceSprint,2)=$R$12,"Sprint courant","Sprint suivant")))</f>
        <v/>
      </c>
      <c r="R50" s="2" t="str">
        <f>IF(ISBLANK(Planif[[#This Row],[Nom de la tâche]]),"",IF(Suivi3[[#This Row],[Avancement à ce jour]]=0%, IF(VLOOKUP(D50,CorrespondanceSprint,2)&lt;=$R$12,"En retard","Non débutée"), IF(Suivi3[[#This Row],[Avancement à ce jour]]&lt;100%,IF(VLOOKUP(D50,CorrespondanceSprint,2)&lt;=$R$12,"En retard","En cours"),"Terminée")))</f>
        <v/>
      </c>
      <c r="S50" s="1"/>
    </row>
    <row r="51" spans="2:19" x14ac:dyDescent="0.2">
      <c r="B51" s="46" t="str">
        <f>Planif[[#This Row],[Numéro de la tâche]]</f>
        <v/>
      </c>
      <c r="C51" s="47" t="str">
        <f>IF(ISBLANK(Planif[[#This Row],[Nom de la tâche]]),"",Planif[[#This Row],[Nom de la tâche]])</f>
        <v/>
      </c>
      <c r="D51" s="46" t="str">
        <f>IF(ISBLANK(Planif[[#This Row],[Nom de la tâche]]),"",Planif[[#This Row],[Sprint visé]])</f>
        <v/>
      </c>
      <c r="E51" s="52" t="str">
        <f>IF(ISBLANK(Planif[[#This Row],[Nom de la tâche]]),"",Suivi2[[#This Row],[Temps mis pour le sprint précédent]]+Suivi2[[#This Row],[Temps investi pour ce sprint]])</f>
        <v/>
      </c>
      <c r="F51" s="54" t="str">
        <f>IF(ISBLANK(Planif[[#This Row],[Nom de la tâche]]),"",Suivi2[[#This Row],[Avancement à ce jour]])</f>
        <v/>
      </c>
      <c r="G51" s="30"/>
      <c r="H51" s="28"/>
      <c r="I51" s="32"/>
      <c r="J51" s="32"/>
      <c r="Q51" s="2" t="str">
        <f>IF(ISBLANK(Planif[[#This Row],[Nom de la tâche]]),"",IF(VLOOKUP(D51,CorrespondanceSprint,2)&lt;$R$12,"Sprint antérieur",IF(VLOOKUP(D51,CorrespondanceSprint,2)=$R$12,"Sprint courant","Sprint suivant")))</f>
        <v/>
      </c>
      <c r="R51" s="2" t="str">
        <f>IF(ISBLANK(Planif[[#This Row],[Nom de la tâche]]),"",IF(Suivi3[[#This Row],[Avancement à ce jour]]=0%, IF(VLOOKUP(D51,CorrespondanceSprint,2)&lt;=$R$12,"En retard","Non débutée"), IF(Suivi3[[#This Row],[Avancement à ce jour]]&lt;100%,IF(VLOOKUP(D51,CorrespondanceSprint,2)&lt;=$R$12,"En retard","En cours"),"Terminée")))</f>
        <v/>
      </c>
      <c r="S51" s="1"/>
    </row>
    <row r="52" spans="2:19" x14ac:dyDescent="0.2">
      <c r="B52" s="46" t="str">
        <f>Planif[[#This Row],[Numéro de la tâche]]</f>
        <v/>
      </c>
      <c r="C52" s="47" t="str">
        <f>IF(ISBLANK(Planif[[#This Row],[Nom de la tâche]]),"",Planif[[#This Row],[Nom de la tâche]])</f>
        <v/>
      </c>
      <c r="D52" s="46" t="str">
        <f>IF(ISBLANK(Planif[[#This Row],[Nom de la tâche]]),"",Planif[[#This Row],[Sprint visé]])</f>
        <v/>
      </c>
      <c r="E52" s="52" t="str">
        <f>IF(ISBLANK(Planif[[#This Row],[Nom de la tâche]]),"",Suivi2[[#This Row],[Temps mis pour le sprint précédent]]+Suivi2[[#This Row],[Temps investi pour ce sprint]])</f>
        <v/>
      </c>
      <c r="F52" s="54" t="str">
        <f>IF(ISBLANK(Planif[[#This Row],[Nom de la tâche]]),"",Suivi2[[#This Row],[Avancement à ce jour]])</f>
        <v/>
      </c>
      <c r="G52" s="30"/>
      <c r="H52" s="28"/>
      <c r="I52" s="32"/>
      <c r="J52" s="32"/>
      <c r="Q52" s="2" t="str">
        <f>IF(ISBLANK(Planif[[#This Row],[Nom de la tâche]]),"",IF(VLOOKUP(D52,CorrespondanceSprint,2)&lt;$R$12,"Sprint antérieur",IF(VLOOKUP(D52,CorrespondanceSprint,2)=$R$12,"Sprint courant","Sprint suivant")))</f>
        <v/>
      </c>
      <c r="R52" s="2" t="str">
        <f>IF(ISBLANK(Planif[[#This Row],[Nom de la tâche]]),"",IF(Suivi3[[#This Row],[Avancement à ce jour]]=0%, IF(VLOOKUP(D52,CorrespondanceSprint,2)&lt;=$R$12,"En retard","Non débutée"), IF(Suivi3[[#This Row],[Avancement à ce jour]]&lt;100%,IF(VLOOKUP(D52,CorrespondanceSprint,2)&lt;=$R$12,"En retard","En cours"),"Terminée")))</f>
        <v/>
      </c>
      <c r="S52" s="1"/>
    </row>
    <row r="53" spans="2:19" x14ac:dyDescent="0.2">
      <c r="B53" s="46" t="str">
        <f>Planif[[#This Row],[Numéro de la tâche]]</f>
        <v/>
      </c>
      <c r="C53" s="47" t="str">
        <f>IF(ISBLANK(Planif[[#This Row],[Nom de la tâche]]),"",Planif[[#This Row],[Nom de la tâche]])</f>
        <v/>
      </c>
      <c r="D53" s="46" t="str">
        <f>IF(ISBLANK(Planif[[#This Row],[Nom de la tâche]]),"",Planif[[#This Row],[Sprint visé]])</f>
        <v/>
      </c>
      <c r="E53" s="52" t="str">
        <f>IF(ISBLANK(Planif[[#This Row],[Nom de la tâche]]),"",Suivi2[[#This Row],[Temps mis pour le sprint précédent]]+Suivi2[[#This Row],[Temps investi pour ce sprint]])</f>
        <v/>
      </c>
      <c r="F53" s="54" t="str">
        <f>IF(ISBLANK(Planif[[#This Row],[Nom de la tâche]]),"",Suivi2[[#This Row],[Avancement à ce jour]])</f>
        <v/>
      </c>
      <c r="G53" s="30"/>
      <c r="H53" s="28"/>
      <c r="I53" s="32"/>
      <c r="J53" s="32"/>
      <c r="Q53" s="2" t="str">
        <f>IF(ISBLANK(Planif[[#This Row],[Nom de la tâche]]),"",IF(VLOOKUP(D53,CorrespondanceSprint,2)&lt;$R$12,"Sprint antérieur",IF(VLOOKUP(D53,CorrespondanceSprint,2)=$R$12,"Sprint courant","Sprint suivant")))</f>
        <v/>
      </c>
      <c r="R53" s="2" t="str">
        <f>IF(ISBLANK(Planif[[#This Row],[Nom de la tâche]]),"",IF(Suivi3[[#This Row],[Avancement à ce jour]]=0%, IF(VLOOKUP(D53,CorrespondanceSprint,2)&lt;=$R$12,"En retard","Non débutée"), IF(Suivi3[[#This Row],[Avancement à ce jour]]&lt;100%,IF(VLOOKUP(D53,CorrespondanceSprint,2)&lt;=$R$12,"En retard","En cours"),"Terminée")))</f>
        <v/>
      </c>
      <c r="S53" s="1"/>
    </row>
    <row r="54" spans="2:19" x14ac:dyDescent="0.2">
      <c r="B54" s="46" t="str">
        <f>Planif[[#This Row],[Numéro de la tâche]]</f>
        <v/>
      </c>
      <c r="C54" s="47" t="str">
        <f>IF(ISBLANK(Planif[[#This Row],[Nom de la tâche]]),"",Planif[[#This Row],[Nom de la tâche]])</f>
        <v/>
      </c>
      <c r="D54" s="46" t="str">
        <f>IF(ISBLANK(Planif[[#This Row],[Nom de la tâche]]),"",Planif[[#This Row],[Sprint visé]])</f>
        <v/>
      </c>
      <c r="E54" s="52" t="str">
        <f>IF(ISBLANK(Planif[[#This Row],[Nom de la tâche]]),"",Suivi2[[#This Row],[Temps mis pour le sprint précédent]]+Suivi2[[#This Row],[Temps investi pour ce sprint]])</f>
        <v/>
      </c>
      <c r="F54" s="54" t="str">
        <f>IF(ISBLANK(Planif[[#This Row],[Nom de la tâche]]),"",Suivi2[[#This Row],[Avancement à ce jour]])</f>
        <v/>
      </c>
      <c r="G54" s="30"/>
      <c r="H54" s="28"/>
      <c r="I54" s="32"/>
      <c r="J54" s="32"/>
      <c r="Q54" s="2" t="str">
        <f>IF(ISBLANK(Planif[[#This Row],[Nom de la tâche]]),"",IF(VLOOKUP(D54,CorrespondanceSprint,2)&lt;$R$12,"Sprint antérieur",IF(VLOOKUP(D54,CorrespondanceSprint,2)=$R$12,"Sprint courant","Sprint suivant")))</f>
        <v/>
      </c>
      <c r="R54" s="2" t="str">
        <f>IF(ISBLANK(Planif[[#This Row],[Nom de la tâche]]),"",IF(Suivi3[[#This Row],[Avancement à ce jour]]=0%, IF(VLOOKUP(D54,CorrespondanceSprint,2)&lt;=$R$12,"En retard","Non débutée"), IF(Suivi3[[#This Row],[Avancement à ce jour]]&lt;100%,IF(VLOOKUP(D54,CorrespondanceSprint,2)&lt;=$R$12,"En retard","En cours"),"Terminée")))</f>
        <v/>
      </c>
      <c r="S54" s="1"/>
    </row>
    <row r="55" spans="2:19" x14ac:dyDescent="0.2">
      <c r="B55" s="46" t="str">
        <f>Planif[[#This Row],[Numéro de la tâche]]</f>
        <v/>
      </c>
      <c r="C55" s="47" t="str">
        <f>IF(ISBLANK(Planif[[#This Row],[Nom de la tâche]]),"",Planif[[#This Row],[Nom de la tâche]])</f>
        <v/>
      </c>
      <c r="D55" s="46" t="str">
        <f>IF(ISBLANK(Planif[[#This Row],[Nom de la tâche]]),"",Planif[[#This Row],[Sprint visé]])</f>
        <v/>
      </c>
      <c r="E55" s="52" t="str">
        <f>IF(ISBLANK(Planif[[#This Row],[Nom de la tâche]]),"",Suivi2[[#This Row],[Temps mis pour le sprint précédent]]+Suivi2[[#This Row],[Temps investi pour ce sprint]])</f>
        <v/>
      </c>
      <c r="F55" s="54" t="str">
        <f>IF(ISBLANK(Planif[[#This Row],[Nom de la tâche]]),"",Suivi2[[#This Row],[Avancement à ce jour]])</f>
        <v/>
      </c>
      <c r="G55" s="30"/>
      <c r="H55" s="28"/>
      <c r="I55" s="32"/>
      <c r="J55" s="32"/>
      <c r="Q55" s="2" t="str">
        <f>IF(ISBLANK(Planif[[#This Row],[Nom de la tâche]]),"",IF(VLOOKUP(D55,CorrespondanceSprint,2)&lt;$R$12,"Sprint antérieur",IF(VLOOKUP(D55,CorrespondanceSprint,2)=$R$12,"Sprint courant","Sprint suivant")))</f>
        <v/>
      </c>
      <c r="R55" s="2" t="str">
        <f>IF(ISBLANK(Planif[[#This Row],[Nom de la tâche]]),"",IF(Suivi3[[#This Row],[Avancement à ce jour]]=0%, IF(VLOOKUP(D55,CorrespondanceSprint,2)&lt;=$R$12,"En retard","Non débutée"), IF(Suivi3[[#This Row],[Avancement à ce jour]]&lt;100%,IF(VLOOKUP(D55,CorrespondanceSprint,2)&lt;=$R$12,"En retard","En cours"),"Terminée")))</f>
        <v/>
      </c>
      <c r="S55" s="1"/>
    </row>
    <row r="56" spans="2:19" x14ac:dyDescent="0.2">
      <c r="B56" s="46" t="str">
        <f>Planif[[#This Row],[Numéro de la tâche]]</f>
        <v/>
      </c>
      <c r="C56" s="47" t="str">
        <f>IF(ISBLANK(Planif[[#This Row],[Nom de la tâche]]),"",Planif[[#This Row],[Nom de la tâche]])</f>
        <v/>
      </c>
      <c r="D56" s="46" t="str">
        <f>IF(ISBLANK(Planif[[#This Row],[Nom de la tâche]]),"",Planif[[#This Row],[Sprint visé]])</f>
        <v/>
      </c>
      <c r="E56" s="52" t="str">
        <f>IF(ISBLANK(Planif[[#This Row],[Nom de la tâche]]),"",Suivi2[[#This Row],[Temps mis pour le sprint précédent]]+Suivi2[[#This Row],[Temps investi pour ce sprint]])</f>
        <v/>
      </c>
      <c r="F56" s="54" t="str">
        <f>IF(ISBLANK(Planif[[#This Row],[Nom de la tâche]]),"",Suivi2[[#This Row],[Avancement à ce jour]])</f>
        <v/>
      </c>
      <c r="G56" s="30"/>
      <c r="H56" s="28"/>
      <c r="I56" s="32"/>
      <c r="J56" s="32"/>
      <c r="Q56" s="2" t="str">
        <f>IF(ISBLANK(Planif[[#This Row],[Nom de la tâche]]),"",IF(VLOOKUP(D56,CorrespondanceSprint,2)&lt;$R$12,"Sprint antérieur",IF(VLOOKUP(D56,CorrespondanceSprint,2)=$R$12,"Sprint courant","Sprint suivant")))</f>
        <v/>
      </c>
      <c r="R56" s="2" t="str">
        <f>IF(ISBLANK(Planif[[#This Row],[Nom de la tâche]]),"",IF(Suivi3[[#This Row],[Avancement à ce jour]]=0%, IF(VLOOKUP(D56,CorrespondanceSprint,2)&lt;=$R$12,"En retard","Non débutée"), IF(Suivi3[[#This Row],[Avancement à ce jour]]&lt;100%,IF(VLOOKUP(D56,CorrespondanceSprint,2)&lt;=$R$12,"En retard","En cours"),"Terminée")))</f>
        <v/>
      </c>
      <c r="S56" s="1"/>
    </row>
    <row r="57" spans="2:19" x14ac:dyDescent="0.2">
      <c r="B57" s="46" t="str">
        <f>Planif[[#This Row],[Numéro de la tâche]]</f>
        <v/>
      </c>
      <c r="C57" s="47" t="str">
        <f>IF(ISBLANK(Planif[[#This Row],[Nom de la tâche]]),"",Planif[[#This Row],[Nom de la tâche]])</f>
        <v/>
      </c>
      <c r="D57" s="46" t="str">
        <f>IF(ISBLANK(Planif[[#This Row],[Nom de la tâche]]),"",Planif[[#This Row],[Sprint visé]])</f>
        <v/>
      </c>
      <c r="E57" s="52" t="str">
        <f>IF(ISBLANK(Planif[[#This Row],[Nom de la tâche]]),"",Suivi2[[#This Row],[Temps mis pour le sprint précédent]]+Suivi2[[#This Row],[Temps investi pour ce sprint]])</f>
        <v/>
      </c>
      <c r="F57" s="54" t="str">
        <f>IF(ISBLANK(Planif[[#This Row],[Nom de la tâche]]),"",Suivi2[[#This Row],[Avancement à ce jour]])</f>
        <v/>
      </c>
      <c r="G57" s="30"/>
      <c r="H57" s="28"/>
      <c r="I57" s="32"/>
      <c r="J57" s="32"/>
      <c r="Q57" s="2" t="str">
        <f>IF(ISBLANK(Planif[[#This Row],[Nom de la tâche]]),"",IF(VLOOKUP(D57,CorrespondanceSprint,2)&lt;$R$12,"Sprint antérieur",IF(VLOOKUP(D57,CorrespondanceSprint,2)=$R$12,"Sprint courant","Sprint suivant")))</f>
        <v/>
      </c>
      <c r="R57" s="2" t="str">
        <f>IF(ISBLANK(Planif[[#This Row],[Nom de la tâche]]),"",IF(Suivi3[[#This Row],[Avancement à ce jour]]=0%, IF(VLOOKUP(D57,CorrespondanceSprint,2)&lt;=$R$12,"En retard","Non débutée"), IF(Suivi3[[#This Row],[Avancement à ce jour]]&lt;100%,IF(VLOOKUP(D57,CorrespondanceSprint,2)&lt;=$R$12,"En retard","En cours"),"Terminée")))</f>
        <v/>
      </c>
      <c r="S57" s="1"/>
    </row>
    <row r="58" spans="2:19" x14ac:dyDescent="0.2">
      <c r="B58" s="46" t="str">
        <f>Planif[[#This Row],[Numéro de la tâche]]</f>
        <v/>
      </c>
      <c r="C58" s="47" t="str">
        <f>IF(ISBLANK(Planif[[#This Row],[Nom de la tâche]]),"",Planif[[#This Row],[Nom de la tâche]])</f>
        <v/>
      </c>
      <c r="D58" s="46" t="str">
        <f>IF(ISBLANK(Planif[[#This Row],[Nom de la tâche]]),"",Planif[[#This Row],[Sprint visé]])</f>
        <v/>
      </c>
      <c r="E58" s="52" t="str">
        <f>IF(ISBLANK(Planif[[#This Row],[Nom de la tâche]]),"",Suivi2[[#This Row],[Temps mis pour le sprint précédent]]+Suivi2[[#This Row],[Temps investi pour ce sprint]])</f>
        <v/>
      </c>
      <c r="F58" s="54" t="str">
        <f>IF(ISBLANK(Planif[[#This Row],[Nom de la tâche]]),"",Suivi2[[#This Row],[Avancement à ce jour]])</f>
        <v/>
      </c>
      <c r="G58" s="30"/>
      <c r="H58" s="28"/>
      <c r="I58" s="32"/>
      <c r="J58" s="32"/>
      <c r="Q58" s="2" t="str">
        <f>IF(ISBLANK(Planif[[#This Row],[Nom de la tâche]]),"",IF(VLOOKUP(D58,CorrespondanceSprint,2)&lt;$R$12,"Sprint antérieur",IF(VLOOKUP(D58,CorrespondanceSprint,2)=$R$12,"Sprint courant","Sprint suivant")))</f>
        <v/>
      </c>
      <c r="R58" s="2" t="str">
        <f>IF(ISBLANK(Planif[[#This Row],[Nom de la tâche]]),"",IF(Suivi3[[#This Row],[Avancement à ce jour]]=0%, IF(VLOOKUP(D58,CorrespondanceSprint,2)&lt;=$R$12,"En retard","Non débutée"), IF(Suivi3[[#This Row],[Avancement à ce jour]]&lt;100%,IF(VLOOKUP(D58,CorrespondanceSprint,2)&lt;=$R$12,"En retard","En cours"),"Terminée")))</f>
        <v/>
      </c>
      <c r="S58" s="1"/>
    </row>
    <row r="59" spans="2:19" x14ac:dyDescent="0.2">
      <c r="B59" s="46" t="str">
        <f>Planif[[#This Row],[Numéro de la tâche]]</f>
        <v/>
      </c>
      <c r="C59" s="47" t="str">
        <f>IF(ISBLANK(Planif[[#This Row],[Nom de la tâche]]),"",Planif[[#This Row],[Nom de la tâche]])</f>
        <v/>
      </c>
      <c r="D59" s="46" t="str">
        <f>IF(ISBLANK(Planif[[#This Row],[Nom de la tâche]]),"",Planif[[#This Row],[Sprint visé]])</f>
        <v/>
      </c>
      <c r="E59" s="52" t="str">
        <f>IF(ISBLANK(Planif[[#This Row],[Nom de la tâche]]),"",Suivi2[[#This Row],[Temps mis pour le sprint précédent]]+Suivi2[[#This Row],[Temps investi pour ce sprint]])</f>
        <v/>
      </c>
      <c r="F59" s="54" t="str">
        <f>IF(ISBLANK(Planif[[#This Row],[Nom de la tâche]]),"",Suivi2[[#This Row],[Avancement à ce jour]])</f>
        <v/>
      </c>
      <c r="G59" s="30"/>
      <c r="H59" s="28"/>
      <c r="I59" s="32"/>
      <c r="J59" s="32"/>
      <c r="Q59" s="2" t="str">
        <f>IF(ISBLANK(Planif[[#This Row],[Nom de la tâche]]),"",IF(VLOOKUP(D59,CorrespondanceSprint,2)&lt;$R$12,"Sprint antérieur",IF(VLOOKUP(D59,CorrespondanceSprint,2)=$R$12,"Sprint courant","Sprint suivant")))</f>
        <v/>
      </c>
      <c r="R59" s="2" t="str">
        <f>IF(ISBLANK(Planif[[#This Row],[Nom de la tâche]]),"",IF(Suivi3[[#This Row],[Avancement à ce jour]]=0%, IF(VLOOKUP(D59,CorrespondanceSprint,2)&lt;=$R$12,"En retard","Non débutée"), IF(Suivi3[[#This Row],[Avancement à ce jour]]&lt;100%,IF(VLOOKUP(D59,CorrespondanceSprint,2)&lt;=$R$12,"En retard","En cours"),"Terminée")))</f>
        <v/>
      </c>
      <c r="S59" s="1"/>
    </row>
    <row r="60" spans="2:19" x14ac:dyDescent="0.2">
      <c r="B60" s="46" t="str">
        <f>Planif[[#This Row],[Numéro de la tâche]]</f>
        <v/>
      </c>
      <c r="C60" s="47" t="str">
        <f>IF(ISBLANK(Planif[[#This Row],[Nom de la tâche]]),"",Planif[[#This Row],[Nom de la tâche]])</f>
        <v/>
      </c>
      <c r="D60" s="46" t="str">
        <f>IF(ISBLANK(Planif[[#This Row],[Nom de la tâche]]),"",Planif[[#This Row],[Sprint visé]])</f>
        <v/>
      </c>
      <c r="E60" s="52" t="str">
        <f>IF(ISBLANK(Planif[[#This Row],[Nom de la tâche]]),"",Suivi2[[#This Row],[Temps mis pour le sprint précédent]]+Suivi2[[#This Row],[Temps investi pour ce sprint]])</f>
        <v/>
      </c>
      <c r="F60" s="54" t="str">
        <f>IF(ISBLANK(Planif[[#This Row],[Nom de la tâche]]),"",Suivi2[[#This Row],[Avancement à ce jour]])</f>
        <v/>
      </c>
      <c r="G60" s="30"/>
      <c r="H60" s="28"/>
      <c r="I60" s="32"/>
      <c r="J60" s="32"/>
      <c r="Q60" s="2" t="str">
        <f>IF(ISBLANK(Planif[[#This Row],[Nom de la tâche]]),"",IF(VLOOKUP(D60,CorrespondanceSprint,2)&lt;$R$12,"Sprint antérieur",IF(VLOOKUP(D60,CorrespondanceSprint,2)=$R$12,"Sprint courant","Sprint suivant")))</f>
        <v/>
      </c>
      <c r="R60" s="2" t="str">
        <f>IF(ISBLANK(Planif[[#This Row],[Nom de la tâche]]),"",IF(Suivi3[[#This Row],[Avancement à ce jour]]=0%, IF(VLOOKUP(D60,CorrespondanceSprint,2)&lt;=$R$12,"En retard","Non débutée"), IF(Suivi3[[#This Row],[Avancement à ce jour]]&lt;100%,IF(VLOOKUP(D60,CorrespondanceSprint,2)&lt;=$R$12,"En retard","En cours"),"Terminée")))</f>
        <v/>
      </c>
      <c r="S60" s="1"/>
    </row>
    <row r="61" spans="2:19" x14ac:dyDescent="0.2">
      <c r="B61" s="46" t="str">
        <f>Planif[[#This Row],[Numéro de la tâche]]</f>
        <v/>
      </c>
      <c r="C61" s="47" t="str">
        <f>IF(ISBLANK(Planif[[#This Row],[Nom de la tâche]]),"",Planif[[#This Row],[Nom de la tâche]])</f>
        <v/>
      </c>
      <c r="D61" s="46" t="str">
        <f>IF(ISBLANK(Planif[[#This Row],[Nom de la tâche]]),"",Planif[[#This Row],[Sprint visé]])</f>
        <v/>
      </c>
      <c r="E61" s="52" t="str">
        <f>IF(ISBLANK(Planif[[#This Row],[Nom de la tâche]]),"",Suivi2[[#This Row],[Temps mis pour le sprint précédent]]+Suivi2[[#This Row],[Temps investi pour ce sprint]])</f>
        <v/>
      </c>
      <c r="F61" s="54" t="str">
        <f>IF(ISBLANK(Planif[[#This Row],[Nom de la tâche]]),"",Suivi2[[#This Row],[Avancement à ce jour]])</f>
        <v/>
      </c>
      <c r="G61" s="30"/>
      <c r="H61" s="28"/>
      <c r="I61" s="32"/>
      <c r="J61" s="32"/>
      <c r="Q61" s="2" t="str">
        <f>IF(ISBLANK(Planif[[#This Row],[Nom de la tâche]]),"",IF(VLOOKUP(D61,CorrespondanceSprint,2)&lt;$R$12,"Sprint antérieur",IF(VLOOKUP(D61,CorrespondanceSprint,2)=$R$12,"Sprint courant","Sprint suivant")))</f>
        <v/>
      </c>
      <c r="R61" s="2" t="str">
        <f>IF(ISBLANK(Planif[[#This Row],[Nom de la tâche]]),"",IF(Suivi3[[#This Row],[Avancement à ce jour]]=0%, IF(VLOOKUP(D61,CorrespondanceSprint,2)&lt;=$R$12,"En retard","Non débutée"), IF(Suivi3[[#This Row],[Avancement à ce jour]]&lt;100%,IF(VLOOKUP(D61,CorrespondanceSprint,2)&lt;=$R$12,"En retard","En cours"),"Terminée")))</f>
        <v/>
      </c>
      <c r="S61" s="1"/>
    </row>
    <row r="62" spans="2:19" x14ac:dyDescent="0.2">
      <c r="B62" s="48" t="str">
        <f>Planif[[#This Row],[Numéro de la tâche]]</f>
        <v/>
      </c>
      <c r="C62" s="47" t="str">
        <f>IF(ISBLANK(Planif[[#This Row],[Nom de la tâche]]),"",Planif[[#This Row],[Nom de la tâche]])</f>
        <v/>
      </c>
      <c r="D62" s="46" t="str">
        <f>IF(ISBLANK(Planif[[#This Row],[Nom de la tâche]]),"",Planif[[#This Row],[Sprint visé]])</f>
        <v/>
      </c>
      <c r="E62" s="52" t="str">
        <f>IF(ISBLANK(Planif[[#This Row],[Nom de la tâche]]),"",Suivi2[[#This Row],[Temps mis pour le sprint précédent]]+Suivi2[[#This Row],[Temps investi pour ce sprint]])</f>
        <v/>
      </c>
      <c r="F62" s="54" t="str">
        <f>IF(ISBLANK(Planif[[#This Row],[Nom de la tâche]]),"",Suivi2[[#This Row],[Avancement à ce jour]])</f>
        <v/>
      </c>
      <c r="G62" s="30"/>
      <c r="H62" s="28"/>
      <c r="I62" s="32"/>
      <c r="J62" s="32"/>
      <c r="Q62" s="2" t="str">
        <f>IF(ISBLANK(Planif[[#This Row],[Nom de la tâche]]),"",IF(VLOOKUP(D62,CorrespondanceSprint,2)&lt;$R$12,"Sprint antérieur",IF(VLOOKUP(D62,CorrespondanceSprint,2)=$R$12,"Sprint courant","Sprint suivant")))</f>
        <v/>
      </c>
      <c r="R62" s="2" t="str">
        <f>IF(ISBLANK(Planif[[#This Row],[Nom de la tâche]]),"",IF(Suivi3[[#This Row],[Avancement à ce jour]]=0%, IF(VLOOKUP(D62,CorrespondanceSprint,2)&lt;=$R$12,"En retard","Non débutée"), IF(Suivi3[[#This Row],[Avancement à ce jour]]&lt;100%,IF(VLOOKUP(D62,CorrespondanceSprint,2)&lt;=$R$12,"En retard","En cours"),"Terminée")))</f>
        <v/>
      </c>
      <c r="S62" s="1"/>
    </row>
    <row r="63" spans="2:19" x14ac:dyDescent="0.2">
      <c r="Q63" s="2">
        <f>COUNTIF($R$13:$R$62,R63)</f>
        <v>6</v>
      </c>
      <c r="R63" s="2" t="s">
        <v>45</v>
      </c>
      <c r="S63" s="1"/>
    </row>
    <row r="64" spans="2:19" x14ac:dyDescent="0.2">
      <c r="B64" s="9" t="s">
        <v>49</v>
      </c>
      <c r="Q64" s="2">
        <f>COUNTIF($R$13:$R$62,R64)</f>
        <v>0</v>
      </c>
      <c r="R64" s="2" t="s">
        <v>46</v>
      </c>
      <c r="S64" s="1"/>
    </row>
    <row r="65" spans="3:19" x14ac:dyDescent="0.2">
      <c r="C65" s="1" t="str">
        <f>" - " &amp; Q63 &amp; " tâche(s) non débutée(s) sans être en retard."</f>
        <v xml:space="preserve"> - 6 tâche(s) non débutée(s) sans être en retard.</v>
      </c>
      <c r="D65" s="13"/>
      <c r="E65" s="13"/>
      <c r="F65" s="13"/>
      <c r="Q65" s="2">
        <f>COUNTIF($R$13:$R$62,R65)</f>
        <v>0</v>
      </c>
      <c r="R65" s="2" t="s">
        <v>47</v>
      </c>
    </row>
    <row r="66" spans="3:19" x14ac:dyDescent="0.2">
      <c r="C66" s="1" t="str">
        <f>" - " &amp; Q64 &amp; " tâche(s) en cours."</f>
        <v xml:space="preserve"> - 0 tâche(s) en cours.</v>
      </c>
      <c r="Q66" s="2">
        <f>COUNTIF($R$13:$R$62,R66)</f>
        <v>6</v>
      </c>
      <c r="R66" s="2" t="s">
        <v>48</v>
      </c>
    </row>
    <row r="67" spans="3:19" x14ac:dyDescent="0.2">
      <c r="C67" s="1" t="str">
        <f>" - " &amp; Q65 &amp; " tâche(s) en retard."</f>
        <v xml:space="preserve"> - 0 tâche(s) en retard.</v>
      </c>
      <c r="Q67" s="2" t="s">
        <v>39</v>
      </c>
      <c r="R67" s="2" t="s">
        <v>38</v>
      </c>
      <c r="S67" s="2" t="s">
        <v>40</v>
      </c>
    </row>
    <row r="68" spans="3:19" x14ac:dyDescent="0.2">
      <c r="C68" s="1" t="str">
        <f>" - " &amp; Q66 &amp; " tâche(s) terminée(s)."</f>
        <v xml:space="preserve"> - 6 tâche(s) terminée(s).</v>
      </c>
      <c r="Q68" s="10">
        <f>SUM(Suivi3[Temps investi pour ce sprint])</f>
        <v>0.18750000000000011</v>
      </c>
      <c r="R68" s="51">
        <f>HOUR(Q68)+DAY(Q68)*24</f>
        <v>4</v>
      </c>
      <c r="S68" s="2">
        <f>MINUTE(Q68)</f>
        <v>30</v>
      </c>
    </row>
  </sheetData>
  <sheetProtection password="D073" sheet="1" objects="1" scenarios="1" selectLockedCells="1"/>
  <mergeCells count="2">
    <mergeCell ref="B2:J2"/>
    <mergeCell ref="B9:J9"/>
  </mergeCells>
  <conditionalFormatting sqref="G13:J13 G21:J21 G23:J23 G25:J25 G27:J27 G29:J29 G31:J31 G33:J33 G35:J35 G37:J37 G39:J39 G41:J41 G43:J43 G45:J45 G47:J47 G49:J49 G51:J51 G53:J53 G55:J55 G57:J57 G59:J59 G61:J61 G19:J19 G15:J15 G17:J17">
    <cfRule type="expression" dxfId="72" priority="17">
      <formula>$R13="En retard"</formula>
    </cfRule>
    <cfRule type="expression" dxfId="71" priority="19">
      <formula>$R13="En cours"</formula>
    </cfRule>
  </conditionalFormatting>
  <conditionalFormatting sqref="G14:J14 G16:J16 G18:J18 G22:J22 G24:J24 G26:J26 G28:J28 G30:J30 G32:J32 G34:J34 G36:J36 G38:J38 G40:J40 G42:J42 G44:J44 G46:J46 G48:J48 G50:J50 G52:J52 G54:J54 G56:J56 G58:J58 G60:J60 G62:J62 G20:J20">
    <cfRule type="expression" dxfId="70" priority="18">
      <formula>$R14="En retard"</formula>
    </cfRule>
    <cfRule type="expression" dxfId="69" priority="20">
      <formula>$R14="En cours"</formula>
    </cfRule>
  </conditionalFormatting>
  <conditionalFormatting sqref="G13:J62">
    <cfRule type="expression" dxfId="68" priority="21">
      <formula>$R13="Terminée"</formula>
    </cfRule>
    <cfRule type="expression" dxfId="67" priority="22">
      <formula>$R13="Non débutée"</formula>
    </cfRule>
  </conditionalFormatting>
  <conditionalFormatting sqref="B14:F62 B13:D13">
    <cfRule type="expression" dxfId="66" priority="14">
      <formula>$Q13="Sprint suivant"</formula>
    </cfRule>
    <cfRule type="expression" dxfId="65" priority="15">
      <formula>$Q13="Sprint courant"</formula>
    </cfRule>
    <cfRule type="expression" dxfId="64" priority="16">
      <formula>$Q13="Sprint antérieur"</formula>
    </cfRule>
  </conditionalFormatting>
  <conditionalFormatting sqref="I16">
    <cfRule type="expression" dxfId="63" priority="12">
      <formula>$R16="En retard"</formula>
    </cfRule>
    <cfRule type="expression" dxfId="62" priority="13">
      <formula>$R16="En cours"</formula>
    </cfRule>
  </conditionalFormatting>
  <conditionalFormatting sqref="J16">
    <cfRule type="expression" dxfId="61" priority="10">
      <formula>$R16="En retard"</formula>
    </cfRule>
    <cfRule type="expression" dxfId="60" priority="11">
      <formula>$R16="En cours"</formula>
    </cfRule>
  </conditionalFormatting>
  <conditionalFormatting sqref="I22:J22">
    <cfRule type="expression" dxfId="59" priority="8">
      <formula>$R22="En retard"</formula>
    </cfRule>
    <cfRule type="expression" dxfId="58" priority="9">
      <formula>$R22="En cours"</formula>
    </cfRule>
  </conditionalFormatting>
  <conditionalFormatting sqref="I23:J23">
    <cfRule type="expression" dxfId="57" priority="6">
      <formula>$R23="En retard"</formula>
    </cfRule>
    <cfRule type="expression" dxfId="56" priority="7">
      <formula>$R23="En cours"</formula>
    </cfRule>
  </conditionalFormatting>
  <conditionalFormatting sqref="I23:J23">
    <cfRule type="expression" dxfId="55" priority="4">
      <formula>$R23="En retard"</formula>
    </cfRule>
    <cfRule type="expression" dxfId="54" priority="5">
      <formula>$R23="En cours"</formula>
    </cfRule>
  </conditionalFormatting>
  <conditionalFormatting sqref="E13:F13">
    <cfRule type="expression" dxfId="53" priority="1">
      <formula>$Q13="Sprint suivant"</formula>
    </cfRule>
    <cfRule type="expression" dxfId="52" priority="2">
      <formula>$Q13="Sprint courant"</formula>
    </cfRule>
    <cfRule type="expression" dxfId="51" priority="3">
      <formula>$Q13="Sprint antérieur"</formula>
    </cfRule>
  </conditionalFormatting>
  <dataValidations count="2">
    <dataValidation type="list" allowBlank="1" showInputMessage="1" showErrorMessage="1" errorTitle="Saisie erronnée" error="Vous ne pouvez saisir que des estimations de temps entre 0 et 12 heures par interval de 15 minutes._x000a__x000a_Si votre tâche requiert plus de temps, c'est que vous pouvez la scinder en plusieurs sous-tâches." promptTitle="Temps requis" prompt="Veuillez saisir le temps investi pour la réalisation de la tâche." sqref="G13:G62">
      <formula1>TempsTravaille</formula1>
    </dataValidation>
    <dataValidation type="list" allowBlank="1" showInputMessage="1" showErrorMessage="1" errorTitle="Saisie erronnée" error="Vous ne pouvez saisir que des avancements de 0% à 100% par interval de 5%." promptTitle="Avancement" prompt="Veuillez saisir l'avancement fait de la tâche en pourcentage." sqref="H13:H62">
      <formula1>Avancement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8"/>
  <sheetViews>
    <sheetView showGridLines="0" workbookViewId="0">
      <selection activeCell="G13" sqref="G13"/>
    </sheetView>
  </sheetViews>
  <sheetFormatPr baseColWidth="10" defaultRowHeight="10.199999999999999" x14ac:dyDescent="0.2"/>
  <cols>
    <col min="1" max="1" width="1.109375" style="1" customWidth="1"/>
    <col min="2" max="2" width="2.77734375" style="1" customWidth="1"/>
    <col min="3" max="3" width="38.88671875" style="1" customWidth="1"/>
    <col min="4" max="6" width="8.33203125" style="2" customWidth="1"/>
    <col min="7" max="8" width="8.33203125" style="1" customWidth="1"/>
    <col min="9" max="10" width="36.77734375" style="1" customWidth="1"/>
    <col min="11" max="11" width="1.109375" style="1" customWidth="1"/>
    <col min="12" max="13" width="1.109375" style="1" hidden="1" customWidth="1"/>
    <col min="14" max="14" width="14" style="1" hidden="1" customWidth="1"/>
    <col min="15" max="16" width="1.109375" style="1" hidden="1" customWidth="1"/>
    <col min="17" max="19" width="0" style="2" hidden="1" customWidth="1"/>
    <col min="20" max="16384" width="11.5546875" style="1"/>
  </cols>
  <sheetData>
    <row r="1" spans="2:19" ht="6" customHeight="1" x14ac:dyDescent="0.2">
      <c r="S1" s="1"/>
    </row>
    <row r="2" spans="2:19" ht="18" customHeight="1" x14ac:dyDescent="0.4">
      <c r="B2" s="79" t="str">
        <f>NomProjet</f>
        <v>Nom du projet</v>
      </c>
      <c r="C2" s="79"/>
      <c r="D2" s="79"/>
      <c r="E2" s="79"/>
      <c r="F2" s="79"/>
      <c r="G2" s="79"/>
      <c r="H2" s="79"/>
      <c r="I2" s="79"/>
      <c r="J2" s="79"/>
      <c r="S2" s="1"/>
    </row>
    <row r="3" spans="2:19" ht="6" customHeight="1" x14ac:dyDescent="0.2">
      <c r="B3" s="3"/>
      <c r="S3" s="1"/>
    </row>
    <row r="4" spans="2:19" x14ac:dyDescent="0.2">
      <c r="C4" s="3"/>
      <c r="G4" s="3"/>
      <c r="I4" s="4"/>
      <c r="J4" s="14"/>
      <c r="S4" s="1"/>
    </row>
    <row r="5" spans="2:19" x14ac:dyDescent="0.2">
      <c r="I5" s="4"/>
      <c r="J5" s="15"/>
      <c r="S5" s="1"/>
    </row>
    <row r="6" spans="2:19" x14ac:dyDescent="0.2">
      <c r="I6" s="4"/>
      <c r="J6" s="15"/>
      <c r="S6" s="1"/>
    </row>
    <row r="7" spans="2:19" ht="6" customHeight="1" x14ac:dyDescent="0.2">
      <c r="S7" s="1"/>
    </row>
    <row r="8" spans="2:19" ht="6" customHeight="1" x14ac:dyDescent="0.2">
      <c r="S8" s="1"/>
    </row>
    <row r="9" spans="2:19" ht="15.6" customHeight="1" x14ac:dyDescent="0.2">
      <c r="B9" s="75" t="str">
        <f>"Ce sprint totalise " &amp; R68 &amp; " heures et " &amp; S68 &amp; " minutes de travail réalisé. "</f>
        <v xml:space="preserve">Ce sprint totalise 8 heures et 0 minutes de travail réalisé. </v>
      </c>
      <c r="C9" s="75"/>
      <c r="D9" s="75"/>
      <c r="E9" s="75"/>
      <c r="F9" s="75"/>
      <c r="G9" s="75"/>
      <c r="H9" s="75"/>
      <c r="I9" s="75"/>
      <c r="J9" s="75"/>
      <c r="S9" s="1"/>
    </row>
    <row r="10" spans="2:19" x14ac:dyDescent="0.2">
      <c r="J10" s="19" t="str">
        <f>IF(Q65=0,"",IF(Q65=1,"1 tâche n'a pas été complétée. ",Q65&amp;" tâches n'ont pas été complétées. "))</f>
        <v xml:space="preserve">1 tâche n'a pas été complétée. </v>
      </c>
      <c r="S10" s="1"/>
    </row>
    <row r="11" spans="2:19" ht="6" customHeight="1" x14ac:dyDescent="0.2">
      <c r="S11" s="1"/>
    </row>
    <row r="12" spans="2:19" ht="73.2" customHeight="1" thickBot="1" x14ac:dyDescent="0.25">
      <c r="B12" s="25" t="s">
        <v>0</v>
      </c>
      <c r="C12" s="26" t="s">
        <v>1</v>
      </c>
      <c r="D12" s="25" t="s">
        <v>44</v>
      </c>
      <c r="E12" s="25" t="s">
        <v>82</v>
      </c>
      <c r="F12" s="25" t="s">
        <v>83</v>
      </c>
      <c r="G12" s="22" t="s">
        <v>57</v>
      </c>
      <c r="H12" s="25" t="s">
        <v>85</v>
      </c>
      <c r="I12" s="26" t="s">
        <v>36</v>
      </c>
      <c r="J12" s="26" t="s">
        <v>37</v>
      </c>
      <c r="M12" s="40"/>
      <c r="N12" s="40"/>
      <c r="O12" s="40"/>
      <c r="Q12" s="2" t="s">
        <v>10</v>
      </c>
      <c r="R12" s="2">
        <f>VLOOKUP($Q$12,CorrespondanceSprint,2)</f>
        <v>4</v>
      </c>
      <c r="S12" s="1"/>
    </row>
    <row r="13" spans="2:19" ht="12.6" thickBot="1" x14ac:dyDescent="0.35">
      <c r="B13" s="46">
        <f>Planif[[#This Row],[Numéro de la tâche]]</f>
        <v>1</v>
      </c>
      <c r="C13" s="47" t="str">
        <f>IF(ISBLANK(Planif[[#This Row],[Nom de la tâche]]),"",Planif[[#This Row],[Nom de la tâche]])</f>
        <v>Réaliser les éléments de conceptions techniques</v>
      </c>
      <c r="D13" s="46" t="str">
        <f>IF(ISBLANK(Planif[[#This Row],[Nom de la tâche]]),"",Planif[[#This Row],[Sprint visé]])</f>
        <v>Sprint 1</v>
      </c>
      <c r="E13" s="52">
        <f>IF(ISBLANK(Planif[[#This Row],[Nom de la tâche]]),"",Suivi3[[#This Row],[Temps mis pour le sprint précédent]]+Suivi3[[#This Row],[Temps investi pour ce sprint]])</f>
        <v>0.46875000000003542</v>
      </c>
      <c r="F13" s="53">
        <f>IF(ISBLANK(Planif[[#This Row],[Nom de la tâche]]),"",Suivi3[[#This Row],[Avancement à ce jour]])</f>
        <v>1</v>
      </c>
      <c r="G13" s="29">
        <v>0</v>
      </c>
      <c r="H13" s="27">
        <v>1</v>
      </c>
      <c r="I13" s="31" t="s">
        <v>50</v>
      </c>
      <c r="J13" s="31" t="s">
        <v>50</v>
      </c>
      <c r="M13" s="41"/>
      <c r="N13" s="42" t="s">
        <v>55</v>
      </c>
      <c r="O13" s="41"/>
      <c r="Q13" s="2" t="str">
        <f>IF(ISBLANK(Planif[[#This Row],[Nom de la tâche]]),"",IF(VLOOKUP(D13,CorrespondanceSprint,2)&lt;$R$12,"Sprint antérieur",IF(VLOOKUP(D13,CorrespondanceSprint,2)=$R$12,"Sprint courant","Sprint suivant")))</f>
        <v>Sprint antérieur</v>
      </c>
      <c r="R13" s="2" t="str">
        <f>IF(ISBLANK(Planif[[#This Row],[Nom de la tâche]]),"",IF(Suivi4[[#This Row],[Avancement final]]=0%, IF(VLOOKUP(D13,CorrespondanceSprint,2)&lt;=$R$12,"En retard","Non débutée"), IF(Suivi4[[#This Row],[Avancement final]]&lt;100%,IF(VLOOKUP(D13,CorrespondanceSprint,2)&lt;=$R$12,"En retard","En cours"),"Terminée")))</f>
        <v>Terminée</v>
      </c>
      <c r="S13" s="1"/>
    </row>
    <row r="14" spans="2:19" x14ac:dyDescent="0.2">
      <c r="B14" s="46">
        <f>Planif[[#This Row],[Numéro de la tâche]]</f>
        <v>2</v>
      </c>
      <c r="C14" s="47" t="str">
        <f>IF(ISBLANK(Planif[[#This Row],[Nom de la tâche]]),"",Planif[[#This Row],[Nom de la tâche]])</f>
        <v>Rédaction du document de conception</v>
      </c>
      <c r="D14" s="46" t="str">
        <f>IF(ISBLANK(Planif[[#This Row],[Nom de la tâche]]),"",Planif[[#This Row],[Sprint visé]])</f>
        <v>Sprint 1</v>
      </c>
      <c r="E14" s="52">
        <f>IF(ISBLANK(Planif[[#This Row],[Nom de la tâche]]),"",Suivi3[[#This Row],[Temps mis pour le sprint précédent]]+Suivi3[[#This Row],[Temps investi pour ce sprint]])</f>
        <v>0.104166666666667</v>
      </c>
      <c r="F14" s="53">
        <f>IF(ISBLANK(Planif[[#This Row],[Nom de la tâche]]),"",Suivi3[[#This Row],[Avancement à ce jour]])</f>
        <v>1</v>
      </c>
      <c r="G14" s="29">
        <v>0</v>
      </c>
      <c r="H14" s="27">
        <v>1</v>
      </c>
      <c r="I14" s="31" t="s">
        <v>50</v>
      </c>
      <c r="J14" s="31" t="s">
        <v>50</v>
      </c>
      <c r="K14" s="35"/>
      <c r="L14" s="44"/>
      <c r="M14" s="35"/>
      <c r="N14" s="35"/>
      <c r="O14" s="43"/>
      <c r="Q14" s="2" t="str">
        <f>IF(ISBLANK(Planif[[#This Row],[Nom de la tâche]]),"",IF(VLOOKUP(D14,CorrespondanceSprint,2)&lt;$R$12,"Sprint antérieur",IF(VLOOKUP(D14,CorrespondanceSprint,2)=$R$12,"Sprint courant","Sprint suivant")))</f>
        <v>Sprint antérieur</v>
      </c>
      <c r="R14" s="2" t="str">
        <f>IF(ISBLANK(Planif[[#This Row],[Nom de la tâche]]),"",IF(Suivi4[[#This Row],[Avancement final]]=0%, IF(VLOOKUP(D14,CorrespondanceSprint,2)&lt;=$R$12,"En retard","Non débutée"), IF(Suivi4[[#This Row],[Avancement final]]&lt;100%,IF(VLOOKUP(D14,CorrespondanceSprint,2)&lt;=$R$12,"En retard","En cours"),"Terminée")))</f>
        <v>Terminée</v>
      </c>
      <c r="S14" s="1"/>
    </row>
    <row r="15" spans="2:19" x14ac:dyDescent="0.2">
      <c r="B15" s="46">
        <f>Planif[[#This Row],[Numéro de la tâche]]</f>
        <v>3</v>
      </c>
      <c r="C15" s="47" t="str">
        <f>IF(ISBLANK(Planif[[#This Row],[Nom de la tâche]]),"",Planif[[#This Row],[Nom de la tâche]])</f>
        <v>Rédaction du document de planification</v>
      </c>
      <c r="D15" s="46" t="str">
        <f>IF(ISBLANK(Planif[[#This Row],[Nom de la tâche]]),"",Planif[[#This Row],[Sprint visé]])</f>
        <v>Sprint 1</v>
      </c>
      <c r="E15" s="52">
        <f>IF(ISBLANK(Planif[[#This Row],[Nom de la tâche]]),"",Suivi3[[#This Row],[Temps mis pour le sprint précédent]]+Suivi3[[#This Row],[Temps investi pour ce sprint]])</f>
        <v>2.0833333333333332E-2</v>
      </c>
      <c r="F15" s="53">
        <f>IF(ISBLANK(Planif[[#This Row],[Nom de la tâche]]),"",Suivi3[[#This Row],[Avancement à ce jour]])</f>
        <v>1</v>
      </c>
      <c r="G15" s="29">
        <v>0</v>
      </c>
      <c r="H15" s="27">
        <v>1</v>
      </c>
      <c r="I15" s="31" t="s">
        <v>50</v>
      </c>
      <c r="J15" s="31" t="s">
        <v>50</v>
      </c>
      <c r="K15" s="35"/>
      <c r="L15" s="44"/>
      <c r="M15" s="35"/>
      <c r="N15" s="36" t="s">
        <v>51</v>
      </c>
      <c r="O15" s="44"/>
      <c r="Q15" s="2" t="str">
        <f>IF(ISBLANK(Planif[[#This Row],[Nom de la tâche]]),"",IF(VLOOKUP(D15,CorrespondanceSprint,2)&lt;$R$12,"Sprint antérieur",IF(VLOOKUP(D15,CorrespondanceSprint,2)=$R$12,"Sprint courant","Sprint suivant")))</f>
        <v>Sprint antérieur</v>
      </c>
      <c r="R15" s="2" t="str">
        <f>IF(ISBLANK(Planif[[#This Row],[Nom de la tâche]]),"",IF(Suivi4[[#This Row],[Avancement final]]=0%, IF(VLOOKUP(D15,CorrespondanceSprint,2)&lt;=$R$12,"En retard","Non débutée"), IF(Suivi4[[#This Row],[Avancement final]]&lt;100%,IF(VLOOKUP(D15,CorrespondanceSprint,2)&lt;=$R$12,"En retard","En cours"),"Terminée")))</f>
        <v>Terminée</v>
      </c>
      <c r="S15" s="1"/>
    </row>
    <row r="16" spans="2:19" x14ac:dyDescent="0.2">
      <c r="B16" s="46">
        <f>Planif[[#This Row],[Numéro de la tâche]]</f>
        <v>4</v>
      </c>
      <c r="C16" s="47" t="str">
        <f>IF(ISBLANK(Planif[[#This Row],[Nom de la tâche]]),"",Planif[[#This Row],[Nom de la tâche]])</f>
        <v>Prototypage de l'algorithme de planification de trajectoire</v>
      </c>
      <c r="D16" s="46" t="str">
        <f>IF(ISBLANK(Planif[[#This Row],[Nom de la tâche]]),"",Planif[[#This Row],[Sprint visé]])</f>
        <v>Sprint 1</v>
      </c>
      <c r="E16" s="52">
        <f>IF(ISBLANK(Planif[[#This Row],[Nom de la tâche]]),"",Suivi3[[#This Row],[Temps mis pour le sprint précédent]]+Suivi3[[#This Row],[Temps investi pour ce sprint]])</f>
        <v>0.25000000000000011</v>
      </c>
      <c r="F16" s="53">
        <f>IF(ISBLANK(Planif[[#This Row],[Nom de la tâche]]),"",Suivi3[[#This Row],[Avancement à ce jour]])</f>
        <v>1</v>
      </c>
      <c r="G16" s="29">
        <v>0</v>
      </c>
      <c r="H16" s="27">
        <v>1</v>
      </c>
      <c r="I16" s="31" t="s">
        <v>50</v>
      </c>
      <c r="J16" s="31" t="s">
        <v>50</v>
      </c>
      <c r="K16" s="35"/>
      <c r="L16" s="44"/>
      <c r="M16" s="35"/>
      <c r="N16" s="37" t="s">
        <v>52</v>
      </c>
      <c r="O16" s="44"/>
      <c r="Q16" s="2" t="str">
        <f>IF(ISBLANK(Planif[[#This Row],[Nom de la tâche]]),"",IF(VLOOKUP(D16,CorrespondanceSprint,2)&lt;$R$12,"Sprint antérieur",IF(VLOOKUP(D16,CorrespondanceSprint,2)=$R$12,"Sprint courant","Sprint suivant")))</f>
        <v>Sprint antérieur</v>
      </c>
      <c r="R16" s="2" t="str">
        <f>IF(ISBLANK(Planif[[#This Row],[Nom de la tâche]]),"",IF(Suivi4[[#This Row],[Avancement final]]=0%, IF(VLOOKUP(D16,CorrespondanceSprint,2)&lt;=$R$12,"En retard","Non débutée"), IF(Suivi4[[#This Row],[Avancement final]]&lt;100%,IF(VLOOKUP(D16,CorrespondanceSprint,2)&lt;=$R$12,"En retard","En cours"),"Terminée")))</f>
        <v>Terminée</v>
      </c>
      <c r="S16" s="1"/>
    </row>
    <row r="17" spans="2:19" x14ac:dyDescent="0.2">
      <c r="B17" s="46">
        <f>Planif[[#This Row],[Numéro de la tâche]]</f>
        <v>5</v>
      </c>
      <c r="C17" s="47" t="str">
        <f>IF(ISBLANK(Planif[[#This Row],[Nom de la tâche]]),"",Planif[[#This Row],[Nom de la tâche]])</f>
        <v>Finalisation et remise de l'application finale</v>
      </c>
      <c r="D17" s="46" t="str">
        <f>IF(ISBLANK(Planif[[#This Row],[Nom de la tâche]]),"",Planif[[#This Row],[Sprint visé]])</f>
        <v>Sprint 4</v>
      </c>
      <c r="E17" s="52">
        <f>IF(ISBLANK(Planif[[#This Row],[Nom de la tâche]]),"",Suivi3[[#This Row],[Temps mis pour le sprint précédent]]+Suivi3[[#This Row],[Temps investi pour ce sprint]])</f>
        <v>0</v>
      </c>
      <c r="F17" s="53">
        <f>IF(ISBLANK(Planif[[#This Row],[Nom de la tâche]]),"",Suivi3[[#This Row],[Avancement à ce jour]])</f>
        <v>0</v>
      </c>
      <c r="G17" s="29">
        <v>8.3333333333333398E-2</v>
      </c>
      <c r="H17" s="27">
        <v>1</v>
      </c>
      <c r="I17" s="31" t="s">
        <v>50</v>
      </c>
      <c r="J17" s="31" t="s">
        <v>50</v>
      </c>
      <c r="K17" s="35"/>
      <c r="L17" s="44"/>
      <c r="M17" s="35"/>
      <c r="N17" s="38" t="s">
        <v>53</v>
      </c>
      <c r="O17" s="44"/>
      <c r="Q17" s="2" t="str">
        <f>IF(ISBLANK(Planif[[#This Row],[Nom de la tâche]]),"",IF(VLOOKUP(D17,CorrespondanceSprint,2)&lt;$R$12,"Sprint antérieur",IF(VLOOKUP(D17,CorrespondanceSprint,2)=$R$12,"Sprint courant","Sprint suivant")))</f>
        <v>Sprint courant</v>
      </c>
      <c r="R17" s="2" t="str">
        <f>IF(ISBLANK(Planif[[#This Row],[Nom de la tâche]]),"",IF(Suivi4[[#This Row],[Avancement final]]=0%, IF(VLOOKUP(D17,CorrespondanceSprint,2)&lt;=$R$12,"En retard","Non débutée"), IF(Suivi4[[#This Row],[Avancement final]]&lt;100%,IF(VLOOKUP(D17,CorrespondanceSprint,2)&lt;=$R$12,"En retard","En cours"),"Terminée")))</f>
        <v>Terminée</v>
      </c>
      <c r="S17" s="1"/>
    </row>
    <row r="18" spans="2:19" x14ac:dyDescent="0.2">
      <c r="B18" s="46">
        <f>Planif[[#This Row],[Numéro de la tâche]]</f>
        <v>6</v>
      </c>
      <c r="C18" s="47" t="str">
        <f>IF(ISBLANK(Planif[[#This Row],[Nom de la tâche]]),"",Planif[[#This Row],[Nom de la tâche]])</f>
        <v>Rédaction du document LisezMoi.txt</v>
      </c>
      <c r="D18" s="46" t="str">
        <f>IF(ISBLANK(Planif[[#This Row],[Nom de la tâche]]),"",Planif[[#This Row],[Sprint visé]])</f>
        <v>Sprint 4</v>
      </c>
      <c r="E18" s="52">
        <f>IF(ISBLANK(Planif[[#This Row],[Nom de la tâche]]),"",Suivi3[[#This Row],[Temps mis pour le sprint précédent]]+Suivi3[[#This Row],[Temps investi pour ce sprint]])</f>
        <v>0</v>
      </c>
      <c r="F18" s="53">
        <f>IF(ISBLANK(Planif[[#This Row],[Nom de la tâche]]),"",Suivi3[[#This Row],[Avancement à ce jour]])</f>
        <v>0</v>
      </c>
      <c r="G18" s="29">
        <v>1.0416666666666666E-2</v>
      </c>
      <c r="H18" s="27">
        <v>1</v>
      </c>
      <c r="I18" s="31" t="s">
        <v>50</v>
      </c>
      <c r="J18" s="31" t="s">
        <v>50</v>
      </c>
      <c r="K18" s="35"/>
      <c r="L18" s="44"/>
      <c r="M18" s="35"/>
      <c r="N18" s="39" t="s">
        <v>54</v>
      </c>
      <c r="O18" s="44"/>
      <c r="Q18" s="2" t="str">
        <f>IF(ISBLANK(Planif[[#This Row],[Nom de la tâche]]),"",IF(VLOOKUP(D18,CorrespondanceSprint,2)&lt;$R$12,"Sprint antérieur",IF(VLOOKUP(D18,CorrespondanceSprint,2)=$R$12,"Sprint courant","Sprint suivant")))</f>
        <v>Sprint courant</v>
      </c>
      <c r="R18" s="2" t="str">
        <f>IF(ISBLANK(Planif[[#This Row],[Nom de la tâche]]),"",IF(Suivi4[[#This Row],[Avancement final]]=0%, IF(VLOOKUP(D18,CorrespondanceSprint,2)&lt;=$R$12,"En retard","Non débutée"), IF(Suivi4[[#This Row],[Avancement final]]&lt;100%,IF(VLOOKUP(D18,CorrespondanceSprint,2)&lt;=$R$12,"En retard","En cours"),"Terminée")))</f>
        <v>Terminée</v>
      </c>
      <c r="S18" s="1"/>
    </row>
    <row r="19" spans="2:19" ht="10.8" thickBot="1" x14ac:dyDescent="0.25">
      <c r="B19" s="46">
        <f>Planif[[#This Row],[Numéro de la tâche]]</f>
        <v>7</v>
      </c>
      <c r="C19" s="47" t="str">
        <f>IF(ISBLANK(Planif[[#This Row],[Nom de la tâche]]),"",Planif[[#This Row],[Nom de la tâche]])</f>
        <v>Rédaction du manuel de l'usager</v>
      </c>
      <c r="D19" s="46" t="str">
        <f>IF(ISBLANK(Planif[[#This Row],[Nom de la tâche]]),"",Planif[[#This Row],[Sprint visé]])</f>
        <v>Sprint 4</v>
      </c>
      <c r="E19" s="52">
        <f>IF(ISBLANK(Planif[[#This Row],[Nom de la tâche]]),"",Suivi3[[#This Row],[Temps mis pour le sprint précédent]]+Suivi3[[#This Row],[Temps investi pour ce sprint]])</f>
        <v>0</v>
      </c>
      <c r="F19" s="53">
        <f>IF(ISBLANK(Planif[[#This Row],[Nom de la tâche]]),"",Suivi3[[#This Row],[Avancement à ce jour]])</f>
        <v>0</v>
      </c>
      <c r="G19" s="29">
        <v>4.1666666666666699E-2</v>
      </c>
      <c r="H19" s="27">
        <v>1</v>
      </c>
      <c r="I19" s="31" t="s">
        <v>50</v>
      </c>
      <c r="J19" s="31" t="s">
        <v>50</v>
      </c>
      <c r="K19" s="35"/>
      <c r="L19" s="44"/>
      <c r="M19" s="40"/>
      <c r="N19" s="40"/>
      <c r="O19" s="45"/>
      <c r="Q19" s="2" t="str">
        <f>IF(ISBLANK(Planif[[#This Row],[Nom de la tâche]]),"",IF(VLOOKUP(D19,CorrespondanceSprint,2)&lt;$R$12,"Sprint antérieur",IF(VLOOKUP(D19,CorrespondanceSprint,2)=$R$12,"Sprint courant","Sprint suivant")))</f>
        <v>Sprint courant</v>
      </c>
      <c r="R19" s="2" t="str">
        <f>IF(ISBLANK(Planif[[#This Row],[Nom de la tâche]]),"",IF(Suivi4[[#This Row],[Avancement final]]=0%, IF(VLOOKUP(D19,CorrespondanceSprint,2)&lt;=$R$12,"En retard","Non débutée"), IF(Suivi4[[#This Row],[Avancement final]]&lt;100%,IF(VLOOKUP(D19,CorrespondanceSprint,2)&lt;=$R$12,"En retard","En cours"),"Terminée")))</f>
        <v>Terminée</v>
      </c>
      <c r="S19" s="1"/>
    </row>
    <row r="20" spans="2:19" x14ac:dyDescent="0.2">
      <c r="B20" s="46">
        <f>Planif[[#This Row],[Numéro de la tâche]]</f>
        <v>8</v>
      </c>
      <c r="C20" s="47" t="str">
        <f>IF(ISBLANK(Planif[[#This Row],[Nom de la tâche]]),"",Planif[[#This Row],[Nom de la tâche]])</f>
        <v>Réalisation du site web de présentation</v>
      </c>
      <c r="D20" s="46" t="str">
        <f>IF(ISBLANK(Planif[[#This Row],[Nom de la tâche]]),"",Planif[[#This Row],[Sprint visé]])</f>
        <v>Sprint 4</v>
      </c>
      <c r="E20" s="52">
        <f>IF(ISBLANK(Planif[[#This Row],[Nom de la tâche]]),"",Suivi3[[#This Row],[Temps mis pour le sprint précédent]]+Suivi3[[#This Row],[Temps investi pour ce sprint]])</f>
        <v>0</v>
      </c>
      <c r="F20" s="53">
        <f>IF(ISBLANK(Planif[[#This Row],[Nom de la tâche]]),"",Suivi3[[#This Row],[Avancement à ce jour]])</f>
        <v>0</v>
      </c>
      <c r="G20" s="29">
        <v>4.1666666666666699E-2</v>
      </c>
      <c r="H20" s="27">
        <v>0.5</v>
      </c>
      <c r="I20" s="31" t="s">
        <v>69</v>
      </c>
      <c r="J20" s="31" t="s">
        <v>50</v>
      </c>
      <c r="Q20" s="2" t="str">
        <f>IF(ISBLANK(Planif[[#This Row],[Nom de la tâche]]),"",IF(VLOOKUP(D20,CorrespondanceSprint,2)&lt;$R$12,"Sprint antérieur",IF(VLOOKUP(D20,CorrespondanceSprint,2)=$R$12,"Sprint courant","Sprint suivant")))</f>
        <v>Sprint courant</v>
      </c>
      <c r="R20" s="2" t="str">
        <f>IF(ISBLANK(Planif[[#This Row],[Nom de la tâche]]),"",IF(Suivi4[[#This Row],[Avancement final]]=0%, IF(VLOOKUP(D20,CorrespondanceSprint,2)&lt;=$R$12,"En retard","Non débutée"), IF(Suivi4[[#This Row],[Avancement final]]&lt;100%,IF(VLOOKUP(D20,CorrespondanceSprint,2)&lt;=$R$12,"En retard","En cours"),"Terminée")))</f>
        <v>En retard</v>
      </c>
      <c r="S20" s="1"/>
    </row>
    <row r="21" spans="2:19" x14ac:dyDescent="0.2">
      <c r="B21" s="46">
        <f>Planif[[#This Row],[Numéro de la tâche]]</f>
        <v>9</v>
      </c>
      <c r="C21" s="47" t="str">
        <f>IF(ISBLANK(Planif[[#This Row],[Nom de la tâche]]),"",Planif[[#This Row],[Nom de la tâche]])</f>
        <v>Réalisation du vidéo de présentation</v>
      </c>
      <c r="D21" s="46" t="str">
        <f>IF(ISBLANK(Planif[[#This Row],[Nom de la tâche]]),"",Planif[[#This Row],[Sprint visé]])</f>
        <v>Sprint 4</v>
      </c>
      <c r="E21" s="52">
        <f>IF(ISBLANK(Planif[[#This Row],[Nom de la tâche]]),"",Suivi3[[#This Row],[Temps mis pour le sprint précédent]]+Suivi3[[#This Row],[Temps investi pour ce sprint]])</f>
        <v>0</v>
      </c>
      <c r="F21" s="53">
        <f>IF(ISBLANK(Planif[[#This Row],[Nom de la tâche]]),"",Suivi3[[#This Row],[Avancement à ce jour]])</f>
        <v>0</v>
      </c>
      <c r="G21" s="30">
        <v>1.0416666666666666E-2</v>
      </c>
      <c r="H21" s="28">
        <v>1</v>
      </c>
      <c r="I21" s="31" t="s">
        <v>12</v>
      </c>
      <c r="J21" s="31" t="s">
        <v>12</v>
      </c>
      <c r="Q21" s="2" t="str">
        <f>IF(ISBLANK(Planif[[#This Row],[Nom de la tâche]]),"",IF(VLOOKUP(D21,CorrespondanceSprint,2)&lt;$R$12,"Sprint antérieur",IF(VLOOKUP(D21,CorrespondanceSprint,2)=$R$12,"Sprint courant","Sprint suivant")))</f>
        <v>Sprint courant</v>
      </c>
      <c r="R21" s="2" t="str">
        <f>IF(ISBLANK(Planif[[#This Row],[Nom de la tâche]]),"",IF(Suivi4[[#This Row],[Avancement final]]=0%, IF(VLOOKUP(D21,CorrespondanceSprint,2)&lt;=$R$12,"En retard","Non débutée"), IF(Suivi4[[#This Row],[Avancement final]]&lt;100%,IF(VLOOKUP(D21,CorrespondanceSprint,2)&lt;=$R$12,"En retard","En cours"),"Terminée")))</f>
        <v>Terminée</v>
      </c>
      <c r="S21" s="1"/>
    </row>
    <row r="22" spans="2:19" x14ac:dyDescent="0.2">
      <c r="B22" s="46">
        <f>Planif[[#This Row],[Numéro de la tâche]]</f>
        <v>10</v>
      </c>
      <c r="C22" s="47" t="str">
        <f>IF(ISBLANK(Planif[[#This Row],[Nom de la tâche]]),"",Planif[[#This Row],[Nom de la tâche]])</f>
        <v>Configuration du réseau</v>
      </c>
      <c r="D22" s="46" t="str">
        <f>IF(ISBLANK(Planif[[#This Row],[Nom de la tâche]]),"",Planif[[#This Row],[Sprint visé]])</f>
        <v>Sprint 2</v>
      </c>
      <c r="E22" s="52">
        <f>IF(ISBLANK(Planif[[#This Row],[Nom de la tâche]]),"",Suivi3[[#This Row],[Temps mis pour le sprint précédent]]+Suivi3[[#This Row],[Temps investi pour ce sprint]])</f>
        <v>0.25000000000000011</v>
      </c>
      <c r="F22" s="53">
        <f>IF(ISBLANK(Planif[[#This Row],[Nom de la tâche]]),"",Suivi3[[#This Row],[Avancement à ce jour]])</f>
        <v>1</v>
      </c>
      <c r="G22" s="30">
        <v>0</v>
      </c>
      <c r="H22" s="28">
        <v>1</v>
      </c>
      <c r="I22" s="31" t="s">
        <v>12</v>
      </c>
      <c r="J22" s="31" t="s">
        <v>12</v>
      </c>
      <c r="Q22" s="2" t="str">
        <f>IF(ISBLANK(Planif[[#This Row],[Nom de la tâche]]),"",IF(VLOOKUP(D22,CorrespondanceSprint,2)&lt;$R$12,"Sprint antérieur",IF(VLOOKUP(D22,CorrespondanceSprint,2)=$R$12,"Sprint courant","Sprint suivant")))</f>
        <v>Sprint antérieur</v>
      </c>
      <c r="R22" s="2" t="str">
        <f>IF(ISBLANK(Planif[[#This Row],[Nom de la tâche]]),"",IF(Suivi4[[#This Row],[Avancement final]]=0%, IF(VLOOKUP(D22,CorrespondanceSprint,2)&lt;=$R$12,"En retard","Non débutée"), IF(Suivi4[[#This Row],[Avancement final]]&lt;100%,IF(VLOOKUP(D22,CorrespondanceSprint,2)&lt;=$R$12,"En retard","En cours"),"Terminée")))</f>
        <v>Terminée</v>
      </c>
      <c r="S22" s="1"/>
    </row>
    <row r="23" spans="2:19" x14ac:dyDescent="0.2">
      <c r="B23" s="46">
        <f>Planif[[#This Row],[Numéro de la tâche]]</f>
        <v>11</v>
      </c>
      <c r="C23" s="47" t="str">
        <f>IF(ISBLANK(Planif[[#This Row],[Nom de la tâche]]),"",Planif[[#This Row],[Nom de la tâche]])</f>
        <v>Développement de l'interface Web</v>
      </c>
      <c r="D23" s="46" t="str">
        <f>IF(ISBLANK(Planif[[#This Row],[Nom de la tâche]]),"",Planif[[#This Row],[Sprint visé]])</f>
        <v>Sprint 3</v>
      </c>
      <c r="E23" s="52">
        <f>IF(ISBLANK(Planif[[#This Row],[Nom de la tâche]]),"",Suivi3[[#This Row],[Temps mis pour le sprint précédent]]+Suivi3[[#This Row],[Temps investi pour ce sprint]])</f>
        <v>8.3333333333333329E-2</v>
      </c>
      <c r="F23" s="53">
        <f>IF(ISBLANK(Planif[[#This Row],[Nom de la tâche]]),"",Suivi3[[#This Row],[Avancement à ce jour]])</f>
        <v>1</v>
      </c>
      <c r="G23" s="30">
        <v>0</v>
      </c>
      <c r="H23" s="28">
        <v>1</v>
      </c>
      <c r="I23" s="31" t="s">
        <v>12</v>
      </c>
      <c r="J23" s="31" t="s">
        <v>12</v>
      </c>
      <c r="Q23" s="2" t="str">
        <f>IF(ISBLANK(Planif[[#This Row],[Nom de la tâche]]),"",IF(VLOOKUP(D23,CorrespondanceSprint,2)&lt;$R$12,"Sprint antérieur",IF(VLOOKUP(D23,CorrespondanceSprint,2)=$R$12,"Sprint courant","Sprint suivant")))</f>
        <v>Sprint antérieur</v>
      </c>
      <c r="R23" s="2" t="str">
        <f>IF(ISBLANK(Planif[[#This Row],[Nom de la tâche]]),"",IF(Suivi4[[#This Row],[Avancement final]]=0%, IF(VLOOKUP(D23,CorrespondanceSprint,2)&lt;=$R$12,"En retard","Non débutée"), IF(Suivi4[[#This Row],[Avancement final]]&lt;100%,IF(VLOOKUP(D23,CorrespondanceSprint,2)&lt;=$R$12,"En retard","En cours"),"Terminée")))</f>
        <v>Terminée</v>
      </c>
      <c r="S23" s="1"/>
    </row>
    <row r="24" spans="2:19" x14ac:dyDescent="0.2">
      <c r="B24" s="46">
        <f>Planif[[#This Row],[Numéro de la tâche]]</f>
        <v>12</v>
      </c>
      <c r="C24" s="47" t="str">
        <f>IF(ISBLANK(Planif[[#This Row],[Nom de la tâche]]),"",Planif[[#This Row],[Nom de la tâche]])</f>
        <v>Implémentation du suivi de trajectoire</v>
      </c>
      <c r="D24" s="46" t="str">
        <f>IF(ISBLANK(Planif[[#This Row],[Nom de la tâche]]),"",Planif[[#This Row],[Sprint visé]])</f>
        <v>Sprint 4</v>
      </c>
      <c r="E24" s="52">
        <f>IF(ISBLANK(Planif[[#This Row],[Nom de la tâche]]),"",Suivi3[[#This Row],[Temps mis pour le sprint précédent]]+Suivi3[[#This Row],[Temps investi pour ce sprint]])</f>
        <v>0</v>
      </c>
      <c r="F24" s="53">
        <f>IF(ISBLANK(Planif[[#This Row],[Nom de la tâche]]),"",Suivi3[[#This Row],[Avancement à ce jour]])</f>
        <v>0</v>
      </c>
      <c r="G24" s="30">
        <v>0.14583333333333401</v>
      </c>
      <c r="H24" s="28">
        <v>1</v>
      </c>
      <c r="I24" s="32"/>
      <c r="J24" s="32"/>
      <c r="Q24" s="2" t="str">
        <f>IF(ISBLANK(Planif[[#This Row],[Nom de la tâche]]),"",IF(VLOOKUP(D24,CorrespondanceSprint,2)&lt;$R$12,"Sprint antérieur",IF(VLOOKUP(D24,CorrespondanceSprint,2)=$R$12,"Sprint courant","Sprint suivant")))</f>
        <v>Sprint courant</v>
      </c>
      <c r="R24" s="2" t="str">
        <f>IF(ISBLANK(Planif[[#This Row],[Nom de la tâche]]),"",IF(Suivi4[[#This Row],[Avancement final]]=0%, IF(VLOOKUP(D24,CorrespondanceSprint,2)&lt;=$R$12,"En retard","Non débutée"), IF(Suivi4[[#This Row],[Avancement final]]&lt;100%,IF(VLOOKUP(D24,CorrespondanceSprint,2)&lt;=$R$12,"En retard","En cours"),"Terminée")))</f>
        <v>Terminée</v>
      </c>
      <c r="S24" s="1"/>
    </row>
    <row r="25" spans="2:19" x14ac:dyDescent="0.2">
      <c r="B25" s="46" t="str">
        <f>Planif[[#This Row],[Numéro de la tâche]]</f>
        <v/>
      </c>
      <c r="C25" s="47" t="str">
        <f>IF(ISBLANK(Planif[[#This Row],[Nom de la tâche]]),"",Planif[[#This Row],[Nom de la tâche]])</f>
        <v/>
      </c>
      <c r="D25" s="46" t="str">
        <f>IF(ISBLANK(Planif[[#This Row],[Nom de la tâche]]),"",Planif[[#This Row],[Sprint visé]])</f>
        <v/>
      </c>
      <c r="E25" s="52" t="str">
        <f>IF(ISBLANK(Planif[[#This Row],[Nom de la tâche]]),"",Suivi3[[#This Row],[Temps mis pour le sprint précédent]]+Suivi3[[#This Row],[Temps investi pour ce sprint]])</f>
        <v/>
      </c>
      <c r="F25" s="53" t="str">
        <f>IF(ISBLANK(Planif[[#This Row],[Nom de la tâche]]),"",Suivi3[[#This Row],[Avancement à ce jour]])</f>
        <v/>
      </c>
      <c r="G25" s="30"/>
      <c r="H25" s="28"/>
      <c r="I25" s="32"/>
      <c r="J25" s="32"/>
      <c r="Q25" s="2" t="str">
        <f>IF(ISBLANK(Planif[[#This Row],[Nom de la tâche]]),"",IF(VLOOKUP(D25,CorrespondanceSprint,2)&lt;$R$12,"Sprint antérieur",IF(VLOOKUP(D25,CorrespondanceSprint,2)=$R$12,"Sprint courant","Sprint suivant")))</f>
        <v/>
      </c>
      <c r="R25" s="2" t="str">
        <f>IF(ISBLANK(Planif[[#This Row],[Nom de la tâche]]),"",IF(Suivi4[[#This Row],[Avancement final]]=0%, IF(VLOOKUP(D25,CorrespondanceSprint,2)&lt;=$R$12,"En retard","Non débutée"), IF(Suivi4[[#This Row],[Avancement final]]&lt;100%,IF(VLOOKUP(D25,CorrespondanceSprint,2)&lt;=$R$12,"En retard","En cours"),"Terminée")))</f>
        <v/>
      </c>
      <c r="S25" s="1"/>
    </row>
    <row r="26" spans="2:19" x14ac:dyDescent="0.2">
      <c r="B26" s="46" t="str">
        <f>Planif[[#This Row],[Numéro de la tâche]]</f>
        <v/>
      </c>
      <c r="C26" s="47" t="str">
        <f>IF(ISBLANK(Planif[[#This Row],[Nom de la tâche]]),"",Planif[[#This Row],[Nom de la tâche]])</f>
        <v/>
      </c>
      <c r="D26" s="46" t="str">
        <f>IF(ISBLANK(Planif[[#This Row],[Nom de la tâche]]),"",Planif[[#This Row],[Sprint visé]])</f>
        <v/>
      </c>
      <c r="E26" s="52" t="str">
        <f>IF(ISBLANK(Planif[[#This Row],[Nom de la tâche]]),"",Suivi3[[#This Row],[Temps mis pour le sprint précédent]]+Suivi3[[#This Row],[Temps investi pour ce sprint]])</f>
        <v/>
      </c>
      <c r="F26" s="53" t="str">
        <f>IF(ISBLANK(Planif[[#This Row],[Nom de la tâche]]),"",Suivi3[[#This Row],[Avancement à ce jour]])</f>
        <v/>
      </c>
      <c r="G26" s="30"/>
      <c r="H26" s="28"/>
      <c r="I26" s="32"/>
      <c r="J26" s="32"/>
      <c r="Q26" s="2" t="str">
        <f>IF(ISBLANK(Planif[[#This Row],[Nom de la tâche]]),"",IF(VLOOKUP(D26,CorrespondanceSprint,2)&lt;$R$12,"Sprint antérieur",IF(VLOOKUP(D26,CorrespondanceSprint,2)=$R$12,"Sprint courant","Sprint suivant")))</f>
        <v/>
      </c>
      <c r="R26" s="2" t="str">
        <f>IF(ISBLANK(Planif[[#This Row],[Nom de la tâche]]),"",IF(Suivi4[[#This Row],[Avancement final]]=0%, IF(VLOOKUP(D26,CorrespondanceSprint,2)&lt;=$R$12,"En retard","Non débutée"), IF(Suivi4[[#This Row],[Avancement final]]&lt;100%,IF(VLOOKUP(D26,CorrespondanceSprint,2)&lt;=$R$12,"En retard","En cours"),"Terminée")))</f>
        <v/>
      </c>
      <c r="S26" s="1"/>
    </row>
    <row r="27" spans="2:19" x14ac:dyDescent="0.2">
      <c r="B27" s="46" t="str">
        <f>Planif[[#This Row],[Numéro de la tâche]]</f>
        <v/>
      </c>
      <c r="C27" s="47" t="str">
        <f>IF(ISBLANK(Planif[[#This Row],[Nom de la tâche]]),"",Planif[[#This Row],[Nom de la tâche]])</f>
        <v/>
      </c>
      <c r="D27" s="46" t="str">
        <f>IF(ISBLANK(Planif[[#This Row],[Nom de la tâche]]),"",Planif[[#This Row],[Sprint visé]])</f>
        <v/>
      </c>
      <c r="E27" s="52" t="str">
        <f>IF(ISBLANK(Planif[[#This Row],[Nom de la tâche]]),"",Suivi3[[#This Row],[Temps mis pour le sprint précédent]]+Suivi3[[#This Row],[Temps investi pour ce sprint]])</f>
        <v/>
      </c>
      <c r="F27" s="53" t="str">
        <f>IF(ISBLANK(Planif[[#This Row],[Nom de la tâche]]),"",Suivi3[[#This Row],[Avancement à ce jour]])</f>
        <v/>
      </c>
      <c r="G27" s="30"/>
      <c r="H27" s="28"/>
      <c r="I27" s="32"/>
      <c r="J27" s="32"/>
      <c r="Q27" s="2" t="str">
        <f>IF(ISBLANK(Planif[[#This Row],[Nom de la tâche]]),"",IF(VLOOKUP(D27,CorrespondanceSprint,2)&lt;$R$12,"Sprint antérieur",IF(VLOOKUP(D27,CorrespondanceSprint,2)=$R$12,"Sprint courant","Sprint suivant")))</f>
        <v/>
      </c>
      <c r="R27" s="2" t="str">
        <f>IF(ISBLANK(Planif[[#This Row],[Nom de la tâche]]),"",IF(Suivi4[[#This Row],[Avancement final]]=0%, IF(VLOOKUP(D27,CorrespondanceSprint,2)&lt;=$R$12,"En retard","Non débutée"), IF(Suivi4[[#This Row],[Avancement final]]&lt;100%,IF(VLOOKUP(D27,CorrespondanceSprint,2)&lt;=$R$12,"En retard","En cours"),"Terminée")))</f>
        <v/>
      </c>
      <c r="S27" s="1"/>
    </row>
    <row r="28" spans="2:19" x14ac:dyDescent="0.2">
      <c r="B28" s="46" t="str">
        <f>Planif[[#This Row],[Numéro de la tâche]]</f>
        <v/>
      </c>
      <c r="C28" s="47" t="str">
        <f>IF(ISBLANK(Planif[[#This Row],[Nom de la tâche]]),"",Planif[[#This Row],[Nom de la tâche]])</f>
        <v/>
      </c>
      <c r="D28" s="46" t="str">
        <f>IF(ISBLANK(Planif[[#This Row],[Nom de la tâche]]),"",Planif[[#This Row],[Sprint visé]])</f>
        <v/>
      </c>
      <c r="E28" s="52" t="str">
        <f>IF(ISBLANK(Planif[[#This Row],[Nom de la tâche]]),"",Suivi3[[#This Row],[Temps mis pour le sprint précédent]]+Suivi3[[#This Row],[Temps investi pour ce sprint]])</f>
        <v/>
      </c>
      <c r="F28" s="53" t="str">
        <f>IF(ISBLANK(Planif[[#This Row],[Nom de la tâche]]),"",Suivi3[[#This Row],[Avancement à ce jour]])</f>
        <v/>
      </c>
      <c r="G28" s="30"/>
      <c r="H28" s="28"/>
      <c r="I28" s="32"/>
      <c r="J28" s="32"/>
      <c r="Q28" s="2" t="str">
        <f>IF(ISBLANK(Planif[[#This Row],[Nom de la tâche]]),"",IF(VLOOKUP(D28,CorrespondanceSprint,2)&lt;$R$12,"Sprint antérieur",IF(VLOOKUP(D28,CorrespondanceSprint,2)=$R$12,"Sprint courant","Sprint suivant")))</f>
        <v/>
      </c>
      <c r="R28" s="2" t="str">
        <f>IF(ISBLANK(Planif[[#This Row],[Nom de la tâche]]),"",IF(Suivi4[[#This Row],[Avancement final]]=0%, IF(VLOOKUP(D28,CorrespondanceSprint,2)&lt;=$R$12,"En retard","Non débutée"), IF(Suivi4[[#This Row],[Avancement final]]&lt;100%,IF(VLOOKUP(D28,CorrespondanceSprint,2)&lt;=$R$12,"En retard","En cours"),"Terminée")))</f>
        <v/>
      </c>
      <c r="S28" s="1"/>
    </row>
    <row r="29" spans="2:19" x14ac:dyDescent="0.2">
      <c r="B29" s="46" t="str">
        <f>Planif[[#This Row],[Numéro de la tâche]]</f>
        <v/>
      </c>
      <c r="C29" s="47" t="str">
        <f>IF(ISBLANK(Planif[[#This Row],[Nom de la tâche]]),"",Planif[[#This Row],[Nom de la tâche]])</f>
        <v/>
      </c>
      <c r="D29" s="46" t="str">
        <f>IF(ISBLANK(Planif[[#This Row],[Nom de la tâche]]),"",Planif[[#This Row],[Sprint visé]])</f>
        <v/>
      </c>
      <c r="E29" s="52" t="str">
        <f>IF(ISBLANK(Planif[[#This Row],[Nom de la tâche]]),"",Suivi3[[#This Row],[Temps mis pour le sprint précédent]]+Suivi3[[#This Row],[Temps investi pour ce sprint]])</f>
        <v/>
      </c>
      <c r="F29" s="53" t="str">
        <f>IF(ISBLANK(Planif[[#This Row],[Nom de la tâche]]),"",Suivi3[[#This Row],[Avancement à ce jour]])</f>
        <v/>
      </c>
      <c r="G29" s="30"/>
      <c r="H29" s="28"/>
      <c r="I29" s="32"/>
      <c r="J29" s="32"/>
      <c r="Q29" s="2" t="str">
        <f>IF(ISBLANK(Planif[[#This Row],[Nom de la tâche]]),"",IF(VLOOKUP(D29,CorrespondanceSprint,2)&lt;$R$12,"Sprint antérieur",IF(VLOOKUP(D29,CorrespondanceSprint,2)=$R$12,"Sprint courant","Sprint suivant")))</f>
        <v/>
      </c>
      <c r="R29" s="2" t="str">
        <f>IF(ISBLANK(Planif[[#This Row],[Nom de la tâche]]),"",IF(Suivi4[[#This Row],[Avancement final]]=0%, IF(VLOOKUP(D29,CorrespondanceSprint,2)&lt;=$R$12,"En retard","Non débutée"), IF(Suivi4[[#This Row],[Avancement final]]&lt;100%,IF(VLOOKUP(D29,CorrespondanceSprint,2)&lt;=$R$12,"En retard","En cours"),"Terminée")))</f>
        <v/>
      </c>
      <c r="S29" s="1"/>
    </row>
    <row r="30" spans="2:19" x14ac:dyDescent="0.2">
      <c r="B30" s="46" t="str">
        <f>Planif[[#This Row],[Numéro de la tâche]]</f>
        <v/>
      </c>
      <c r="C30" s="47" t="str">
        <f>IF(ISBLANK(Planif[[#This Row],[Nom de la tâche]]),"",Planif[[#This Row],[Nom de la tâche]])</f>
        <v/>
      </c>
      <c r="D30" s="46" t="str">
        <f>IF(ISBLANK(Planif[[#This Row],[Nom de la tâche]]),"",Planif[[#This Row],[Sprint visé]])</f>
        <v/>
      </c>
      <c r="E30" s="52" t="str">
        <f>IF(ISBLANK(Planif[[#This Row],[Nom de la tâche]]),"",Suivi3[[#This Row],[Temps mis pour le sprint précédent]]+Suivi3[[#This Row],[Temps investi pour ce sprint]])</f>
        <v/>
      </c>
      <c r="F30" s="53" t="str">
        <f>IF(ISBLANK(Planif[[#This Row],[Nom de la tâche]]),"",Suivi3[[#This Row],[Avancement à ce jour]])</f>
        <v/>
      </c>
      <c r="G30" s="30"/>
      <c r="H30" s="28"/>
      <c r="I30" s="32"/>
      <c r="J30" s="32"/>
      <c r="Q30" s="2" t="str">
        <f>IF(ISBLANK(Planif[[#This Row],[Nom de la tâche]]),"",IF(VLOOKUP(D30,CorrespondanceSprint,2)&lt;$R$12,"Sprint antérieur",IF(VLOOKUP(D30,CorrespondanceSprint,2)=$R$12,"Sprint courant","Sprint suivant")))</f>
        <v/>
      </c>
      <c r="R30" s="2" t="str">
        <f>IF(ISBLANK(Planif[[#This Row],[Nom de la tâche]]),"",IF(Suivi4[[#This Row],[Avancement final]]=0%, IF(VLOOKUP(D30,CorrespondanceSprint,2)&lt;=$R$12,"En retard","Non débutée"), IF(Suivi4[[#This Row],[Avancement final]]&lt;100%,IF(VLOOKUP(D30,CorrespondanceSprint,2)&lt;=$R$12,"En retard","En cours"),"Terminée")))</f>
        <v/>
      </c>
      <c r="S30" s="1"/>
    </row>
    <row r="31" spans="2:19" x14ac:dyDescent="0.2">
      <c r="B31" s="46" t="str">
        <f>Planif[[#This Row],[Numéro de la tâche]]</f>
        <v/>
      </c>
      <c r="C31" s="47" t="str">
        <f>IF(ISBLANK(Planif[[#This Row],[Nom de la tâche]]),"",Planif[[#This Row],[Nom de la tâche]])</f>
        <v/>
      </c>
      <c r="D31" s="46" t="str">
        <f>IF(ISBLANK(Planif[[#This Row],[Nom de la tâche]]),"",Planif[[#This Row],[Sprint visé]])</f>
        <v/>
      </c>
      <c r="E31" s="52" t="str">
        <f>IF(ISBLANK(Planif[[#This Row],[Nom de la tâche]]),"",Suivi3[[#This Row],[Temps mis pour le sprint précédent]]+Suivi3[[#This Row],[Temps investi pour ce sprint]])</f>
        <v/>
      </c>
      <c r="F31" s="53" t="str">
        <f>IF(ISBLANK(Planif[[#This Row],[Nom de la tâche]]),"",Suivi3[[#This Row],[Avancement à ce jour]])</f>
        <v/>
      </c>
      <c r="G31" s="30"/>
      <c r="H31" s="28"/>
      <c r="I31" s="32"/>
      <c r="J31" s="32"/>
      <c r="Q31" s="2" t="str">
        <f>IF(ISBLANK(Planif[[#This Row],[Nom de la tâche]]),"",IF(VLOOKUP(D31,CorrespondanceSprint,2)&lt;$R$12,"Sprint antérieur",IF(VLOOKUP(D31,CorrespondanceSprint,2)=$R$12,"Sprint courant","Sprint suivant")))</f>
        <v/>
      </c>
      <c r="R31" s="2" t="str">
        <f>IF(ISBLANK(Planif[[#This Row],[Nom de la tâche]]),"",IF(Suivi4[[#This Row],[Avancement final]]=0%, IF(VLOOKUP(D31,CorrespondanceSprint,2)&lt;=$R$12,"En retard","Non débutée"), IF(Suivi4[[#This Row],[Avancement final]]&lt;100%,IF(VLOOKUP(D31,CorrespondanceSprint,2)&lt;=$R$12,"En retard","En cours"),"Terminée")))</f>
        <v/>
      </c>
      <c r="S31" s="1"/>
    </row>
    <row r="32" spans="2:19" x14ac:dyDescent="0.2">
      <c r="B32" s="46" t="str">
        <f>Planif[[#This Row],[Numéro de la tâche]]</f>
        <v/>
      </c>
      <c r="C32" s="47" t="str">
        <f>IF(ISBLANK(Planif[[#This Row],[Nom de la tâche]]),"",Planif[[#This Row],[Nom de la tâche]])</f>
        <v/>
      </c>
      <c r="D32" s="46" t="str">
        <f>IF(ISBLANK(Planif[[#This Row],[Nom de la tâche]]),"",Planif[[#This Row],[Sprint visé]])</f>
        <v/>
      </c>
      <c r="E32" s="52" t="str">
        <f>IF(ISBLANK(Planif[[#This Row],[Nom de la tâche]]),"",Suivi3[[#This Row],[Temps mis pour le sprint précédent]]+Suivi3[[#This Row],[Temps investi pour ce sprint]])</f>
        <v/>
      </c>
      <c r="F32" s="53" t="str">
        <f>IF(ISBLANK(Planif[[#This Row],[Nom de la tâche]]),"",Suivi3[[#This Row],[Avancement à ce jour]])</f>
        <v/>
      </c>
      <c r="G32" s="30"/>
      <c r="H32" s="28"/>
      <c r="I32" s="32"/>
      <c r="J32" s="32"/>
      <c r="Q32" s="2" t="str">
        <f>IF(ISBLANK(Planif[[#This Row],[Nom de la tâche]]),"",IF(VLOOKUP(D32,CorrespondanceSprint,2)&lt;$R$12,"Sprint antérieur",IF(VLOOKUP(D32,CorrespondanceSprint,2)=$R$12,"Sprint courant","Sprint suivant")))</f>
        <v/>
      </c>
      <c r="R32" s="2" t="str">
        <f>IF(ISBLANK(Planif[[#This Row],[Nom de la tâche]]),"",IF(Suivi4[[#This Row],[Avancement final]]=0%, IF(VLOOKUP(D32,CorrespondanceSprint,2)&lt;=$R$12,"En retard","Non débutée"), IF(Suivi4[[#This Row],[Avancement final]]&lt;100%,IF(VLOOKUP(D32,CorrespondanceSprint,2)&lt;=$R$12,"En retard","En cours"),"Terminée")))</f>
        <v/>
      </c>
      <c r="S32" s="1"/>
    </row>
    <row r="33" spans="2:19" x14ac:dyDescent="0.2">
      <c r="B33" s="46" t="str">
        <f>Planif[[#This Row],[Numéro de la tâche]]</f>
        <v/>
      </c>
      <c r="C33" s="47" t="str">
        <f>IF(ISBLANK(Planif[[#This Row],[Nom de la tâche]]),"",Planif[[#This Row],[Nom de la tâche]])</f>
        <v/>
      </c>
      <c r="D33" s="46" t="str">
        <f>IF(ISBLANK(Planif[[#This Row],[Nom de la tâche]]),"",Planif[[#This Row],[Sprint visé]])</f>
        <v/>
      </c>
      <c r="E33" s="52" t="str">
        <f>IF(ISBLANK(Planif[[#This Row],[Nom de la tâche]]),"",Suivi3[[#This Row],[Temps mis pour le sprint précédent]]+Suivi3[[#This Row],[Temps investi pour ce sprint]])</f>
        <v/>
      </c>
      <c r="F33" s="53" t="str">
        <f>IF(ISBLANK(Planif[[#This Row],[Nom de la tâche]]),"",Suivi3[[#This Row],[Avancement à ce jour]])</f>
        <v/>
      </c>
      <c r="G33" s="30"/>
      <c r="H33" s="28"/>
      <c r="I33" s="32"/>
      <c r="J33" s="32"/>
      <c r="Q33" s="2" t="str">
        <f>IF(ISBLANK(Planif[[#This Row],[Nom de la tâche]]),"",IF(VLOOKUP(D33,CorrespondanceSprint,2)&lt;$R$12,"Sprint antérieur",IF(VLOOKUP(D33,CorrespondanceSprint,2)=$R$12,"Sprint courant","Sprint suivant")))</f>
        <v/>
      </c>
      <c r="R33" s="2" t="str">
        <f>IF(ISBLANK(Planif[[#This Row],[Nom de la tâche]]),"",IF(Suivi4[[#This Row],[Avancement final]]=0%, IF(VLOOKUP(D33,CorrespondanceSprint,2)&lt;=$R$12,"En retard","Non débutée"), IF(Suivi4[[#This Row],[Avancement final]]&lt;100%,IF(VLOOKUP(D33,CorrespondanceSprint,2)&lt;=$R$12,"En retard","En cours"),"Terminée")))</f>
        <v/>
      </c>
      <c r="S33" s="1"/>
    </row>
    <row r="34" spans="2:19" x14ac:dyDescent="0.2">
      <c r="B34" s="46" t="str">
        <f>Planif[[#This Row],[Numéro de la tâche]]</f>
        <v/>
      </c>
      <c r="C34" s="47" t="str">
        <f>IF(ISBLANK(Planif[[#This Row],[Nom de la tâche]]),"",Planif[[#This Row],[Nom de la tâche]])</f>
        <v/>
      </c>
      <c r="D34" s="46" t="str">
        <f>IF(ISBLANK(Planif[[#This Row],[Nom de la tâche]]),"",Planif[[#This Row],[Sprint visé]])</f>
        <v/>
      </c>
      <c r="E34" s="52" t="str">
        <f>IF(ISBLANK(Planif[[#This Row],[Nom de la tâche]]),"",Suivi3[[#This Row],[Temps mis pour le sprint précédent]]+Suivi3[[#This Row],[Temps investi pour ce sprint]])</f>
        <v/>
      </c>
      <c r="F34" s="53" t="str">
        <f>IF(ISBLANK(Planif[[#This Row],[Nom de la tâche]]),"",Suivi3[[#This Row],[Avancement à ce jour]])</f>
        <v/>
      </c>
      <c r="G34" s="30"/>
      <c r="H34" s="28"/>
      <c r="I34" s="32"/>
      <c r="J34" s="32"/>
      <c r="Q34" s="2" t="str">
        <f>IF(ISBLANK(Planif[[#This Row],[Nom de la tâche]]),"",IF(VLOOKUP(D34,CorrespondanceSprint,2)&lt;$R$12,"Sprint antérieur",IF(VLOOKUP(D34,CorrespondanceSprint,2)=$R$12,"Sprint courant","Sprint suivant")))</f>
        <v/>
      </c>
      <c r="R34" s="2" t="str">
        <f>IF(ISBLANK(Planif[[#This Row],[Nom de la tâche]]),"",IF(Suivi4[[#This Row],[Avancement final]]=0%, IF(VLOOKUP(D34,CorrespondanceSprint,2)&lt;=$R$12,"En retard","Non débutée"), IF(Suivi4[[#This Row],[Avancement final]]&lt;100%,IF(VLOOKUP(D34,CorrespondanceSprint,2)&lt;=$R$12,"En retard","En cours"),"Terminée")))</f>
        <v/>
      </c>
      <c r="S34" s="1"/>
    </row>
    <row r="35" spans="2:19" x14ac:dyDescent="0.2">
      <c r="B35" s="46" t="str">
        <f>Planif[[#This Row],[Numéro de la tâche]]</f>
        <v/>
      </c>
      <c r="C35" s="47" t="str">
        <f>IF(ISBLANK(Planif[[#This Row],[Nom de la tâche]]),"",Planif[[#This Row],[Nom de la tâche]])</f>
        <v/>
      </c>
      <c r="D35" s="46" t="str">
        <f>IF(ISBLANK(Planif[[#This Row],[Nom de la tâche]]),"",Planif[[#This Row],[Sprint visé]])</f>
        <v/>
      </c>
      <c r="E35" s="52" t="str">
        <f>IF(ISBLANK(Planif[[#This Row],[Nom de la tâche]]),"",Suivi3[[#This Row],[Temps mis pour le sprint précédent]]+Suivi3[[#This Row],[Temps investi pour ce sprint]])</f>
        <v/>
      </c>
      <c r="F35" s="53" t="str">
        <f>IF(ISBLANK(Planif[[#This Row],[Nom de la tâche]]),"",Suivi3[[#This Row],[Avancement à ce jour]])</f>
        <v/>
      </c>
      <c r="G35" s="30"/>
      <c r="H35" s="28"/>
      <c r="I35" s="32"/>
      <c r="J35" s="32"/>
      <c r="Q35" s="2" t="str">
        <f>IF(ISBLANK(Planif[[#This Row],[Nom de la tâche]]),"",IF(VLOOKUP(D35,CorrespondanceSprint,2)&lt;$R$12,"Sprint antérieur",IF(VLOOKUP(D35,CorrespondanceSprint,2)=$R$12,"Sprint courant","Sprint suivant")))</f>
        <v/>
      </c>
      <c r="R35" s="2" t="str">
        <f>IF(ISBLANK(Planif[[#This Row],[Nom de la tâche]]),"",IF(Suivi4[[#This Row],[Avancement final]]=0%, IF(VLOOKUP(D35,CorrespondanceSprint,2)&lt;=$R$12,"En retard","Non débutée"), IF(Suivi4[[#This Row],[Avancement final]]&lt;100%,IF(VLOOKUP(D35,CorrespondanceSprint,2)&lt;=$R$12,"En retard","En cours"),"Terminée")))</f>
        <v/>
      </c>
      <c r="S35" s="1"/>
    </row>
    <row r="36" spans="2:19" x14ac:dyDescent="0.2">
      <c r="B36" s="46" t="str">
        <f>Planif[[#This Row],[Numéro de la tâche]]</f>
        <v/>
      </c>
      <c r="C36" s="47" t="str">
        <f>IF(ISBLANK(Planif[[#This Row],[Nom de la tâche]]),"",Planif[[#This Row],[Nom de la tâche]])</f>
        <v/>
      </c>
      <c r="D36" s="46" t="str">
        <f>IF(ISBLANK(Planif[[#This Row],[Nom de la tâche]]),"",Planif[[#This Row],[Sprint visé]])</f>
        <v/>
      </c>
      <c r="E36" s="52" t="str">
        <f>IF(ISBLANK(Planif[[#This Row],[Nom de la tâche]]),"",Suivi3[[#This Row],[Temps mis pour le sprint précédent]]+Suivi3[[#This Row],[Temps investi pour ce sprint]])</f>
        <v/>
      </c>
      <c r="F36" s="53" t="str">
        <f>IF(ISBLANK(Planif[[#This Row],[Nom de la tâche]]),"",Suivi3[[#This Row],[Avancement à ce jour]])</f>
        <v/>
      </c>
      <c r="G36" s="30"/>
      <c r="H36" s="28"/>
      <c r="I36" s="32"/>
      <c r="J36" s="32"/>
      <c r="Q36" s="2" t="str">
        <f>IF(ISBLANK(Planif[[#This Row],[Nom de la tâche]]),"",IF(VLOOKUP(D36,CorrespondanceSprint,2)&lt;$R$12,"Sprint antérieur",IF(VLOOKUP(D36,CorrespondanceSprint,2)=$R$12,"Sprint courant","Sprint suivant")))</f>
        <v/>
      </c>
      <c r="R36" s="2" t="str">
        <f>IF(ISBLANK(Planif[[#This Row],[Nom de la tâche]]),"",IF(Suivi4[[#This Row],[Avancement final]]=0%, IF(VLOOKUP(D36,CorrespondanceSprint,2)&lt;=$R$12,"En retard","Non débutée"), IF(Suivi4[[#This Row],[Avancement final]]&lt;100%,IF(VLOOKUP(D36,CorrespondanceSprint,2)&lt;=$R$12,"En retard","En cours"),"Terminée")))</f>
        <v/>
      </c>
      <c r="S36" s="1"/>
    </row>
    <row r="37" spans="2:19" x14ac:dyDescent="0.2">
      <c r="B37" s="46" t="str">
        <f>Planif[[#This Row],[Numéro de la tâche]]</f>
        <v/>
      </c>
      <c r="C37" s="47" t="str">
        <f>IF(ISBLANK(Planif[[#This Row],[Nom de la tâche]]),"",Planif[[#This Row],[Nom de la tâche]])</f>
        <v/>
      </c>
      <c r="D37" s="46" t="str">
        <f>IF(ISBLANK(Planif[[#This Row],[Nom de la tâche]]),"",Planif[[#This Row],[Sprint visé]])</f>
        <v/>
      </c>
      <c r="E37" s="52" t="str">
        <f>IF(ISBLANK(Planif[[#This Row],[Nom de la tâche]]),"",Suivi3[[#This Row],[Temps mis pour le sprint précédent]]+Suivi3[[#This Row],[Temps investi pour ce sprint]])</f>
        <v/>
      </c>
      <c r="F37" s="53" t="str">
        <f>IF(ISBLANK(Planif[[#This Row],[Nom de la tâche]]),"",Suivi3[[#This Row],[Avancement à ce jour]])</f>
        <v/>
      </c>
      <c r="G37" s="30"/>
      <c r="H37" s="28"/>
      <c r="I37" s="32"/>
      <c r="J37" s="32"/>
      <c r="Q37" s="2" t="str">
        <f>IF(ISBLANK(Planif[[#This Row],[Nom de la tâche]]),"",IF(VLOOKUP(D37,CorrespondanceSprint,2)&lt;$R$12,"Sprint antérieur",IF(VLOOKUP(D37,CorrespondanceSprint,2)=$R$12,"Sprint courant","Sprint suivant")))</f>
        <v/>
      </c>
      <c r="R37" s="2" t="str">
        <f>IF(ISBLANK(Planif[[#This Row],[Nom de la tâche]]),"",IF(Suivi4[[#This Row],[Avancement final]]=0%, IF(VLOOKUP(D37,CorrespondanceSprint,2)&lt;=$R$12,"En retard","Non débutée"), IF(Suivi4[[#This Row],[Avancement final]]&lt;100%,IF(VLOOKUP(D37,CorrespondanceSprint,2)&lt;=$R$12,"En retard","En cours"),"Terminée")))</f>
        <v/>
      </c>
      <c r="S37" s="1"/>
    </row>
    <row r="38" spans="2:19" x14ac:dyDescent="0.2">
      <c r="B38" s="46" t="str">
        <f>Planif[[#This Row],[Numéro de la tâche]]</f>
        <v/>
      </c>
      <c r="C38" s="47" t="str">
        <f>IF(ISBLANK(Planif[[#This Row],[Nom de la tâche]]),"",Planif[[#This Row],[Nom de la tâche]])</f>
        <v/>
      </c>
      <c r="D38" s="46" t="str">
        <f>IF(ISBLANK(Planif[[#This Row],[Nom de la tâche]]),"",Planif[[#This Row],[Sprint visé]])</f>
        <v/>
      </c>
      <c r="E38" s="52" t="str">
        <f>IF(ISBLANK(Planif[[#This Row],[Nom de la tâche]]),"",Suivi3[[#This Row],[Temps mis pour le sprint précédent]]+Suivi3[[#This Row],[Temps investi pour ce sprint]])</f>
        <v/>
      </c>
      <c r="F38" s="53" t="str">
        <f>IF(ISBLANK(Planif[[#This Row],[Nom de la tâche]]),"",Suivi3[[#This Row],[Avancement à ce jour]])</f>
        <v/>
      </c>
      <c r="G38" s="30"/>
      <c r="H38" s="28"/>
      <c r="I38" s="32"/>
      <c r="J38" s="32"/>
      <c r="Q38" s="2" t="str">
        <f>IF(ISBLANK(Planif[[#This Row],[Nom de la tâche]]),"",IF(VLOOKUP(D38,CorrespondanceSprint,2)&lt;$R$12,"Sprint antérieur",IF(VLOOKUP(D38,CorrespondanceSprint,2)=$R$12,"Sprint courant","Sprint suivant")))</f>
        <v/>
      </c>
      <c r="R38" s="2" t="str">
        <f>IF(ISBLANK(Planif[[#This Row],[Nom de la tâche]]),"",IF(Suivi4[[#This Row],[Avancement final]]=0%, IF(VLOOKUP(D38,CorrespondanceSprint,2)&lt;=$R$12,"En retard","Non débutée"), IF(Suivi4[[#This Row],[Avancement final]]&lt;100%,IF(VLOOKUP(D38,CorrespondanceSprint,2)&lt;=$R$12,"En retard","En cours"),"Terminée")))</f>
        <v/>
      </c>
      <c r="S38" s="1"/>
    </row>
    <row r="39" spans="2:19" x14ac:dyDescent="0.2">
      <c r="B39" s="46" t="str">
        <f>Planif[[#This Row],[Numéro de la tâche]]</f>
        <v/>
      </c>
      <c r="C39" s="47" t="str">
        <f>IF(ISBLANK(Planif[[#This Row],[Nom de la tâche]]),"",Planif[[#This Row],[Nom de la tâche]])</f>
        <v/>
      </c>
      <c r="D39" s="46" t="str">
        <f>IF(ISBLANK(Planif[[#This Row],[Nom de la tâche]]),"",Planif[[#This Row],[Sprint visé]])</f>
        <v/>
      </c>
      <c r="E39" s="52" t="str">
        <f>IF(ISBLANK(Planif[[#This Row],[Nom de la tâche]]),"",Suivi3[[#This Row],[Temps mis pour le sprint précédent]]+Suivi3[[#This Row],[Temps investi pour ce sprint]])</f>
        <v/>
      </c>
      <c r="F39" s="53" t="str">
        <f>IF(ISBLANK(Planif[[#This Row],[Nom de la tâche]]),"",Suivi3[[#This Row],[Avancement à ce jour]])</f>
        <v/>
      </c>
      <c r="G39" s="30"/>
      <c r="H39" s="28"/>
      <c r="I39" s="32"/>
      <c r="J39" s="32"/>
      <c r="Q39" s="2" t="str">
        <f>IF(ISBLANK(Planif[[#This Row],[Nom de la tâche]]),"",IF(VLOOKUP(D39,CorrespondanceSprint,2)&lt;$R$12,"Sprint antérieur",IF(VLOOKUP(D39,CorrespondanceSprint,2)=$R$12,"Sprint courant","Sprint suivant")))</f>
        <v/>
      </c>
      <c r="R39" s="2" t="str">
        <f>IF(ISBLANK(Planif[[#This Row],[Nom de la tâche]]),"",IF(Suivi4[[#This Row],[Avancement final]]=0%, IF(VLOOKUP(D39,CorrespondanceSprint,2)&lt;=$R$12,"En retard","Non débutée"), IF(Suivi4[[#This Row],[Avancement final]]&lt;100%,IF(VLOOKUP(D39,CorrespondanceSprint,2)&lt;=$R$12,"En retard","En cours"),"Terminée")))</f>
        <v/>
      </c>
      <c r="S39" s="1"/>
    </row>
    <row r="40" spans="2:19" x14ac:dyDescent="0.2">
      <c r="B40" s="46" t="str">
        <f>Planif[[#This Row],[Numéro de la tâche]]</f>
        <v/>
      </c>
      <c r="C40" s="47" t="str">
        <f>IF(ISBLANK(Planif[[#This Row],[Nom de la tâche]]),"",Planif[[#This Row],[Nom de la tâche]])</f>
        <v/>
      </c>
      <c r="D40" s="46" t="str">
        <f>IF(ISBLANK(Planif[[#This Row],[Nom de la tâche]]),"",Planif[[#This Row],[Sprint visé]])</f>
        <v/>
      </c>
      <c r="E40" s="52" t="str">
        <f>IF(ISBLANK(Planif[[#This Row],[Nom de la tâche]]),"",Suivi3[[#This Row],[Temps mis pour le sprint précédent]]+Suivi3[[#This Row],[Temps investi pour ce sprint]])</f>
        <v/>
      </c>
      <c r="F40" s="53" t="str">
        <f>IF(ISBLANK(Planif[[#This Row],[Nom de la tâche]]),"",Suivi3[[#This Row],[Avancement à ce jour]])</f>
        <v/>
      </c>
      <c r="G40" s="30"/>
      <c r="H40" s="28"/>
      <c r="I40" s="32"/>
      <c r="J40" s="32"/>
      <c r="Q40" s="2" t="str">
        <f>IF(ISBLANK(Planif[[#This Row],[Nom de la tâche]]),"",IF(VLOOKUP(D40,CorrespondanceSprint,2)&lt;$R$12,"Sprint antérieur",IF(VLOOKUP(D40,CorrespondanceSprint,2)=$R$12,"Sprint courant","Sprint suivant")))</f>
        <v/>
      </c>
      <c r="R40" s="2" t="str">
        <f>IF(ISBLANK(Planif[[#This Row],[Nom de la tâche]]),"",IF(Suivi4[[#This Row],[Avancement final]]=0%, IF(VLOOKUP(D40,CorrespondanceSprint,2)&lt;=$R$12,"En retard","Non débutée"), IF(Suivi4[[#This Row],[Avancement final]]&lt;100%,IF(VLOOKUP(D40,CorrespondanceSprint,2)&lt;=$R$12,"En retard","En cours"),"Terminée")))</f>
        <v/>
      </c>
      <c r="S40" s="1"/>
    </row>
    <row r="41" spans="2:19" x14ac:dyDescent="0.2">
      <c r="B41" s="46" t="str">
        <f>Planif[[#This Row],[Numéro de la tâche]]</f>
        <v/>
      </c>
      <c r="C41" s="47" t="str">
        <f>IF(ISBLANK(Planif[[#This Row],[Nom de la tâche]]),"",Planif[[#This Row],[Nom de la tâche]])</f>
        <v/>
      </c>
      <c r="D41" s="46" t="str">
        <f>IF(ISBLANK(Planif[[#This Row],[Nom de la tâche]]),"",Planif[[#This Row],[Sprint visé]])</f>
        <v/>
      </c>
      <c r="E41" s="52" t="str">
        <f>IF(ISBLANK(Planif[[#This Row],[Nom de la tâche]]),"",Suivi3[[#This Row],[Temps mis pour le sprint précédent]]+Suivi3[[#This Row],[Temps investi pour ce sprint]])</f>
        <v/>
      </c>
      <c r="F41" s="53" t="str">
        <f>IF(ISBLANK(Planif[[#This Row],[Nom de la tâche]]),"",Suivi3[[#This Row],[Avancement à ce jour]])</f>
        <v/>
      </c>
      <c r="G41" s="30"/>
      <c r="H41" s="28"/>
      <c r="I41" s="32"/>
      <c r="J41" s="32"/>
      <c r="Q41" s="2" t="str">
        <f>IF(ISBLANK(Planif[[#This Row],[Nom de la tâche]]),"",IF(VLOOKUP(D41,CorrespondanceSprint,2)&lt;$R$12,"Sprint antérieur",IF(VLOOKUP(D41,CorrespondanceSprint,2)=$R$12,"Sprint courant","Sprint suivant")))</f>
        <v/>
      </c>
      <c r="R41" s="2" t="str">
        <f>IF(ISBLANK(Planif[[#This Row],[Nom de la tâche]]),"",IF(Suivi4[[#This Row],[Avancement final]]=0%, IF(VLOOKUP(D41,CorrespondanceSprint,2)&lt;=$R$12,"En retard","Non débutée"), IF(Suivi4[[#This Row],[Avancement final]]&lt;100%,IF(VLOOKUP(D41,CorrespondanceSprint,2)&lt;=$R$12,"En retard","En cours"),"Terminée")))</f>
        <v/>
      </c>
      <c r="S41" s="1"/>
    </row>
    <row r="42" spans="2:19" x14ac:dyDescent="0.2">
      <c r="B42" s="46" t="str">
        <f>Planif[[#This Row],[Numéro de la tâche]]</f>
        <v/>
      </c>
      <c r="C42" s="47" t="str">
        <f>IF(ISBLANK(Planif[[#This Row],[Nom de la tâche]]),"",Planif[[#This Row],[Nom de la tâche]])</f>
        <v/>
      </c>
      <c r="D42" s="46" t="str">
        <f>IF(ISBLANK(Planif[[#This Row],[Nom de la tâche]]),"",Planif[[#This Row],[Sprint visé]])</f>
        <v/>
      </c>
      <c r="E42" s="52" t="str">
        <f>IF(ISBLANK(Planif[[#This Row],[Nom de la tâche]]),"",Suivi3[[#This Row],[Temps mis pour le sprint précédent]]+Suivi3[[#This Row],[Temps investi pour ce sprint]])</f>
        <v/>
      </c>
      <c r="F42" s="53" t="str">
        <f>IF(ISBLANK(Planif[[#This Row],[Nom de la tâche]]),"",Suivi3[[#This Row],[Avancement à ce jour]])</f>
        <v/>
      </c>
      <c r="G42" s="30"/>
      <c r="H42" s="28"/>
      <c r="I42" s="32"/>
      <c r="J42" s="32"/>
      <c r="Q42" s="2" t="str">
        <f>IF(ISBLANK(Planif[[#This Row],[Nom de la tâche]]),"",IF(VLOOKUP(D42,CorrespondanceSprint,2)&lt;$R$12,"Sprint antérieur",IF(VLOOKUP(D42,CorrespondanceSprint,2)=$R$12,"Sprint courant","Sprint suivant")))</f>
        <v/>
      </c>
      <c r="R42" s="2" t="str">
        <f>IF(ISBLANK(Planif[[#This Row],[Nom de la tâche]]),"",IF(Suivi4[[#This Row],[Avancement final]]=0%, IF(VLOOKUP(D42,CorrespondanceSprint,2)&lt;=$R$12,"En retard","Non débutée"), IF(Suivi4[[#This Row],[Avancement final]]&lt;100%,IF(VLOOKUP(D42,CorrespondanceSprint,2)&lt;=$R$12,"En retard","En cours"),"Terminée")))</f>
        <v/>
      </c>
      <c r="S42" s="1"/>
    </row>
    <row r="43" spans="2:19" x14ac:dyDescent="0.2">
      <c r="B43" s="46" t="str">
        <f>Planif[[#This Row],[Numéro de la tâche]]</f>
        <v/>
      </c>
      <c r="C43" s="47" t="str">
        <f>IF(ISBLANK(Planif[[#This Row],[Nom de la tâche]]),"",Planif[[#This Row],[Nom de la tâche]])</f>
        <v/>
      </c>
      <c r="D43" s="46" t="str">
        <f>IF(ISBLANK(Planif[[#This Row],[Nom de la tâche]]),"",Planif[[#This Row],[Sprint visé]])</f>
        <v/>
      </c>
      <c r="E43" s="52" t="str">
        <f>IF(ISBLANK(Planif[[#This Row],[Nom de la tâche]]),"",Suivi3[[#This Row],[Temps mis pour le sprint précédent]]+Suivi3[[#This Row],[Temps investi pour ce sprint]])</f>
        <v/>
      </c>
      <c r="F43" s="53" t="str">
        <f>IF(ISBLANK(Planif[[#This Row],[Nom de la tâche]]),"",Suivi3[[#This Row],[Avancement à ce jour]])</f>
        <v/>
      </c>
      <c r="G43" s="30"/>
      <c r="H43" s="28"/>
      <c r="I43" s="32"/>
      <c r="J43" s="32"/>
      <c r="Q43" s="2" t="str">
        <f>IF(ISBLANK(Planif[[#This Row],[Nom de la tâche]]),"",IF(VLOOKUP(D43,CorrespondanceSprint,2)&lt;$R$12,"Sprint antérieur",IF(VLOOKUP(D43,CorrespondanceSprint,2)=$R$12,"Sprint courant","Sprint suivant")))</f>
        <v/>
      </c>
      <c r="R43" s="2" t="str">
        <f>IF(ISBLANK(Planif[[#This Row],[Nom de la tâche]]),"",IF(Suivi4[[#This Row],[Avancement final]]=0%, IF(VLOOKUP(D43,CorrespondanceSprint,2)&lt;=$R$12,"En retard","Non débutée"), IF(Suivi4[[#This Row],[Avancement final]]&lt;100%,IF(VLOOKUP(D43,CorrespondanceSprint,2)&lt;=$R$12,"En retard","En cours"),"Terminée")))</f>
        <v/>
      </c>
      <c r="S43" s="1"/>
    </row>
    <row r="44" spans="2:19" x14ac:dyDescent="0.2">
      <c r="B44" s="46" t="str">
        <f>Planif[[#This Row],[Numéro de la tâche]]</f>
        <v/>
      </c>
      <c r="C44" s="47" t="str">
        <f>IF(ISBLANK(Planif[[#This Row],[Nom de la tâche]]),"",Planif[[#This Row],[Nom de la tâche]])</f>
        <v/>
      </c>
      <c r="D44" s="46" t="str">
        <f>IF(ISBLANK(Planif[[#This Row],[Nom de la tâche]]),"",Planif[[#This Row],[Sprint visé]])</f>
        <v/>
      </c>
      <c r="E44" s="52" t="str">
        <f>IF(ISBLANK(Planif[[#This Row],[Nom de la tâche]]),"",Suivi3[[#This Row],[Temps mis pour le sprint précédent]]+Suivi3[[#This Row],[Temps investi pour ce sprint]])</f>
        <v/>
      </c>
      <c r="F44" s="53" t="str">
        <f>IF(ISBLANK(Planif[[#This Row],[Nom de la tâche]]),"",Suivi3[[#This Row],[Avancement à ce jour]])</f>
        <v/>
      </c>
      <c r="G44" s="30"/>
      <c r="H44" s="28"/>
      <c r="I44" s="32"/>
      <c r="J44" s="32"/>
      <c r="Q44" s="2" t="str">
        <f>IF(ISBLANK(Planif[[#This Row],[Nom de la tâche]]),"",IF(VLOOKUP(D44,CorrespondanceSprint,2)&lt;$R$12,"Sprint antérieur",IF(VLOOKUP(D44,CorrespondanceSprint,2)=$R$12,"Sprint courant","Sprint suivant")))</f>
        <v/>
      </c>
      <c r="R44" s="2" t="str">
        <f>IF(ISBLANK(Planif[[#This Row],[Nom de la tâche]]),"",IF(Suivi4[[#This Row],[Avancement final]]=0%, IF(VLOOKUP(D44,CorrespondanceSprint,2)&lt;=$R$12,"En retard","Non débutée"), IF(Suivi4[[#This Row],[Avancement final]]&lt;100%,IF(VLOOKUP(D44,CorrespondanceSprint,2)&lt;=$R$12,"En retard","En cours"),"Terminée")))</f>
        <v/>
      </c>
      <c r="S44" s="1"/>
    </row>
    <row r="45" spans="2:19" x14ac:dyDescent="0.2">
      <c r="B45" s="46" t="str">
        <f>Planif[[#This Row],[Numéro de la tâche]]</f>
        <v/>
      </c>
      <c r="C45" s="47" t="str">
        <f>IF(ISBLANK(Planif[[#This Row],[Nom de la tâche]]),"",Planif[[#This Row],[Nom de la tâche]])</f>
        <v/>
      </c>
      <c r="D45" s="46" t="str">
        <f>IF(ISBLANK(Planif[[#This Row],[Nom de la tâche]]),"",Planif[[#This Row],[Sprint visé]])</f>
        <v/>
      </c>
      <c r="E45" s="52" t="str">
        <f>IF(ISBLANK(Planif[[#This Row],[Nom de la tâche]]),"",Suivi3[[#This Row],[Temps mis pour le sprint précédent]]+Suivi3[[#This Row],[Temps investi pour ce sprint]])</f>
        <v/>
      </c>
      <c r="F45" s="53" t="str">
        <f>IF(ISBLANK(Planif[[#This Row],[Nom de la tâche]]),"",Suivi3[[#This Row],[Avancement à ce jour]])</f>
        <v/>
      </c>
      <c r="G45" s="30"/>
      <c r="H45" s="28"/>
      <c r="I45" s="32"/>
      <c r="J45" s="32"/>
      <c r="Q45" s="2" t="str">
        <f>IF(ISBLANK(Planif[[#This Row],[Nom de la tâche]]),"",IF(VLOOKUP(D45,CorrespondanceSprint,2)&lt;$R$12,"Sprint antérieur",IF(VLOOKUP(D45,CorrespondanceSprint,2)=$R$12,"Sprint courant","Sprint suivant")))</f>
        <v/>
      </c>
      <c r="R45" s="2" t="str">
        <f>IF(ISBLANK(Planif[[#This Row],[Nom de la tâche]]),"",IF(Suivi4[[#This Row],[Avancement final]]=0%, IF(VLOOKUP(D45,CorrespondanceSprint,2)&lt;=$R$12,"En retard","Non débutée"), IF(Suivi4[[#This Row],[Avancement final]]&lt;100%,IF(VLOOKUP(D45,CorrespondanceSprint,2)&lt;=$R$12,"En retard","En cours"),"Terminée")))</f>
        <v/>
      </c>
      <c r="S45" s="1"/>
    </row>
    <row r="46" spans="2:19" x14ac:dyDescent="0.2">
      <c r="B46" s="46" t="str">
        <f>Planif[[#This Row],[Numéro de la tâche]]</f>
        <v/>
      </c>
      <c r="C46" s="47" t="str">
        <f>IF(ISBLANK(Planif[[#This Row],[Nom de la tâche]]),"",Planif[[#This Row],[Nom de la tâche]])</f>
        <v/>
      </c>
      <c r="D46" s="46" t="str">
        <f>IF(ISBLANK(Planif[[#This Row],[Nom de la tâche]]),"",Planif[[#This Row],[Sprint visé]])</f>
        <v/>
      </c>
      <c r="E46" s="52" t="str">
        <f>IF(ISBLANK(Planif[[#This Row],[Nom de la tâche]]),"",Suivi3[[#This Row],[Temps mis pour le sprint précédent]]+Suivi3[[#This Row],[Temps investi pour ce sprint]])</f>
        <v/>
      </c>
      <c r="F46" s="53" t="str">
        <f>IF(ISBLANK(Planif[[#This Row],[Nom de la tâche]]),"",Suivi3[[#This Row],[Avancement à ce jour]])</f>
        <v/>
      </c>
      <c r="G46" s="30"/>
      <c r="H46" s="28"/>
      <c r="I46" s="32"/>
      <c r="J46" s="32"/>
      <c r="Q46" s="2" t="str">
        <f>IF(ISBLANK(Planif[[#This Row],[Nom de la tâche]]),"",IF(VLOOKUP(D46,CorrespondanceSprint,2)&lt;$R$12,"Sprint antérieur",IF(VLOOKUP(D46,CorrespondanceSprint,2)=$R$12,"Sprint courant","Sprint suivant")))</f>
        <v/>
      </c>
      <c r="R46" s="2" t="str">
        <f>IF(ISBLANK(Planif[[#This Row],[Nom de la tâche]]),"",IF(Suivi4[[#This Row],[Avancement final]]=0%, IF(VLOOKUP(D46,CorrespondanceSprint,2)&lt;=$R$12,"En retard","Non débutée"), IF(Suivi4[[#This Row],[Avancement final]]&lt;100%,IF(VLOOKUP(D46,CorrespondanceSprint,2)&lt;=$R$12,"En retard","En cours"),"Terminée")))</f>
        <v/>
      </c>
      <c r="S46" s="1"/>
    </row>
    <row r="47" spans="2:19" x14ac:dyDescent="0.2">
      <c r="B47" s="46" t="str">
        <f>Planif[[#This Row],[Numéro de la tâche]]</f>
        <v/>
      </c>
      <c r="C47" s="47" t="str">
        <f>IF(ISBLANK(Planif[[#This Row],[Nom de la tâche]]),"",Planif[[#This Row],[Nom de la tâche]])</f>
        <v/>
      </c>
      <c r="D47" s="46" t="str">
        <f>IF(ISBLANK(Planif[[#This Row],[Nom de la tâche]]),"",Planif[[#This Row],[Sprint visé]])</f>
        <v/>
      </c>
      <c r="E47" s="52" t="str">
        <f>IF(ISBLANK(Planif[[#This Row],[Nom de la tâche]]),"",Suivi3[[#This Row],[Temps mis pour le sprint précédent]]+Suivi3[[#This Row],[Temps investi pour ce sprint]])</f>
        <v/>
      </c>
      <c r="F47" s="53" t="str">
        <f>IF(ISBLANK(Planif[[#This Row],[Nom de la tâche]]),"",Suivi3[[#This Row],[Avancement à ce jour]])</f>
        <v/>
      </c>
      <c r="G47" s="30"/>
      <c r="H47" s="28"/>
      <c r="I47" s="32"/>
      <c r="J47" s="32"/>
      <c r="Q47" s="2" t="str">
        <f>IF(ISBLANK(Planif[[#This Row],[Nom de la tâche]]),"",IF(VLOOKUP(D47,CorrespondanceSprint,2)&lt;$R$12,"Sprint antérieur",IF(VLOOKUP(D47,CorrespondanceSprint,2)=$R$12,"Sprint courant","Sprint suivant")))</f>
        <v/>
      </c>
      <c r="R47" s="2" t="str">
        <f>IF(ISBLANK(Planif[[#This Row],[Nom de la tâche]]),"",IF(Suivi4[[#This Row],[Avancement final]]=0%, IF(VLOOKUP(D47,CorrespondanceSprint,2)&lt;=$R$12,"En retard","Non débutée"), IF(Suivi4[[#This Row],[Avancement final]]&lt;100%,IF(VLOOKUP(D47,CorrespondanceSprint,2)&lt;=$R$12,"En retard","En cours"),"Terminée")))</f>
        <v/>
      </c>
      <c r="S47" s="1"/>
    </row>
    <row r="48" spans="2:19" x14ac:dyDescent="0.2">
      <c r="B48" s="46" t="str">
        <f>Planif[[#This Row],[Numéro de la tâche]]</f>
        <v/>
      </c>
      <c r="C48" s="47" t="str">
        <f>IF(ISBLANK(Planif[[#This Row],[Nom de la tâche]]),"",Planif[[#This Row],[Nom de la tâche]])</f>
        <v/>
      </c>
      <c r="D48" s="46" t="str">
        <f>IF(ISBLANK(Planif[[#This Row],[Nom de la tâche]]),"",Planif[[#This Row],[Sprint visé]])</f>
        <v/>
      </c>
      <c r="E48" s="52" t="str">
        <f>IF(ISBLANK(Planif[[#This Row],[Nom de la tâche]]),"",Suivi3[[#This Row],[Temps mis pour le sprint précédent]]+Suivi3[[#This Row],[Temps investi pour ce sprint]])</f>
        <v/>
      </c>
      <c r="F48" s="53" t="str">
        <f>IF(ISBLANK(Planif[[#This Row],[Nom de la tâche]]),"",Suivi3[[#This Row],[Avancement à ce jour]])</f>
        <v/>
      </c>
      <c r="G48" s="30"/>
      <c r="H48" s="28"/>
      <c r="I48" s="32"/>
      <c r="J48" s="32"/>
      <c r="Q48" s="2" t="str">
        <f>IF(ISBLANK(Planif[[#This Row],[Nom de la tâche]]),"",IF(VLOOKUP(D48,CorrespondanceSprint,2)&lt;$R$12,"Sprint antérieur",IF(VLOOKUP(D48,CorrespondanceSprint,2)=$R$12,"Sprint courant","Sprint suivant")))</f>
        <v/>
      </c>
      <c r="R48" s="2" t="str">
        <f>IF(ISBLANK(Planif[[#This Row],[Nom de la tâche]]),"",IF(Suivi4[[#This Row],[Avancement final]]=0%, IF(VLOOKUP(D48,CorrespondanceSprint,2)&lt;=$R$12,"En retard","Non débutée"), IF(Suivi4[[#This Row],[Avancement final]]&lt;100%,IF(VLOOKUP(D48,CorrespondanceSprint,2)&lt;=$R$12,"En retard","En cours"),"Terminée")))</f>
        <v/>
      </c>
      <c r="S48" s="1"/>
    </row>
    <row r="49" spans="2:19" x14ac:dyDescent="0.2">
      <c r="B49" s="46" t="str">
        <f>Planif[[#This Row],[Numéro de la tâche]]</f>
        <v/>
      </c>
      <c r="C49" s="47" t="str">
        <f>IF(ISBLANK(Planif[[#This Row],[Nom de la tâche]]),"",Planif[[#This Row],[Nom de la tâche]])</f>
        <v/>
      </c>
      <c r="D49" s="46" t="str">
        <f>IF(ISBLANK(Planif[[#This Row],[Nom de la tâche]]),"",Planif[[#This Row],[Sprint visé]])</f>
        <v/>
      </c>
      <c r="E49" s="52" t="str">
        <f>IF(ISBLANK(Planif[[#This Row],[Nom de la tâche]]),"",Suivi3[[#This Row],[Temps mis pour le sprint précédent]]+Suivi3[[#This Row],[Temps investi pour ce sprint]])</f>
        <v/>
      </c>
      <c r="F49" s="53" t="str">
        <f>IF(ISBLANK(Planif[[#This Row],[Nom de la tâche]]),"",Suivi3[[#This Row],[Avancement à ce jour]])</f>
        <v/>
      </c>
      <c r="G49" s="30"/>
      <c r="H49" s="28"/>
      <c r="I49" s="32"/>
      <c r="J49" s="32"/>
      <c r="Q49" s="2" t="str">
        <f>IF(ISBLANK(Planif[[#This Row],[Nom de la tâche]]),"",IF(VLOOKUP(D49,CorrespondanceSprint,2)&lt;$R$12,"Sprint antérieur",IF(VLOOKUP(D49,CorrespondanceSprint,2)=$R$12,"Sprint courant","Sprint suivant")))</f>
        <v/>
      </c>
      <c r="R49" s="2" t="str">
        <f>IF(ISBLANK(Planif[[#This Row],[Nom de la tâche]]),"",IF(Suivi4[[#This Row],[Avancement final]]=0%, IF(VLOOKUP(D49,CorrespondanceSprint,2)&lt;=$R$12,"En retard","Non débutée"), IF(Suivi4[[#This Row],[Avancement final]]&lt;100%,IF(VLOOKUP(D49,CorrespondanceSprint,2)&lt;=$R$12,"En retard","En cours"),"Terminée")))</f>
        <v/>
      </c>
      <c r="S49" s="1"/>
    </row>
    <row r="50" spans="2:19" x14ac:dyDescent="0.2">
      <c r="B50" s="46" t="str">
        <f>Planif[[#This Row],[Numéro de la tâche]]</f>
        <v/>
      </c>
      <c r="C50" s="47" t="str">
        <f>IF(ISBLANK(Planif[[#This Row],[Nom de la tâche]]),"",Planif[[#This Row],[Nom de la tâche]])</f>
        <v/>
      </c>
      <c r="D50" s="46" t="str">
        <f>IF(ISBLANK(Planif[[#This Row],[Nom de la tâche]]),"",Planif[[#This Row],[Sprint visé]])</f>
        <v/>
      </c>
      <c r="E50" s="52" t="str">
        <f>IF(ISBLANK(Planif[[#This Row],[Nom de la tâche]]),"",Suivi3[[#This Row],[Temps mis pour le sprint précédent]]+Suivi3[[#This Row],[Temps investi pour ce sprint]])</f>
        <v/>
      </c>
      <c r="F50" s="53" t="str">
        <f>IF(ISBLANK(Planif[[#This Row],[Nom de la tâche]]),"",Suivi3[[#This Row],[Avancement à ce jour]])</f>
        <v/>
      </c>
      <c r="G50" s="30"/>
      <c r="H50" s="28"/>
      <c r="I50" s="32"/>
      <c r="J50" s="32"/>
      <c r="Q50" s="2" t="str">
        <f>IF(ISBLANK(Planif[[#This Row],[Nom de la tâche]]),"",IF(VLOOKUP(D50,CorrespondanceSprint,2)&lt;$R$12,"Sprint antérieur",IF(VLOOKUP(D50,CorrespondanceSprint,2)=$R$12,"Sprint courant","Sprint suivant")))</f>
        <v/>
      </c>
      <c r="R50" s="2" t="str">
        <f>IF(ISBLANK(Planif[[#This Row],[Nom de la tâche]]),"",IF(Suivi4[[#This Row],[Avancement final]]=0%, IF(VLOOKUP(D50,CorrespondanceSprint,2)&lt;=$R$12,"En retard","Non débutée"), IF(Suivi4[[#This Row],[Avancement final]]&lt;100%,IF(VLOOKUP(D50,CorrespondanceSprint,2)&lt;=$R$12,"En retard","En cours"),"Terminée")))</f>
        <v/>
      </c>
      <c r="S50" s="1"/>
    </row>
    <row r="51" spans="2:19" x14ac:dyDescent="0.2">
      <c r="B51" s="46" t="str">
        <f>Planif[[#This Row],[Numéro de la tâche]]</f>
        <v/>
      </c>
      <c r="C51" s="47" t="str">
        <f>IF(ISBLANK(Planif[[#This Row],[Nom de la tâche]]),"",Planif[[#This Row],[Nom de la tâche]])</f>
        <v/>
      </c>
      <c r="D51" s="46" t="str">
        <f>IF(ISBLANK(Planif[[#This Row],[Nom de la tâche]]),"",Planif[[#This Row],[Sprint visé]])</f>
        <v/>
      </c>
      <c r="E51" s="52" t="str">
        <f>IF(ISBLANK(Planif[[#This Row],[Nom de la tâche]]),"",Suivi3[[#This Row],[Temps mis pour le sprint précédent]]+Suivi3[[#This Row],[Temps investi pour ce sprint]])</f>
        <v/>
      </c>
      <c r="F51" s="53" t="str">
        <f>IF(ISBLANK(Planif[[#This Row],[Nom de la tâche]]),"",Suivi3[[#This Row],[Avancement à ce jour]])</f>
        <v/>
      </c>
      <c r="G51" s="30"/>
      <c r="H51" s="28"/>
      <c r="I51" s="32"/>
      <c r="J51" s="32"/>
      <c r="Q51" s="2" t="str">
        <f>IF(ISBLANK(Planif[[#This Row],[Nom de la tâche]]),"",IF(VLOOKUP(D51,CorrespondanceSprint,2)&lt;$R$12,"Sprint antérieur",IF(VLOOKUP(D51,CorrespondanceSprint,2)=$R$12,"Sprint courant","Sprint suivant")))</f>
        <v/>
      </c>
      <c r="R51" s="2" t="str">
        <f>IF(ISBLANK(Planif[[#This Row],[Nom de la tâche]]),"",IF(Suivi4[[#This Row],[Avancement final]]=0%, IF(VLOOKUP(D51,CorrespondanceSprint,2)&lt;=$R$12,"En retard","Non débutée"), IF(Suivi4[[#This Row],[Avancement final]]&lt;100%,IF(VLOOKUP(D51,CorrespondanceSprint,2)&lt;=$R$12,"En retard","En cours"),"Terminée")))</f>
        <v/>
      </c>
      <c r="S51" s="1"/>
    </row>
    <row r="52" spans="2:19" x14ac:dyDescent="0.2">
      <c r="B52" s="46" t="str">
        <f>Planif[[#This Row],[Numéro de la tâche]]</f>
        <v/>
      </c>
      <c r="C52" s="47" t="str">
        <f>IF(ISBLANK(Planif[[#This Row],[Nom de la tâche]]),"",Planif[[#This Row],[Nom de la tâche]])</f>
        <v/>
      </c>
      <c r="D52" s="46" t="str">
        <f>IF(ISBLANK(Planif[[#This Row],[Nom de la tâche]]),"",Planif[[#This Row],[Sprint visé]])</f>
        <v/>
      </c>
      <c r="E52" s="52" t="str">
        <f>IF(ISBLANK(Planif[[#This Row],[Nom de la tâche]]),"",Suivi3[[#This Row],[Temps mis pour le sprint précédent]]+Suivi3[[#This Row],[Temps investi pour ce sprint]])</f>
        <v/>
      </c>
      <c r="F52" s="53" t="str">
        <f>IF(ISBLANK(Planif[[#This Row],[Nom de la tâche]]),"",Suivi3[[#This Row],[Avancement à ce jour]])</f>
        <v/>
      </c>
      <c r="G52" s="30"/>
      <c r="H52" s="28"/>
      <c r="I52" s="32"/>
      <c r="J52" s="32"/>
      <c r="Q52" s="2" t="str">
        <f>IF(ISBLANK(Planif[[#This Row],[Nom de la tâche]]),"",IF(VLOOKUP(D52,CorrespondanceSprint,2)&lt;$R$12,"Sprint antérieur",IF(VLOOKUP(D52,CorrespondanceSprint,2)=$R$12,"Sprint courant","Sprint suivant")))</f>
        <v/>
      </c>
      <c r="R52" s="2" t="str">
        <f>IF(ISBLANK(Planif[[#This Row],[Nom de la tâche]]),"",IF(Suivi4[[#This Row],[Avancement final]]=0%, IF(VLOOKUP(D52,CorrespondanceSprint,2)&lt;=$R$12,"En retard","Non débutée"), IF(Suivi4[[#This Row],[Avancement final]]&lt;100%,IF(VLOOKUP(D52,CorrespondanceSprint,2)&lt;=$R$12,"En retard","En cours"),"Terminée")))</f>
        <v/>
      </c>
      <c r="S52" s="1"/>
    </row>
    <row r="53" spans="2:19" x14ac:dyDescent="0.2">
      <c r="B53" s="46" t="str">
        <f>Planif[[#This Row],[Numéro de la tâche]]</f>
        <v/>
      </c>
      <c r="C53" s="47" t="str">
        <f>IF(ISBLANK(Planif[[#This Row],[Nom de la tâche]]),"",Planif[[#This Row],[Nom de la tâche]])</f>
        <v/>
      </c>
      <c r="D53" s="46" t="str">
        <f>IF(ISBLANK(Planif[[#This Row],[Nom de la tâche]]),"",Planif[[#This Row],[Sprint visé]])</f>
        <v/>
      </c>
      <c r="E53" s="52" t="str">
        <f>IF(ISBLANK(Planif[[#This Row],[Nom de la tâche]]),"",Suivi3[[#This Row],[Temps mis pour le sprint précédent]]+Suivi3[[#This Row],[Temps investi pour ce sprint]])</f>
        <v/>
      </c>
      <c r="F53" s="53" t="str">
        <f>IF(ISBLANK(Planif[[#This Row],[Nom de la tâche]]),"",Suivi3[[#This Row],[Avancement à ce jour]])</f>
        <v/>
      </c>
      <c r="G53" s="30"/>
      <c r="H53" s="28"/>
      <c r="I53" s="32"/>
      <c r="J53" s="32"/>
      <c r="Q53" s="2" t="str">
        <f>IF(ISBLANK(Planif[[#This Row],[Nom de la tâche]]),"",IF(VLOOKUP(D53,CorrespondanceSprint,2)&lt;$R$12,"Sprint antérieur",IF(VLOOKUP(D53,CorrespondanceSprint,2)=$R$12,"Sprint courant","Sprint suivant")))</f>
        <v/>
      </c>
      <c r="R53" s="2" t="str">
        <f>IF(ISBLANK(Planif[[#This Row],[Nom de la tâche]]),"",IF(Suivi4[[#This Row],[Avancement final]]=0%, IF(VLOOKUP(D53,CorrespondanceSprint,2)&lt;=$R$12,"En retard","Non débutée"), IF(Suivi4[[#This Row],[Avancement final]]&lt;100%,IF(VLOOKUP(D53,CorrespondanceSprint,2)&lt;=$R$12,"En retard","En cours"),"Terminée")))</f>
        <v/>
      </c>
      <c r="S53" s="1"/>
    </row>
    <row r="54" spans="2:19" x14ac:dyDescent="0.2">
      <c r="B54" s="46" t="str">
        <f>Planif[[#This Row],[Numéro de la tâche]]</f>
        <v/>
      </c>
      <c r="C54" s="47" t="str">
        <f>IF(ISBLANK(Planif[[#This Row],[Nom de la tâche]]),"",Planif[[#This Row],[Nom de la tâche]])</f>
        <v/>
      </c>
      <c r="D54" s="46" t="str">
        <f>IF(ISBLANK(Planif[[#This Row],[Nom de la tâche]]),"",Planif[[#This Row],[Sprint visé]])</f>
        <v/>
      </c>
      <c r="E54" s="52" t="str">
        <f>IF(ISBLANK(Planif[[#This Row],[Nom de la tâche]]),"",Suivi3[[#This Row],[Temps mis pour le sprint précédent]]+Suivi3[[#This Row],[Temps investi pour ce sprint]])</f>
        <v/>
      </c>
      <c r="F54" s="53" t="str">
        <f>IF(ISBLANK(Planif[[#This Row],[Nom de la tâche]]),"",Suivi3[[#This Row],[Avancement à ce jour]])</f>
        <v/>
      </c>
      <c r="G54" s="30"/>
      <c r="H54" s="28"/>
      <c r="I54" s="32"/>
      <c r="J54" s="32"/>
      <c r="Q54" s="2" t="str">
        <f>IF(ISBLANK(Planif[[#This Row],[Nom de la tâche]]),"",IF(VLOOKUP(D54,CorrespondanceSprint,2)&lt;$R$12,"Sprint antérieur",IF(VLOOKUP(D54,CorrespondanceSprint,2)=$R$12,"Sprint courant","Sprint suivant")))</f>
        <v/>
      </c>
      <c r="R54" s="2" t="str">
        <f>IF(ISBLANK(Planif[[#This Row],[Nom de la tâche]]),"",IF(Suivi4[[#This Row],[Avancement final]]=0%, IF(VLOOKUP(D54,CorrespondanceSprint,2)&lt;=$R$12,"En retard","Non débutée"), IF(Suivi4[[#This Row],[Avancement final]]&lt;100%,IF(VLOOKUP(D54,CorrespondanceSprint,2)&lt;=$R$12,"En retard","En cours"),"Terminée")))</f>
        <v/>
      </c>
      <c r="S54" s="1"/>
    </row>
    <row r="55" spans="2:19" x14ac:dyDescent="0.2">
      <c r="B55" s="46" t="str">
        <f>Planif[[#This Row],[Numéro de la tâche]]</f>
        <v/>
      </c>
      <c r="C55" s="47" t="str">
        <f>IF(ISBLANK(Planif[[#This Row],[Nom de la tâche]]),"",Planif[[#This Row],[Nom de la tâche]])</f>
        <v/>
      </c>
      <c r="D55" s="46" t="str">
        <f>IF(ISBLANK(Planif[[#This Row],[Nom de la tâche]]),"",Planif[[#This Row],[Sprint visé]])</f>
        <v/>
      </c>
      <c r="E55" s="52" t="str">
        <f>IF(ISBLANK(Planif[[#This Row],[Nom de la tâche]]),"",Suivi3[[#This Row],[Temps mis pour le sprint précédent]]+Suivi3[[#This Row],[Temps investi pour ce sprint]])</f>
        <v/>
      </c>
      <c r="F55" s="53" t="str">
        <f>IF(ISBLANK(Planif[[#This Row],[Nom de la tâche]]),"",Suivi3[[#This Row],[Avancement à ce jour]])</f>
        <v/>
      </c>
      <c r="G55" s="30"/>
      <c r="H55" s="28"/>
      <c r="I55" s="32"/>
      <c r="J55" s="32"/>
      <c r="Q55" s="2" t="str">
        <f>IF(ISBLANK(Planif[[#This Row],[Nom de la tâche]]),"",IF(VLOOKUP(D55,CorrespondanceSprint,2)&lt;$R$12,"Sprint antérieur",IF(VLOOKUP(D55,CorrespondanceSprint,2)=$R$12,"Sprint courant","Sprint suivant")))</f>
        <v/>
      </c>
      <c r="R55" s="2" t="str">
        <f>IF(ISBLANK(Planif[[#This Row],[Nom de la tâche]]),"",IF(Suivi4[[#This Row],[Avancement final]]=0%, IF(VLOOKUP(D55,CorrespondanceSprint,2)&lt;=$R$12,"En retard","Non débutée"), IF(Suivi4[[#This Row],[Avancement final]]&lt;100%,IF(VLOOKUP(D55,CorrespondanceSprint,2)&lt;=$R$12,"En retard","En cours"),"Terminée")))</f>
        <v/>
      </c>
      <c r="S55" s="1"/>
    </row>
    <row r="56" spans="2:19" x14ac:dyDescent="0.2">
      <c r="B56" s="46" t="str">
        <f>Planif[[#This Row],[Numéro de la tâche]]</f>
        <v/>
      </c>
      <c r="C56" s="47" t="str">
        <f>IF(ISBLANK(Planif[[#This Row],[Nom de la tâche]]),"",Planif[[#This Row],[Nom de la tâche]])</f>
        <v/>
      </c>
      <c r="D56" s="46" t="str">
        <f>IF(ISBLANK(Planif[[#This Row],[Nom de la tâche]]),"",Planif[[#This Row],[Sprint visé]])</f>
        <v/>
      </c>
      <c r="E56" s="52" t="str">
        <f>IF(ISBLANK(Planif[[#This Row],[Nom de la tâche]]),"",Suivi3[[#This Row],[Temps mis pour le sprint précédent]]+Suivi3[[#This Row],[Temps investi pour ce sprint]])</f>
        <v/>
      </c>
      <c r="F56" s="53" t="str">
        <f>IF(ISBLANK(Planif[[#This Row],[Nom de la tâche]]),"",Suivi3[[#This Row],[Avancement à ce jour]])</f>
        <v/>
      </c>
      <c r="G56" s="30"/>
      <c r="H56" s="28"/>
      <c r="I56" s="32"/>
      <c r="J56" s="32"/>
      <c r="Q56" s="2" t="str">
        <f>IF(ISBLANK(Planif[[#This Row],[Nom de la tâche]]),"",IF(VLOOKUP(D56,CorrespondanceSprint,2)&lt;$R$12,"Sprint antérieur",IF(VLOOKUP(D56,CorrespondanceSprint,2)=$R$12,"Sprint courant","Sprint suivant")))</f>
        <v/>
      </c>
      <c r="R56" s="2" t="str">
        <f>IF(ISBLANK(Planif[[#This Row],[Nom de la tâche]]),"",IF(Suivi4[[#This Row],[Avancement final]]=0%, IF(VLOOKUP(D56,CorrespondanceSprint,2)&lt;=$R$12,"En retard","Non débutée"), IF(Suivi4[[#This Row],[Avancement final]]&lt;100%,IF(VLOOKUP(D56,CorrespondanceSprint,2)&lt;=$R$12,"En retard","En cours"),"Terminée")))</f>
        <v/>
      </c>
      <c r="S56" s="1"/>
    </row>
    <row r="57" spans="2:19" x14ac:dyDescent="0.2">
      <c r="B57" s="46" t="str">
        <f>Planif[[#This Row],[Numéro de la tâche]]</f>
        <v/>
      </c>
      <c r="C57" s="47" t="str">
        <f>IF(ISBLANK(Planif[[#This Row],[Nom de la tâche]]),"",Planif[[#This Row],[Nom de la tâche]])</f>
        <v/>
      </c>
      <c r="D57" s="46" t="str">
        <f>IF(ISBLANK(Planif[[#This Row],[Nom de la tâche]]),"",Planif[[#This Row],[Sprint visé]])</f>
        <v/>
      </c>
      <c r="E57" s="52" t="str">
        <f>IF(ISBLANK(Planif[[#This Row],[Nom de la tâche]]),"",Suivi3[[#This Row],[Temps mis pour le sprint précédent]]+Suivi3[[#This Row],[Temps investi pour ce sprint]])</f>
        <v/>
      </c>
      <c r="F57" s="53" t="str">
        <f>IF(ISBLANK(Planif[[#This Row],[Nom de la tâche]]),"",Suivi3[[#This Row],[Avancement à ce jour]])</f>
        <v/>
      </c>
      <c r="G57" s="30"/>
      <c r="H57" s="28"/>
      <c r="I57" s="32"/>
      <c r="J57" s="32"/>
      <c r="Q57" s="2" t="str">
        <f>IF(ISBLANK(Planif[[#This Row],[Nom de la tâche]]),"",IF(VLOOKUP(D57,CorrespondanceSprint,2)&lt;$R$12,"Sprint antérieur",IF(VLOOKUP(D57,CorrespondanceSprint,2)=$R$12,"Sprint courant","Sprint suivant")))</f>
        <v/>
      </c>
      <c r="R57" s="2" t="str">
        <f>IF(ISBLANK(Planif[[#This Row],[Nom de la tâche]]),"",IF(Suivi4[[#This Row],[Avancement final]]=0%, IF(VLOOKUP(D57,CorrespondanceSprint,2)&lt;=$R$12,"En retard","Non débutée"), IF(Suivi4[[#This Row],[Avancement final]]&lt;100%,IF(VLOOKUP(D57,CorrespondanceSprint,2)&lt;=$R$12,"En retard","En cours"),"Terminée")))</f>
        <v/>
      </c>
      <c r="S57" s="1"/>
    </row>
    <row r="58" spans="2:19" x14ac:dyDescent="0.2">
      <c r="B58" s="46" t="str">
        <f>Planif[[#This Row],[Numéro de la tâche]]</f>
        <v/>
      </c>
      <c r="C58" s="47" t="str">
        <f>IF(ISBLANK(Planif[[#This Row],[Nom de la tâche]]),"",Planif[[#This Row],[Nom de la tâche]])</f>
        <v/>
      </c>
      <c r="D58" s="46" t="str">
        <f>IF(ISBLANK(Planif[[#This Row],[Nom de la tâche]]),"",Planif[[#This Row],[Sprint visé]])</f>
        <v/>
      </c>
      <c r="E58" s="52" t="str">
        <f>IF(ISBLANK(Planif[[#This Row],[Nom de la tâche]]),"",Suivi3[[#This Row],[Temps mis pour le sprint précédent]]+Suivi3[[#This Row],[Temps investi pour ce sprint]])</f>
        <v/>
      </c>
      <c r="F58" s="53" t="str">
        <f>IF(ISBLANK(Planif[[#This Row],[Nom de la tâche]]),"",Suivi3[[#This Row],[Avancement à ce jour]])</f>
        <v/>
      </c>
      <c r="G58" s="30"/>
      <c r="H58" s="28"/>
      <c r="I58" s="32"/>
      <c r="J58" s="32"/>
      <c r="Q58" s="2" t="str">
        <f>IF(ISBLANK(Planif[[#This Row],[Nom de la tâche]]),"",IF(VLOOKUP(D58,CorrespondanceSprint,2)&lt;$R$12,"Sprint antérieur",IF(VLOOKUP(D58,CorrespondanceSprint,2)=$R$12,"Sprint courant","Sprint suivant")))</f>
        <v/>
      </c>
      <c r="R58" s="2" t="str">
        <f>IF(ISBLANK(Planif[[#This Row],[Nom de la tâche]]),"",IF(Suivi4[[#This Row],[Avancement final]]=0%, IF(VLOOKUP(D58,CorrespondanceSprint,2)&lt;=$R$12,"En retard","Non débutée"), IF(Suivi4[[#This Row],[Avancement final]]&lt;100%,IF(VLOOKUP(D58,CorrespondanceSprint,2)&lt;=$R$12,"En retard","En cours"),"Terminée")))</f>
        <v/>
      </c>
      <c r="S58" s="1"/>
    </row>
    <row r="59" spans="2:19" x14ac:dyDescent="0.2">
      <c r="B59" s="46" t="str">
        <f>Planif[[#This Row],[Numéro de la tâche]]</f>
        <v/>
      </c>
      <c r="C59" s="47" t="str">
        <f>IF(ISBLANK(Planif[[#This Row],[Nom de la tâche]]),"",Planif[[#This Row],[Nom de la tâche]])</f>
        <v/>
      </c>
      <c r="D59" s="46" t="str">
        <f>IF(ISBLANK(Planif[[#This Row],[Nom de la tâche]]),"",Planif[[#This Row],[Sprint visé]])</f>
        <v/>
      </c>
      <c r="E59" s="52" t="str">
        <f>IF(ISBLANK(Planif[[#This Row],[Nom de la tâche]]),"",Suivi3[[#This Row],[Temps mis pour le sprint précédent]]+Suivi3[[#This Row],[Temps investi pour ce sprint]])</f>
        <v/>
      </c>
      <c r="F59" s="53" t="str">
        <f>IF(ISBLANK(Planif[[#This Row],[Nom de la tâche]]),"",Suivi3[[#This Row],[Avancement à ce jour]])</f>
        <v/>
      </c>
      <c r="G59" s="30"/>
      <c r="H59" s="28"/>
      <c r="I59" s="32"/>
      <c r="J59" s="32"/>
      <c r="Q59" s="2" t="str">
        <f>IF(ISBLANK(Planif[[#This Row],[Nom de la tâche]]),"",IF(VLOOKUP(D59,CorrespondanceSprint,2)&lt;$R$12,"Sprint antérieur",IF(VLOOKUP(D59,CorrespondanceSprint,2)=$R$12,"Sprint courant","Sprint suivant")))</f>
        <v/>
      </c>
      <c r="R59" s="2" t="str">
        <f>IF(ISBLANK(Planif[[#This Row],[Nom de la tâche]]),"",IF(Suivi4[[#This Row],[Avancement final]]=0%, IF(VLOOKUP(D59,CorrespondanceSprint,2)&lt;=$R$12,"En retard","Non débutée"), IF(Suivi4[[#This Row],[Avancement final]]&lt;100%,IF(VLOOKUP(D59,CorrespondanceSprint,2)&lt;=$R$12,"En retard","En cours"),"Terminée")))</f>
        <v/>
      </c>
      <c r="S59" s="1"/>
    </row>
    <row r="60" spans="2:19" x14ac:dyDescent="0.2">
      <c r="B60" s="46" t="str">
        <f>Planif[[#This Row],[Numéro de la tâche]]</f>
        <v/>
      </c>
      <c r="C60" s="47" t="str">
        <f>IF(ISBLANK(Planif[[#This Row],[Nom de la tâche]]),"",Planif[[#This Row],[Nom de la tâche]])</f>
        <v/>
      </c>
      <c r="D60" s="46" t="str">
        <f>IF(ISBLANK(Planif[[#This Row],[Nom de la tâche]]),"",Planif[[#This Row],[Sprint visé]])</f>
        <v/>
      </c>
      <c r="E60" s="52" t="str">
        <f>IF(ISBLANK(Planif[[#This Row],[Nom de la tâche]]),"",Suivi3[[#This Row],[Temps mis pour le sprint précédent]]+Suivi3[[#This Row],[Temps investi pour ce sprint]])</f>
        <v/>
      </c>
      <c r="F60" s="53" t="str">
        <f>IF(ISBLANK(Planif[[#This Row],[Nom de la tâche]]),"",Suivi3[[#This Row],[Avancement à ce jour]])</f>
        <v/>
      </c>
      <c r="G60" s="30"/>
      <c r="H60" s="28"/>
      <c r="I60" s="32"/>
      <c r="J60" s="32"/>
      <c r="Q60" s="2" t="str">
        <f>IF(ISBLANK(Planif[[#This Row],[Nom de la tâche]]),"",IF(VLOOKUP(D60,CorrespondanceSprint,2)&lt;$R$12,"Sprint antérieur",IF(VLOOKUP(D60,CorrespondanceSprint,2)=$R$12,"Sprint courant","Sprint suivant")))</f>
        <v/>
      </c>
      <c r="R60" s="2" t="str">
        <f>IF(ISBLANK(Planif[[#This Row],[Nom de la tâche]]),"",IF(Suivi4[[#This Row],[Avancement final]]=0%, IF(VLOOKUP(D60,CorrespondanceSprint,2)&lt;=$R$12,"En retard","Non débutée"), IF(Suivi4[[#This Row],[Avancement final]]&lt;100%,IF(VLOOKUP(D60,CorrespondanceSprint,2)&lt;=$R$12,"En retard","En cours"),"Terminée")))</f>
        <v/>
      </c>
      <c r="S60" s="1"/>
    </row>
    <row r="61" spans="2:19" x14ac:dyDescent="0.2">
      <c r="B61" s="46" t="str">
        <f>Planif[[#This Row],[Numéro de la tâche]]</f>
        <v/>
      </c>
      <c r="C61" s="47" t="str">
        <f>IF(ISBLANK(Planif[[#This Row],[Nom de la tâche]]),"",Planif[[#This Row],[Nom de la tâche]])</f>
        <v/>
      </c>
      <c r="D61" s="46" t="str">
        <f>IF(ISBLANK(Planif[[#This Row],[Nom de la tâche]]),"",Planif[[#This Row],[Sprint visé]])</f>
        <v/>
      </c>
      <c r="E61" s="52" t="str">
        <f>IF(ISBLANK(Planif[[#This Row],[Nom de la tâche]]),"",Suivi3[[#This Row],[Temps mis pour le sprint précédent]]+Suivi3[[#This Row],[Temps investi pour ce sprint]])</f>
        <v/>
      </c>
      <c r="F61" s="53" t="str">
        <f>IF(ISBLANK(Planif[[#This Row],[Nom de la tâche]]),"",Suivi3[[#This Row],[Avancement à ce jour]])</f>
        <v/>
      </c>
      <c r="G61" s="30"/>
      <c r="H61" s="28"/>
      <c r="I61" s="32"/>
      <c r="J61" s="32"/>
      <c r="Q61" s="2" t="str">
        <f>IF(ISBLANK(Planif[[#This Row],[Nom de la tâche]]),"",IF(VLOOKUP(D61,CorrespondanceSprint,2)&lt;$R$12,"Sprint antérieur",IF(VLOOKUP(D61,CorrespondanceSprint,2)=$R$12,"Sprint courant","Sprint suivant")))</f>
        <v/>
      </c>
      <c r="R61" s="2" t="str">
        <f>IF(ISBLANK(Planif[[#This Row],[Nom de la tâche]]),"",IF(Suivi4[[#This Row],[Avancement final]]=0%, IF(VLOOKUP(D61,CorrespondanceSprint,2)&lt;=$R$12,"En retard","Non débutée"), IF(Suivi4[[#This Row],[Avancement final]]&lt;100%,IF(VLOOKUP(D61,CorrespondanceSprint,2)&lt;=$R$12,"En retard","En cours"),"Terminée")))</f>
        <v/>
      </c>
      <c r="S61" s="1"/>
    </row>
    <row r="62" spans="2:19" x14ac:dyDescent="0.2">
      <c r="B62" s="48" t="str">
        <f>Planif[[#This Row],[Numéro de la tâche]]</f>
        <v/>
      </c>
      <c r="C62" s="47" t="str">
        <f>IF(ISBLANK(Planif[[#This Row],[Nom de la tâche]]),"",Planif[[#This Row],[Nom de la tâche]])</f>
        <v/>
      </c>
      <c r="D62" s="46" t="str">
        <f>IF(ISBLANK(Planif[[#This Row],[Nom de la tâche]]),"",Planif[[#This Row],[Sprint visé]])</f>
        <v/>
      </c>
      <c r="E62" s="52" t="str">
        <f>IF(ISBLANK(Planif[[#This Row],[Nom de la tâche]]),"",Suivi3[[#This Row],[Temps mis pour le sprint précédent]]+Suivi3[[#This Row],[Temps investi pour ce sprint]])</f>
        <v/>
      </c>
      <c r="F62" s="53" t="str">
        <f>IF(ISBLANK(Planif[[#This Row],[Nom de la tâche]]),"",Suivi3[[#This Row],[Avancement à ce jour]])</f>
        <v/>
      </c>
      <c r="G62" s="30"/>
      <c r="H62" s="28"/>
      <c r="I62" s="32"/>
      <c r="J62" s="32"/>
      <c r="Q62" s="2" t="str">
        <f>IF(ISBLANK(Planif[[#This Row],[Nom de la tâche]]),"",IF(VLOOKUP(D62,CorrespondanceSprint,2)&lt;$R$12,"Sprint antérieur",IF(VLOOKUP(D62,CorrespondanceSprint,2)=$R$12,"Sprint courant","Sprint suivant")))</f>
        <v/>
      </c>
      <c r="R62" s="2" t="str">
        <f>IF(ISBLANK(Planif[[#This Row],[Nom de la tâche]]),"",IF(Suivi4[[#This Row],[Avancement final]]=0%, IF(VLOOKUP(D62,CorrespondanceSprint,2)&lt;=$R$12,"En retard","Non débutée"), IF(Suivi4[[#This Row],[Avancement final]]&lt;100%,IF(VLOOKUP(D62,CorrespondanceSprint,2)&lt;=$R$12,"En retard","En cours"),"Terminée")))</f>
        <v/>
      </c>
      <c r="S62" s="1"/>
    </row>
    <row r="63" spans="2:19" x14ac:dyDescent="0.2">
      <c r="Q63" s="2">
        <f>COUNTIF($R$13:$R$62,R63)</f>
        <v>0</v>
      </c>
      <c r="R63" s="2" t="s">
        <v>45</v>
      </c>
      <c r="S63" s="1"/>
    </row>
    <row r="64" spans="2:19" x14ac:dyDescent="0.2">
      <c r="B64" s="9" t="s">
        <v>49</v>
      </c>
      <c r="Q64" s="2">
        <f>COUNTIF($R$13:$R$62,R64)</f>
        <v>0</v>
      </c>
      <c r="R64" s="2" t="s">
        <v>46</v>
      </c>
      <c r="S64" s="1"/>
    </row>
    <row r="65" spans="3:19" x14ac:dyDescent="0.2">
      <c r="C65" s="1" t="str">
        <f>" - " &amp; Q63 &amp; " tâche(s) non débutée(s) sans être en retard."</f>
        <v xml:space="preserve"> - 0 tâche(s) non débutée(s) sans être en retard.</v>
      </c>
      <c r="D65" s="13"/>
      <c r="E65" s="13"/>
      <c r="F65" s="13"/>
      <c r="Q65" s="2">
        <f>COUNTIF($R$13:$R$62,R65)</f>
        <v>1</v>
      </c>
      <c r="R65" s="2" t="s">
        <v>47</v>
      </c>
    </row>
    <row r="66" spans="3:19" x14ac:dyDescent="0.2">
      <c r="C66" s="1" t="str">
        <f>" - " &amp; Q64 &amp; " tâche(s) en cours."</f>
        <v xml:space="preserve"> - 0 tâche(s) en cours.</v>
      </c>
      <c r="Q66" s="2">
        <f>COUNTIF($R$13:$R$62,R66)</f>
        <v>11</v>
      </c>
      <c r="R66" s="2" t="s">
        <v>48</v>
      </c>
    </row>
    <row r="67" spans="3:19" x14ac:dyDescent="0.2">
      <c r="C67" s="1" t="str">
        <f>" - " &amp; Q65 &amp; " tâche(s) en retard."</f>
        <v xml:space="preserve"> - 1 tâche(s) en retard.</v>
      </c>
      <c r="Q67" s="2" t="s">
        <v>39</v>
      </c>
      <c r="R67" s="2" t="s">
        <v>38</v>
      </c>
      <c r="S67" s="2" t="s">
        <v>40</v>
      </c>
    </row>
    <row r="68" spans="3:19" x14ac:dyDescent="0.2">
      <c r="C68" s="1" t="str">
        <f>" - " &amp; Q66 &amp; " tâche(s) terminée(s)."</f>
        <v xml:space="preserve"> - 11 tâche(s) terminée(s).</v>
      </c>
      <c r="Q68" s="10">
        <f>SUM(Suivi4[Temps investi pour ce sprint])</f>
        <v>0.33333333333333415</v>
      </c>
      <c r="R68" s="51">
        <f>HOUR(Q68)+DAY(Q68)*24</f>
        <v>8</v>
      </c>
      <c r="S68" s="2">
        <f>MINUTE(Q68)</f>
        <v>0</v>
      </c>
    </row>
  </sheetData>
  <sheetProtection password="D073" sheet="1" objects="1" scenarios="1" selectLockedCells="1"/>
  <mergeCells count="2">
    <mergeCell ref="B2:J2"/>
    <mergeCell ref="B9:J9"/>
  </mergeCells>
  <conditionalFormatting sqref="G13:J13 G21:J21 G23:J23 G25:J25 G27:J27 G29:J29 G31:J31 G33:J33 G35:J35 G37:J37 G39:J39 G41:J41 G43:J43 G45:J45 G47:J47 G49:J49 G51:J51 G53:J53 G55:J55 G57:J57 G59:J59 G61:J61 G19:J19 G15:J15 G17:J17">
    <cfRule type="expression" dxfId="34" priority="14">
      <formula>$R13="En retard"</formula>
    </cfRule>
    <cfRule type="expression" dxfId="33" priority="16">
      <formula>$R13="En cours"</formula>
    </cfRule>
  </conditionalFormatting>
  <conditionalFormatting sqref="G14:J14 G16:J16 G18:J18 G22:J22 G24:J24 G26:J26 G28:J28 G30:J30 G32:J32 G34:J34 G36:J36 G38:J38 G40:J40 G42:J42 G44:J44 G46:J46 G48:J48 G50:J50 G52:J52 G54:J54 G56:J56 G58:J58 G60:J60 G62:J62 G20:J20">
    <cfRule type="expression" dxfId="32" priority="15">
      <formula>$R14="En retard"</formula>
    </cfRule>
    <cfRule type="expression" dxfId="31" priority="17">
      <formula>$R14="En cours"</formula>
    </cfRule>
  </conditionalFormatting>
  <conditionalFormatting sqref="G13:J62">
    <cfRule type="expression" dxfId="30" priority="18">
      <formula>$R13="Terminée"</formula>
    </cfRule>
    <cfRule type="expression" dxfId="29" priority="19">
      <formula>$R13="Non débutée"</formula>
    </cfRule>
  </conditionalFormatting>
  <conditionalFormatting sqref="B13:F62">
    <cfRule type="expression" dxfId="28" priority="11">
      <formula>$Q13="Sprint suivant"</formula>
    </cfRule>
    <cfRule type="expression" dxfId="27" priority="12">
      <formula>$Q13="Sprint courant"</formula>
    </cfRule>
    <cfRule type="expression" dxfId="26" priority="13">
      <formula>$Q13="Sprint antérieur"</formula>
    </cfRule>
  </conditionalFormatting>
  <conditionalFormatting sqref="I16">
    <cfRule type="expression" dxfId="25" priority="9">
      <formula>$R16="En retard"</formula>
    </cfRule>
    <cfRule type="expression" dxfId="24" priority="10">
      <formula>$R16="En cours"</formula>
    </cfRule>
  </conditionalFormatting>
  <conditionalFormatting sqref="J16">
    <cfRule type="expression" dxfId="23" priority="7">
      <formula>$R16="En retard"</formula>
    </cfRule>
    <cfRule type="expression" dxfId="22" priority="8">
      <formula>$R16="En cours"</formula>
    </cfRule>
  </conditionalFormatting>
  <conditionalFormatting sqref="I22:J22">
    <cfRule type="expression" dxfId="21" priority="5">
      <formula>$R22="En retard"</formula>
    </cfRule>
    <cfRule type="expression" dxfId="20" priority="6">
      <formula>$R22="En cours"</formula>
    </cfRule>
  </conditionalFormatting>
  <conditionalFormatting sqref="I23:J23">
    <cfRule type="expression" dxfId="19" priority="3">
      <formula>$R23="En retard"</formula>
    </cfRule>
    <cfRule type="expression" dxfId="18" priority="4">
      <formula>$R23="En cours"</formula>
    </cfRule>
  </conditionalFormatting>
  <conditionalFormatting sqref="I23:J23">
    <cfRule type="expression" dxfId="17" priority="1">
      <formula>$R23="En retard"</formula>
    </cfRule>
    <cfRule type="expression" dxfId="16" priority="2">
      <formula>$R23="En cours"</formula>
    </cfRule>
  </conditionalFormatting>
  <dataValidations count="2">
    <dataValidation type="list" allowBlank="1" showInputMessage="1" showErrorMessage="1" errorTitle="Saisie erronnée" error="Vous ne pouvez saisir que des avancements de 0% à 100% par interval de 5%." promptTitle="Avancement" prompt="Veuillez saisir l'avancement fait de la tâche en pourcentage." sqref="H13:H62">
      <formula1>Avancement</formula1>
    </dataValidation>
    <dataValidation type="list" allowBlank="1" showInputMessage="1" showErrorMessage="1" errorTitle="Saisie erronnée" error="Vous ne pouvez saisir que des estimations de temps entre 0 et 12 heures par interval de 15 minutes._x000a__x000a_Si votre tâche requiert plus de temps, c'est que vous pouvez la scinder en plusieurs sous-tâches." promptTitle="Temps requis" prompt="Veuillez saisir le temps investi pour la réalisation de la tâche." sqref="G13:G62">
      <formula1>TempsTravaille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"/>
  <sheetViews>
    <sheetView showGridLines="0" workbookViewId="0">
      <selection activeCell="S16" sqref="S16"/>
    </sheetView>
  </sheetViews>
  <sheetFormatPr baseColWidth="10" defaultRowHeight="10.199999999999999" x14ac:dyDescent="0.2"/>
  <cols>
    <col min="1" max="1" width="1.109375" style="1" customWidth="1"/>
    <col min="2" max="2" width="27.77734375" style="1" customWidth="1"/>
    <col min="3" max="7" width="11.109375" style="2" customWidth="1"/>
    <col min="8" max="13" width="0" style="1" hidden="1" customWidth="1"/>
    <col min="14" max="16384" width="11.5546875" style="1"/>
  </cols>
  <sheetData>
    <row r="1" spans="2:13" ht="6" customHeight="1" x14ac:dyDescent="0.2"/>
    <row r="2" spans="2:13" ht="18" customHeight="1" x14ac:dyDescent="0.4">
      <c r="B2" s="80" t="s">
        <v>92</v>
      </c>
      <c r="C2" s="80"/>
      <c r="D2" s="80"/>
      <c r="E2" s="80"/>
      <c r="F2" s="80"/>
      <c r="G2" s="80"/>
    </row>
    <row r="3" spans="2:13" ht="6" customHeight="1" x14ac:dyDescent="0.2"/>
    <row r="4" spans="2:13" ht="6" customHeight="1" x14ac:dyDescent="0.2"/>
    <row r="5" spans="2:13" x14ac:dyDescent="0.2">
      <c r="B5" s="58"/>
      <c r="C5" s="59" t="s">
        <v>7</v>
      </c>
      <c r="D5" s="60" t="s">
        <v>8</v>
      </c>
      <c r="E5" s="60" t="s">
        <v>9</v>
      </c>
      <c r="F5" s="61" t="s">
        <v>10</v>
      </c>
      <c r="G5" s="62" t="s">
        <v>86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86</v>
      </c>
    </row>
    <row r="6" spans="2:13" x14ac:dyDescent="0.2">
      <c r="B6" s="63" t="s">
        <v>89</v>
      </c>
      <c r="C6" s="64">
        <f>PlanifNbrS1</f>
        <v>4</v>
      </c>
      <c r="D6" s="65">
        <f>PlanifNbrS2</f>
        <v>1</v>
      </c>
      <c r="E6" s="65">
        <f>PlanifNbrS3</f>
        <v>1</v>
      </c>
      <c r="F6" s="66">
        <f>PlanifNbrS4</f>
        <v>6</v>
      </c>
      <c r="G6" s="33">
        <f>PlanifNbrTotal</f>
        <v>12</v>
      </c>
      <c r="H6" s="1" t="s">
        <v>89</v>
      </c>
      <c r="I6" s="1">
        <f>PlanifNbrS1</f>
        <v>4</v>
      </c>
      <c r="J6" s="1">
        <f>PlanifNbrS2</f>
        <v>1</v>
      </c>
      <c r="K6" s="1">
        <f>PlanifNbrS3</f>
        <v>1</v>
      </c>
      <c r="L6" s="1">
        <f>PlanifNbrS4</f>
        <v>6</v>
      </c>
      <c r="M6" s="1">
        <f>PlanifNbrTotal</f>
        <v>12</v>
      </c>
    </row>
    <row r="7" spans="2:13" x14ac:dyDescent="0.2">
      <c r="B7" s="67" t="s">
        <v>87</v>
      </c>
      <c r="C7" s="68" t="str">
        <f>DAY(PlanifTempsS1)*24+HOUR(PlanifTempsS1)&amp;"h" &amp;TEXT(MINUTE(PlanifTempsS1),"00")</f>
        <v>19h00</v>
      </c>
      <c r="D7" s="69" t="str">
        <f>DAY(PlanifTempsS2)*24+HOUR(PlanifTempsS2)&amp;"h" &amp;TEXT(MINUTE(PlanifTempsS2),"00")</f>
        <v>5h00</v>
      </c>
      <c r="E7" s="69" t="str">
        <f>DAY(PlanifTempsS3)*24+HOUR(PlanifTempsS3)&amp;"h" &amp;TEXT(MINUTE(PlanifTempsS3),"00")</f>
        <v>3h00</v>
      </c>
      <c r="F7" s="70" t="str">
        <f>DAY(PlanifTempsS4)*24+HOUR(PlanifTempsS4)&amp;"h" &amp;TEXT(MINUTE(PlanifTempsS4),"00")</f>
        <v>9h30</v>
      </c>
      <c r="G7" s="71" t="str">
        <f>DAY(PlanifTempsTotal)*24+HOUR(PlanifTempsTotal)&amp;"h" &amp;TEXT(MINUTE(PlanifTempsTotal),"00")</f>
        <v>36h30</v>
      </c>
      <c r="H7" s="1" t="s">
        <v>87</v>
      </c>
      <c r="I7" s="1">
        <f>PlanifTempsS1</f>
        <v>0.79166666666669294</v>
      </c>
      <c r="J7" s="1">
        <f>PlanifTempsS2</f>
        <v>0.20833333333333401</v>
      </c>
      <c r="K7" s="1">
        <f>PlanifTempsS3</f>
        <v>0.125</v>
      </c>
      <c r="L7" s="1">
        <f>PlanifTempsS4</f>
        <v>0.3958333333333337</v>
      </c>
      <c r="M7" s="1">
        <f>PlanifTempsTotal</f>
        <v>1.5208333333333606</v>
      </c>
    </row>
    <row r="8" spans="2:13" x14ac:dyDescent="0.2">
      <c r="B8" s="63" t="s">
        <v>88</v>
      </c>
      <c r="C8" s="64" t="str">
        <f>DAY(TempsS1)*24+HOUR(TempsS1)&amp;"h" &amp;TEXT(MINUTE(TempsS1),"00")</f>
        <v>18h00</v>
      </c>
      <c r="D8" s="65" t="str">
        <f>DAY(TempsS2)*24+HOUR(TempsS2)&amp;"h" &amp;TEXT(MINUTE(TempsS2),"00")</f>
        <v>5h45</v>
      </c>
      <c r="E8" s="65" t="str">
        <f>DAY(TempsS3)*24+HOUR(TempsS3)&amp;"h" &amp;TEXT(MINUTE(TempsS3),"00")</f>
        <v>4h30</v>
      </c>
      <c r="F8" s="66" t="str">
        <f>DAY(TempsS4)*24+HOUR(TempsS4)&amp;"h" &amp;TEXT(MINUTE(TempsS4),"00")</f>
        <v>8h00</v>
      </c>
      <c r="G8" s="33" t="str">
        <f>DAY(TempsTotal)*24+HOUR(TempsTotal)&amp;"h" &amp;TEXT(MINUTE(TempsTotal),"00")</f>
        <v>36h15</v>
      </c>
      <c r="H8" s="1" t="s">
        <v>38</v>
      </c>
      <c r="I8" s="1">
        <f>TempsS1</f>
        <v>0.75000000000003575</v>
      </c>
      <c r="J8" s="1">
        <f>TempsS2</f>
        <v>0.23958333333333345</v>
      </c>
      <c r="K8" s="1">
        <f>TempsS3</f>
        <v>0.18750000000000011</v>
      </c>
      <c r="L8" s="1">
        <f>TempsS4</f>
        <v>0.33333333333333415</v>
      </c>
      <c r="M8" s="1">
        <f>TempsS1+TempsS2+TempsS3+TempsS4</f>
        <v>1.5104166666667036</v>
      </c>
    </row>
    <row r="9" spans="2:13" x14ac:dyDescent="0.2">
      <c r="B9" s="67" t="s">
        <v>91</v>
      </c>
      <c r="C9" s="68">
        <f>RetardS1</f>
        <v>1</v>
      </c>
      <c r="D9" s="69">
        <f>RetardS2</f>
        <v>2</v>
      </c>
      <c r="E9" s="69">
        <f>RetardS3</f>
        <v>0</v>
      </c>
      <c r="F9" s="70">
        <f>RetardS4</f>
        <v>1</v>
      </c>
      <c r="G9" s="71">
        <f>RetardTotal</f>
        <v>4</v>
      </c>
      <c r="H9" s="1" t="s">
        <v>91</v>
      </c>
      <c r="I9" s="1">
        <f>RetardS1</f>
        <v>1</v>
      </c>
      <c r="J9" s="1">
        <f>RetardS2</f>
        <v>2</v>
      </c>
      <c r="K9" s="1">
        <f>RetardS3</f>
        <v>0</v>
      </c>
      <c r="L9" s="1">
        <f>RetardS4</f>
        <v>1</v>
      </c>
      <c r="M9" s="1">
        <f>SUM(I9:L9)</f>
        <v>4</v>
      </c>
    </row>
    <row r="10" spans="2:13" x14ac:dyDescent="0.2">
      <c r="B10" s="58" t="s">
        <v>90</v>
      </c>
      <c r="C10" s="59">
        <f>RetardS4</f>
        <v>1</v>
      </c>
      <c r="D10" s="72"/>
      <c r="E10" s="72"/>
      <c r="F10" s="73"/>
      <c r="G10" s="74"/>
    </row>
  </sheetData>
  <sheetProtection password="D073" sheet="1" objects="1" scenarios="1" selectLockedCells="1"/>
  <mergeCells count="1">
    <mergeCell ref="B2:G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showGridLines="0" workbookViewId="0">
      <selection activeCell="H14" sqref="H14"/>
    </sheetView>
  </sheetViews>
  <sheetFormatPr baseColWidth="10" defaultRowHeight="10.199999999999999" x14ac:dyDescent="0.2"/>
  <cols>
    <col min="1" max="1" width="1.109375" style="1" customWidth="1"/>
    <col min="2" max="2" width="2.77734375" style="2" customWidth="1"/>
    <col min="3" max="3" width="16.6640625" style="1" customWidth="1"/>
    <col min="4" max="4" width="1.109375" style="1" customWidth="1"/>
    <col min="5" max="5" width="44.44140625" style="1" customWidth="1"/>
    <col min="6" max="16384" width="11.5546875" style="1"/>
  </cols>
  <sheetData>
    <row r="1" spans="2:5" ht="6" customHeight="1" x14ac:dyDescent="0.2"/>
    <row r="2" spans="2:5" ht="18" customHeight="1" x14ac:dyDescent="0.4">
      <c r="B2" s="80" t="s">
        <v>99</v>
      </c>
      <c r="C2" s="80"/>
      <c r="D2" s="80"/>
      <c r="E2" s="80"/>
    </row>
    <row r="3" spans="2:5" ht="6" customHeight="1" x14ac:dyDescent="0.2"/>
    <row r="4" spans="2:5" ht="6" customHeight="1" x14ac:dyDescent="0.2"/>
    <row r="5" spans="2:5" x14ac:dyDescent="0.2">
      <c r="B5" s="34">
        <v>1</v>
      </c>
      <c r="C5" s="9" t="s">
        <v>28</v>
      </c>
      <c r="D5" s="9" t="s">
        <v>31</v>
      </c>
      <c r="E5" s="9"/>
    </row>
    <row r="6" spans="2:5" x14ac:dyDescent="0.2">
      <c r="E6" s="1" t="s">
        <v>26</v>
      </c>
    </row>
    <row r="7" spans="2:5" x14ac:dyDescent="0.2">
      <c r="E7" s="1" t="s">
        <v>27</v>
      </c>
    </row>
    <row r="8" spans="2:5" x14ac:dyDescent="0.2">
      <c r="E8" s="13" t="s">
        <v>29</v>
      </c>
    </row>
    <row r="9" spans="2:5" x14ac:dyDescent="0.2">
      <c r="E9" s="13" t="s">
        <v>30</v>
      </c>
    </row>
    <row r="10" spans="2:5" x14ac:dyDescent="0.2">
      <c r="D10" s="9" t="s">
        <v>32</v>
      </c>
    </row>
    <row r="11" spans="2:5" x14ac:dyDescent="0.2">
      <c r="E11" s="1" t="s">
        <v>1</v>
      </c>
    </row>
    <row r="12" spans="2:5" x14ac:dyDescent="0.2">
      <c r="E12" s="1" t="s">
        <v>77</v>
      </c>
    </row>
    <row r="13" spans="2:5" x14ac:dyDescent="0.2">
      <c r="E13" s="1" t="s">
        <v>71</v>
      </c>
    </row>
    <row r="14" spans="2:5" x14ac:dyDescent="0.2">
      <c r="E14" s="1" t="s">
        <v>72</v>
      </c>
    </row>
    <row r="15" spans="2:5" x14ac:dyDescent="0.2">
      <c r="E15" s="1" t="s">
        <v>73</v>
      </c>
    </row>
    <row r="16" spans="2:5" x14ac:dyDescent="0.2">
      <c r="E16" s="1" t="s">
        <v>75</v>
      </c>
    </row>
    <row r="17" spans="2:5" x14ac:dyDescent="0.2">
      <c r="E17" s="1" t="s">
        <v>76</v>
      </c>
    </row>
    <row r="18" spans="2:5" ht="6" customHeight="1" x14ac:dyDescent="0.2"/>
    <row r="19" spans="2:5" x14ac:dyDescent="0.2">
      <c r="B19" s="34">
        <v>2</v>
      </c>
      <c r="C19" s="9" t="s">
        <v>33</v>
      </c>
      <c r="D19" s="9" t="s">
        <v>93</v>
      </c>
      <c r="E19" s="9"/>
    </row>
    <row r="20" spans="2:5" x14ac:dyDescent="0.2">
      <c r="E20" s="1" t="s">
        <v>94</v>
      </c>
    </row>
    <row r="21" spans="2:5" x14ac:dyDescent="0.2">
      <c r="E21" s="1" t="s">
        <v>95</v>
      </c>
    </row>
    <row r="22" spans="2:5" x14ac:dyDescent="0.2">
      <c r="D22" s="9" t="s">
        <v>96</v>
      </c>
    </row>
    <row r="23" spans="2:5" x14ac:dyDescent="0.2">
      <c r="E23" s="1" t="s">
        <v>97</v>
      </c>
    </row>
    <row r="24" spans="2:5" x14ac:dyDescent="0.2">
      <c r="E24" s="1" t="s">
        <v>98</v>
      </c>
    </row>
    <row r="25" spans="2:5" ht="6" customHeight="1" x14ac:dyDescent="0.2"/>
    <row r="26" spans="2:5" x14ac:dyDescent="0.2">
      <c r="B26" s="34">
        <v>3</v>
      </c>
      <c r="C26" s="9" t="s">
        <v>34</v>
      </c>
    </row>
  </sheetData>
  <sheetProtection password="D073" sheet="1" objects="1" scenarios="1" selectLockedCells="1"/>
  <mergeCells count="1"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32</vt:i4>
      </vt:variant>
    </vt:vector>
  </HeadingPairs>
  <TitlesOfParts>
    <vt:vector size="39" baseType="lpstr">
      <vt:lpstr>Planification</vt:lpstr>
      <vt:lpstr>Suivi Sprint 1</vt:lpstr>
      <vt:lpstr>Suivi Sprint 2</vt:lpstr>
      <vt:lpstr>Suivi Sprint 3</vt:lpstr>
      <vt:lpstr>Finalisation Sprint 4</vt:lpstr>
      <vt:lpstr>Bilan</vt:lpstr>
      <vt:lpstr>Instructions sur ce document</vt:lpstr>
      <vt:lpstr>Avancement</vt:lpstr>
      <vt:lpstr>CorrespondanceSprint</vt:lpstr>
      <vt:lpstr>DateCreation</vt:lpstr>
      <vt:lpstr>DateModification</vt:lpstr>
      <vt:lpstr>ListeSprint</vt:lpstr>
      <vt:lpstr>NiveauDifficulte</vt:lpstr>
      <vt:lpstr>NiveauPriorite</vt:lpstr>
      <vt:lpstr>NomEtudiant</vt:lpstr>
      <vt:lpstr>NomProjet</vt:lpstr>
      <vt:lpstr>PlanifNbrS1</vt:lpstr>
      <vt:lpstr>PlanifNbrS2</vt:lpstr>
      <vt:lpstr>PlanifNbrS3</vt:lpstr>
      <vt:lpstr>PlanifNbrS4</vt:lpstr>
      <vt:lpstr>PlanifNbrTotal</vt:lpstr>
      <vt:lpstr>PlanifTempsS1</vt:lpstr>
      <vt:lpstr>PlanifTempsS2</vt:lpstr>
      <vt:lpstr>PlanifTempsS3</vt:lpstr>
      <vt:lpstr>PlanifTempsS4</vt:lpstr>
      <vt:lpstr>PlanifTempsTotal</vt:lpstr>
      <vt:lpstr>RetardS1</vt:lpstr>
      <vt:lpstr>RetardS2</vt:lpstr>
      <vt:lpstr>RetardS3</vt:lpstr>
      <vt:lpstr>RetardS4</vt:lpstr>
      <vt:lpstr>RetardTotal</vt:lpstr>
      <vt:lpstr>TempsRequis</vt:lpstr>
      <vt:lpstr>TempsS1</vt:lpstr>
      <vt:lpstr>TempsS2</vt:lpstr>
      <vt:lpstr>TempsS3</vt:lpstr>
      <vt:lpstr>TempsS4</vt:lpstr>
      <vt:lpstr>TempsTotal</vt:lpstr>
      <vt:lpstr>TempsTravaille</vt:lpstr>
      <vt:lpstr>ValeurSprint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cvm</cp:lastModifiedBy>
  <dcterms:created xsi:type="dcterms:W3CDTF">2013-09-02T14:02:47Z</dcterms:created>
  <dcterms:modified xsi:type="dcterms:W3CDTF">2014-02-28T22:32:07Z</dcterms:modified>
</cp:coreProperties>
</file>