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020" windowWidth="15600" windowHeight="4170" tabRatio="701"/>
  </bookViews>
  <sheets>
    <sheet name="2020" sheetId="16" r:id="rId1"/>
    <sheet name="Summary-2020" sheetId="17" r:id="rId2"/>
    <sheet name="2019" sheetId="15" r:id="rId3"/>
    <sheet name="Summary-2019" sheetId="13" r:id="rId4"/>
    <sheet name="2018" sheetId="10" r:id="rId5"/>
    <sheet name="Summary-2018" sheetId="11" r:id="rId6"/>
    <sheet name="2017" sheetId="4" r:id="rId7"/>
    <sheet name="Summary-2017" sheetId="1" r:id="rId8"/>
    <sheet name="2016" sheetId="2" r:id="rId9"/>
    <sheet name="2015" sheetId="3" r:id="rId10"/>
    <sheet name="Summary-2015" sheetId="5" r:id="rId11"/>
  </sheets>
  <calcPr calcId="125725"/>
</workbook>
</file>

<file path=xl/calcChain.xml><?xml version="1.0" encoding="utf-8"?>
<calcChain xmlns="http://schemas.openxmlformats.org/spreadsheetml/2006/main">
  <c r="F5" i="16"/>
  <c r="B35" i="17"/>
  <c r="F6" i="16"/>
  <c r="D35" i="17"/>
  <c r="F35" s="1"/>
  <c r="G35" s="1"/>
  <c r="F15" i="16"/>
  <c r="F7"/>
  <c r="F24"/>
  <c r="N24" s="1"/>
  <c r="Q24" s="1"/>
  <c r="B34" i="17"/>
  <c r="D34" s="1"/>
  <c r="F34" s="1"/>
  <c r="G34" s="1"/>
  <c r="E6" i="16"/>
  <c r="E5"/>
  <c r="G33" i="17"/>
  <c r="E24" i="16"/>
  <c r="E15"/>
  <c r="D5"/>
  <c r="B27" i="17"/>
  <c r="D6" i="16"/>
  <c r="D9"/>
  <c r="B33" i="17"/>
  <c r="C20" i="16"/>
  <c r="N20" s="1"/>
  <c r="B32" i="17"/>
  <c r="D7" i="16"/>
  <c r="D8"/>
  <c r="D15"/>
  <c r="C5"/>
  <c r="C6"/>
  <c r="C7"/>
  <c r="C32" i="17"/>
  <c r="S23" i="16"/>
  <c r="C3"/>
  <c r="N3" s="1"/>
  <c r="C10"/>
  <c r="C15"/>
  <c r="C8"/>
  <c r="C11"/>
  <c r="B6"/>
  <c r="B10"/>
  <c r="B9"/>
  <c r="B5"/>
  <c r="B8"/>
  <c r="B11"/>
  <c r="B7"/>
  <c r="B31" i="17"/>
  <c r="O24" i="16"/>
  <c r="B19"/>
  <c r="B15"/>
  <c r="F30" i="17"/>
  <c r="N22" i="16"/>
  <c r="B19" i="17"/>
  <c r="B18"/>
  <c r="N21" i="16"/>
  <c r="N18"/>
  <c r="N17"/>
  <c r="N16"/>
  <c r="N14"/>
  <c r="N12"/>
  <c r="S11"/>
  <c r="S10"/>
  <c r="S9"/>
  <c r="S8"/>
  <c r="N4"/>
  <c r="N2"/>
  <c r="M6" i="15"/>
  <c r="M9"/>
  <c r="M7"/>
  <c r="Q32" i="10"/>
  <c r="M8" i="15"/>
  <c r="M5"/>
  <c r="B40" i="13"/>
  <c r="D40"/>
  <c r="M27" i="15"/>
  <c r="M26"/>
  <c r="M15"/>
  <c r="M10"/>
  <c r="M18"/>
  <c r="N18" s="1"/>
  <c r="L7"/>
  <c r="L8"/>
  <c r="L10"/>
  <c r="L6"/>
  <c r="L5"/>
  <c r="B39" i="13"/>
  <c r="L25" i="15"/>
  <c r="L9"/>
  <c r="L11"/>
  <c r="B25" i="13"/>
  <c r="K9" i="15"/>
  <c r="M21"/>
  <c r="L21"/>
  <c r="K6"/>
  <c r="L15"/>
  <c r="K5"/>
  <c r="K10"/>
  <c r="K8"/>
  <c r="K11"/>
  <c r="B38" i="13"/>
  <c r="K25" i="15"/>
  <c r="K7"/>
  <c r="K15"/>
  <c r="K21"/>
  <c r="J5"/>
  <c r="J10"/>
  <c r="J8"/>
  <c r="J11"/>
  <c r="J7"/>
  <c r="J6"/>
  <c r="J25"/>
  <c r="J24"/>
  <c r="J15"/>
  <c r="I15"/>
  <c r="J12"/>
  <c r="N12" s="1"/>
  <c r="I10"/>
  <c r="I9"/>
  <c r="I6"/>
  <c r="I5"/>
  <c r="I8"/>
  <c r="I24"/>
  <c r="I7"/>
  <c r="I11"/>
  <c r="H5"/>
  <c r="H7"/>
  <c r="H6"/>
  <c r="H10"/>
  <c r="H8"/>
  <c r="H11"/>
  <c r="H15"/>
  <c r="H24"/>
  <c r="G8"/>
  <c r="G7"/>
  <c r="G10"/>
  <c r="G6"/>
  <c r="G5"/>
  <c r="G15"/>
  <c r="G11"/>
  <c r="G9"/>
  <c r="G24"/>
  <c r="F10"/>
  <c r="F6"/>
  <c r="F5"/>
  <c r="F11"/>
  <c r="F9"/>
  <c r="F8"/>
  <c r="B33" i="13"/>
  <c r="F27" i="15"/>
  <c r="S10"/>
  <c r="N17"/>
  <c r="N26"/>
  <c r="Q26" s="1"/>
  <c r="N23"/>
  <c r="Q23" s="1"/>
  <c r="N22"/>
  <c r="Q22" s="1"/>
  <c r="N20"/>
  <c r="N19"/>
  <c r="N16"/>
  <c r="N14"/>
  <c r="S11"/>
  <c r="S9"/>
  <c r="S8"/>
  <c r="N4"/>
  <c r="N3"/>
  <c r="N2"/>
  <c r="E28" i="13"/>
  <c r="C29" s="1"/>
  <c r="E29" s="1"/>
  <c r="G29" s="1"/>
  <c r="B17"/>
  <c r="B16"/>
  <c r="N24" i="10"/>
  <c r="P24" s="1"/>
  <c r="N25"/>
  <c r="P25" s="1"/>
  <c r="N27"/>
  <c r="P27" s="1"/>
  <c r="G26"/>
  <c r="N26" s="1"/>
  <c r="P26" s="1"/>
  <c r="N7" i="16" l="1"/>
  <c r="N9"/>
  <c r="N19"/>
  <c r="N15"/>
  <c r="N8"/>
  <c r="N11"/>
  <c r="N5"/>
  <c r="N6"/>
  <c r="N10"/>
  <c r="D31" i="17"/>
  <c r="F31" s="1"/>
  <c r="G31" s="1"/>
  <c r="B21"/>
  <c r="B22" s="1"/>
  <c r="C22" s="1"/>
  <c r="N23" i="16"/>
  <c r="Q23" s="1"/>
  <c r="N27" i="15"/>
  <c r="Q27" s="1"/>
  <c r="N24"/>
  <c r="Q24" s="1"/>
  <c r="N21"/>
  <c r="N25"/>
  <c r="Q25" s="1"/>
  <c r="N11"/>
  <c r="N8"/>
  <c r="N9"/>
  <c r="N5"/>
  <c r="N10"/>
  <c r="N15"/>
  <c r="N6"/>
  <c r="N7"/>
  <c r="B19" i="13"/>
  <c r="B20" s="1"/>
  <c r="B21" s="1"/>
  <c r="C21" s="1"/>
  <c r="C30"/>
  <c r="E30" s="1"/>
  <c r="F18" i="10"/>
  <c r="F12"/>
  <c r="F9"/>
  <c r="F8"/>
  <c r="F10"/>
  <c r="F7"/>
  <c r="D32" i="17" l="1"/>
  <c r="F32" s="1"/>
  <c r="B23"/>
  <c r="C23" s="1"/>
  <c r="G30" i="13"/>
  <c r="C31"/>
  <c r="E31" s="1"/>
  <c r="C20"/>
  <c r="G32" i="17" l="1"/>
  <c r="D33"/>
  <c r="F33" s="1"/>
  <c r="G31" i="13"/>
  <c r="C32"/>
  <c r="E32" s="1"/>
  <c r="F11" i="10"/>
  <c r="G32" i="13" l="1"/>
  <c r="C33"/>
  <c r="E33" s="1"/>
  <c r="E11" i="10"/>
  <c r="G33" i="13" l="1"/>
  <c r="C34"/>
  <c r="E34" s="1"/>
  <c r="E12" i="10"/>
  <c r="E8"/>
  <c r="G34" i="13" l="1"/>
  <c r="C35"/>
  <c r="E35" s="1"/>
  <c r="D34" i="11"/>
  <c r="G35" i="13" l="1"/>
  <c r="C36"/>
  <c r="E36" s="1"/>
  <c r="E9" i="10"/>
  <c r="G36" i="13" l="1"/>
  <c r="C37"/>
  <c r="E37" s="1"/>
  <c r="E7" i="10"/>
  <c r="G37" i="13" l="1"/>
  <c r="C38"/>
  <c r="E38" s="1"/>
  <c r="N5" i="10"/>
  <c r="B33" i="11"/>
  <c r="G38" i="13" l="1"/>
  <c r="C39"/>
  <c r="E39" s="1"/>
  <c r="D33" i="11"/>
  <c r="E23" i="10"/>
  <c r="P23" s="1"/>
  <c r="E18"/>
  <c r="C40" i="13" l="1"/>
  <c r="E40" s="1"/>
  <c r="G40" s="1"/>
  <c r="G39"/>
  <c r="E10" i="10"/>
  <c r="E2" l="1"/>
  <c r="N23" l="1"/>
  <c r="E16" l="1"/>
  <c r="D8"/>
  <c r="D9"/>
  <c r="D12"/>
  <c r="D7"/>
  <c r="D11" l="1"/>
  <c r="D10"/>
  <c r="D22" l="1"/>
  <c r="D18" l="1"/>
  <c r="D2" l="1"/>
  <c r="C7" l="1"/>
  <c r="C8" l="1"/>
  <c r="C12"/>
  <c r="C9"/>
  <c r="B32" i="11" l="1"/>
  <c r="C22" i="10" l="1"/>
  <c r="C13" l="1"/>
  <c r="C2" l="1"/>
  <c r="C10" l="1"/>
  <c r="C18" l="1"/>
  <c r="B12"/>
  <c r="B7" l="1"/>
  <c r="B9" l="1"/>
  <c r="B8" l="1"/>
  <c r="M8" i="4"/>
  <c r="M7"/>
  <c r="B13" i="10" l="1"/>
  <c r="B31" i="11" l="1"/>
  <c r="B18" i="10" l="1"/>
  <c r="B22" l="1"/>
  <c r="M11" i="4" l="1"/>
  <c r="M23"/>
  <c r="B10" i="10" l="1"/>
  <c r="B2" l="1"/>
  <c r="M4" i="4"/>
  <c r="C31" i="11" l="1"/>
  <c r="E31" s="1"/>
  <c r="G31"/>
  <c r="G32" s="1"/>
  <c r="G38" s="1"/>
  <c r="G39" s="1"/>
  <c r="G41" s="1"/>
  <c r="G42" s="1"/>
  <c r="B27"/>
  <c r="B26"/>
  <c r="B18"/>
  <c r="B17"/>
  <c r="N8" i="10"/>
  <c r="N22"/>
  <c r="N21"/>
  <c r="N20"/>
  <c r="N19"/>
  <c r="N18"/>
  <c r="N17"/>
  <c r="N16"/>
  <c r="N14"/>
  <c r="N13"/>
  <c r="R12"/>
  <c r="N12"/>
  <c r="N11"/>
  <c r="R10"/>
  <c r="N10"/>
  <c r="R9"/>
  <c r="N9"/>
  <c r="N7"/>
  <c r="N6"/>
  <c r="N4"/>
  <c r="N3"/>
  <c r="N2"/>
  <c r="B20" i="11" l="1"/>
  <c r="B21" s="1"/>
  <c r="B22" s="1"/>
  <c r="C22" s="1"/>
  <c r="H31"/>
  <c r="C32"/>
  <c r="E32" s="1"/>
  <c r="M2" i="4"/>
  <c r="M12"/>
  <c r="M9"/>
  <c r="M13"/>
  <c r="C21" i="11" l="1"/>
  <c r="H32"/>
  <c r="C33"/>
  <c r="E33" s="1"/>
  <c r="C34" l="1"/>
  <c r="E34" s="1"/>
  <c r="H33"/>
  <c r="M10" i="4"/>
  <c r="M14"/>
  <c r="H34" i="11" l="1"/>
  <c r="C35"/>
  <c r="E35" s="1"/>
  <c r="C36" l="1"/>
  <c r="E36" s="1"/>
  <c r="H35"/>
  <c r="M19" i="4"/>
  <c r="H36" i="11" l="1"/>
  <c r="C37"/>
  <c r="E37" s="1"/>
  <c r="L8" i="4"/>
  <c r="C38" i="11" l="1"/>
  <c r="E38" s="1"/>
  <c r="H37"/>
  <c r="H38" l="1"/>
  <c r="C39"/>
  <c r="E39" s="1"/>
  <c r="L11" i="4"/>
  <c r="H39" i="11" l="1"/>
  <c r="C40"/>
  <c r="E40" s="1"/>
  <c r="L23" i="4"/>
  <c r="L13"/>
  <c r="C41" i="11" l="1"/>
  <c r="E41" s="1"/>
  <c r="H41" s="1"/>
  <c r="H40"/>
  <c r="L7" i="4"/>
  <c r="C42" i="11" l="1"/>
  <c r="F42" i="1"/>
  <c r="B28"/>
  <c r="E42" i="11" l="1"/>
  <c r="H42" s="1"/>
  <c r="L12" i="4"/>
  <c r="L9"/>
  <c r="B27" i="1" l="1"/>
  <c r="R12" i="4" l="1"/>
  <c r="L19" l="1"/>
  <c r="L10" l="1"/>
  <c r="K13" l="1"/>
  <c r="K11"/>
  <c r="K8" l="1"/>
  <c r="F41" i="1" l="1"/>
  <c r="K7" i="4"/>
  <c r="K12"/>
  <c r="K10" l="1"/>
  <c r="K19" l="1"/>
  <c r="D41" i="1" l="1"/>
  <c r="K23" i="4" l="1"/>
  <c r="J10"/>
  <c r="J8" l="1"/>
  <c r="J7"/>
  <c r="J13"/>
  <c r="J6"/>
  <c r="J12" l="1"/>
  <c r="F40" i="1" l="1"/>
  <c r="R10" i="4" l="1"/>
  <c r="D40" i="1" l="1"/>
  <c r="J19" i="4" l="1"/>
  <c r="B40" i="1"/>
  <c r="J11" i="4" l="1"/>
  <c r="J9" l="1"/>
  <c r="I8" l="1"/>
  <c r="I7"/>
  <c r="I23" l="1"/>
  <c r="I13" l="1"/>
  <c r="F39" i="1"/>
  <c r="I10" i="4" l="1"/>
  <c r="I12" l="1"/>
  <c r="I11" l="1"/>
  <c r="I19" l="1"/>
  <c r="D39" i="1" l="1"/>
  <c r="I21" i="4" l="1"/>
  <c r="R9" l="1"/>
  <c r="H11" l="1"/>
  <c r="I14" l="1"/>
  <c r="F38" i="1" l="1"/>
  <c r="H7" i="4" l="1"/>
  <c r="H19" l="1"/>
  <c r="H8" l="1"/>
  <c r="H13" l="1"/>
  <c r="H12" l="1"/>
  <c r="H18" l="1"/>
  <c r="H9"/>
  <c r="H23" l="1"/>
  <c r="B37" i="1" l="1"/>
  <c r="H4" i="4" l="1"/>
  <c r="H21"/>
  <c r="H22"/>
  <c r="H10" l="1"/>
  <c r="H14" l="1"/>
  <c r="G9" l="1"/>
  <c r="G7"/>
  <c r="F37" i="1" l="1"/>
  <c r="G12" i="4" l="1"/>
  <c r="D37" i="1" l="1"/>
  <c r="G23" i="4" l="1"/>
  <c r="G8" l="1"/>
  <c r="G13"/>
  <c r="G19" l="1"/>
  <c r="G10" l="1"/>
  <c r="G14" l="1"/>
  <c r="F36" i="1" l="1"/>
  <c r="F8" i="4" l="1"/>
  <c r="F23"/>
  <c r="F12"/>
  <c r="G11"/>
  <c r="F11" l="1"/>
  <c r="F7"/>
  <c r="D36" i="1" l="1"/>
  <c r="F14" i="4" l="1"/>
  <c r="F10" l="1"/>
  <c r="F9" l="1"/>
  <c r="F13" l="1"/>
  <c r="F19" l="1"/>
  <c r="E7" l="1"/>
  <c r="E8" l="1"/>
  <c r="E9" l="1"/>
  <c r="E12"/>
  <c r="F35" i="1" l="1"/>
  <c r="D35"/>
  <c r="E23" i="4" l="1"/>
  <c r="B35" i="1" l="1"/>
  <c r="E13" i="4"/>
  <c r="E11" l="1"/>
  <c r="E10"/>
  <c r="F46" i="5" l="1"/>
  <c r="B46"/>
  <c r="F45"/>
  <c r="D45"/>
  <c r="B45"/>
  <c r="F44"/>
  <c r="B44"/>
  <c r="F43"/>
  <c r="B43"/>
  <c r="F42"/>
  <c r="B42"/>
  <c r="F41"/>
  <c r="B41"/>
  <c r="F40"/>
  <c r="D40"/>
  <c r="B40"/>
  <c r="B39"/>
  <c r="F38"/>
  <c r="G38" s="1"/>
  <c r="G39" s="1"/>
  <c r="G40" s="1"/>
  <c r="G41" s="1"/>
  <c r="G42" s="1"/>
  <c r="G43" s="1"/>
  <c r="G44" s="1"/>
  <c r="G45" s="1"/>
  <c r="G46" s="1"/>
  <c r="B38"/>
  <c r="G37"/>
  <c r="B37"/>
  <c r="C37" s="1"/>
  <c r="E37" s="1"/>
  <c r="H36"/>
  <c r="F36"/>
  <c r="B36"/>
  <c r="C36" s="1"/>
  <c r="B35"/>
  <c r="B22"/>
  <c r="B21"/>
  <c r="D14"/>
  <c r="B24" l="1"/>
  <c r="B25" s="1"/>
  <c r="C25" s="1"/>
  <c r="H37"/>
  <c r="C38"/>
  <c r="E38" s="1"/>
  <c r="B26" l="1"/>
  <c r="C26" s="1"/>
  <c r="C39"/>
  <c r="E39" s="1"/>
  <c r="H38"/>
  <c r="H39" l="1"/>
  <c r="C40"/>
  <c r="E40" s="1"/>
  <c r="H40" l="1"/>
  <c r="C41"/>
  <c r="E41" s="1"/>
  <c r="C42" l="1"/>
  <c r="E42" s="1"/>
  <c r="H41"/>
  <c r="H42" l="1"/>
  <c r="C43"/>
  <c r="E43" s="1"/>
  <c r="H43" l="1"/>
  <c r="C44"/>
  <c r="E44" s="1"/>
  <c r="H44" l="1"/>
  <c r="C45"/>
  <c r="E45" s="1"/>
  <c r="C46" l="1"/>
  <c r="E46" s="1"/>
  <c r="H46" s="1"/>
  <c r="H45"/>
  <c r="E19" i="4"/>
  <c r="E14" l="1"/>
  <c r="D11" l="1"/>
  <c r="D8"/>
  <c r="D9" l="1"/>
  <c r="D7"/>
  <c r="F34" i="1" l="1"/>
  <c r="D2" i="4" l="1"/>
  <c r="D23" l="1"/>
  <c r="D13" l="1"/>
  <c r="D10"/>
  <c r="D19" l="1"/>
  <c r="D14" l="1"/>
  <c r="F33" i="1" l="1"/>
  <c r="C13" i="4" l="1"/>
  <c r="C7"/>
  <c r="C9"/>
  <c r="C8"/>
  <c r="C14"/>
  <c r="C12" l="1"/>
  <c r="C19"/>
  <c r="C11" l="1"/>
  <c r="C23" l="1"/>
  <c r="C10" l="1"/>
  <c r="B2" l="1"/>
  <c r="C2"/>
  <c r="B7"/>
  <c r="B32" i="1" l="1"/>
  <c r="B9" i="4"/>
  <c r="B13" l="1"/>
  <c r="B10"/>
  <c r="B11" l="1"/>
  <c r="B14"/>
  <c r="N14" s="1"/>
  <c r="O14" s="1"/>
  <c r="B8" l="1"/>
  <c r="B19" l="1"/>
  <c r="F32" i="1" l="1"/>
  <c r="M23" i="2" l="1"/>
  <c r="G32" i="1" l="1"/>
  <c r="G33" s="1"/>
  <c r="C32"/>
  <c r="E32" s="1"/>
  <c r="N19" i="4"/>
  <c r="O19" s="1"/>
  <c r="N23"/>
  <c r="O23" s="1"/>
  <c r="N22"/>
  <c r="O22" s="1"/>
  <c r="N21"/>
  <c r="O21" s="1"/>
  <c r="N20"/>
  <c r="O20" s="1"/>
  <c r="N18"/>
  <c r="O18" s="1"/>
  <c r="N17"/>
  <c r="O17" s="1"/>
  <c r="N15"/>
  <c r="O15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"/>
  <c r="O3" s="1"/>
  <c r="N2"/>
  <c r="O2" s="1"/>
  <c r="M8" i="2"/>
  <c r="C33" i="1" l="1"/>
  <c r="E33" s="1"/>
  <c r="C34" s="1"/>
  <c r="E34" s="1"/>
  <c r="H32"/>
  <c r="G34"/>
  <c r="G35" s="1"/>
  <c r="G36" s="1"/>
  <c r="G37" s="1"/>
  <c r="G38" s="1"/>
  <c r="G39" s="1"/>
  <c r="G40" s="1"/>
  <c r="G41" s="1"/>
  <c r="G42" s="1"/>
  <c r="M7" i="2"/>
  <c r="M10"/>
  <c r="M12"/>
  <c r="M2"/>
  <c r="H33" i="1" l="1"/>
  <c r="H34"/>
  <c r="C35"/>
  <c r="E35" s="1"/>
  <c r="H35" s="1"/>
  <c r="M11" i="2"/>
  <c r="C36" i="1" l="1"/>
  <c r="E36" s="1"/>
  <c r="M9" i="2"/>
  <c r="H36" i="1" l="1"/>
  <c r="C37"/>
  <c r="E37" s="1"/>
  <c r="M19" i="2"/>
  <c r="H37" i="1" l="1"/>
  <c r="C38"/>
  <c r="E38" s="1"/>
  <c r="H38" l="1"/>
  <c r="C39"/>
  <c r="E39" s="1"/>
  <c r="H39" l="1"/>
  <c r="C40"/>
  <c r="E40" s="1"/>
  <c r="L7" i="2"/>
  <c r="H40" i="1" l="1"/>
  <c r="C41"/>
  <c r="E41" s="1"/>
  <c r="H41" s="1"/>
  <c r="L11" i="2"/>
  <c r="L12"/>
  <c r="L9"/>
  <c r="L10"/>
  <c r="L8"/>
  <c r="C42" i="1" l="1"/>
  <c r="E42" s="1"/>
  <c r="H42" s="1"/>
  <c r="L19" i="2"/>
  <c r="G43" i="1" l="1"/>
  <c r="C43"/>
  <c r="E43" s="1"/>
  <c r="L14" i="2"/>
  <c r="H43" i="1" l="1"/>
  <c r="L2" i="2"/>
  <c r="K8" l="1"/>
  <c r="K7"/>
  <c r="K12"/>
  <c r="K10" l="1"/>
  <c r="K14" l="1"/>
  <c r="K19" l="1"/>
  <c r="K9"/>
  <c r="K2" l="1"/>
  <c r="J7" l="1"/>
  <c r="J19" l="1"/>
  <c r="J8" l="1"/>
  <c r="J12"/>
  <c r="J11" l="1"/>
  <c r="J10" l="1"/>
  <c r="J9" l="1"/>
  <c r="J2" l="1"/>
  <c r="I7" l="1"/>
  <c r="I10" l="1"/>
  <c r="I12"/>
  <c r="I8" l="1"/>
  <c r="I19" l="1"/>
  <c r="I11" l="1"/>
  <c r="I9" l="1"/>
  <c r="I2" l="1"/>
  <c r="H8" l="1"/>
  <c r="H7" l="1"/>
  <c r="H10" l="1"/>
  <c r="H12" l="1"/>
  <c r="H9" l="1"/>
  <c r="H19"/>
  <c r="H2" l="1"/>
  <c r="G8" l="1"/>
  <c r="G12"/>
  <c r="G7"/>
  <c r="G9" l="1"/>
  <c r="G19" l="1"/>
  <c r="G10" l="1"/>
  <c r="G11" l="1"/>
  <c r="G14" l="1"/>
  <c r="G2" l="1"/>
  <c r="F7" l="1"/>
  <c r="F8"/>
  <c r="F14" l="1"/>
  <c r="F12" l="1"/>
  <c r="F10" l="1"/>
  <c r="F9" l="1"/>
  <c r="F19" l="1"/>
  <c r="F11" l="1"/>
  <c r="E12" l="1"/>
  <c r="E7"/>
  <c r="E14" l="1"/>
  <c r="E11" l="1"/>
  <c r="E10" l="1"/>
  <c r="E9" l="1"/>
  <c r="E19" l="1"/>
  <c r="E8" l="1"/>
  <c r="E2" l="1"/>
  <c r="D8" l="1"/>
  <c r="Q13" i="3" l="1"/>
  <c r="D7" i="2" l="1"/>
  <c r="D9"/>
  <c r="D12"/>
  <c r="D14" l="1"/>
  <c r="D10"/>
  <c r="M30" i="3" l="1"/>
  <c r="L30"/>
  <c r="E30"/>
  <c r="B30"/>
  <c r="N29"/>
  <c r="N28"/>
  <c r="N27"/>
  <c r="N26"/>
  <c r="N25"/>
  <c r="N24"/>
  <c r="N23"/>
  <c r="N22"/>
  <c r="M21"/>
  <c r="L21"/>
  <c r="K21"/>
  <c r="J21"/>
  <c r="I21"/>
  <c r="H21"/>
  <c r="G21"/>
  <c r="F21"/>
  <c r="E21"/>
  <c r="D21"/>
  <c r="C21"/>
  <c r="B21"/>
  <c r="N20"/>
  <c r="I19"/>
  <c r="H19"/>
  <c r="N19" s="1"/>
  <c r="K15"/>
  <c r="N15" s="1"/>
  <c r="H15"/>
  <c r="F15"/>
  <c r="M14"/>
  <c r="L14"/>
  <c r="K14"/>
  <c r="J14"/>
  <c r="I14"/>
  <c r="H14"/>
  <c r="G14"/>
  <c r="F14"/>
  <c r="E14"/>
  <c r="D14"/>
  <c r="C14"/>
  <c r="B14"/>
  <c r="M13"/>
  <c r="L13"/>
  <c r="K13"/>
  <c r="J13"/>
  <c r="I13"/>
  <c r="H13"/>
  <c r="G13"/>
  <c r="E13"/>
  <c r="D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C11"/>
  <c r="B11"/>
  <c r="M10"/>
  <c r="L10"/>
  <c r="K10"/>
  <c r="J10"/>
  <c r="I10"/>
  <c r="H10"/>
  <c r="G10"/>
  <c r="F10"/>
  <c r="E10"/>
  <c r="D10"/>
  <c r="C10"/>
  <c r="B10"/>
  <c r="M9"/>
  <c r="L9"/>
  <c r="K9"/>
  <c r="J9"/>
  <c r="I9"/>
  <c r="H9"/>
  <c r="G9"/>
  <c r="F9"/>
  <c r="E9"/>
  <c r="D9"/>
  <c r="C9"/>
  <c r="B9"/>
  <c r="M8"/>
  <c r="N8" s="1"/>
  <c r="N7"/>
  <c r="N6"/>
  <c r="G6"/>
  <c r="E5"/>
  <c r="N5" s="1"/>
  <c r="N4"/>
  <c r="J4"/>
  <c r="N3"/>
  <c r="M2"/>
  <c r="L2"/>
  <c r="K2"/>
  <c r="J2"/>
  <c r="G2"/>
  <c r="F2"/>
  <c r="N13" l="1"/>
  <c r="N12"/>
  <c r="N21"/>
  <c r="N30"/>
  <c r="N14"/>
  <c r="N2"/>
  <c r="N9"/>
  <c r="N10"/>
  <c r="N11"/>
  <c r="D11" i="2"/>
  <c r="D19" l="1"/>
  <c r="D2" l="1"/>
  <c r="C9" l="1"/>
  <c r="C10"/>
  <c r="C7" l="1"/>
  <c r="C14"/>
  <c r="C8" l="1"/>
  <c r="C13" l="1"/>
  <c r="C11" l="1"/>
  <c r="C12" l="1"/>
  <c r="C2" l="1"/>
  <c r="C19" l="1"/>
  <c r="B7" l="1"/>
  <c r="B12" l="1"/>
  <c r="B14"/>
  <c r="B9" l="1"/>
  <c r="B23" l="1"/>
  <c r="B11" l="1"/>
  <c r="B10" l="1"/>
  <c r="B2" l="1"/>
  <c r="B19" l="1"/>
  <c r="N4" l="1"/>
  <c r="O4" s="1"/>
  <c r="N3" l="1"/>
  <c r="O3" s="1"/>
  <c r="N6"/>
  <c r="O6" s="1"/>
  <c r="N5"/>
  <c r="O5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N16"/>
  <c r="N17"/>
  <c r="O17" s="1"/>
  <c r="N18"/>
  <c r="O18" s="1"/>
  <c r="N19"/>
  <c r="O19" s="1"/>
  <c r="N20"/>
  <c r="O20" s="1"/>
  <c r="N21"/>
  <c r="O21" s="1"/>
  <c r="N22"/>
  <c r="O22" s="1"/>
  <c r="N23"/>
  <c r="O23" s="1"/>
  <c r="N2"/>
  <c r="O2" s="1"/>
  <c r="B19" i="1" l="1"/>
  <c r="B18"/>
  <c r="B21" l="1"/>
  <c r="B22" s="1"/>
  <c r="B23" l="1"/>
  <c r="C23" s="1"/>
  <c r="C22"/>
</calcChain>
</file>

<file path=xl/comments1.xml><?xml version="1.0" encoding="utf-8"?>
<comments xmlns="http://schemas.openxmlformats.org/spreadsheetml/2006/main">
  <authors>
    <author>rajshekharchary@gmail.com</author>
    <author>rajsh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rajshekharchary@gmail.com:</t>
        </r>
        <r>
          <rPr>
            <sz val="9"/>
            <color indexed="81"/>
            <rFont val="Tahoma"/>
            <charset val="1"/>
          </rPr>
          <t xml:space="preserve">
135: Car Title Renual
</t>
        </r>
      </text>
    </comment>
    <comment ref="B11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373: ShadyGrove Prev. Balance</t>
        </r>
      </text>
    </comment>
    <comment ref="C11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600: ShadyGrove Frozen Embryo Charges</t>
        </r>
      </text>
    </comment>
  </commentList>
</comments>
</file>

<file path=xl/comments10.xml><?xml version="1.0" encoding="utf-8"?>
<comments xmlns="http://schemas.openxmlformats.org/spreadsheetml/2006/main">
  <authors>
    <author>TDA Associate</author>
    <author>king</author>
    <author>Raj</author>
  </authors>
  <commentList>
    <comment ref="M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132: Dec Raj ins.
180: Medicine for Raj
263: Jan ins. For Raj
323: Jan ins. For Lucky
33: New Life Insurance (State farm) Policy premium started on 12/14/2015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73: Through Rebate from Costco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Laptop Screen: 52
Driving Cop Ticket: 87
Laptop Battery: 41
NJ Licence Plates Regstn: 47
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59: Costco Membership Renewal
46: Lucky's Ring from Amazon
76: Documents Sent to India (Power of Attorney Docs)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175: Tax Filing
18: Kitchen Stuff frm Amazon
39: Gym Annual membership
61: Plants from IKEA
43: McAfee Charges
24: Medicine for Pimples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41: Car Service
40: Pramod's Daughter Bday gift
64: Toothbrush Heads
338: Flight Tickets to DFW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735: Missed Flight from DFW. Took new tkt
33: Car Parking @EWR
88: Car Rental
20: Weigh Machine
37: Texas Internet Last Bill
39: Statue Of Liberty trip
</t>
        </r>
      </text>
    </comment>
    <comment ref="G10" authorId="1">
      <text>
        <r>
          <rPr>
            <b/>
            <sz val="9"/>
            <color indexed="81"/>
            <rFont val="Tahoma"/>
            <family val="2"/>
          </rPr>
          <t>king:</t>
        </r>
        <r>
          <rPr>
            <sz val="9"/>
            <color indexed="81"/>
            <rFont val="Tahoma"/>
            <family val="2"/>
          </rPr>
          <t xml:space="preserve">
100: Baltimore Aptment Deposit
129: Baltimore Aptment Renters Insurance
147: CB Delta
</t>
        </r>
      </text>
    </comment>
    <comment ref="H10" authorId="2">
      <text>
        <r>
          <rPr>
            <b/>
            <sz val="9"/>
            <color indexed="81"/>
            <rFont val="Tahoma"/>
            <family val="2"/>
          </rPr>
          <t>Raj:</t>
        </r>
        <r>
          <rPr>
            <sz val="9"/>
            <color indexed="81"/>
            <rFont val="Tahoma"/>
            <family val="2"/>
          </rPr>
          <t xml:space="preserve">
68: Getting Car from NJ
265: Uhall Rent From NJ to MD
159: AT&amp;T Microcell ( will be waived of next month bill)
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48: Vaccum Cleaner
1544: Parents US Ticket
52: Rite Aid( Water Purifier and some medicines)
46: Car Service
104: Dental Cleaning-day1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128: Dental Cleaning Day2
  64: Dental Cleaning Day3
394: Medical Insurance for Parents
1310: Parents Return Ticket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187: CBBD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442: CB Fligth Tkt from SJC to CLT
83: UPS Expenses to send Amma related Docs to India 
64: Mutton for Offz Potlock
358: Quest Diagnostics Bill
77: Redlight Crossing Violation Ticket
36: Car seat covers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35: Abs Exercize Machine
26: Secreat Santa Gift for the Event in offz</t>
        </r>
      </text>
    </comment>
    <comment ref="H11" authorId="2">
      <text>
        <r>
          <rPr>
            <b/>
            <sz val="9"/>
            <color indexed="81"/>
            <rFont val="Tahoma"/>
            <family val="2"/>
          </rPr>
          <t>Raj:</t>
        </r>
        <r>
          <rPr>
            <sz val="9"/>
            <color indexed="81"/>
            <rFont val="Tahoma"/>
            <family val="2"/>
          </rPr>
          <t xml:space="preserve">
621: Niagara Expenses
33: Movie
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27: Chivas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70:Ocean City and Movie Expenses
45: Mandu for Daddy
712: Niagara Trip with Parents (within braces expense)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323: NY/NJ Trip with Parents
57: Rudramadevi Movie
55: Brucelee Movie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160: Baltimore Aquarium with Parents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My Birthday Shopping
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32: Chain for Lucky
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72: Ikea Shopping
120: AirBed and misc
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74: IKEA shopping
483: Thanks Giving Shopping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62: Bday Lunch Treat.. Need to transfer to Subbu
40: Lunch with Sukumar &amp; family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69: Lucky Bday Treat
27: Dinner on Lucky Bday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High because of Expnses Aftr movng from Tx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Niagara Trip &amp; NJ to MD Move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US Flight Tickets for Parents 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Return Tickets +Insurance for Parents and Niagara Expenses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971: BOA Master
292: Amex
190: Macys
45: Wellsfargo
700: BOA Visa
982: BOA Visa
400: BOA Master (in Advance)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42: Keyboard
9: Offz bag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50:School Funds
358: Quest Diagnostics Payment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100: Chennai Relief Fund
300: Camera Purchase Money to Ravindrababu(pending: 230)
</t>
        </r>
      </text>
    </comment>
  </commentList>
</comments>
</file>

<file path=xl/comments11.xml><?xml version="1.0" encoding="utf-8"?>
<comments xmlns="http://schemas.openxmlformats.org/spreadsheetml/2006/main">
  <authors>
    <author>TDA Associate</author>
    <author>king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2200: tax Returns Federal
910: Tax Returns from NJ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king:</t>
        </r>
        <r>
          <rPr>
            <sz val="9"/>
            <color indexed="81"/>
            <rFont val="Tahoma"/>
            <family val="2"/>
          </rPr>
          <t xml:space="preserve">
25000: House Renovation, Cheeti &amp; Dad LIC
50000: Pandu Eye Operation
-40000: Deposited by Dad as Operation money was not taken
22429: interest earned through ICICI Bank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B2 Visa Processing, Proof of Funds
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-6000: Pushkaralu
-21120: USA Visa Fee
-11900: Citi Credit Call bill for buying Cooler@Hyd
-3000: To Ahtamma for Pushkaralu
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1000: Visa Processing Proof of Funds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12000: Visa Preparing Works
7000: Vani Phone Purchase
40000: Pandu Eye Operation
27000: Parents US Shopping
6400: Lucky Dresses to get it with Parents
5000: Lucky Dress Stiching..post offz money..lucky dad CD making etc
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19100: Creditcard Bill (Parents US Travel)
5000: To Athama for Roja's Match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For Roja Marriage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For Roja Marriage
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For Laddu Laptop..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3000: Inlaws Family for Diwali
3000: for Nanamma
2000: Lawyer Fee For Amma Chain snatch case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10000: For Sunanda (Maggi School Fees)</t>
        </r>
      </text>
    </comment>
  </commentList>
</comments>
</file>

<file path=xl/comments2.xml><?xml version="1.0" encoding="utf-8"?>
<comments xmlns="http://schemas.openxmlformats.org/spreadsheetml/2006/main">
  <authors>
    <author>TDA Associate</author>
    <author>rajsh</author>
    <author>rajshekharchary@gmail.com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1,00,000: House renovation + Shop Setup
2,50,000: Roja Marriage
-90,000: Returned on 8/22/2016
10000: Gave on 11/16/2017
4/24/2019--&gt; bought 20Sq.Yards Land from Athama@27000 per yard. So, gave remainig money:2,40,000
=====Received Complete Payment========================
10/2019: 20,000--&gt; CropLandRegistration
11/5/2019: 30000--&gt; Krishna PappannamEvent
3/11/2020: 70000--&gt; Krishna Engagement Shopping
3/14/2020: 7000 --&gt;  Krishna Engagement Shopping
3/21/2020: 70000--&gt; Krishna Engagement Shopping
</t>
        </r>
      </text>
    </comment>
    <comment ref="B28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11/8/19: during Job Change</t>
        </r>
      </text>
    </comment>
    <comment ref="B32" authorId="2">
      <text>
        <r>
          <rPr>
            <b/>
            <sz val="9"/>
            <color indexed="81"/>
            <rFont val="Tahoma"/>
            <charset val="1"/>
          </rPr>
          <t>rajshekharchary@gmail.com:</t>
        </r>
        <r>
          <rPr>
            <sz val="9"/>
            <color indexed="81"/>
            <rFont val="Tahoma"/>
            <charset val="1"/>
          </rPr>
          <t xml:space="preserve">
-1000: USA Home 1st Advance</t>
        </r>
      </text>
    </comment>
    <comment ref="B33" authorId="2">
      <text>
        <r>
          <rPr>
            <b/>
            <sz val="9"/>
            <color indexed="81"/>
            <rFont val="Tahoma"/>
            <charset val="1"/>
          </rPr>
          <t>rajshekharchary@gmail.com:</t>
        </r>
        <r>
          <rPr>
            <sz val="9"/>
            <color indexed="81"/>
            <rFont val="Tahoma"/>
            <charset val="1"/>
          </rPr>
          <t xml:space="preserve">
-9000: USA Home 2nd Advance
3881: Tax Refund(1132+2749)
4000: Robinhood Withdraw</t>
        </r>
      </text>
    </comment>
    <comment ref="B35" authorId="2">
      <text>
        <r>
          <rPr>
            <b/>
            <sz val="9"/>
            <color indexed="81"/>
            <rFont val="Tahoma"/>
            <charset val="1"/>
          </rPr>
          <t>rajshekharchary@gmail.com:</t>
        </r>
        <r>
          <rPr>
            <sz val="9"/>
            <color indexed="81"/>
            <rFont val="Tahoma"/>
            <charset val="1"/>
          </rPr>
          <t xml:space="preserve">
10,000: Return Check for USA Home</t>
        </r>
      </text>
    </comment>
  </commentList>
</comments>
</file>

<file path=xl/comments3.xml><?xml version="1.0" encoding="utf-8"?>
<comments xmlns="http://schemas.openxmlformats.org/spreadsheetml/2006/main">
  <authors>
    <author>rajshekhar chary rasoju</author>
    <author>rajsh</author>
  </authors>
  <commentList>
    <comment ref="H6" authorId="0">
      <text>
        <r>
          <rPr>
            <b/>
            <sz val="9"/>
            <color indexed="81"/>
            <rFont val="Tahoma"/>
            <charset val="1"/>
          </rPr>
          <t>rajshekhar chary rasoju:</t>
        </r>
        <r>
          <rPr>
            <sz val="9"/>
            <color indexed="81"/>
            <rFont val="Tahoma"/>
            <charset val="1"/>
          </rPr>
          <t xml:space="preserve">
750: CAR engine repair
</t>
        </r>
      </text>
    </comment>
    <comment ref="K6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130: Yupp Tv
</t>
        </r>
      </text>
    </comment>
    <comment ref="L6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1928: India Flight Tkts for Lucky and Chinnu
64: Instapot Rice Cooker
287: Att Payoff
668: Lucky Iphone
</t>
        </r>
      </text>
    </comment>
    <comment ref="M6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214: Car Front Tires</t>
        </r>
      </text>
    </comment>
    <comment ref="K9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India Shopping</t>
        </r>
      </text>
    </comment>
    <comment ref="L9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India Shopping</t>
        </r>
      </text>
    </comment>
    <comment ref="M9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Shopping in India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rajshekhar chary rasoju:</t>
        </r>
        <r>
          <rPr>
            <sz val="9"/>
            <color indexed="81"/>
            <rFont val="Tahoma"/>
            <charset val="1"/>
          </rPr>
          <t xml:space="preserve">
1850: IVF Treatment 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rajshekhar chary rasoju:</t>
        </r>
        <r>
          <rPr>
            <sz val="9"/>
            <color indexed="81"/>
            <rFont val="Tahoma"/>
            <charset val="1"/>
          </rPr>
          <t xml:space="preserve">
Remaining 667 Through Cash Earned by Lucky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rajshekhar chary rasoju:</t>
        </r>
        <r>
          <rPr>
            <sz val="9"/>
            <color indexed="81"/>
            <rFont val="Tahoma"/>
            <charset val="1"/>
          </rPr>
          <t xml:space="preserve">
Remaining 927 through Cash earned by Lucky
</t>
        </r>
      </text>
    </comment>
    <comment ref="K20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Informatica MDM Training</t>
        </r>
      </text>
    </comment>
  </commentList>
</comments>
</file>

<file path=xl/comments4.xml><?xml version="1.0" encoding="utf-8"?>
<comments xmlns="http://schemas.openxmlformats.org/spreadsheetml/2006/main">
  <authors>
    <author>TDA Associate</author>
    <author>rajsh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1,00,000: House renovation + Shop Setup
2,50,000: Roja Marriage
-90,000: Returned on 8/22/2016
10000: Gave on 11/16/2017
4/24/2019--&gt; bought 20Sq.Yards Land from Athama@27000 per yard. So, gave remainig money:2,40,000
=====Received Complete Payment========================
10/2019: 20,000--&gt; CropLandRegistration
11/5/2019: 30000--&gt; KrishnaPappannamEvent</t>
        </r>
      </text>
    </comment>
    <comment ref="B26" authorId="1">
      <text>
        <r>
          <rPr>
            <b/>
            <sz val="9"/>
            <color indexed="81"/>
            <rFont val="Tahoma"/>
            <charset val="1"/>
          </rPr>
          <t>rajsh:</t>
        </r>
        <r>
          <rPr>
            <sz val="9"/>
            <color indexed="81"/>
            <rFont val="Tahoma"/>
            <charset val="1"/>
          </rPr>
          <t xml:space="preserve">
11/8/19: during Job Change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4154(1055+3099): Tax Returns</t>
        </r>
      </text>
    </comment>
  </commentList>
</comments>
</file>

<file path=xl/comments5.xml><?xml version="1.0" encoding="utf-8"?>
<comments xmlns="http://schemas.openxmlformats.org/spreadsheetml/2006/main">
  <authors>
    <author>TDA Associate</author>
    <author>rajshekhar chary rasoju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(967+835) : 1802: India Flight Tickets
135: Car Registration Renewal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TDA Associate:</t>
        </r>
        <r>
          <rPr>
            <sz val="9"/>
            <color indexed="81"/>
            <rFont val="Tahoma"/>
            <charset val="1"/>
          </rPr>
          <t xml:space="preserve">
69: IphoneX Taxes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299: India Shopping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600: Embriyo Freezing Charges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1084: Chase Freedom
1302: BOA Masters
419: BOA Visa
32: Macys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430: BOA Masters
619: BOA Visa
72: Chase Freedom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759: BOA Masters
731: BOA Visa
649: Chase Freedom
60: Citi (Costco Membership)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1151: BOA Visa
759: BOA Masters
256: Chase Freedom
169: Gap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759: BOA Master
248+73: Chase Freedom
346: Citi
76: Macys
1000: BOA Visa
</t>
        </r>
      </text>
    </comment>
    <comment ref="G18" authorId="1">
      <text>
        <r>
          <rPr>
            <b/>
            <sz val="9"/>
            <color indexed="81"/>
            <rFont val="Tahoma"/>
            <charset val="1"/>
          </rPr>
          <t>rajshekhar chary rasoju:</t>
        </r>
        <r>
          <rPr>
            <sz val="9"/>
            <color indexed="81"/>
            <rFont val="Tahoma"/>
            <charset val="1"/>
          </rPr>
          <t xml:space="preserve">
90: Chase
612: Citi Double Cash(TV Transfer)
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170: Cake for Chinnu Bday
720: Bday Party Hall and Food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netflix and Tax Filing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Amazon Prime to Santhosh</t>
        </r>
      </text>
    </comment>
    <comment ref="F22" authorId="0">
      <text>
        <r>
          <rPr>
            <b/>
            <sz val="9"/>
            <color indexed="81"/>
            <rFont val="Tahoma"/>
            <charset val="1"/>
          </rPr>
          <t>TDA Associate:</t>
        </r>
        <r>
          <rPr>
            <sz val="9"/>
            <color indexed="81"/>
            <rFont val="Tahoma"/>
            <charset val="1"/>
          </rPr>
          <t xml:space="preserve">
800: Cash Withdrawl for India Trip</t>
        </r>
      </text>
    </comment>
  </commentList>
</comments>
</file>

<file path=xl/comments6.xml><?xml version="1.0" encoding="utf-8"?>
<comments xmlns="http://schemas.openxmlformats.org/spreadsheetml/2006/main">
  <authors>
    <author>TDA Associate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1,00,000: House renovation + Shop Setup
2,50,000: Roja Marriage
-90,000: Returned on 8/22/2016
10000: Gave on 11/16/2017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Return 
10000 on 12/7/2016
10000 on 11/30/2017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2785: Tax Returns</t>
        </r>
      </text>
    </comment>
  </commentList>
</comments>
</file>

<file path=xl/comments7.xml><?xml version="1.0" encoding="utf-8"?>
<comments xmlns="http://schemas.openxmlformats.org/spreadsheetml/2006/main">
  <authors>
    <author>TDA Associate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Including Chinnu Previous month's adjustments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Jan Advance: 302+359=661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169: Shanthipooja for Aneesh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55: Costco Membership
60: IRS Tax Filing Fee
62: shivarathri spl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352: Chinnu OCI Card
148: India Chocklates Shopping
68: Rental Car to drop the parents @ Airport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159: IKEA
169: Mattress foundation
180: Yupp TV Renewal till Sep 2017
159: Lucky Bday Gif
383: Car Tires Replacement
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137: Passport Renewal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 xml:space="preserve">TDA Associate:
</t>
        </r>
        <r>
          <rPr>
            <sz val="9"/>
            <color indexed="81"/>
            <rFont val="Tahoma"/>
            <family val="2"/>
          </rPr>
          <t>80: Iphone repair
134: HomeLoan Docs sent to India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43: Car Service
599: Tv for India
329: Laptop for India
117: Misc. TG shopping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59: Dad's Cigarattes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1082: Lucky Labour Charges for Aneesh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530: Embriyo Freeze Charges
294: Chinnu Emergency Room Admission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Chinnu Hospital Stay Bills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Chinnu Hospital StayBills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549: BOA Masters
861: BOA Visa
402: Chase
746: Chase Unlimited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835: BOA Masters
971: BOA Visa
45: Chase Freedom
595: Chase Unlimited
2893: Total Tax Refund money for CC (530:CF+2363: CU)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836: BOA Masters
1205: BOA Visa
55: Citi
179: Chase Freedom
1805: Chase Unlimited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1109: BOA Visa
1194: BOA Masters
228: Chase Freedom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 xml:space="preserve">TDA Associate:
</t>
        </r>
        <r>
          <rPr>
            <sz val="9"/>
            <color indexed="81"/>
            <rFont val="Tahoma"/>
            <family val="2"/>
          </rPr>
          <t>1080: BOA Masters
1155: BOA Visa
98: Chase Visa
1403: Chase Fredom UL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989: BOA Masters
948: Chase Visa
102: Macys
48:GAP
1365: BOA Visa
332: Chase Unlimited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713: Chase Freedom
1004: BOA Masters
384: BOA Visa
500: Chase Unlimited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953: BOA Masters
219: Chase Freedom
1976: BOA Visa
49: Gap
50: Chase Unlimited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1043: BOA Masters
391: BOA Visa
647: Chase Freedom
100: Chase UL
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1245: BOA Visa
136: Chase Freedom
1011: BOA Masters
50: Chase UL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986: BOA Masters
309: Chase Freedom
990: BOA Visa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986: BOA Masters
511: Chase Freedom
173: Macys
1606: BOA Visa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120: Chinnu Passport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20: RobinHood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50: RobinHood Acct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170: Robinhood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50: Robinhood
155: Outside food for Chinnu Anna Prasana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300: Home Shifting to Sharewood MD
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100: Charleston Pl Apt Cleaning
145: Robinhood</t>
        </r>
      </text>
    </comment>
    <comment ref="M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200: Chinnu Bday Decoration
</t>
        </r>
      </text>
    </comment>
  </commentList>
</comments>
</file>

<file path=xl/comments8.xml><?xml version="1.0" encoding="utf-8"?>
<comments xmlns="http://schemas.openxmlformats.org/spreadsheetml/2006/main">
  <authors>
    <author>TDA Associate</author>
  </authors>
  <commentList>
    <comment ref="B27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1,00,000: House renovation + Shop Setup
2,50,000: Roja Marriage
-90,000: Returned on 8/22/2016
10000: Gave on 11/16/2017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Return 
10000 on 12/7/2016
10000 on 11/30/2017
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4000: To Athama for Thottela Pooja at Maisamma Gudi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23754: BSLI Premium
2500: Mounika Saree for Marriage 
2500: Lucky Postoffice Money
3000: Nanamma Medicines
2000: Civil Engg for Plan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25000: LRS Brokerage Charges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Towards Home Construction: LRS and NALA charges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437375: LRS&amp;NALA Charges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6500: Fedex Shipping from India
1500: Lucky Postoffz Money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106603: Home Permission
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post offz money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2500 Bitcoin Purchase</t>
        </r>
      </text>
    </comment>
  </commentList>
</comments>
</file>

<file path=xl/comments9.xml><?xml version="1.0" encoding="utf-8"?>
<comments xmlns="http://schemas.openxmlformats.org/spreadsheetml/2006/main">
  <authors>
    <author>TDA Associate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91: Micro oven and Omlet preparer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55: Costco Card Renewal
-64: return from renters insurnace
67: Hotel stay @ towson for Embriyo Transfer
52: Rental Car to drop parents
54: Gas in Rental Car
85: Tax Returns Filing Fee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60: MD Car Inspection Certificate
355: License Plates Transfer to MD
9: License Transfer to MD
72: Dad's Medical Bill
157: Dental Cleaning (54) + existing Bill(103)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91: Quest Bill
70: Dental Visit (Teeth filling)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38: Dental Visit (Cleaning)
180: Yupp Tv Subscription(13 months)
30: Uber
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86: Uber
112: Dental Visit (Teeth Filling)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303: Dental Visit (Front Teeth Gap filling)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1990: Parents Flight tkt for Nov2016 Travel
43: Car Service
127: Nursery Chair for Lucky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160: Car Battery+Car CabinFilter
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193: Baby Shower Shopping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129 (120: vonage giftcard+9 in cash) India Shopping
80: Digital Photoframe for India
182: India shopping from Costco
137+57: Walmart Shopping
104: Liquor for India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86: Offz Shoe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80: Maternity Photoshoot shopping
954: Thanks Giving Shopping
    (371:laptop for Bava
      191: Handycam for me)
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276: Baby Car Seat and other stuff
167: Baby stuff From Amazon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982: Master
500+271: Visa
393: Amex
200: Wellsfargo
500: Chase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971: BOA Master
841: BOA Visa
233: Amex
200: Wellsfargo
900: Chase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1008: Master
200: Wellsfargo
86: Amex
370: Visa
479: Chase
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824: BOA Master
360: BOA Visa
288: Amex
200: Wells fargo(cleared sofa amt)
875: Chase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829: BOA Master
642: BOA Visa
273: Citi
1030: Chase
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659: BOA Master
605: BOA Visa
961: Chase
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606: BOA Master
625: BOA Visa
80: Gap
925: Chase
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656: BOA Master
729: BOA Visa
482: Chase
934: Chase Unlimited
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205: Chase
556: BOA Master
563: BOA Visa
980: Chase Unlimited</t>
        </r>
      </text>
    </comment>
    <comment ref="M19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549: BOA Master
679: BOA Visa
247: Chase
790: Chase Unlimited
279: Macys
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229: Camera Remaining Money to Ravindrababu
119: Tv Skype Camera
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Robinhood Trading Acct
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TDA Associate:</t>
        </r>
        <r>
          <rPr>
            <sz val="9"/>
            <color indexed="81"/>
            <rFont val="Tahoma"/>
            <family val="2"/>
          </rPr>
          <t xml:space="preserve">
63: Bank Locker Opening Fee</t>
        </r>
      </text>
    </comment>
  </commentList>
</comments>
</file>

<file path=xl/sharedStrings.xml><?xml version="1.0" encoding="utf-8"?>
<sst xmlns="http://schemas.openxmlformats.org/spreadsheetml/2006/main" count="565" uniqueCount="154">
  <si>
    <t>Deduction from Checking Acct</t>
  </si>
  <si>
    <t>Credit Card Estimation</t>
  </si>
  <si>
    <t>Total Expenditure</t>
  </si>
  <si>
    <t>Savings</t>
  </si>
  <si>
    <t>Expenses Details</t>
  </si>
  <si>
    <t>Perticular</t>
  </si>
  <si>
    <t>Amount</t>
  </si>
  <si>
    <t>Checkin Acct</t>
  </si>
  <si>
    <t>Credit Card</t>
  </si>
  <si>
    <t>Car EMI</t>
  </si>
  <si>
    <t>Groceries and mislenious</t>
  </si>
  <si>
    <t>Y</t>
  </si>
  <si>
    <t>Due Date</t>
  </si>
  <si>
    <t>Auto?</t>
  </si>
  <si>
    <t>Netflix</t>
  </si>
  <si>
    <t>Mislenious/Unexpected</t>
  </si>
  <si>
    <t>Savings (Ideal Case)</t>
  </si>
  <si>
    <t>Jan</t>
  </si>
  <si>
    <t>Mobiles</t>
  </si>
  <si>
    <t>total</t>
  </si>
  <si>
    <t>india transfer</t>
  </si>
  <si>
    <t>INR</t>
  </si>
  <si>
    <t>current in BOA</t>
  </si>
  <si>
    <t>Total</t>
  </si>
  <si>
    <t>Car Gas</t>
  </si>
  <si>
    <t>Activity</t>
  </si>
  <si>
    <t xml:space="preserve">India Calling </t>
  </si>
  <si>
    <t>misc</t>
  </si>
  <si>
    <t>Groceries</t>
  </si>
  <si>
    <t>Gas</t>
  </si>
  <si>
    <t>Movies &amp; Fun</t>
  </si>
  <si>
    <t>Shopping</t>
  </si>
  <si>
    <t>Outside Food</t>
  </si>
  <si>
    <t>Feb</t>
  </si>
  <si>
    <t>Through Online Transfers</t>
  </si>
  <si>
    <t>Rent</t>
  </si>
  <si>
    <t>Mobile Bills</t>
  </si>
  <si>
    <t>Previous Month Credit Card Bill</t>
  </si>
  <si>
    <t>Mar</t>
  </si>
  <si>
    <t>Apr</t>
  </si>
  <si>
    <t>Internet</t>
  </si>
  <si>
    <t>May</t>
  </si>
  <si>
    <t>Home Rent</t>
  </si>
  <si>
    <t>Car EZ Pass</t>
  </si>
  <si>
    <t>June</t>
  </si>
  <si>
    <t>Aug</t>
  </si>
  <si>
    <t>Jul</t>
  </si>
  <si>
    <t>Sep</t>
  </si>
  <si>
    <t>MD Comcast Internet</t>
  </si>
  <si>
    <t>MD Gas plus Electric</t>
  </si>
  <si>
    <t>Oct</t>
  </si>
  <si>
    <t>Nov</t>
  </si>
  <si>
    <t>Dec</t>
  </si>
  <si>
    <t>MD Gas and Electricity (BGE)</t>
  </si>
  <si>
    <t xml:space="preserve">Savage and Water </t>
  </si>
  <si>
    <t>ICICI(INR) Transctns</t>
  </si>
  <si>
    <t>Current in ICICI (INR)</t>
  </si>
  <si>
    <t>Misc Payments (transfers)</t>
  </si>
  <si>
    <t>Health Ins</t>
  </si>
  <si>
    <t>IUI/IVF Process for Lucky</t>
  </si>
  <si>
    <t>Health</t>
  </si>
  <si>
    <t>Yupp</t>
  </si>
  <si>
    <t>Gym</t>
  </si>
  <si>
    <t>Car Ins</t>
  </si>
  <si>
    <t>Car Insurance</t>
  </si>
  <si>
    <t>Car Pool</t>
  </si>
  <si>
    <t>NJ Gas Bill</t>
  </si>
  <si>
    <t>NJ Electricity</t>
  </si>
  <si>
    <t>NJ Internet</t>
  </si>
  <si>
    <t>`</t>
  </si>
  <si>
    <t>DFW</t>
  </si>
  <si>
    <t>IND TO USA</t>
  </si>
  <si>
    <t>Ins to Parents</t>
  </si>
  <si>
    <t>CBBD</t>
  </si>
  <si>
    <t>Parents within USA</t>
  </si>
  <si>
    <t>NJ Rent</t>
  </si>
  <si>
    <t>NJ Gas</t>
  </si>
  <si>
    <t>Previous Month Credit Card Payments</t>
  </si>
  <si>
    <t>Jun</t>
  </si>
  <si>
    <t>India Calling</t>
  </si>
  <si>
    <t>Dental Charges</t>
  </si>
  <si>
    <t>Date</t>
  </si>
  <si>
    <t>Dental</t>
  </si>
  <si>
    <t>Athama (INR)</t>
  </si>
  <si>
    <t>Suresh CoBro on 7/2/2016 (INR)</t>
  </si>
  <si>
    <t>Car Ins + Life Ins + Renters Ins</t>
  </si>
  <si>
    <t>Car Ins + Life Ins +Renters Ins</t>
  </si>
  <si>
    <t>Amazon Prime</t>
  </si>
  <si>
    <t>2016 Savings</t>
  </si>
  <si>
    <t>Medical Expenses</t>
  </si>
  <si>
    <t>Avg</t>
  </si>
  <si>
    <t>Misc Payments</t>
  </si>
  <si>
    <t>Chinnu Daily Usage Stuff</t>
  </si>
  <si>
    <t>Health insurance</t>
  </si>
  <si>
    <t>NJ Gas Connection (Elizebeth Town Gas)</t>
  </si>
  <si>
    <t>NJ Electricity ( PSEG)</t>
  </si>
  <si>
    <t>IndiaCalling Card</t>
  </si>
  <si>
    <t>Health nsurance</t>
  </si>
  <si>
    <t>Athama</t>
  </si>
  <si>
    <t>3,50,000(INR)</t>
  </si>
  <si>
    <t>Anil Sir</t>
  </si>
  <si>
    <t>25,000(INR)</t>
  </si>
  <si>
    <t>Sunanda</t>
  </si>
  <si>
    <t>10,000(INR)</t>
  </si>
  <si>
    <t>CB</t>
  </si>
  <si>
    <t>(Restarting after Land Purchase)          3/1/2015</t>
  </si>
  <si>
    <t>Shares Investiment</t>
  </si>
  <si>
    <t>Gas&amp; Electric</t>
  </si>
  <si>
    <t>Bit Coin</t>
  </si>
  <si>
    <t>RobinHood</t>
  </si>
  <si>
    <t>Bit CoinCash</t>
  </si>
  <si>
    <t>2017 Savings</t>
  </si>
  <si>
    <t>Life Ins + Renters Ins</t>
  </si>
  <si>
    <t>Loss in Bitcoin</t>
  </si>
  <si>
    <t>Transferred from BC to RH</t>
  </si>
  <si>
    <t>Moovee distribution</t>
  </si>
  <si>
    <t>Remaining Loan</t>
  </si>
  <si>
    <t>paying postbill</t>
  </si>
  <si>
    <t>BOA Travel Rewards CC Loan2 (Due-9th)   (Till 01/2020)</t>
  </si>
  <si>
    <t>BOA Travel Rewards CC Loan1 (Due-9th)   (Till 03/2019)</t>
  </si>
  <si>
    <t>Citi Double Cash CC Loan (Due-16th)        (Till 11/2019)</t>
  </si>
  <si>
    <t>Chase Freedom UL CC Loan (Due-24th)    (Till 06/2019)</t>
  </si>
  <si>
    <t>BOA Visa Card CC Loan (Due-24th)          (Till 02/2020)</t>
  </si>
  <si>
    <t>Total Loan</t>
  </si>
  <si>
    <t>2018 Savings</t>
  </si>
  <si>
    <t xml:space="preserve">Rent+Savage+Water </t>
  </si>
  <si>
    <t>Internet (Autopay on 7th)</t>
  </si>
  <si>
    <t>Car EMI (Autopay on 4th)</t>
  </si>
  <si>
    <t>BOA VCC Loan1 (Due-24th)          (Till 02/2020)</t>
  </si>
  <si>
    <t>Total Loan@2019</t>
  </si>
  <si>
    <t>Remaining Loan@2019</t>
  </si>
  <si>
    <t>BOA TR CC Loan1 (Due-9th)         (Till 03/2019)</t>
  </si>
  <si>
    <t>BOA TR CC Loan2 (Due-9th)         (Till 01/2020)</t>
  </si>
  <si>
    <t>Citi DC CC Loan (Due-16th)           (Till 11/2019)</t>
  </si>
  <si>
    <t>BOA VCC Loan2 (Due-24th)          (Till 07/2020)</t>
  </si>
  <si>
    <t>loss movee distribution</t>
  </si>
  <si>
    <t>Chase FUL CC Loan (Due-24th)     (Till 06/2019)</t>
  </si>
  <si>
    <t>Life Ins + Renters Ins (Autopay 15th)</t>
  </si>
  <si>
    <t>Chinnu Daycare</t>
  </si>
  <si>
    <t>Previous Month Cash Payments</t>
  </si>
  <si>
    <t>Rajesh Bava</t>
  </si>
  <si>
    <t>CC Balance Transfers</t>
  </si>
  <si>
    <t>India Transfers</t>
  </si>
  <si>
    <t>Total Loan@2020</t>
  </si>
  <si>
    <t>Remaining Loan@2020</t>
  </si>
  <si>
    <t>2019 Savings</t>
  </si>
  <si>
    <t>India EMI Transfers</t>
  </si>
  <si>
    <t>BOA VCC   Loan (Due-24th) (Till 07/2020)</t>
  </si>
  <si>
    <t>BOA TR CC Loan (Due-9th)  (Till 08/2021)</t>
  </si>
  <si>
    <t>RobinHood Stocks</t>
  </si>
  <si>
    <t>Life Insurance (AIG-750K) (Autopay on 17th)</t>
  </si>
  <si>
    <t>Withdraw from RobinHood</t>
  </si>
  <si>
    <t>Renters Ins</t>
  </si>
  <si>
    <t>Life Insurance</t>
  </si>
</sst>
</file>

<file path=xl/styles.xml><?xml version="1.0" encoding="utf-8"?>
<styleSheet xmlns="http://schemas.openxmlformats.org/spreadsheetml/2006/main">
  <numFmts count="3">
    <numFmt numFmtId="164" formatCode="mmm\-yyyy"/>
    <numFmt numFmtId="165" formatCode="[$₹-4009]\ #,##0;[Red][$₹-4009]\ #,##0"/>
    <numFmt numFmtId="166" formatCode="&quot;$&quot;#,##0"/>
  </numFmts>
  <fonts count="8">
    <font>
      <sz val="10"/>
      <color theme="1"/>
      <name val="Arial"/>
      <family val="2"/>
    </font>
    <font>
      <b/>
      <sz val="10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7" borderId="4" xfId="0" applyFill="1" applyBorder="1"/>
    <xf numFmtId="0" fontId="0" fillId="7" borderId="1" xfId="0" applyFill="1" applyBorder="1"/>
    <xf numFmtId="0" fontId="1" fillId="8" borderId="4" xfId="0" applyFont="1" applyFill="1" applyBorder="1"/>
    <xf numFmtId="0" fontId="1" fillId="8" borderId="1" xfId="0" applyFont="1" applyFill="1" applyBorder="1"/>
    <xf numFmtId="0" fontId="0" fillId="2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7" fontId="0" fillId="0" borderId="0" xfId="0" applyNumberFormat="1" applyAlignment="1">
      <alignment horizontal="right"/>
    </xf>
    <xf numFmtId="0" fontId="0" fillId="11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12" borderId="0" xfId="0" applyFill="1" applyAlignment="1">
      <alignment horizontal="right"/>
    </xf>
    <xf numFmtId="0" fontId="0" fillId="12" borderId="0" xfId="0" applyFill="1"/>
    <xf numFmtId="0" fontId="0" fillId="0" borderId="0" xfId="0"/>
    <xf numFmtId="0" fontId="0" fillId="0" borderId="0" xfId="0"/>
    <xf numFmtId="0" fontId="0" fillId="0" borderId="0" xfId="0" quotePrefix="1"/>
    <xf numFmtId="0" fontId="0" fillId="13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0" fillId="11" borderId="1" xfId="0" applyFill="1" applyBorder="1"/>
    <xf numFmtId="0" fontId="0" fillId="13" borderId="1" xfId="0" applyFill="1" applyBorder="1"/>
    <xf numFmtId="0" fontId="4" fillId="14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164" fontId="0" fillId="0" borderId="1" xfId="0" applyNumberFormat="1" applyBorder="1"/>
    <xf numFmtId="3" fontId="0" fillId="0" borderId="0" xfId="0" applyNumberFormat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2" fontId="5" fillId="15" borderId="1" xfId="0" applyNumberFormat="1" applyFont="1" applyFill="1" applyBorder="1"/>
    <xf numFmtId="17" fontId="0" fillId="0" borderId="0" xfId="0" applyNumberFormat="1"/>
    <xf numFmtId="3" fontId="0" fillId="0" borderId="0" xfId="0" applyNumberFormat="1" applyFill="1"/>
    <xf numFmtId="0" fontId="0" fillId="0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/>
    <xf numFmtId="3" fontId="0" fillId="16" borderId="0" xfId="0" applyNumberForma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11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/>
    <xf numFmtId="0" fontId="0" fillId="16" borderId="1" xfId="0" applyFill="1" applyBorder="1"/>
    <xf numFmtId="0" fontId="0" fillId="9" borderId="1" xfId="0" applyFill="1" applyBorder="1"/>
    <xf numFmtId="0" fontId="0" fillId="20" borderId="1" xfId="0" applyFill="1" applyBorder="1"/>
    <xf numFmtId="0" fontId="0" fillId="16" borderId="7" xfId="0" applyFill="1" applyBorder="1" applyAlignment="1"/>
    <xf numFmtId="0" fontId="0" fillId="16" borderId="8" xfId="0" applyFill="1" applyBorder="1" applyAlignment="1"/>
    <xf numFmtId="0" fontId="0" fillId="16" borderId="9" xfId="0" applyFill="1" applyBorder="1" applyAlignment="1"/>
    <xf numFmtId="0" fontId="0" fillId="17" borderId="5" xfId="0" applyFill="1" applyBorder="1" applyAlignment="1">
      <alignment horizontal="center" textRotation="255" wrapText="1"/>
    </xf>
    <xf numFmtId="0" fontId="0" fillId="17" borderId="6" xfId="0" applyFill="1" applyBorder="1" applyAlignment="1">
      <alignment horizontal="center" textRotation="255" wrapText="1"/>
    </xf>
    <xf numFmtId="0" fontId="0" fillId="6" borderId="6" xfId="0" applyFill="1" applyBorder="1"/>
    <xf numFmtId="0" fontId="1" fillId="8" borderId="6" xfId="0" applyFont="1" applyFill="1" applyBorder="1"/>
    <xf numFmtId="0" fontId="0" fillId="7" borderId="6" xfId="0" applyFill="1" applyBorder="1"/>
    <xf numFmtId="0" fontId="0" fillId="17" borderId="5" xfId="0" applyFill="1" applyBorder="1" applyAlignment="1">
      <alignment horizontal="center" textRotation="255" wrapText="1"/>
    </xf>
    <xf numFmtId="0" fontId="0" fillId="2" borderId="1" xfId="0" applyFill="1" applyBorder="1" applyAlignment="1">
      <alignment horizontal="center"/>
    </xf>
    <xf numFmtId="0" fontId="0" fillId="0" borderId="6" xfId="0" applyFill="1" applyBorder="1"/>
    <xf numFmtId="0" fontId="0" fillId="0" borderId="2" xfId="0" applyBorder="1"/>
    <xf numFmtId="0" fontId="0" fillId="16" borderId="1" xfId="0" applyFill="1" applyBorder="1" applyAlignment="1"/>
    <xf numFmtId="0" fontId="0" fillId="0" borderId="0" xfId="0" applyFill="1" applyBorder="1"/>
    <xf numFmtId="0" fontId="0" fillId="17" borderId="5" xfId="0" applyFill="1" applyBorder="1" applyAlignment="1">
      <alignment horizontal="center" textRotation="255" wrapText="1"/>
    </xf>
    <xf numFmtId="0" fontId="0" fillId="17" borderId="1" xfId="0" applyFill="1" applyBorder="1" applyAlignment="1">
      <alignment horizontal="center" textRotation="255" wrapText="1"/>
    </xf>
    <xf numFmtId="0" fontId="0" fillId="17" borderId="2" xfId="0" applyFill="1" applyBorder="1" applyAlignment="1">
      <alignment horizontal="center" textRotation="255" wrapText="1"/>
    </xf>
    <xf numFmtId="0" fontId="0" fillId="17" borderId="9" xfId="0" applyFill="1" applyBorder="1" applyAlignment="1">
      <alignment horizontal="center" textRotation="255" wrapText="1"/>
    </xf>
    <xf numFmtId="0" fontId="0" fillId="17" borderId="10" xfId="0" applyFill="1" applyBorder="1" applyAlignment="1">
      <alignment horizontal="center" textRotation="255" wrapText="1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9C4"/>
      <color rgb="FFFFC000"/>
      <color rgb="FFFF6D0A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5"/>
  <sheetViews>
    <sheetView tabSelected="1" workbookViewId="0">
      <selection activeCell="G20" sqref="G20"/>
    </sheetView>
  </sheetViews>
  <sheetFormatPr defaultRowHeight="13.5" customHeight="1"/>
  <cols>
    <col min="1" max="1" width="37.5703125" style="33" customWidth="1"/>
    <col min="2" max="2" width="7.5703125" style="33" customWidth="1"/>
    <col min="3" max="5" width="7.140625" style="33" customWidth="1"/>
    <col min="6" max="6" width="7.28515625" style="33" customWidth="1"/>
    <col min="7" max="13" width="7.140625" style="33" customWidth="1"/>
    <col min="14" max="14" width="6.85546875" style="33" customWidth="1"/>
    <col min="15" max="16" width="6" style="33" customWidth="1"/>
    <col min="17" max="17" width="5.85546875" style="33" customWidth="1"/>
    <col min="18" max="18" width="9.85546875" style="33" customWidth="1"/>
    <col min="19" max="19" width="6.28515625" style="33" customWidth="1"/>
    <col min="20" max="20" width="23.140625" style="33" bestFit="1" customWidth="1"/>
    <col min="21" max="21" width="11.28515625" style="33" customWidth="1"/>
    <col min="22" max="22" width="22.140625" style="33" customWidth="1"/>
    <col min="23" max="16384" width="9.140625" style="33"/>
  </cols>
  <sheetData>
    <row r="1" spans="1:20" ht="13.5" customHeight="1">
      <c r="A1" s="82" t="s">
        <v>25</v>
      </c>
      <c r="B1" s="82" t="s">
        <v>17</v>
      </c>
      <c r="C1" s="82" t="s">
        <v>33</v>
      </c>
      <c r="D1" s="82" t="s">
        <v>38</v>
      </c>
      <c r="E1" s="82" t="s">
        <v>39</v>
      </c>
      <c r="F1" s="82" t="s">
        <v>41</v>
      </c>
      <c r="G1" s="82" t="s">
        <v>78</v>
      </c>
      <c r="H1" s="82" t="s">
        <v>46</v>
      </c>
      <c r="I1" s="82" t="s">
        <v>45</v>
      </c>
      <c r="J1" s="82" t="s">
        <v>47</v>
      </c>
      <c r="K1" s="82" t="s">
        <v>50</v>
      </c>
      <c r="L1" s="82" t="s">
        <v>51</v>
      </c>
      <c r="M1" s="82" t="s">
        <v>52</v>
      </c>
      <c r="N1" s="82" t="s">
        <v>23</v>
      </c>
      <c r="O1" s="87" t="s">
        <v>123</v>
      </c>
      <c r="P1" s="88" t="s">
        <v>143</v>
      </c>
      <c r="Q1" s="90" t="s">
        <v>144</v>
      </c>
    </row>
    <row r="2" spans="1:20" ht="13.5" customHeight="1">
      <c r="A2" s="69" t="s">
        <v>63</v>
      </c>
      <c r="B2" s="69">
        <v>0</v>
      </c>
      <c r="C2" s="69">
        <v>0</v>
      </c>
      <c r="D2" s="69">
        <v>0</v>
      </c>
      <c r="E2" s="69">
        <v>0</v>
      </c>
      <c r="F2" s="69">
        <v>0</v>
      </c>
      <c r="G2" s="69"/>
      <c r="H2" s="69"/>
      <c r="I2" s="69"/>
      <c r="J2" s="69"/>
      <c r="K2" s="69"/>
      <c r="L2" s="69"/>
      <c r="M2" s="69"/>
      <c r="N2" s="39">
        <f t="shared" ref="N2:N22" si="0">SUM(B2:M2)</f>
        <v>0</v>
      </c>
      <c r="O2" s="87"/>
      <c r="P2" s="88"/>
      <c r="Q2" s="90"/>
      <c r="R2" s="61">
        <v>42705</v>
      </c>
      <c r="S2" s="33">
        <v>100</v>
      </c>
      <c r="T2" s="33" t="s">
        <v>109</v>
      </c>
    </row>
    <row r="3" spans="1:20" ht="13.5" customHeight="1">
      <c r="A3" s="69" t="s">
        <v>137</v>
      </c>
      <c r="B3" s="69">
        <v>40</v>
      </c>
      <c r="C3" s="69">
        <f>40</f>
        <v>40</v>
      </c>
      <c r="D3" s="69">
        <v>10</v>
      </c>
      <c r="E3" s="69">
        <v>10</v>
      </c>
      <c r="F3" s="69"/>
      <c r="G3" s="69"/>
      <c r="H3" s="69"/>
      <c r="I3" s="69"/>
      <c r="J3" s="69"/>
      <c r="K3" s="69"/>
      <c r="L3" s="69"/>
      <c r="M3" s="69"/>
      <c r="N3" s="39">
        <f t="shared" si="0"/>
        <v>100</v>
      </c>
      <c r="O3" s="87"/>
      <c r="P3" s="88"/>
      <c r="Q3" s="90"/>
      <c r="R3" s="61">
        <v>42767</v>
      </c>
      <c r="S3" s="33">
        <v>20</v>
      </c>
      <c r="T3" s="33" t="s">
        <v>109</v>
      </c>
    </row>
    <row r="4" spans="1:20" ht="13.5" customHeight="1">
      <c r="A4" s="69" t="s">
        <v>26</v>
      </c>
      <c r="B4" s="69">
        <v>0</v>
      </c>
      <c r="C4" s="69">
        <v>10</v>
      </c>
      <c r="D4" s="69">
        <v>0</v>
      </c>
      <c r="E4" s="69">
        <v>0</v>
      </c>
      <c r="F4" s="69">
        <v>0</v>
      </c>
      <c r="G4" s="69"/>
      <c r="H4" s="69"/>
      <c r="I4" s="69"/>
      <c r="J4" s="69"/>
      <c r="K4" s="69"/>
      <c r="L4" s="69"/>
      <c r="M4" s="69"/>
      <c r="N4" s="39">
        <f>SUM(B4:M4)</f>
        <v>10</v>
      </c>
      <c r="O4" s="87"/>
      <c r="P4" s="88"/>
      <c r="Q4" s="90"/>
      <c r="R4" s="61">
        <v>42795</v>
      </c>
      <c r="S4" s="33">
        <v>50</v>
      </c>
      <c r="T4" s="33" t="s">
        <v>109</v>
      </c>
    </row>
    <row r="5" spans="1:20" ht="13.5" customHeight="1">
      <c r="A5" s="41" t="s">
        <v>28</v>
      </c>
      <c r="B5" s="41">
        <f>6+23+55+15+30+11</f>
        <v>140</v>
      </c>
      <c r="C5" s="41">
        <f>58+47+7+58+12</f>
        <v>182</v>
      </c>
      <c r="D5" s="41">
        <f>49+39+33+20+65+74+31+16+4</f>
        <v>331</v>
      </c>
      <c r="E5" s="41">
        <f>46+38+35+19</f>
        <v>138</v>
      </c>
      <c r="F5" s="41">
        <f>101+12+40+20</f>
        <v>173</v>
      </c>
      <c r="G5" s="41"/>
      <c r="H5" s="41"/>
      <c r="I5" s="41"/>
      <c r="J5" s="41"/>
      <c r="K5" s="41"/>
      <c r="L5" s="41"/>
      <c r="M5" s="41"/>
      <c r="N5" s="39">
        <f t="shared" si="0"/>
        <v>964</v>
      </c>
      <c r="O5" s="87"/>
      <c r="P5" s="88"/>
      <c r="Q5" s="90"/>
      <c r="R5" s="61">
        <v>42842</v>
      </c>
      <c r="S5" s="33">
        <v>170</v>
      </c>
      <c r="T5" s="33" t="s">
        <v>109</v>
      </c>
    </row>
    <row r="6" spans="1:20" ht="13.5" customHeight="1">
      <c r="A6" s="41" t="s">
        <v>27</v>
      </c>
      <c r="B6" s="41">
        <f>13+6+10+25+8+4+14-7+13+8+21+11+14+12+5+11+24+53</f>
        <v>245</v>
      </c>
      <c r="C6" s="41">
        <f>60+48+8+11+18+5+25+4+5</f>
        <v>184</v>
      </c>
      <c r="D6" s="41">
        <f>135+30+10+2+74+30+4+5+2+25+6+10</f>
        <v>333</v>
      </c>
      <c r="E6" s="41">
        <f>10-6+2+5+6+18+12+5+7+5</f>
        <v>64</v>
      </c>
      <c r="F6" s="41">
        <f>10</f>
        <v>10</v>
      </c>
      <c r="G6" s="41"/>
      <c r="H6" s="41"/>
      <c r="I6" s="41"/>
      <c r="J6" s="41"/>
      <c r="K6" s="41"/>
      <c r="L6" s="41"/>
      <c r="M6" s="41"/>
      <c r="N6" s="39">
        <f t="shared" si="0"/>
        <v>836</v>
      </c>
      <c r="O6" s="87"/>
      <c r="P6" s="88"/>
      <c r="Q6" s="90"/>
      <c r="R6" s="61">
        <v>42872</v>
      </c>
      <c r="S6" s="33">
        <v>50</v>
      </c>
      <c r="T6" s="33" t="s">
        <v>109</v>
      </c>
    </row>
    <row r="7" spans="1:20" ht="13.5" customHeight="1">
      <c r="A7" s="41" t="s">
        <v>30</v>
      </c>
      <c r="B7" s="41">
        <f>85+3+16</f>
        <v>104</v>
      </c>
      <c r="C7" s="41">
        <f>10</f>
        <v>10</v>
      </c>
      <c r="D7" s="41">
        <f>54</f>
        <v>54</v>
      </c>
      <c r="E7" s="41">
        <v>0</v>
      </c>
      <c r="F7" s="41">
        <f>62</f>
        <v>62</v>
      </c>
      <c r="G7" s="41"/>
      <c r="H7" s="41"/>
      <c r="I7" s="41"/>
      <c r="J7" s="41"/>
      <c r="K7" s="41"/>
      <c r="L7" s="41"/>
      <c r="M7" s="41"/>
      <c r="N7" s="39">
        <f t="shared" si="0"/>
        <v>230</v>
      </c>
      <c r="O7" s="87"/>
      <c r="P7" s="88"/>
      <c r="Q7" s="90"/>
      <c r="R7" s="61">
        <v>42933</v>
      </c>
      <c r="S7" s="33">
        <v>145</v>
      </c>
      <c r="T7" s="33" t="s">
        <v>109</v>
      </c>
    </row>
    <row r="8" spans="1:20" ht="13.5" customHeight="1">
      <c r="A8" s="41" t="s">
        <v>29</v>
      </c>
      <c r="B8" s="41">
        <f>26</f>
        <v>26</v>
      </c>
      <c r="C8" s="41">
        <f>23</f>
        <v>23</v>
      </c>
      <c r="D8" s="41">
        <f>25</f>
        <v>25</v>
      </c>
      <c r="E8" s="41">
        <v>0</v>
      </c>
      <c r="F8" s="41"/>
      <c r="G8" s="41"/>
      <c r="H8" s="41"/>
      <c r="I8" s="41"/>
      <c r="J8" s="41"/>
      <c r="K8" s="41"/>
      <c r="L8" s="41"/>
      <c r="M8" s="41"/>
      <c r="N8" s="39">
        <f t="shared" si="0"/>
        <v>74</v>
      </c>
      <c r="O8" s="87"/>
      <c r="P8" s="88"/>
      <c r="Q8" s="90"/>
      <c r="R8" s="61">
        <v>42964</v>
      </c>
      <c r="S8" s="33">
        <f>40</f>
        <v>40</v>
      </c>
      <c r="T8" s="33" t="s">
        <v>109</v>
      </c>
    </row>
    <row r="9" spans="1:20" ht="13.5" customHeight="1">
      <c r="A9" s="41" t="s">
        <v>31</v>
      </c>
      <c r="B9" s="41">
        <f>42+20+67+54+8-13+38</f>
        <v>216</v>
      </c>
      <c r="C9" s="33">
        <v>0</v>
      </c>
      <c r="D9" s="41">
        <f>45+18+111+45+11+70+16+16+108</f>
        <v>440</v>
      </c>
      <c r="E9" s="41">
        <v>0</v>
      </c>
      <c r="F9" s="41"/>
      <c r="G9" s="41"/>
      <c r="H9" s="41"/>
      <c r="I9" s="41"/>
      <c r="J9" s="41"/>
      <c r="K9" s="41"/>
      <c r="L9" s="41"/>
      <c r="M9" s="41"/>
      <c r="N9" s="39">
        <f t="shared" si="0"/>
        <v>656</v>
      </c>
      <c r="O9" s="87"/>
      <c r="P9" s="88"/>
      <c r="Q9" s="90"/>
      <c r="R9" s="61">
        <v>42979</v>
      </c>
      <c r="S9" s="33">
        <f>200+60+50</f>
        <v>310</v>
      </c>
      <c r="T9" s="33" t="s">
        <v>109</v>
      </c>
    </row>
    <row r="10" spans="1:20" ht="13.5" customHeight="1">
      <c r="A10" s="41" t="s">
        <v>32</v>
      </c>
      <c r="B10" s="41">
        <f>14+9+19</f>
        <v>42</v>
      </c>
      <c r="C10" s="41">
        <f>14+9+16+24</f>
        <v>63</v>
      </c>
      <c r="D10" s="41">
        <v>0</v>
      </c>
      <c r="E10" s="41">
        <v>0</v>
      </c>
      <c r="F10" s="41"/>
      <c r="G10" s="41"/>
      <c r="H10" s="41"/>
      <c r="I10" s="41"/>
      <c r="J10" s="42"/>
      <c r="K10" s="41"/>
      <c r="L10" s="41"/>
      <c r="M10" s="41"/>
      <c r="N10" s="39">
        <f t="shared" si="0"/>
        <v>105</v>
      </c>
      <c r="O10" s="87"/>
      <c r="P10" s="88"/>
      <c r="Q10" s="90"/>
      <c r="R10" s="61">
        <v>42979</v>
      </c>
      <c r="S10" s="33">
        <f>200+60+50</f>
        <v>310</v>
      </c>
      <c r="T10" s="33" t="s">
        <v>109</v>
      </c>
    </row>
    <row r="11" spans="1:20" ht="13.5" customHeight="1">
      <c r="A11" s="41" t="s">
        <v>89</v>
      </c>
      <c r="B11" s="41">
        <f>373</f>
        <v>373</v>
      </c>
      <c r="C11" s="41">
        <f>45+20+600</f>
        <v>665</v>
      </c>
      <c r="D11" s="41">
        <v>0</v>
      </c>
      <c r="E11" s="41">
        <v>0</v>
      </c>
      <c r="F11" s="41"/>
      <c r="G11" s="41"/>
      <c r="H11" s="41"/>
      <c r="I11" s="41"/>
      <c r="J11" s="41"/>
      <c r="K11" s="41"/>
      <c r="L11" s="41"/>
      <c r="M11" s="41"/>
      <c r="N11" s="39">
        <f t="shared" si="0"/>
        <v>1038</v>
      </c>
      <c r="O11" s="87"/>
      <c r="P11" s="88"/>
      <c r="Q11" s="90"/>
      <c r="R11" s="61">
        <v>43040</v>
      </c>
      <c r="S11" s="33">
        <f>130+120</f>
        <v>250</v>
      </c>
      <c r="T11" s="33" t="s">
        <v>109</v>
      </c>
    </row>
    <row r="12" spans="1:20" ht="13.5" customHeight="1">
      <c r="A12" s="41" t="s">
        <v>138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41"/>
      <c r="H12" s="41"/>
      <c r="I12" s="41"/>
      <c r="J12" s="41"/>
      <c r="K12" s="41"/>
      <c r="L12" s="41"/>
      <c r="M12" s="41"/>
      <c r="N12" s="39">
        <f t="shared" si="0"/>
        <v>0</v>
      </c>
      <c r="O12" s="87"/>
      <c r="P12" s="88"/>
      <c r="Q12" s="90"/>
      <c r="R12" s="61">
        <v>43070</v>
      </c>
      <c r="S12" s="33">
        <v>500</v>
      </c>
      <c r="T12" s="33" t="s">
        <v>108</v>
      </c>
    </row>
    <row r="13" spans="1:20" ht="13.5" customHeight="1">
      <c r="A13" s="82" t="s">
        <v>34</v>
      </c>
      <c r="B13" s="43"/>
      <c r="C13" s="4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87"/>
      <c r="P13" s="88"/>
      <c r="Q13" s="90"/>
      <c r="R13" s="61">
        <v>43070</v>
      </c>
      <c r="S13" s="33">
        <v>2000</v>
      </c>
      <c r="T13" s="33" t="s">
        <v>110</v>
      </c>
    </row>
    <row r="14" spans="1:20" ht="13.5" customHeight="1">
      <c r="A14" s="41" t="s">
        <v>125</v>
      </c>
      <c r="B14" s="41">
        <v>1660</v>
      </c>
      <c r="C14" s="41">
        <v>1660</v>
      </c>
      <c r="D14" s="41">
        <v>1656</v>
      </c>
      <c r="E14" s="41">
        <v>1656</v>
      </c>
      <c r="F14" s="41">
        <v>1708</v>
      </c>
      <c r="G14" s="44"/>
      <c r="H14" s="41"/>
      <c r="I14" s="41"/>
      <c r="J14" s="41"/>
      <c r="K14" s="41"/>
      <c r="L14" s="41"/>
      <c r="M14" s="41"/>
      <c r="N14" s="39">
        <f t="shared" si="0"/>
        <v>8340</v>
      </c>
      <c r="O14" s="87"/>
      <c r="P14" s="88"/>
      <c r="Q14" s="90"/>
      <c r="R14" s="61">
        <v>43132</v>
      </c>
      <c r="S14" s="33">
        <v>-1500</v>
      </c>
      <c r="T14" s="33" t="s">
        <v>113</v>
      </c>
    </row>
    <row r="15" spans="1:20" ht="13.5" customHeight="1">
      <c r="A15" s="41" t="s">
        <v>77</v>
      </c>
      <c r="B15" s="41">
        <f>1156+174+200+300</f>
        <v>1830</v>
      </c>
      <c r="C15" s="41">
        <f>277+19+661+67+300</f>
        <v>1324</v>
      </c>
      <c r="D15" s="41">
        <f>326+600+233</f>
        <v>1159</v>
      </c>
      <c r="E15" s="41">
        <f>575+558+4</f>
        <v>1137</v>
      </c>
      <c r="F15" s="41">
        <f>178+32</f>
        <v>210</v>
      </c>
      <c r="G15" s="44"/>
      <c r="H15" s="41"/>
      <c r="I15" s="41"/>
      <c r="J15" s="41"/>
      <c r="K15" s="41"/>
      <c r="L15" s="41"/>
      <c r="M15" s="41"/>
      <c r="N15" s="39">
        <f t="shared" si="0"/>
        <v>5660</v>
      </c>
      <c r="O15" s="87"/>
      <c r="P15" s="88"/>
      <c r="Q15" s="90"/>
      <c r="R15" s="61">
        <v>43132</v>
      </c>
      <c r="S15" s="33">
        <v>0</v>
      </c>
      <c r="T15" s="33" t="s">
        <v>114</v>
      </c>
    </row>
    <row r="16" spans="1:20" ht="13.5" customHeight="1">
      <c r="A16" s="41" t="s">
        <v>126</v>
      </c>
      <c r="B16" s="41">
        <v>80</v>
      </c>
      <c r="C16" s="41">
        <v>80</v>
      </c>
      <c r="D16" s="41">
        <v>80</v>
      </c>
      <c r="E16" s="41">
        <v>80</v>
      </c>
      <c r="F16" s="41">
        <v>80</v>
      </c>
      <c r="G16" s="44"/>
      <c r="H16" s="41"/>
      <c r="I16" s="41"/>
      <c r="J16" s="41"/>
      <c r="K16" s="41"/>
      <c r="L16" s="41"/>
      <c r="M16" s="41"/>
      <c r="N16" s="39">
        <f t="shared" si="0"/>
        <v>400</v>
      </c>
      <c r="O16" s="87"/>
      <c r="P16" s="88"/>
      <c r="Q16" s="90"/>
      <c r="R16" s="61">
        <v>43132</v>
      </c>
      <c r="S16" s="33">
        <v>170</v>
      </c>
      <c r="T16" s="33" t="s">
        <v>109</v>
      </c>
    </row>
    <row r="17" spans="1:20" ht="13.5" customHeight="1">
      <c r="A17" s="41" t="s">
        <v>36</v>
      </c>
      <c r="B17" s="41">
        <v>0</v>
      </c>
      <c r="C17" s="41">
        <v>11</v>
      </c>
      <c r="D17" s="41">
        <v>34</v>
      </c>
      <c r="E17" s="41">
        <v>34</v>
      </c>
      <c r="F17" s="41">
        <v>34</v>
      </c>
      <c r="G17" s="44"/>
      <c r="H17" s="41"/>
      <c r="I17" s="41"/>
      <c r="J17" s="41"/>
      <c r="K17" s="41"/>
      <c r="L17" s="41"/>
      <c r="M17" s="41"/>
      <c r="N17" s="39">
        <f t="shared" si="0"/>
        <v>113</v>
      </c>
      <c r="O17" s="87"/>
      <c r="P17" s="88"/>
      <c r="Q17" s="90"/>
      <c r="R17" s="61">
        <v>43132</v>
      </c>
      <c r="S17" s="33">
        <v>880</v>
      </c>
      <c r="T17" s="33" t="s">
        <v>115</v>
      </c>
    </row>
    <row r="18" spans="1:20" ht="13.5" customHeight="1">
      <c r="A18" s="41" t="s">
        <v>107</v>
      </c>
      <c r="B18" s="41">
        <v>146</v>
      </c>
      <c r="C18" s="41">
        <v>161</v>
      </c>
      <c r="D18" s="41">
        <v>145</v>
      </c>
      <c r="E18" s="41">
        <v>94</v>
      </c>
      <c r="F18" s="41">
        <v>111</v>
      </c>
      <c r="G18" s="44"/>
      <c r="H18" s="41"/>
      <c r="I18" s="41"/>
      <c r="J18" s="41"/>
      <c r="K18" s="41"/>
      <c r="L18" s="41"/>
      <c r="M18" s="41"/>
      <c r="N18" s="39">
        <f t="shared" si="0"/>
        <v>657</v>
      </c>
      <c r="O18" s="87"/>
      <c r="P18" s="88"/>
      <c r="Q18" s="90"/>
      <c r="R18" s="61">
        <v>43149</v>
      </c>
      <c r="S18" s="33">
        <v>200</v>
      </c>
      <c r="T18" s="33" t="s">
        <v>108</v>
      </c>
    </row>
    <row r="19" spans="1:20" ht="13.5" customHeight="1">
      <c r="A19" s="41" t="s">
        <v>91</v>
      </c>
      <c r="B19" s="41">
        <f>121+45+51+121</f>
        <v>338</v>
      </c>
      <c r="C19" s="41">
        <v>0</v>
      </c>
      <c r="D19" s="41">
        <v>0</v>
      </c>
      <c r="E19" s="41">
        <v>0</v>
      </c>
      <c r="F19" s="41">
        <v>0</v>
      </c>
      <c r="G19" s="41"/>
      <c r="H19" s="41"/>
      <c r="I19" s="41"/>
      <c r="J19" s="41"/>
      <c r="K19" s="41"/>
      <c r="L19" s="41"/>
      <c r="M19" s="41"/>
      <c r="N19" s="39">
        <f t="shared" si="0"/>
        <v>338</v>
      </c>
      <c r="O19" s="87"/>
      <c r="P19" s="88"/>
      <c r="Q19" s="90"/>
      <c r="R19" s="61">
        <v>43208</v>
      </c>
      <c r="S19" s="33">
        <v>200</v>
      </c>
      <c r="T19" s="33" t="s">
        <v>109</v>
      </c>
    </row>
    <row r="20" spans="1:20" ht="13.5" customHeight="1">
      <c r="A20" s="41" t="s">
        <v>150</v>
      </c>
      <c r="B20" s="70"/>
      <c r="C20" s="41">
        <f>90</f>
        <v>90</v>
      </c>
      <c r="D20" s="41">
        <v>90</v>
      </c>
      <c r="E20" s="41">
        <v>90</v>
      </c>
      <c r="F20" s="41"/>
      <c r="G20" s="41"/>
      <c r="H20" s="41"/>
      <c r="I20" s="41"/>
      <c r="J20" s="41"/>
      <c r="K20" s="41"/>
      <c r="L20" s="41"/>
      <c r="M20" s="41"/>
      <c r="N20" s="39">
        <f t="shared" si="0"/>
        <v>270</v>
      </c>
      <c r="O20" s="87"/>
      <c r="P20" s="89"/>
      <c r="Q20" s="91"/>
      <c r="R20" s="61">
        <v>43252</v>
      </c>
      <c r="S20" s="33">
        <v>-255</v>
      </c>
      <c r="T20" s="33" t="s">
        <v>135</v>
      </c>
    </row>
    <row r="21" spans="1:20" ht="13.5" customHeight="1">
      <c r="A21" s="41" t="s">
        <v>139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/>
      <c r="H21" s="41"/>
      <c r="I21" s="41"/>
      <c r="J21" s="41"/>
      <c r="K21" s="41"/>
      <c r="L21" s="41"/>
      <c r="M21" s="41"/>
      <c r="N21" s="39">
        <f t="shared" si="0"/>
        <v>0</v>
      </c>
      <c r="O21" s="87"/>
      <c r="P21" s="89"/>
      <c r="Q21" s="91"/>
      <c r="R21" s="61">
        <v>43282</v>
      </c>
      <c r="S21" s="33">
        <v>50</v>
      </c>
      <c r="T21" s="33" t="s">
        <v>109</v>
      </c>
    </row>
    <row r="22" spans="1:20" ht="13.5" customHeight="1">
      <c r="A22" s="83" t="s">
        <v>142</v>
      </c>
      <c r="B22" s="41">
        <v>1400</v>
      </c>
      <c r="C22" s="84">
        <v>0</v>
      </c>
      <c r="D22" s="84">
        <v>0</v>
      </c>
      <c r="E22" s="84">
        <v>0</v>
      </c>
      <c r="F22" s="84">
        <v>0</v>
      </c>
      <c r="G22" s="84"/>
      <c r="H22" s="84"/>
      <c r="I22" s="84"/>
      <c r="J22" s="84"/>
      <c r="K22" s="84"/>
      <c r="L22" s="84"/>
      <c r="M22" s="84"/>
      <c r="N22" s="39">
        <f t="shared" si="0"/>
        <v>1400</v>
      </c>
      <c r="O22" s="81"/>
      <c r="P22" s="77"/>
      <c r="Q22" s="77"/>
      <c r="R22" s="61">
        <v>43831</v>
      </c>
      <c r="S22" s="33">
        <v>600</v>
      </c>
      <c r="T22" s="33" t="s">
        <v>109</v>
      </c>
    </row>
    <row r="23" spans="1:20" ht="13.5" customHeight="1">
      <c r="A23" s="72" t="s">
        <v>147</v>
      </c>
      <c r="B23" s="72">
        <v>2300</v>
      </c>
      <c r="C23" s="73"/>
      <c r="D23" s="74"/>
      <c r="E23" s="74"/>
      <c r="F23" s="74"/>
      <c r="G23" s="74"/>
      <c r="H23" s="74"/>
      <c r="I23" s="74"/>
      <c r="J23" s="74"/>
      <c r="K23" s="74"/>
      <c r="L23" s="74"/>
      <c r="M23" s="75"/>
      <c r="N23" s="74">
        <f>SUM(B23:M23)</f>
        <v>2300</v>
      </c>
      <c r="O23" s="73">
        <v>4160</v>
      </c>
      <c r="P23" s="73">
        <v>2300</v>
      </c>
      <c r="Q23" s="85">
        <f>P23-N23</f>
        <v>0</v>
      </c>
      <c r="R23" s="61">
        <v>43862</v>
      </c>
      <c r="S23" s="86">
        <f>300+350+500</f>
        <v>1150</v>
      </c>
      <c r="T23" s="33" t="s">
        <v>109</v>
      </c>
    </row>
    <row r="24" spans="1:20" ht="12.75" customHeight="1">
      <c r="A24" s="72" t="s">
        <v>148</v>
      </c>
      <c r="B24" s="73"/>
      <c r="C24" s="72">
        <v>820</v>
      </c>
      <c r="D24" s="72">
        <v>150</v>
      </c>
      <c r="E24" s="72">
        <f>650+800</f>
        <v>1450</v>
      </c>
      <c r="F24" s="72">
        <f>800</f>
        <v>800</v>
      </c>
      <c r="G24" s="72"/>
      <c r="H24" s="72"/>
      <c r="I24" s="72"/>
      <c r="J24" s="72"/>
      <c r="K24" s="72"/>
      <c r="L24" s="72"/>
      <c r="M24" s="72"/>
      <c r="N24" s="39">
        <f>SUM(B24:M24)</f>
        <v>3220</v>
      </c>
      <c r="O24" s="69">
        <f>14000+3*(14000)/100</f>
        <v>14420</v>
      </c>
      <c r="P24" s="2">
        <v>14420</v>
      </c>
      <c r="Q24" s="71">
        <f>P24-N24</f>
        <v>11200</v>
      </c>
      <c r="R24" s="61">
        <v>43891</v>
      </c>
      <c r="S24" s="86">
        <v>-4000</v>
      </c>
      <c r="T24" s="33" t="s">
        <v>151</v>
      </c>
    </row>
    <row r="25" spans="1:20" ht="13.5" customHeight="1">
      <c r="R25" s="61">
        <v>43922</v>
      </c>
      <c r="S25" s="86">
        <v>100</v>
      </c>
      <c r="T25" s="33" t="s">
        <v>109</v>
      </c>
    </row>
    <row r="26" spans="1:20" ht="13.5" customHeight="1">
      <c r="Q26" s="38"/>
    </row>
    <row r="27" spans="1:20" ht="13.5" customHeight="1">
      <c r="R27" s="61"/>
    </row>
    <row r="29" spans="1:20" ht="13.5" customHeight="1">
      <c r="R29" s="61"/>
    </row>
    <row r="30" spans="1:20" ht="13.5" customHeight="1">
      <c r="R30" s="61"/>
    </row>
    <row r="31" spans="1:20" ht="13.5" customHeight="1">
      <c r="R31" s="61"/>
    </row>
    <row r="32" spans="1:20" ht="13.5" customHeight="1">
      <c r="R32" s="61"/>
    </row>
    <row r="33" spans="18:18" ht="13.5" customHeight="1">
      <c r="R33" s="61"/>
    </row>
    <row r="34" spans="18:18" ht="13.5" customHeight="1">
      <c r="R34" s="61"/>
    </row>
    <row r="35" spans="18:18" ht="13.5" customHeight="1">
      <c r="R35" s="61"/>
    </row>
  </sheetData>
  <mergeCells count="3">
    <mergeCell ref="O1:O21"/>
    <mergeCell ref="P1:P21"/>
    <mergeCell ref="Q1:Q2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J30" sqref="J30"/>
    </sheetView>
  </sheetViews>
  <sheetFormatPr defaultRowHeight="12.75"/>
  <cols>
    <col min="1" max="1" width="27.7109375" style="33" customWidth="1"/>
    <col min="2" max="4" width="9.140625" style="33"/>
    <col min="5" max="5" width="8.7109375" style="33" customWidth="1"/>
    <col min="6" max="6" width="9.140625" style="33"/>
    <col min="7" max="7" width="9.42578125" style="33" customWidth="1"/>
    <col min="8" max="8" width="9.85546875" style="33" customWidth="1"/>
    <col min="9" max="13" width="9.140625" style="33"/>
    <col min="14" max="14" width="11.7109375" style="33" customWidth="1"/>
    <col min="15" max="17" width="9.140625" style="33"/>
    <col min="18" max="18" width="19.85546875" style="33" customWidth="1"/>
    <col min="19" max="16384" width="9.140625" style="33"/>
  </cols>
  <sheetData>
    <row r="1" spans="1:18">
      <c r="A1" s="28" t="s">
        <v>25</v>
      </c>
      <c r="B1" s="28" t="s">
        <v>17</v>
      </c>
      <c r="C1" s="28" t="s">
        <v>33</v>
      </c>
      <c r="D1" s="28" t="s">
        <v>38</v>
      </c>
      <c r="E1" s="28" t="s">
        <v>39</v>
      </c>
      <c r="F1" s="28" t="s">
        <v>41</v>
      </c>
      <c r="G1" s="28" t="s">
        <v>44</v>
      </c>
      <c r="H1" s="28" t="s">
        <v>46</v>
      </c>
      <c r="I1" s="28" t="s">
        <v>45</v>
      </c>
      <c r="J1" s="28" t="s">
        <v>47</v>
      </c>
      <c r="K1" s="28" t="s">
        <v>50</v>
      </c>
      <c r="L1" s="28" t="s">
        <v>51</v>
      </c>
      <c r="M1" s="28" t="s">
        <v>52</v>
      </c>
      <c r="N1" s="28" t="s">
        <v>23</v>
      </c>
    </row>
    <row r="2" spans="1:18">
      <c r="A2" s="27" t="s">
        <v>60</v>
      </c>
      <c r="B2" s="27">
        <v>271</v>
      </c>
      <c r="C2" s="27">
        <v>271</v>
      </c>
      <c r="D2" s="27">
        <v>271</v>
      </c>
      <c r="E2" s="27">
        <v>272</v>
      </c>
      <c r="F2" s="27">
        <f>10+10+10+270</f>
        <v>300</v>
      </c>
      <c r="G2" s="27">
        <f>30+10+270</f>
        <v>310</v>
      </c>
      <c r="H2" s="27">
        <v>0</v>
      </c>
      <c r="I2" s="27">
        <v>347</v>
      </c>
      <c r="J2" s="27">
        <f>40+37+25+35+157+347</f>
        <v>641</v>
      </c>
      <c r="K2" s="27">
        <f>20+57+20+20+347</f>
        <v>464</v>
      </c>
      <c r="L2" s="27">
        <f>132+1+20+347</f>
        <v>500</v>
      </c>
      <c r="M2" s="27">
        <f>20+132+180+323+20+33+263+10+20</f>
        <v>1001</v>
      </c>
      <c r="N2" s="35">
        <f>SUM(B2:M2)</f>
        <v>4648</v>
      </c>
    </row>
    <row r="3" spans="1:18">
      <c r="A3" s="27" t="s">
        <v>40</v>
      </c>
      <c r="B3" s="27">
        <v>58</v>
      </c>
      <c r="C3" s="27">
        <v>58</v>
      </c>
      <c r="D3" s="27">
        <v>58</v>
      </c>
      <c r="E3" s="27">
        <v>54</v>
      </c>
      <c r="F3" s="27">
        <v>54</v>
      </c>
      <c r="G3" s="27">
        <v>54</v>
      </c>
      <c r="H3" s="27">
        <v>0</v>
      </c>
      <c r="I3" s="27">
        <v>143</v>
      </c>
      <c r="J3" s="27">
        <v>50</v>
      </c>
      <c r="K3" s="27">
        <v>50</v>
      </c>
      <c r="L3" s="27">
        <v>50</v>
      </c>
      <c r="M3" s="27">
        <v>50</v>
      </c>
      <c r="N3" s="35">
        <f t="shared" ref="N3:N30" si="0">SUM(B3:M3)</f>
        <v>679</v>
      </c>
    </row>
    <row r="4" spans="1:18">
      <c r="A4" s="27" t="s">
        <v>26</v>
      </c>
      <c r="B4" s="27">
        <v>26</v>
      </c>
      <c r="C4" s="27">
        <v>26</v>
      </c>
      <c r="D4" s="27">
        <v>26</v>
      </c>
      <c r="E4" s="27"/>
      <c r="F4" s="27">
        <v>26</v>
      </c>
      <c r="G4" s="27">
        <v>26</v>
      </c>
      <c r="H4" s="27">
        <v>0</v>
      </c>
      <c r="I4" s="27">
        <v>0</v>
      </c>
      <c r="J4" s="27">
        <f>26+17</f>
        <v>43</v>
      </c>
      <c r="K4" s="27">
        <v>18</v>
      </c>
      <c r="L4" s="27">
        <v>18</v>
      </c>
      <c r="M4" s="27">
        <v>18</v>
      </c>
      <c r="N4" s="35">
        <f t="shared" si="0"/>
        <v>227</v>
      </c>
    </row>
    <row r="5" spans="1:18">
      <c r="A5" s="27" t="s">
        <v>14</v>
      </c>
      <c r="B5" s="27">
        <v>8</v>
      </c>
      <c r="C5" s="27">
        <v>8</v>
      </c>
      <c r="D5" s="27">
        <v>8</v>
      </c>
      <c r="E5" s="27">
        <f>8+8</f>
        <v>16</v>
      </c>
      <c r="F5" s="27">
        <v>8</v>
      </c>
      <c r="G5" s="27">
        <v>8</v>
      </c>
      <c r="H5" s="27">
        <v>8</v>
      </c>
      <c r="I5" s="27">
        <v>8</v>
      </c>
      <c r="J5" s="27">
        <v>8</v>
      </c>
      <c r="K5" s="27">
        <v>8</v>
      </c>
      <c r="L5" s="27">
        <v>8</v>
      </c>
      <c r="M5" s="27">
        <v>8</v>
      </c>
      <c r="N5" s="35">
        <f t="shared" si="0"/>
        <v>104</v>
      </c>
      <c r="Q5" s="33">
        <v>338</v>
      </c>
      <c r="R5" s="33" t="s">
        <v>70</v>
      </c>
    </row>
    <row r="6" spans="1:18">
      <c r="A6" s="27" t="s">
        <v>61</v>
      </c>
      <c r="B6" s="27">
        <v>10</v>
      </c>
      <c r="C6" s="27">
        <v>10</v>
      </c>
      <c r="D6" s="27">
        <v>10</v>
      </c>
      <c r="E6" s="27">
        <v>10</v>
      </c>
      <c r="F6" s="27">
        <v>10</v>
      </c>
      <c r="G6" s="27">
        <f>10+190</f>
        <v>200</v>
      </c>
      <c r="H6" s="27">
        <v>0</v>
      </c>
      <c r="I6" s="27">
        <v>0</v>
      </c>
      <c r="J6" s="27">
        <v>0</v>
      </c>
      <c r="K6" s="27">
        <v>0</v>
      </c>
      <c r="L6" s="27">
        <v>2</v>
      </c>
      <c r="M6" s="27">
        <v>0</v>
      </c>
      <c r="N6" s="35">
        <f t="shared" si="0"/>
        <v>252</v>
      </c>
      <c r="Q6" s="33">
        <v>735</v>
      </c>
      <c r="R6" s="33" t="s">
        <v>70</v>
      </c>
    </row>
    <row r="7" spans="1:18">
      <c r="A7" s="27" t="s">
        <v>62</v>
      </c>
      <c r="B7" s="27">
        <v>39</v>
      </c>
      <c r="C7" s="27">
        <v>21</v>
      </c>
      <c r="D7" s="27">
        <v>21</v>
      </c>
      <c r="E7" s="27">
        <v>21</v>
      </c>
      <c r="F7" s="27">
        <v>21</v>
      </c>
      <c r="G7" s="27">
        <v>21</v>
      </c>
      <c r="H7" s="27">
        <v>21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35">
        <f t="shared" si="0"/>
        <v>165</v>
      </c>
      <c r="Q7" s="33">
        <v>88</v>
      </c>
      <c r="R7" s="33" t="s">
        <v>70</v>
      </c>
    </row>
    <row r="8" spans="1:18">
      <c r="A8" s="27" t="s">
        <v>63</v>
      </c>
      <c r="B8" s="27">
        <v>241</v>
      </c>
      <c r="C8" s="27">
        <v>182</v>
      </c>
      <c r="D8" s="27">
        <v>182</v>
      </c>
      <c r="E8" s="27">
        <v>182</v>
      </c>
      <c r="F8" s="27">
        <v>111</v>
      </c>
      <c r="G8" s="27">
        <v>69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f>121-4</f>
        <v>117</v>
      </c>
      <c r="N8" s="35">
        <f>SUM(B8:M8)+N23</f>
        <v>1696</v>
      </c>
      <c r="Q8" s="33">
        <v>1544</v>
      </c>
      <c r="R8" s="33" t="s">
        <v>71</v>
      </c>
    </row>
    <row r="9" spans="1:18">
      <c r="A9" s="33" t="s">
        <v>28</v>
      </c>
      <c r="B9" s="33">
        <f>27+59+28+43</f>
        <v>157</v>
      </c>
      <c r="C9" s="33">
        <f>55+74+35+87+10+5</f>
        <v>266</v>
      </c>
      <c r="D9" s="33">
        <f>42+141+57+35+65+36</f>
        <v>376</v>
      </c>
      <c r="E9" s="33">
        <f>40+73+11+148-64+15+72+13+34-5+7+47+12</f>
        <v>403</v>
      </c>
      <c r="F9" s="33">
        <f>73+69+5+61+67-20+61</f>
        <v>316</v>
      </c>
      <c r="G9" s="33">
        <f>104-14+28+37+30-17+29+14+18+6</f>
        <v>235</v>
      </c>
      <c r="H9" s="33">
        <f>21+15+201+68+80+21</f>
        <v>406</v>
      </c>
      <c r="I9" s="33">
        <f>25+121+35+10+65+10+133+24-9+14+47</f>
        <v>475</v>
      </c>
      <c r="J9" s="33">
        <f>26+4+89+71+45+22+66+79</f>
        <v>402</v>
      </c>
      <c r="K9" s="33">
        <f>93+11+19+25+73+52+69+92+118+8+138+106-76+24+3+34+6+26-25+79+5+69</f>
        <v>949</v>
      </c>
      <c r="L9" s="33">
        <f>79+11+60+179-94+53+68+8+9+30+103+45+19+91</f>
        <v>661</v>
      </c>
      <c r="M9" s="33">
        <f>48+21+27+127+13+10+127+19+70-45+8+41+39+87+10</f>
        <v>602</v>
      </c>
      <c r="N9" s="35">
        <f t="shared" si="0"/>
        <v>5248</v>
      </c>
      <c r="Q9" s="33">
        <v>394</v>
      </c>
      <c r="R9" s="33" t="s">
        <v>72</v>
      </c>
    </row>
    <row r="10" spans="1:18">
      <c r="A10" s="33" t="s">
        <v>27</v>
      </c>
      <c r="B10" s="33">
        <f>5+5+52+3+87+41+5+47</f>
        <v>245</v>
      </c>
      <c r="C10" s="33">
        <f>59+46+76+6+5+10+4</f>
        <v>206</v>
      </c>
      <c r="D10" s="33">
        <f>175+18-34+39+61+7+5+43+24+10</f>
        <v>348</v>
      </c>
      <c r="E10" s="33">
        <f>41+40+64+11+13+338</f>
        <v>507</v>
      </c>
      <c r="F10" s="33">
        <f>735+33+88+20+37+39+9+10+10</f>
        <v>981</v>
      </c>
      <c r="G10" s="33">
        <f>5+100+129+147</f>
        <v>381</v>
      </c>
      <c r="H10" s="33">
        <f>68+265+1+159+7+16</f>
        <v>516</v>
      </c>
      <c r="I10" s="33">
        <f>48+10+1544+52+46+104+21</f>
        <v>1825</v>
      </c>
      <c r="J10" s="33">
        <f>128+64+394+1310+6</f>
        <v>1902</v>
      </c>
      <c r="K10" s="33">
        <f>26+20+21+6+187+12</f>
        <v>272</v>
      </c>
      <c r="L10" s="33">
        <f>442+83+64+77+36</f>
        <v>702</v>
      </c>
      <c r="M10" s="33">
        <f>6+6+5+35+26+4+24+3</f>
        <v>109</v>
      </c>
      <c r="N10" s="35">
        <f t="shared" si="0"/>
        <v>7994</v>
      </c>
      <c r="Q10" s="33">
        <v>1310</v>
      </c>
      <c r="R10" s="33" t="s">
        <v>71</v>
      </c>
    </row>
    <row r="11" spans="1:18">
      <c r="A11" s="33" t="s">
        <v>30</v>
      </c>
      <c r="B11" s="33">
        <f>32+8+22</f>
        <v>62</v>
      </c>
      <c r="C11" s="33">
        <f>48+24</f>
        <v>72</v>
      </c>
      <c r="D11" s="33">
        <v>24</v>
      </c>
      <c r="F11" s="33">
        <v>56</v>
      </c>
      <c r="G11" s="33">
        <f>17+8</f>
        <v>25</v>
      </c>
      <c r="H11" s="33">
        <f>(70+67+8+56+44+145+152+65+46+5+27+8+3)-75+33</f>
        <v>654</v>
      </c>
      <c r="I11" s="33">
        <f>34+13+27</f>
        <v>74</v>
      </c>
      <c r="J11" s="33">
        <f>70+45+94+(12+6+56+34+69+68+14+24+41+15+140+7+226)</f>
        <v>921</v>
      </c>
      <c r="K11" s="33">
        <f>25+13+(56+30+10+72+12+18+35+10+80)+57+55+25+62+14+29</f>
        <v>603</v>
      </c>
      <c r="L11" s="33">
        <f>25+13+9+84</f>
        <v>131</v>
      </c>
      <c r="M11" s="33">
        <f>25+34+15+25+34+160+87</f>
        <v>380</v>
      </c>
      <c r="N11" s="35">
        <f t="shared" si="0"/>
        <v>3002</v>
      </c>
      <c r="Q11" s="33">
        <v>187</v>
      </c>
      <c r="R11" s="33" t="s">
        <v>73</v>
      </c>
    </row>
    <row r="12" spans="1:18">
      <c r="A12" s="33" t="s">
        <v>29</v>
      </c>
      <c r="B12" s="33">
        <f>14+12+19</f>
        <v>45</v>
      </c>
      <c r="C12" s="33">
        <f>17+10+17+10</f>
        <v>54</v>
      </c>
      <c r="D12" s="33">
        <f>20+10+18+20+11</f>
        <v>79</v>
      </c>
      <c r="E12" s="33">
        <f>20+23+25</f>
        <v>68</v>
      </c>
      <c r="F12" s="33">
        <f>28+24+27</f>
        <v>79</v>
      </c>
      <c r="G12" s="33">
        <f>27+15+14</f>
        <v>56</v>
      </c>
      <c r="H12" s="33">
        <f>36+11+29+29+20</f>
        <v>125</v>
      </c>
      <c r="I12" s="33">
        <f>19+20</f>
        <v>39</v>
      </c>
      <c r="J12" s="33">
        <f>27+10+19+17</f>
        <v>73</v>
      </c>
      <c r="K12" s="33">
        <f>19+17+10</f>
        <v>46</v>
      </c>
      <c r="L12" s="33">
        <f>25+24+14</f>
        <v>63</v>
      </c>
      <c r="M12" s="33">
        <f>22+20</f>
        <v>42</v>
      </c>
      <c r="N12" s="35">
        <f t="shared" si="0"/>
        <v>769</v>
      </c>
      <c r="Q12" s="33">
        <v>83</v>
      </c>
      <c r="R12" s="33" t="s">
        <v>74</v>
      </c>
    </row>
    <row r="13" spans="1:18">
      <c r="A13" s="33" t="s">
        <v>31</v>
      </c>
      <c r="B13" s="33">
        <f>14+42</f>
        <v>56</v>
      </c>
      <c r="D13" s="33">
        <f>25+87+35+94+32+27</f>
        <v>300</v>
      </c>
      <c r="E13" s="33">
        <f>26+58</f>
        <v>84</v>
      </c>
      <c r="G13" s="33">
        <f>32+20+17+21+18+44+6</f>
        <v>158</v>
      </c>
      <c r="H13" s="33">
        <f>20+25+21+11+21+11+8+46+44+29+39</f>
        <v>275</v>
      </c>
      <c r="I13" s="33">
        <f>10+24</f>
        <v>34</v>
      </c>
      <c r="J13" s="33">
        <f>72+121+159+99+216</f>
        <v>667</v>
      </c>
      <c r="K13" s="33">
        <f>61</f>
        <v>61</v>
      </c>
      <c r="L13" s="33">
        <f>123+74-12-8+(371+17+583+27+42+30+179+51+124-53+61+190-11-371-530-85-142)</f>
        <v>660</v>
      </c>
      <c r="M13" s="33">
        <f>15+8</f>
        <v>23</v>
      </c>
      <c r="N13" s="35">
        <f t="shared" si="0"/>
        <v>2318</v>
      </c>
      <c r="Q13" s="33">
        <f>323+712+1660</f>
        <v>2695</v>
      </c>
      <c r="R13" s="33" t="s">
        <v>74</v>
      </c>
    </row>
    <row r="14" spans="1:18">
      <c r="A14" s="33" t="s">
        <v>32</v>
      </c>
      <c r="B14" s="33">
        <f>13+11</f>
        <v>24</v>
      </c>
      <c r="C14" s="33">
        <f>12+22+4+20</f>
        <v>58</v>
      </c>
      <c r="D14" s="33">
        <f>27+62+15+40</f>
        <v>144</v>
      </c>
      <c r="E14" s="33">
        <f>8+10+54+10+27</f>
        <v>109</v>
      </c>
      <c r="F14" s="33">
        <f>10+54+13+60+10+5</f>
        <v>152</v>
      </c>
      <c r="G14" s="33">
        <f>5+11+15+6+22</f>
        <v>59</v>
      </c>
      <c r="H14" s="33">
        <f>36+15+22+6+33+69+27</f>
        <v>208</v>
      </c>
      <c r="I14" s="33">
        <f>12+2+33</f>
        <v>47</v>
      </c>
      <c r="J14" s="34">
        <f>11+15</f>
        <v>26</v>
      </c>
      <c r="K14" s="33">
        <f>13+13+8+15</f>
        <v>49</v>
      </c>
      <c r="L14" s="33">
        <f>38+52</f>
        <v>90</v>
      </c>
      <c r="M14" s="33">
        <f>12</f>
        <v>12</v>
      </c>
      <c r="N14" s="35">
        <f t="shared" si="0"/>
        <v>978</v>
      </c>
    </row>
    <row r="15" spans="1:18">
      <c r="A15" s="33" t="s">
        <v>43</v>
      </c>
      <c r="F15" s="33">
        <f>25+25</f>
        <v>50</v>
      </c>
      <c r="G15" s="33">
        <v>0</v>
      </c>
      <c r="H15" s="33">
        <f>25+25</f>
        <v>50</v>
      </c>
      <c r="I15" s="33">
        <v>0</v>
      </c>
      <c r="J15" s="33">
        <v>25</v>
      </c>
      <c r="K15" s="33">
        <f>25+25</f>
        <v>50</v>
      </c>
      <c r="L15" s="33">
        <v>0</v>
      </c>
      <c r="M15" s="33">
        <v>0</v>
      </c>
      <c r="N15" s="35">
        <f t="shared" si="0"/>
        <v>175</v>
      </c>
    </row>
    <row r="18" spans="1:18">
      <c r="A18" s="28" t="s">
        <v>34</v>
      </c>
      <c r="B18" s="29"/>
      <c r="C18" s="29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8">
      <c r="A19" s="33" t="s">
        <v>35</v>
      </c>
      <c r="B19" s="33">
        <v>1364</v>
      </c>
      <c r="C19" s="33">
        <v>1364</v>
      </c>
      <c r="D19" s="33">
        <v>1364</v>
      </c>
      <c r="E19" s="33">
        <v>1364</v>
      </c>
      <c r="F19" s="33">
        <v>1364</v>
      </c>
      <c r="G19" s="22">
        <v>1364</v>
      </c>
      <c r="H19" s="33">
        <f>45+1170+150</f>
        <v>1365</v>
      </c>
      <c r="I19" s="33">
        <f>1132</f>
        <v>1132</v>
      </c>
      <c r="J19" s="33">
        <v>1170</v>
      </c>
      <c r="K19" s="33">
        <v>1170</v>
      </c>
      <c r="L19" s="33">
        <v>1170</v>
      </c>
      <c r="M19" s="33">
        <v>1170</v>
      </c>
      <c r="N19" s="35">
        <f t="shared" si="0"/>
        <v>15361</v>
      </c>
      <c r="Q19" s="1" t="s">
        <v>81</v>
      </c>
      <c r="R19" s="1" t="s">
        <v>82</v>
      </c>
    </row>
    <row r="20" spans="1:18">
      <c r="A20" s="33" t="s">
        <v>54</v>
      </c>
      <c r="G20" s="22"/>
      <c r="I20" s="33">
        <v>37</v>
      </c>
      <c r="J20" s="33">
        <v>33</v>
      </c>
      <c r="K20" s="33">
        <v>32</v>
      </c>
      <c r="L20" s="33">
        <v>33</v>
      </c>
      <c r="M20" s="33">
        <v>33</v>
      </c>
      <c r="N20" s="35">
        <f t="shared" si="0"/>
        <v>168</v>
      </c>
      <c r="Q20" s="46" t="s">
        <v>45</v>
      </c>
      <c r="R20" s="41">
        <v>104</v>
      </c>
    </row>
    <row r="21" spans="1:18">
      <c r="A21" s="33" t="s">
        <v>37</v>
      </c>
      <c r="B21" s="33">
        <f>690+457+1047+750</f>
        <v>2944</v>
      </c>
      <c r="C21" s="33">
        <f>465+12+635+133</f>
        <v>1245</v>
      </c>
      <c r="D21" s="33">
        <f>1153+87</f>
        <v>1240</v>
      </c>
      <c r="E21" s="33">
        <f>567+424+716+93+62</f>
        <v>1862</v>
      </c>
      <c r="F21" s="33">
        <f>1614+8</f>
        <v>1622</v>
      </c>
      <c r="G21" s="22">
        <f>1020+648+452</f>
        <v>2120</v>
      </c>
      <c r="H21" s="33">
        <f>294+1155+195</f>
        <v>1644</v>
      </c>
      <c r="I21" s="33">
        <f>690+837+692+25</f>
        <v>2244</v>
      </c>
      <c r="J21" s="33">
        <f>350+934+1000+200+702+700</f>
        <v>3886</v>
      </c>
      <c r="K21" s="33">
        <f>501+1607+226+47+1400</f>
        <v>3781</v>
      </c>
      <c r="L21" s="33">
        <f>1081+595+465+45+48</f>
        <v>2234</v>
      </c>
      <c r="M21" s="33">
        <f>971+292+190+45+700+982+400</f>
        <v>3580</v>
      </c>
      <c r="N21" s="35">
        <f t="shared" si="0"/>
        <v>28402</v>
      </c>
      <c r="Q21" s="41" t="s">
        <v>47</v>
      </c>
      <c r="R21" s="41">
        <v>192</v>
      </c>
    </row>
    <row r="22" spans="1:18">
      <c r="A22" s="33" t="s">
        <v>9</v>
      </c>
      <c r="B22" s="33">
        <v>225</v>
      </c>
      <c r="C22" s="33">
        <v>225</v>
      </c>
      <c r="D22" s="33">
        <v>225</v>
      </c>
      <c r="E22" s="33">
        <v>225</v>
      </c>
      <c r="F22" s="33">
        <v>225</v>
      </c>
      <c r="G22" s="22">
        <v>225</v>
      </c>
      <c r="H22" s="33">
        <v>225</v>
      </c>
      <c r="I22" s="33">
        <v>225</v>
      </c>
      <c r="J22" s="33">
        <v>225</v>
      </c>
      <c r="K22" s="33">
        <v>225</v>
      </c>
      <c r="L22" s="33">
        <v>225</v>
      </c>
      <c r="M22" s="33">
        <v>225</v>
      </c>
      <c r="N22" s="35">
        <f t="shared" si="0"/>
        <v>2700</v>
      </c>
    </row>
    <row r="23" spans="1:18">
      <c r="A23" s="33" t="s">
        <v>64</v>
      </c>
      <c r="G23" s="22"/>
      <c r="I23" s="33">
        <v>153</v>
      </c>
      <c r="J23" s="33">
        <v>153</v>
      </c>
      <c r="K23" s="33">
        <v>153</v>
      </c>
      <c r="L23" s="33">
        <v>153</v>
      </c>
      <c r="M23" s="33">
        <v>0</v>
      </c>
      <c r="N23" s="35">
        <f t="shared" si="0"/>
        <v>612</v>
      </c>
    </row>
    <row r="24" spans="1:18">
      <c r="A24" s="33" t="s">
        <v>36</v>
      </c>
      <c r="B24" s="33">
        <v>109</v>
      </c>
      <c r="C24" s="33">
        <v>109</v>
      </c>
      <c r="D24" s="33">
        <v>109</v>
      </c>
      <c r="E24" s="33">
        <v>109</v>
      </c>
      <c r="F24" s="33">
        <v>109</v>
      </c>
      <c r="G24" s="22">
        <v>109</v>
      </c>
      <c r="H24" s="33">
        <v>109</v>
      </c>
      <c r="I24" s="33">
        <v>0</v>
      </c>
      <c r="J24" s="33">
        <v>100</v>
      </c>
      <c r="K24" s="33">
        <v>133</v>
      </c>
      <c r="L24" s="33">
        <v>133</v>
      </c>
      <c r="M24" s="33">
        <v>148</v>
      </c>
      <c r="N24" s="35">
        <f t="shared" si="0"/>
        <v>1277</v>
      </c>
    </row>
    <row r="25" spans="1:18">
      <c r="A25" s="33" t="s">
        <v>49</v>
      </c>
      <c r="G25" s="22"/>
      <c r="H25" s="33">
        <v>20</v>
      </c>
      <c r="I25" s="33">
        <v>68</v>
      </c>
      <c r="J25" s="33">
        <v>60</v>
      </c>
      <c r="K25" s="33">
        <v>80</v>
      </c>
      <c r="L25" s="33">
        <v>89</v>
      </c>
      <c r="M25" s="33">
        <v>96</v>
      </c>
      <c r="N25" s="35">
        <f t="shared" si="0"/>
        <v>413</v>
      </c>
    </row>
    <row r="26" spans="1:18">
      <c r="A26" s="33" t="s">
        <v>65</v>
      </c>
      <c r="B26" s="33">
        <v>100</v>
      </c>
      <c r="C26" s="33">
        <v>100</v>
      </c>
      <c r="D26" s="33">
        <v>100</v>
      </c>
      <c r="E26" s="33">
        <v>100</v>
      </c>
      <c r="F26" s="33">
        <v>80</v>
      </c>
      <c r="G26" s="22">
        <v>40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5">
        <f t="shared" si="0"/>
        <v>520</v>
      </c>
    </row>
    <row r="27" spans="1:18">
      <c r="A27" s="33" t="s">
        <v>66</v>
      </c>
      <c r="C27" s="33">
        <v>112</v>
      </c>
      <c r="D27" s="33">
        <v>130</v>
      </c>
      <c r="E27" s="33">
        <v>95</v>
      </c>
      <c r="F27" s="33">
        <v>67</v>
      </c>
      <c r="G27" s="22">
        <v>43</v>
      </c>
      <c r="H27" s="33">
        <v>30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5">
        <f t="shared" si="0"/>
        <v>477</v>
      </c>
    </row>
    <row r="28" spans="1:18">
      <c r="A28" s="33" t="s">
        <v>67</v>
      </c>
      <c r="C28" s="33">
        <v>34</v>
      </c>
      <c r="D28" s="33">
        <v>47</v>
      </c>
      <c r="E28" s="33">
        <v>16</v>
      </c>
      <c r="F28" s="33">
        <v>31</v>
      </c>
      <c r="G28" s="22">
        <v>37</v>
      </c>
      <c r="H28" s="33">
        <v>66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5">
        <f t="shared" si="0"/>
        <v>231</v>
      </c>
    </row>
    <row r="29" spans="1:18">
      <c r="A29" s="33" t="s">
        <v>68</v>
      </c>
      <c r="G29" s="22"/>
      <c r="J29" s="33">
        <v>0</v>
      </c>
      <c r="L29" s="33">
        <v>0</v>
      </c>
      <c r="M29" s="33">
        <v>0</v>
      </c>
      <c r="N29" s="35">
        <f t="shared" si="0"/>
        <v>0</v>
      </c>
    </row>
    <row r="30" spans="1:18">
      <c r="A30" s="33" t="s">
        <v>57</v>
      </c>
      <c r="B30" s="33">
        <f>17+40+50</f>
        <v>107</v>
      </c>
      <c r="E30" s="33">
        <f>-73+42+9</f>
        <v>-22</v>
      </c>
      <c r="G30" s="22"/>
      <c r="L30" s="33">
        <f>50+358</f>
        <v>408</v>
      </c>
      <c r="M30" s="33">
        <f>100+300</f>
        <v>400</v>
      </c>
      <c r="N30" s="35">
        <f t="shared" si="0"/>
        <v>893</v>
      </c>
    </row>
  </sheetData>
  <sortState ref="A2:K10">
    <sortCondition ref="K1"/>
  </sortState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5"/>
  <sheetViews>
    <sheetView topLeftCell="A31" workbookViewId="0">
      <selection activeCell="E36" sqref="E36"/>
    </sheetView>
  </sheetViews>
  <sheetFormatPr defaultRowHeight="12.75"/>
  <cols>
    <col min="1" max="1" width="40.5703125" style="33" customWidth="1"/>
    <col min="2" max="2" width="12.42578125" style="17" customWidth="1"/>
    <col min="3" max="3" width="11.42578125" style="33" customWidth="1"/>
    <col min="4" max="4" width="13.28515625" style="33" customWidth="1"/>
    <col min="5" max="5" width="18" style="33" customWidth="1"/>
    <col min="6" max="6" width="18.140625" style="33" customWidth="1"/>
    <col min="7" max="7" width="19" style="33" customWidth="1"/>
    <col min="8" max="8" width="20.5703125" style="33" customWidth="1"/>
    <col min="9" max="9" width="18" style="33" customWidth="1"/>
    <col min="10" max="10" width="14" style="33" customWidth="1"/>
    <col min="11" max="11" width="17.5703125" style="33" customWidth="1"/>
    <col min="12" max="13" width="9.140625" style="33"/>
    <col min="14" max="14" width="35" style="33" customWidth="1"/>
    <col min="15" max="15" width="21.7109375" style="33" customWidth="1"/>
    <col min="16" max="16384" width="9.140625" style="33"/>
  </cols>
  <sheetData>
    <row r="1" spans="1:6" ht="19.5" customHeight="1">
      <c r="A1" s="92" t="s">
        <v>4</v>
      </c>
      <c r="B1" s="92"/>
      <c r="C1" s="92"/>
      <c r="D1" s="92"/>
      <c r="E1" s="92"/>
      <c r="F1" s="92"/>
    </row>
    <row r="2" spans="1:6" ht="19.5" customHeight="1" thickBot="1">
      <c r="A2" s="5" t="s">
        <v>5</v>
      </c>
      <c r="B2" s="14" t="s">
        <v>13</v>
      </c>
      <c r="C2" s="5" t="s">
        <v>12</v>
      </c>
      <c r="D2" s="5" t="s">
        <v>6</v>
      </c>
      <c r="E2" s="5" t="s">
        <v>7</v>
      </c>
      <c r="F2" s="5" t="s">
        <v>8</v>
      </c>
    </row>
    <row r="3" spans="1:6" ht="19.5" customHeight="1" thickTop="1">
      <c r="A3" s="8" t="s">
        <v>42</v>
      </c>
      <c r="B3" s="15" t="s">
        <v>11</v>
      </c>
      <c r="C3" s="8">
        <v>1</v>
      </c>
      <c r="D3" s="12">
        <v>1170</v>
      </c>
      <c r="E3" s="6">
        <v>1170</v>
      </c>
      <c r="F3" s="10"/>
    </row>
    <row r="4" spans="1:6" ht="19.5" customHeight="1">
      <c r="A4" s="9" t="s">
        <v>94</v>
      </c>
      <c r="B4" s="16"/>
      <c r="C4" s="9">
        <v>1</v>
      </c>
      <c r="D4" s="13">
        <v>0</v>
      </c>
      <c r="E4" s="7">
        <v>0</v>
      </c>
      <c r="F4" s="11"/>
    </row>
    <row r="5" spans="1:6" ht="19.5" customHeight="1">
      <c r="A5" s="9" t="s">
        <v>95</v>
      </c>
      <c r="B5" s="16"/>
      <c r="C5" s="9">
        <v>1</v>
      </c>
      <c r="D5" s="13">
        <v>0</v>
      </c>
      <c r="E5" s="7">
        <v>0</v>
      </c>
      <c r="F5" s="11"/>
    </row>
    <row r="6" spans="1:6" ht="19.5" customHeight="1">
      <c r="A6" s="9" t="s">
        <v>48</v>
      </c>
      <c r="B6" s="16"/>
      <c r="C6" s="9">
        <v>3</v>
      </c>
      <c r="D6" s="13">
        <v>50</v>
      </c>
      <c r="E6" s="7"/>
      <c r="F6" s="11">
        <v>50</v>
      </c>
    </row>
    <row r="7" spans="1:6" ht="19.5" customHeight="1">
      <c r="A7" s="9" t="s">
        <v>9</v>
      </c>
      <c r="B7" s="16" t="s">
        <v>11</v>
      </c>
      <c r="C7" s="9">
        <v>4</v>
      </c>
      <c r="D7" s="13">
        <v>225</v>
      </c>
      <c r="E7" s="7">
        <v>225</v>
      </c>
      <c r="F7" s="11"/>
    </row>
    <row r="8" spans="1:6" ht="19.5" customHeight="1">
      <c r="A8" s="9" t="s">
        <v>53</v>
      </c>
      <c r="B8" s="16"/>
      <c r="C8" s="9">
        <v>5</v>
      </c>
      <c r="D8" s="13">
        <v>80</v>
      </c>
      <c r="E8" s="7">
        <v>80</v>
      </c>
      <c r="F8" s="11"/>
    </row>
    <row r="9" spans="1:6" ht="19.5" customHeight="1">
      <c r="A9" s="9" t="s">
        <v>10</v>
      </c>
      <c r="B9" s="16"/>
      <c r="C9" s="9">
        <v>10</v>
      </c>
      <c r="D9" s="13">
        <v>100</v>
      </c>
      <c r="E9" s="7"/>
      <c r="F9" s="11">
        <v>100</v>
      </c>
    </row>
    <row r="10" spans="1:6" ht="19.5" customHeight="1">
      <c r="A10" s="9" t="s">
        <v>18</v>
      </c>
      <c r="B10" s="16"/>
      <c r="C10" s="9">
        <v>12</v>
      </c>
      <c r="D10" s="13">
        <v>148</v>
      </c>
      <c r="E10" s="7">
        <v>148</v>
      </c>
      <c r="F10" s="11"/>
    </row>
    <row r="11" spans="1:6" ht="19.5" customHeight="1">
      <c r="A11" s="9" t="s">
        <v>10</v>
      </c>
      <c r="B11" s="16"/>
      <c r="C11" s="9">
        <v>20</v>
      </c>
      <c r="D11" s="13">
        <v>200</v>
      </c>
      <c r="E11" s="7"/>
      <c r="F11" s="11">
        <v>200</v>
      </c>
    </row>
    <row r="12" spans="1:6" ht="19.5" customHeight="1">
      <c r="A12" s="9" t="s">
        <v>64</v>
      </c>
      <c r="B12" s="16" t="s">
        <v>11</v>
      </c>
      <c r="C12" s="9">
        <v>15</v>
      </c>
      <c r="D12" s="13">
        <v>121</v>
      </c>
      <c r="E12" s="7"/>
      <c r="F12" s="11">
        <v>121</v>
      </c>
    </row>
    <row r="13" spans="1:6" ht="19.5" customHeight="1">
      <c r="A13" s="9" t="s">
        <v>96</v>
      </c>
      <c r="B13" s="16"/>
      <c r="C13" s="9">
        <v>28</v>
      </c>
      <c r="D13" s="13">
        <v>16</v>
      </c>
      <c r="E13" s="7"/>
      <c r="F13" s="11">
        <v>16</v>
      </c>
    </row>
    <row r="14" spans="1:6" ht="19.5" customHeight="1">
      <c r="A14" s="9" t="s">
        <v>97</v>
      </c>
      <c r="B14" s="16"/>
      <c r="C14" s="9">
        <v>28</v>
      </c>
      <c r="D14" s="13">
        <f>323+262</f>
        <v>585</v>
      </c>
      <c r="E14" s="7"/>
      <c r="F14" s="11">
        <v>585</v>
      </c>
    </row>
    <row r="15" spans="1:6" ht="19.5" customHeight="1">
      <c r="A15" s="9" t="s">
        <v>14</v>
      </c>
      <c r="B15" s="16" t="s">
        <v>11</v>
      </c>
      <c r="C15" s="9">
        <v>29</v>
      </c>
      <c r="D15" s="13">
        <v>8</v>
      </c>
      <c r="E15" s="7"/>
      <c r="F15" s="11">
        <v>8</v>
      </c>
    </row>
    <row r="16" spans="1:6" ht="19.5" customHeight="1">
      <c r="A16" s="9" t="s">
        <v>10</v>
      </c>
      <c r="B16" s="16"/>
      <c r="C16" s="9">
        <v>30</v>
      </c>
      <c r="D16" s="13">
        <v>100</v>
      </c>
      <c r="E16" s="7"/>
      <c r="F16" s="11">
        <v>100</v>
      </c>
    </row>
    <row r="17" spans="1:11" ht="19.5" customHeight="1">
      <c r="A17" s="9" t="s">
        <v>24</v>
      </c>
      <c r="B17" s="16"/>
      <c r="C17" s="9"/>
      <c r="D17" s="13"/>
      <c r="E17" s="7"/>
      <c r="F17" s="11">
        <v>75</v>
      </c>
    </row>
    <row r="18" spans="1:11" ht="19.5" customHeight="1"/>
    <row r="19" spans="1:11" ht="19.5" customHeight="1"/>
    <row r="20" spans="1:11" ht="19.5" customHeight="1">
      <c r="B20" s="33"/>
    </row>
    <row r="21" spans="1:11" ht="19.5" customHeight="1">
      <c r="A21" s="1" t="s">
        <v>0</v>
      </c>
      <c r="B21" s="7">
        <f>SUM(E3:E20)</f>
        <v>1623</v>
      </c>
      <c r="C21" s="93" t="s">
        <v>21</v>
      </c>
      <c r="K21" s="19"/>
    </row>
    <row r="22" spans="1:11" ht="19.5" customHeight="1">
      <c r="A22" s="1" t="s">
        <v>1</v>
      </c>
      <c r="B22" s="11">
        <f>SUM(F3:F20)</f>
        <v>1255</v>
      </c>
      <c r="C22" s="93"/>
      <c r="K22" s="19"/>
    </row>
    <row r="23" spans="1:11" ht="19.5" customHeight="1">
      <c r="A23" s="1" t="s">
        <v>15</v>
      </c>
      <c r="B23" s="18">
        <v>300</v>
      </c>
      <c r="C23" s="93"/>
      <c r="K23" s="19"/>
    </row>
    <row r="24" spans="1:11" ht="19.5" customHeight="1">
      <c r="A24" s="3" t="s">
        <v>2</v>
      </c>
      <c r="B24" s="4">
        <f>SUM(B21:B23)</f>
        <v>3178</v>
      </c>
      <c r="C24" s="93"/>
      <c r="K24" s="19"/>
    </row>
    <row r="25" spans="1:11" ht="19.5" customHeight="1">
      <c r="A25" s="2" t="s">
        <v>3</v>
      </c>
      <c r="B25" s="2">
        <f>SUM(7000,-1*B24)</f>
        <v>3822</v>
      </c>
      <c r="C25" s="2">
        <f>B25*61/100000</f>
        <v>2.33142</v>
      </c>
      <c r="K25" s="19"/>
    </row>
    <row r="26" spans="1:11" ht="18" customHeight="1">
      <c r="A26" s="1" t="s">
        <v>16</v>
      </c>
      <c r="B26" s="2">
        <f>B25+B23+D17</f>
        <v>4122</v>
      </c>
      <c r="C26" s="2">
        <f>B26*61/100000</f>
        <v>2.5144199999999999</v>
      </c>
      <c r="K26" s="19"/>
    </row>
    <row r="27" spans="1:11">
      <c r="K27" s="19"/>
    </row>
    <row r="28" spans="1:11">
      <c r="K28" s="19"/>
    </row>
    <row r="31" spans="1:11">
      <c r="A31" s="20"/>
      <c r="B31" s="24" t="s">
        <v>3</v>
      </c>
      <c r="C31" s="24" t="s">
        <v>19</v>
      </c>
      <c r="D31" s="24" t="s">
        <v>20</v>
      </c>
      <c r="E31" s="24" t="s">
        <v>22</v>
      </c>
      <c r="F31" s="24" t="s">
        <v>55</v>
      </c>
      <c r="G31" s="24" t="s">
        <v>56</v>
      </c>
      <c r="H31" s="24" t="s">
        <v>23</v>
      </c>
    </row>
    <row r="32" spans="1:11">
      <c r="A32" s="23" t="s">
        <v>98</v>
      </c>
      <c r="B32" s="20" t="s">
        <v>99</v>
      </c>
      <c r="C32" s="20"/>
      <c r="D32" s="20"/>
      <c r="E32" s="20"/>
      <c r="G32" s="20"/>
      <c r="H32" s="20"/>
    </row>
    <row r="33" spans="1:8">
      <c r="A33" s="23" t="s">
        <v>100</v>
      </c>
      <c r="B33" s="20" t="s">
        <v>101</v>
      </c>
      <c r="C33" s="20"/>
      <c r="D33" s="20"/>
      <c r="E33" s="20"/>
      <c r="G33" s="20"/>
      <c r="H33" s="20"/>
    </row>
    <row r="34" spans="1:8">
      <c r="A34" s="23" t="s">
        <v>102</v>
      </c>
      <c r="B34" s="20" t="s">
        <v>103</v>
      </c>
      <c r="C34" s="20"/>
      <c r="D34" s="20"/>
      <c r="E34" s="20"/>
      <c r="G34" s="20"/>
      <c r="H34" s="20"/>
    </row>
    <row r="35" spans="1:8" ht="12" customHeight="1">
      <c r="A35" s="33" t="s">
        <v>104</v>
      </c>
      <c r="B35" s="21">
        <f>2200-500-800+200+442+500</f>
        <v>2042</v>
      </c>
    </row>
    <row r="36" spans="1:8">
      <c r="A36" s="26">
        <v>42036</v>
      </c>
      <c r="B36" s="30">
        <f>1000+74+4000</f>
        <v>5074</v>
      </c>
      <c r="C36" s="31" t="e">
        <f>#REF!+B36</f>
        <v>#REF!</v>
      </c>
      <c r="D36" s="31">
        <v>2000</v>
      </c>
      <c r="E36" s="31">
        <v>2252</v>
      </c>
      <c r="F36" s="31">
        <f>-1000000-4000-5000-525000-5000</f>
        <v>-1539000</v>
      </c>
      <c r="G36" s="31">
        <v>107850</v>
      </c>
      <c r="H36" s="31">
        <f>ROUND(E36*61.3+G36,0)</f>
        <v>245898</v>
      </c>
    </row>
    <row r="37" spans="1:8">
      <c r="A37" s="26" t="s">
        <v>105</v>
      </c>
      <c r="B37" s="33">
        <f>750+3600+2200+910</f>
        <v>7460</v>
      </c>
      <c r="C37" s="33">
        <f>E36+B37</f>
        <v>9712</v>
      </c>
      <c r="D37" s="33">
        <v>500</v>
      </c>
      <c r="E37" s="33">
        <f t="shared" ref="E37:E46" si="0">C37-D37</f>
        <v>9212</v>
      </c>
      <c r="F37" s="33">
        <v>-15000</v>
      </c>
      <c r="G37" s="33">
        <f>G36+D37*61.5+F37</f>
        <v>123600</v>
      </c>
      <c r="H37" s="19">
        <f>ROUND(E37*61.3+G37,0)</f>
        <v>688296</v>
      </c>
    </row>
    <row r="38" spans="1:8">
      <c r="A38" s="55">
        <v>42095</v>
      </c>
      <c r="B38" s="22">
        <f>200+4000</f>
        <v>4200</v>
      </c>
      <c r="C38" s="22">
        <f t="shared" ref="C38:C46" si="1">E37+B38</f>
        <v>13412</v>
      </c>
      <c r="D38" s="22">
        <v>500</v>
      </c>
      <c r="E38" s="22">
        <f t="shared" si="0"/>
        <v>12912</v>
      </c>
      <c r="F38" s="22">
        <f>-2000-1366-30000</f>
        <v>-33366</v>
      </c>
      <c r="G38" s="22">
        <f t="shared" ref="G38:G46" si="2">G37+D38*61.3+F38</f>
        <v>120884</v>
      </c>
      <c r="H38" s="19">
        <f t="shared" ref="H38:H46" si="3">ROUND(E38*61.3+G38,0)</f>
        <v>912390</v>
      </c>
    </row>
    <row r="39" spans="1:8">
      <c r="A39" s="55">
        <v>42125</v>
      </c>
      <c r="B39" s="22">
        <f>1500+188+4200</f>
        <v>5888</v>
      </c>
      <c r="C39" s="22">
        <f t="shared" si="1"/>
        <v>18800</v>
      </c>
      <c r="D39" s="22"/>
      <c r="E39" s="22">
        <f t="shared" si="0"/>
        <v>18800</v>
      </c>
      <c r="F39" s="22">
        <v>-10000</v>
      </c>
      <c r="G39" s="22">
        <f t="shared" si="2"/>
        <v>110884</v>
      </c>
      <c r="H39" s="56">
        <f>ROUND(E39*62.3+G39,0)</f>
        <v>1282124</v>
      </c>
    </row>
    <row r="40" spans="1:8">
      <c r="A40" s="55">
        <v>42156</v>
      </c>
      <c r="B40" s="22">
        <f>-1700+4000+300</f>
        <v>2600</v>
      </c>
      <c r="C40" s="22">
        <f t="shared" si="1"/>
        <v>21400</v>
      </c>
      <c r="D40" s="22">
        <f>400+800</f>
        <v>1200</v>
      </c>
      <c r="E40" s="22">
        <f t="shared" si="0"/>
        <v>20200</v>
      </c>
      <c r="F40" s="22">
        <f>-25000-50000-1700+40000+22429-1545-9100</f>
        <v>-24916</v>
      </c>
      <c r="G40" s="56">
        <f>G39+D40*61.3+F40</f>
        <v>159528</v>
      </c>
      <c r="H40" s="22">
        <f t="shared" si="3"/>
        <v>1397788</v>
      </c>
    </row>
    <row r="41" spans="1:8">
      <c r="A41" s="55">
        <v>42186</v>
      </c>
      <c r="B41" s="57">
        <f>2400+1000</f>
        <v>3400</v>
      </c>
      <c r="C41" s="22">
        <f t="shared" si="1"/>
        <v>23600</v>
      </c>
      <c r="D41" s="22">
        <v>549</v>
      </c>
      <c r="E41" s="22">
        <f t="shared" si="0"/>
        <v>23051</v>
      </c>
      <c r="F41" s="22">
        <f>6000-21120-11900-3000</f>
        <v>-30020</v>
      </c>
      <c r="G41" s="56">
        <f t="shared" si="2"/>
        <v>163161.70000000001</v>
      </c>
      <c r="H41" s="56">
        <f t="shared" si="3"/>
        <v>1576188</v>
      </c>
    </row>
    <row r="42" spans="1:8">
      <c r="A42" s="55">
        <v>42217</v>
      </c>
      <c r="B42" s="57">
        <f>1500+1000</f>
        <v>2500</v>
      </c>
      <c r="C42" s="22">
        <f t="shared" si="1"/>
        <v>25551</v>
      </c>
      <c r="D42" s="22">
        <v>1000</v>
      </c>
      <c r="E42" s="22">
        <f t="shared" si="0"/>
        <v>24551</v>
      </c>
      <c r="F42" s="22">
        <f>-12000-7000-40000-27000-6400-5000</f>
        <v>-97400</v>
      </c>
      <c r="G42" s="56">
        <f t="shared" si="2"/>
        <v>127061.70000000001</v>
      </c>
      <c r="H42" s="56">
        <f t="shared" si="3"/>
        <v>1632038</v>
      </c>
    </row>
    <row r="43" spans="1:8">
      <c r="A43" s="55">
        <v>42248</v>
      </c>
      <c r="B43" s="57">
        <f>2000-150-150</f>
        <v>1700</v>
      </c>
      <c r="C43" s="22">
        <f t="shared" si="1"/>
        <v>26251</v>
      </c>
      <c r="D43" s="22"/>
      <c r="E43" s="22">
        <f t="shared" si="0"/>
        <v>26251</v>
      </c>
      <c r="F43" s="22">
        <f>-19100-5000</f>
        <v>-24100</v>
      </c>
      <c r="G43" s="56">
        <f t="shared" si="2"/>
        <v>102961.70000000001</v>
      </c>
      <c r="H43" s="56">
        <f t="shared" si="3"/>
        <v>1712148</v>
      </c>
    </row>
    <row r="44" spans="1:8">
      <c r="A44" s="55">
        <v>42278</v>
      </c>
      <c r="B44" s="57">
        <f>-250-430+1500+300</f>
        <v>1120</v>
      </c>
      <c r="C44" s="57">
        <f t="shared" si="1"/>
        <v>27371</v>
      </c>
      <c r="D44" s="57">
        <v>3850</v>
      </c>
      <c r="E44" s="57">
        <f t="shared" si="0"/>
        <v>23521</v>
      </c>
      <c r="F44" s="57">
        <f>-1*236529-2000-15000</f>
        <v>-253529</v>
      </c>
      <c r="G44" s="56">
        <f>ROUND(G43+D44*61.3+F44,0)</f>
        <v>85438</v>
      </c>
      <c r="H44" s="56">
        <f t="shared" si="3"/>
        <v>1527275</v>
      </c>
    </row>
    <row r="45" spans="1:8">
      <c r="A45" s="55">
        <v>42309</v>
      </c>
      <c r="B45" s="57">
        <f>2500</f>
        <v>2500</v>
      </c>
      <c r="C45" s="22">
        <f t="shared" si="1"/>
        <v>26021</v>
      </c>
      <c r="D45" s="22">
        <f>300</f>
        <v>300</v>
      </c>
      <c r="E45" s="22">
        <f t="shared" si="0"/>
        <v>25721</v>
      </c>
      <c r="F45" s="22">
        <f>-3000-3000-2000-300</f>
        <v>-8300</v>
      </c>
      <c r="G45" s="56">
        <f>G44+D45*66+F45</f>
        <v>96938</v>
      </c>
      <c r="H45" s="56">
        <f t="shared" si="3"/>
        <v>1673635</v>
      </c>
    </row>
    <row r="46" spans="1:8">
      <c r="A46" s="55">
        <v>42339</v>
      </c>
      <c r="B46" s="58">
        <f>2000+300+500+500</f>
        <v>3300</v>
      </c>
      <c r="C46" s="59">
        <f t="shared" si="1"/>
        <v>29021</v>
      </c>
      <c r="D46" s="59"/>
      <c r="E46" s="59">
        <f t="shared" si="0"/>
        <v>29021</v>
      </c>
      <c r="F46" s="59">
        <f>-10000</f>
        <v>-10000</v>
      </c>
      <c r="G46" s="60">
        <f t="shared" si="2"/>
        <v>86938</v>
      </c>
      <c r="H46" s="60">
        <f t="shared" si="3"/>
        <v>1865925</v>
      </c>
    </row>
    <row r="53" spans="1:2">
      <c r="A53" s="55"/>
      <c r="B53" s="33"/>
    </row>
    <row r="54" spans="1:2">
      <c r="A54" s="55"/>
      <c r="B54" s="33"/>
    </row>
    <row r="55" spans="1:2">
      <c r="A55" s="55"/>
      <c r="B55" s="33"/>
    </row>
    <row r="56" spans="1:2">
      <c r="A56" s="55"/>
      <c r="B56" s="33"/>
    </row>
    <row r="64" spans="1:2">
      <c r="B64" s="33"/>
    </row>
    <row r="65" spans="2:2">
      <c r="B65" s="33"/>
    </row>
  </sheetData>
  <mergeCells count="2">
    <mergeCell ref="A1:F1"/>
    <mergeCell ref="C21:C2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topLeftCell="A25" workbookViewId="0">
      <selection activeCell="B36" sqref="B36"/>
    </sheetView>
  </sheetViews>
  <sheetFormatPr defaultRowHeight="13.5" customHeight="1"/>
  <cols>
    <col min="1" max="1" width="30.140625" style="33" customWidth="1"/>
    <col min="2" max="2" width="12.42578125" style="17" customWidth="1"/>
    <col min="3" max="4" width="16.42578125" style="33" customWidth="1"/>
    <col min="5" max="5" width="16" style="33" customWidth="1"/>
    <col min="6" max="6" width="19.5703125" style="33" customWidth="1"/>
    <col min="7" max="7" width="20.5703125" style="33" customWidth="1"/>
    <col min="8" max="8" width="18" style="33" customWidth="1"/>
    <col min="9" max="10" width="9.140625" style="33"/>
    <col min="11" max="11" width="41.42578125" style="33" customWidth="1"/>
    <col min="12" max="12" width="26.140625" style="33" bestFit="1" customWidth="1"/>
    <col min="13" max="16384" width="9.140625" style="33"/>
  </cols>
  <sheetData>
    <row r="1" spans="1:6" ht="13.5" customHeight="1">
      <c r="A1" s="92" t="s">
        <v>4</v>
      </c>
      <c r="B1" s="92"/>
      <c r="C1" s="92"/>
      <c r="D1" s="92"/>
      <c r="E1" s="92"/>
      <c r="F1" s="92"/>
    </row>
    <row r="2" spans="1:6" ht="13.5" customHeight="1" thickBot="1">
      <c r="A2" s="5" t="s">
        <v>5</v>
      </c>
      <c r="B2" s="14" t="s">
        <v>13</v>
      </c>
      <c r="C2" s="5" t="s">
        <v>12</v>
      </c>
      <c r="D2" s="5" t="s">
        <v>6</v>
      </c>
      <c r="E2" s="5" t="s">
        <v>7</v>
      </c>
      <c r="F2" s="5" t="s">
        <v>8</v>
      </c>
    </row>
    <row r="3" spans="1:6" ht="13.5" customHeight="1" thickTop="1">
      <c r="A3" s="8" t="s">
        <v>42</v>
      </c>
      <c r="B3" s="15"/>
      <c r="C3" s="8">
        <v>1</v>
      </c>
      <c r="D3" s="12">
        <v>1660</v>
      </c>
      <c r="E3" s="6">
        <v>1660</v>
      </c>
      <c r="F3" s="10"/>
    </row>
    <row r="4" spans="1:6" ht="13.5" customHeight="1">
      <c r="A4" s="78" t="s">
        <v>138</v>
      </c>
      <c r="B4" s="15"/>
      <c r="C4" s="78">
        <v>1</v>
      </c>
      <c r="D4" s="79">
        <v>600</v>
      </c>
      <c r="E4" s="6"/>
      <c r="F4" s="80">
        <v>600</v>
      </c>
    </row>
    <row r="5" spans="1:6" ht="13.5" customHeight="1">
      <c r="A5" s="9" t="s">
        <v>40</v>
      </c>
      <c r="B5" s="16" t="s">
        <v>11</v>
      </c>
      <c r="C5" s="9">
        <v>7</v>
      </c>
      <c r="D5" s="13">
        <v>80</v>
      </c>
      <c r="E5" s="6">
        <v>80</v>
      </c>
      <c r="F5" s="11"/>
    </row>
    <row r="6" spans="1:6" ht="13.5" customHeight="1">
      <c r="A6" s="9" t="s">
        <v>10</v>
      </c>
      <c r="B6" s="16"/>
      <c r="C6" s="9">
        <v>10</v>
      </c>
      <c r="D6" s="13">
        <v>200</v>
      </c>
      <c r="E6" s="7"/>
      <c r="F6" s="11">
        <v>200</v>
      </c>
    </row>
    <row r="7" spans="1:6" ht="13.5" customHeight="1">
      <c r="A7" s="9" t="s">
        <v>152</v>
      </c>
      <c r="B7" s="16" t="s">
        <v>11</v>
      </c>
      <c r="C7" s="9">
        <v>15</v>
      </c>
      <c r="D7" s="13">
        <v>10</v>
      </c>
      <c r="E7" s="7"/>
      <c r="F7" s="11">
        <v>40</v>
      </c>
    </row>
    <row r="8" spans="1:6" ht="13.5" customHeight="1">
      <c r="A8" s="9" t="s">
        <v>53</v>
      </c>
      <c r="B8" s="16"/>
      <c r="C8" s="9">
        <v>16</v>
      </c>
      <c r="D8" s="13">
        <v>150</v>
      </c>
      <c r="E8" s="7">
        <v>150</v>
      </c>
      <c r="F8" s="11"/>
    </row>
    <row r="9" spans="1:6" ht="13.5" customHeight="1">
      <c r="A9" s="9" t="s">
        <v>18</v>
      </c>
      <c r="B9" s="16"/>
      <c r="C9" s="9">
        <v>16</v>
      </c>
      <c r="D9" s="13">
        <v>34</v>
      </c>
      <c r="E9" s="7">
        <v>34</v>
      </c>
      <c r="F9" s="11"/>
    </row>
    <row r="10" spans="1:6" ht="13.5" customHeight="1">
      <c r="A10" s="9" t="s">
        <v>141</v>
      </c>
      <c r="B10" s="16"/>
      <c r="C10" s="9">
        <v>16</v>
      </c>
      <c r="D10" s="13">
        <v>800</v>
      </c>
      <c r="E10" s="7">
        <v>800</v>
      </c>
      <c r="F10" s="11"/>
    </row>
    <row r="11" spans="1:6" ht="13.5" customHeight="1">
      <c r="A11" s="9" t="s">
        <v>146</v>
      </c>
      <c r="B11" s="16"/>
      <c r="C11" s="9">
        <v>16</v>
      </c>
      <c r="D11" s="13">
        <v>500</v>
      </c>
      <c r="E11" s="7">
        <v>500</v>
      </c>
      <c r="F11" s="11"/>
    </row>
    <row r="12" spans="1:6" ht="13.5" customHeight="1">
      <c r="A12" s="9" t="s">
        <v>153</v>
      </c>
      <c r="B12" s="16" t="s">
        <v>11</v>
      </c>
      <c r="C12" s="9">
        <v>17</v>
      </c>
      <c r="D12" s="13">
        <v>90</v>
      </c>
      <c r="E12" s="7">
        <v>90</v>
      </c>
      <c r="F12" s="11"/>
    </row>
    <row r="13" spans="1:6" ht="13.5" customHeight="1">
      <c r="A13" s="9" t="s">
        <v>10</v>
      </c>
      <c r="B13" s="16"/>
      <c r="C13" s="9">
        <v>20</v>
      </c>
      <c r="D13" s="13">
        <v>200</v>
      </c>
      <c r="E13" s="7"/>
      <c r="F13" s="11">
        <v>200</v>
      </c>
    </row>
    <row r="14" spans="1:6" ht="13.5" customHeight="1">
      <c r="A14" s="9" t="s">
        <v>79</v>
      </c>
      <c r="B14" s="16"/>
      <c r="C14" s="9">
        <v>29</v>
      </c>
      <c r="D14" s="13">
        <v>10</v>
      </c>
      <c r="E14" s="7"/>
      <c r="F14" s="11">
        <v>10</v>
      </c>
    </row>
    <row r="15" spans="1:6" ht="13.5" customHeight="1">
      <c r="A15" s="9" t="s">
        <v>10</v>
      </c>
      <c r="B15" s="16"/>
      <c r="C15" s="9">
        <v>30</v>
      </c>
      <c r="D15" s="13">
        <v>100</v>
      </c>
      <c r="E15" s="7"/>
      <c r="F15" s="11">
        <v>100</v>
      </c>
    </row>
    <row r="16" spans="1:6" ht="13.5" customHeight="1">
      <c r="A16" s="9" t="s">
        <v>24</v>
      </c>
      <c r="B16" s="16"/>
      <c r="C16" s="9"/>
      <c r="D16" s="13"/>
      <c r="E16" s="7"/>
      <c r="F16" s="11">
        <v>100</v>
      </c>
    </row>
    <row r="17" spans="1:7" ht="13.5" customHeight="1">
      <c r="B17" s="33"/>
    </row>
    <row r="18" spans="1:7" ht="13.5" customHeight="1">
      <c r="A18" s="1" t="s">
        <v>0</v>
      </c>
      <c r="B18" s="7">
        <f>SUM(E3:E17)</f>
        <v>3314</v>
      </c>
      <c r="C18" s="93" t="s">
        <v>21</v>
      </c>
    </row>
    <row r="19" spans="1:7" ht="13.5" customHeight="1">
      <c r="A19" s="1" t="s">
        <v>1</v>
      </c>
      <c r="B19" s="11">
        <f>SUM(F3:F17)</f>
        <v>1250</v>
      </c>
      <c r="C19" s="93"/>
    </row>
    <row r="20" spans="1:7" ht="13.5" customHeight="1">
      <c r="A20" s="1" t="s">
        <v>15</v>
      </c>
      <c r="B20" s="18">
        <v>500</v>
      </c>
      <c r="C20" s="93"/>
    </row>
    <row r="21" spans="1:7" ht="13.5" customHeight="1">
      <c r="A21" s="3" t="s">
        <v>2</v>
      </c>
      <c r="B21" s="4">
        <f>SUM(B18:B20)</f>
        <v>5064</v>
      </c>
      <c r="C21" s="93"/>
    </row>
    <row r="22" spans="1:7" ht="13.5" customHeight="1">
      <c r="A22" s="2" t="s">
        <v>3</v>
      </c>
      <c r="B22" s="2">
        <f>SUM(7000,-1*B21)</f>
        <v>1936</v>
      </c>
      <c r="C22" s="2">
        <f>B22*66/100000</f>
        <v>1.27776</v>
      </c>
    </row>
    <row r="23" spans="1:7" ht="13.5" customHeight="1">
      <c r="A23" s="1" t="s">
        <v>16</v>
      </c>
      <c r="B23" s="2">
        <f>B22+B20+D16</f>
        <v>2436</v>
      </c>
      <c r="C23" s="2">
        <f>B23*66/100000</f>
        <v>1.6077600000000001</v>
      </c>
    </row>
    <row r="26" spans="1:7" ht="13.5" customHeight="1">
      <c r="A26" s="20"/>
      <c r="B26" s="24" t="s">
        <v>3</v>
      </c>
      <c r="C26" s="24" t="s">
        <v>149</v>
      </c>
      <c r="D26" s="24" t="s">
        <v>19</v>
      </c>
      <c r="E26" s="24" t="s">
        <v>20</v>
      </c>
      <c r="F26" s="24" t="s">
        <v>22</v>
      </c>
      <c r="G26" s="24" t="s">
        <v>23</v>
      </c>
    </row>
    <row r="27" spans="1:7" ht="13.5" customHeight="1">
      <c r="A27" s="23" t="s">
        <v>83</v>
      </c>
      <c r="B27" s="48">
        <f>100000+250000-90000+10000-270000+20000+30000+70000+7000+70000</f>
        <v>197000</v>
      </c>
      <c r="D27" s="20"/>
      <c r="E27" s="20"/>
      <c r="F27" s="20"/>
      <c r="G27" s="20"/>
    </row>
    <row r="28" spans="1:7" ht="13.5" customHeight="1">
      <c r="A28" s="23" t="s">
        <v>140</v>
      </c>
      <c r="B28" s="48">
        <v>10000</v>
      </c>
      <c r="D28" s="20"/>
      <c r="E28" s="20"/>
      <c r="F28" s="20"/>
      <c r="G28" s="20"/>
    </row>
    <row r="29" spans="1:7" ht="13.5" customHeight="1">
      <c r="B29" s="21"/>
    </row>
    <row r="30" spans="1:7" ht="13.5" customHeight="1">
      <c r="A30" s="26" t="s">
        <v>145</v>
      </c>
      <c r="B30" s="30"/>
      <c r="C30" s="31"/>
      <c r="D30" s="31"/>
      <c r="E30" s="31"/>
      <c r="F30" s="31">
        <f>20700</f>
        <v>20700</v>
      </c>
      <c r="G30" s="31"/>
    </row>
    <row r="31" spans="1:7" ht="13.5" customHeight="1">
      <c r="A31" s="26">
        <v>43831</v>
      </c>
      <c r="B31" s="63">
        <f>1000</f>
        <v>1000</v>
      </c>
      <c r="C31" s="63">
        <v>600</v>
      </c>
      <c r="D31" s="63">
        <f>F30+B31</f>
        <v>21700</v>
      </c>
      <c r="E31" s="63">
        <v>1400</v>
      </c>
      <c r="F31" s="63">
        <f>D31-E31</f>
        <v>20300</v>
      </c>
      <c r="G31" s="62">
        <f>ROUND(F31*70,0)</f>
        <v>1421000</v>
      </c>
    </row>
    <row r="32" spans="1:7" ht="13.5" customHeight="1">
      <c r="A32" s="26">
        <v>43862</v>
      </c>
      <c r="B32" s="63">
        <f>-300+3000-500-1000</f>
        <v>1200</v>
      </c>
      <c r="C32" s="63">
        <f>300+350+500</f>
        <v>1150</v>
      </c>
      <c r="D32" s="63">
        <f>F31+B32</f>
        <v>21500</v>
      </c>
      <c r="E32" s="63">
        <v>0</v>
      </c>
      <c r="F32" s="63">
        <f>D32-E32</f>
        <v>21500</v>
      </c>
      <c r="G32" s="62">
        <f>ROUND(F32*70,0)</f>
        <v>1505000</v>
      </c>
    </row>
    <row r="33" spans="1:9" ht="13.5" customHeight="1">
      <c r="A33" s="26">
        <v>43891</v>
      </c>
      <c r="B33" s="63">
        <f>-9000+3881+4000+3200</f>
        <v>2081</v>
      </c>
      <c r="C33" s="33">
        <v>-4000</v>
      </c>
      <c r="D33" s="63">
        <f>F32+B33</f>
        <v>23581</v>
      </c>
      <c r="E33" s="63">
        <v>0</v>
      </c>
      <c r="F33" s="63">
        <f>D33-E33</f>
        <v>23581</v>
      </c>
      <c r="G33" s="62">
        <f>ROUND(F33*73,0)</f>
        <v>1721413</v>
      </c>
    </row>
    <row r="34" spans="1:9" ht="13.5" customHeight="1">
      <c r="A34" s="26">
        <v>43922</v>
      </c>
      <c r="B34" s="63">
        <f>3200</f>
        <v>3200</v>
      </c>
      <c r="C34" s="63">
        <v>100</v>
      </c>
      <c r="D34" s="63">
        <f>F33+B34</f>
        <v>26781</v>
      </c>
      <c r="E34" s="63">
        <v>0</v>
      </c>
      <c r="F34" s="63">
        <f>D34-E34</f>
        <v>26781</v>
      </c>
      <c r="G34" s="62">
        <f>ROUND(F34*76,0)</f>
        <v>2035356</v>
      </c>
    </row>
    <row r="35" spans="1:9" ht="13.5" customHeight="1">
      <c r="A35" s="26">
        <v>43952</v>
      </c>
      <c r="B35" s="63">
        <f>2700+10000+3200</f>
        <v>15900</v>
      </c>
      <c r="C35" s="63">
        <v>0</v>
      </c>
      <c r="D35" s="63">
        <f>F34+B35</f>
        <v>42681</v>
      </c>
      <c r="E35" s="63">
        <v>0</v>
      </c>
      <c r="F35" s="62">
        <f>D35-E35</f>
        <v>42681</v>
      </c>
      <c r="G35" s="62">
        <f>ROUND(F35*75,0)</f>
        <v>3201075</v>
      </c>
    </row>
    <row r="36" spans="1:9" ht="13.5" customHeight="1">
      <c r="A36" s="26">
        <v>43983</v>
      </c>
      <c r="B36" s="63"/>
      <c r="D36" s="63"/>
      <c r="E36" s="63"/>
      <c r="F36" s="62"/>
    </row>
    <row r="37" spans="1:9" ht="13.5" customHeight="1">
      <c r="A37" s="26">
        <v>44013</v>
      </c>
      <c r="B37" s="63"/>
      <c r="E37" s="63"/>
      <c r="F37" s="62"/>
      <c r="I37" s="63"/>
    </row>
    <row r="38" spans="1:9" ht="13.5" customHeight="1">
      <c r="A38" s="26">
        <v>44044</v>
      </c>
      <c r="B38" s="63"/>
      <c r="E38" s="63"/>
      <c r="F38" s="62"/>
      <c r="I38" s="63"/>
    </row>
    <row r="39" spans="1:9" ht="13.5" customHeight="1">
      <c r="A39" s="26">
        <v>44075</v>
      </c>
      <c r="B39" s="63"/>
      <c r="E39" s="63"/>
      <c r="F39" s="62"/>
      <c r="I39" s="63"/>
    </row>
    <row r="40" spans="1:9" ht="13.5" customHeight="1">
      <c r="A40" s="26">
        <v>44105</v>
      </c>
      <c r="B40" s="63"/>
      <c r="C40" s="63"/>
      <c r="E40" s="63"/>
      <c r="F40" s="62"/>
    </row>
    <row r="41" spans="1:9" ht="13.5" customHeight="1">
      <c r="A41" s="26">
        <v>44136</v>
      </c>
      <c r="B41" s="63"/>
      <c r="C41" s="63"/>
      <c r="E41" s="63"/>
      <c r="F41" s="62"/>
    </row>
    <row r="42" spans="1:9" ht="13.5" customHeight="1">
      <c r="A42" s="26">
        <v>44166</v>
      </c>
      <c r="B42" s="63"/>
      <c r="C42" s="63"/>
      <c r="E42" s="63"/>
      <c r="F42" s="62"/>
    </row>
    <row r="43" spans="1:9" ht="13.5" customHeight="1">
      <c r="D43" s="63"/>
      <c r="E43" s="63"/>
    </row>
    <row r="49" spans="2:2" ht="13.5" customHeight="1">
      <c r="B49" s="33"/>
    </row>
    <row r="50" spans="2:2" ht="13.5" customHeight="1">
      <c r="B50" s="33"/>
    </row>
  </sheetData>
  <mergeCells count="2">
    <mergeCell ref="A1:F1"/>
    <mergeCell ref="C18:C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0"/>
  <sheetViews>
    <sheetView workbookViewId="0">
      <selection activeCell="M2" sqref="M2"/>
    </sheetView>
  </sheetViews>
  <sheetFormatPr defaultRowHeight="12.75"/>
  <cols>
    <col min="1" max="1" width="40.140625" style="33" customWidth="1"/>
    <col min="2" max="2" width="7.5703125" style="33" customWidth="1"/>
    <col min="3" max="4" width="7.140625" style="33" customWidth="1"/>
    <col min="5" max="5" width="6.42578125" style="33" customWidth="1"/>
    <col min="6" max="6" width="6.5703125" style="33" customWidth="1"/>
    <col min="7" max="7" width="6.85546875" style="33" customWidth="1"/>
    <col min="8" max="8" width="6.5703125" style="33" customWidth="1"/>
    <col min="9" max="9" width="6.140625" style="33" customWidth="1"/>
    <col min="10" max="10" width="6.42578125" style="33" customWidth="1"/>
    <col min="11" max="11" width="7" style="33" customWidth="1"/>
    <col min="12" max="12" width="6.5703125" style="33" customWidth="1"/>
    <col min="13" max="13" width="5.7109375" style="33" customWidth="1"/>
    <col min="14" max="14" width="6.85546875" style="33" customWidth="1"/>
    <col min="15" max="16" width="6" style="33" customWidth="1"/>
    <col min="17" max="17" width="5.85546875" style="33" customWidth="1"/>
    <col min="18" max="18" width="9.85546875" style="33" customWidth="1"/>
    <col min="19" max="19" width="6.28515625" style="33" customWidth="1"/>
    <col min="20" max="20" width="23.140625" style="33" bestFit="1" customWidth="1"/>
    <col min="21" max="21" width="11.28515625" style="33" customWidth="1"/>
    <col min="22" max="22" width="22.140625" style="33" customWidth="1"/>
    <col min="23" max="16384" width="9.140625" style="33"/>
  </cols>
  <sheetData>
    <row r="1" spans="1:20">
      <c r="A1" s="67" t="s">
        <v>25</v>
      </c>
      <c r="B1" s="67" t="s">
        <v>17</v>
      </c>
      <c r="C1" s="67" t="s">
        <v>33</v>
      </c>
      <c r="D1" s="67" t="s">
        <v>38</v>
      </c>
      <c r="E1" s="67" t="s">
        <v>39</v>
      </c>
      <c r="F1" s="67" t="s">
        <v>41</v>
      </c>
      <c r="G1" s="67" t="s">
        <v>78</v>
      </c>
      <c r="H1" s="67" t="s">
        <v>46</v>
      </c>
      <c r="I1" s="67" t="s">
        <v>45</v>
      </c>
      <c r="J1" s="67" t="s">
        <v>47</v>
      </c>
      <c r="K1" s="67" t="s">
        <v>50</v>
      </c>
      <c r="L1" s="67" t="s">
        <v>51</v>
      </c>
      <c r="M1" s="67" t="s">
        <v>52</v>
      </c>
      <c r="N1" s="67" t="s">
        <v>23</v>
      </c>
      <c r="O1" s="87" t="s">
        <v>123</v>
      </c>
      <c r="P1" s="88" t="s">
        <v>129</v>
      </c>
      <c r="Q1" s="90" t="s">
        <v>130</v>
      </c>
    </row>
    <row r="2" spans="1:20">
      <c r="A2" s="69" t="s">
        <v>63</v>
      </c>
      <c r="B2" s="69">
        <v>0</v>
      </c>
      <c r="C2" s="69">
        <v>0</v>
      </c>
      <c r="D2" s="69">
        <v>0</v>
      </c>
      <c r="E2" s="69">
        <v>0</v>
      </c>
      <c r="F2" s="69">
        <v>0</v>
      </c>
      <c r="G2" s="69">
        <v>492</v>
      </c>
      <c r="H2" s="69">
        <v>0</v>
      </c>
      <c r="I2" s="69">
        <v>0</v>
      </c>
      <c r="J2" s="69">
        <v>0</v>
      </c>
      <c r="K2" s="69">
        <v>0</v>
      </c>
      <c r="L2" s="69">
        <v>0</v>
      </c>
      <c r="M2" s="69">
        <v>445</v>
      </c>
      <c r="N2" s="39">
        <f t="shared" ref="N2:N26" si="0">SUM(B2:M2)</f>
        <v>937</v>
      </c>
      <c r="O2" s="87"/>
      <c r="P2" s="88"/>
      <c r="Q2" s="90"/>
      <c r="R2" s="61">
        <v>42705</v>
      </c>
      <c r="S2" s="33">
        <v>100</v>
      </c>
      <c r="T2" s="33" t="s">
        <v>109</v>
      </c>
    </row>
    <row r="3" spans="1:20">
      <c r="A3" s="69" t="s">
        <v>137</v>
      </c>
      <c r="B3" s="69">
        <v>40</v>
      </c>
      <c r="C3" s="69">
        <v>40</v>
      </c>
      <c r="D3" s="69">
        <v>40</v>
      </c>
      <c r="E3" s="69">
        <v>40</v>
      </c>
      <c r="F3" s="69">
        <v>40</v>
      </c>
      <c r="G3" s="69">
        <v>40</v>
      </c>
      <c r="H3" s="69">
        <v>40</v>
      </c>
      <c r="I3" s="69">
        <v>40</v>
      </c>
      <c r="J3" s="69">
        <v>40</v>
      </c>
      <c r="K3" s="69">
        <v>40</v>
      </c>
      <c r="L3" s="69">
        <v>40</v>
      </c>
      <c r="M3" s="69">
        <v>40</v>
      </c>
      <c r="N3" s="39">
        <f t="shared" si="0"/>
        <v>480</v>
      </c>
      <c r="O3" s="87"/>
      <c r="P3" s="88"/>
      <c r="Q3" s="90"/>
      <c r="R3" s="61">
        <v>42767</v>
      </c>
      <c r="S3" s="33">
        <v>20</v>
      </c>
      <c r="T3" s="33" t="s">
        <v>109</v>
      </c>
    </row>
    <row r="4" spans="1:20">
      <c r="A4" s="69" t="s">
        <v>26</v>
      </c>
      <c r="B4" s="69">
        <v>10</v>
      </c>
      <c r="C4" s="69">
        <v>0</v>
      </c>
      <c r="D4" s="69">
        <v>0</v>
      </c>
      <c r="E4" s="69">
        <v>10</v>
      </c>
      <c r="F4" s="69">
        <v>0</v>
      </c>
      <c r="G4" s="69">
        <v>0</v>
      </c>
      <c r="H4" s="69">
        <v>10</v>
      </c>
      <c r="I4" s="69">
        <v>0</v>
      </c>
      <c r="J4" s="69">
        <v>10</v>
      </c>
      <c r="K4" s="69">
        <v>0</v>
      </c>
      <c r="L4" s="69">
        <v>0</v>
      </c>
      <c r="M4" s="69">
        <v>0</v>
      </c>
      <c r="N4" s="39">
        <f>SUM(B4:M4)</f>
        <v>40</v>
      </c>
      <c r="O4" s="87"/>
      <c r="P4" s="88"/>
      <c r="Q4" s="90"/>
      <c r="R4" s="61">
        <v>42795</v>
      </c>
      <c r="S4" s="33">
        <v>50</v>
      </c>
      <c r="T4" s="33" t="s">
        <v>109</v>
      </c>
    </row>
    <row r="5" spans="1:20">
      <c r="A5" s="41" t="s">
        <v>28</v>
      </c>
      <c r="B5" s="41">
        <v>492</v>
      </c>
      <c r="C5" s="41">
        <v>633</v>
      </c>
      <c r="D5" s="41">
        <v>453</v>
      </c>
      <c r="E5" s="41">
        <v>581</v>
      </c>
      <c r="F5" s="41">
        <f>21+81+11+12+13+16+65+24+5+16+6+58+9+28+4+26+14+76</f>
        <v>485</v>
      </c>
      <c r="G5" s="41">
        <f>12+17+98+28+11+17+75+17+40</f>
        <v>315</v>
      </c>
      <c r="H5" s="41">
        <f>17+20+120+74+17+12+140+30+17+22+7+2+22+36</f>
        <v>536</v>
      </c>
      <c r="I5" s="41">
        <f>13+15+106+81+12+23+4+10+29+25+18+16</f>
        <v>352</v>
      </c>
      <c r="J5" s="41">
        <f>28+2+55+18+104+30+136+8+53+16+8+60+2</f>
        <v>520</v>
      </c>
      <c r="K5" s="41">
        <f>33+22+38+8+18+109+32+27+36+17+13+6+8</f>
        <v>367</v>
      </c>
      <c r="L5" s="41">
        <f>17+10+63+3</f>
        <v>93</v>
      </c>
      <c r="M5" s="41">
        <f>14+26+13+14+60+10+41</f>
        <v>178</v>
      </c>
      <c r="N5" s="39">
        <f t="shared" si="0"/>
        <v>5005</v>
      </c>
      <c r="O5" s="87"/>
      <c r="P5" s="88"/>
      <c r="Q5" s="90"/>
      <c r="R5" s="61">
        <v>42842</v>
      </c>
      <c r="S5" s="33">
        <v>170</v>
      </c>
      <c r="T5" s="33" t="s">
        <v>109</v>
      </c>
    </row>
    <row r="6" spans="1:20">
      <c r="A6" s="41" t="s">
        <v>27</v>
      </c>
      <c r="B6" s="41">
        <v>145</v>
      </c>
      <c r="C6" s="41">
        <v>131</v>
      </c>
      <c r="D6" s="41">
        <v>270</v>
      </c>
      <c r="E6" s="41">
        <v>237</v>
      </c>
      <c r="F6" s="41">
        <f>31+15+29+70+25+8+9+90+42</f>
        <v>319</v>
      </c>
      <c r="G6" s="41">
        <f>4+15+11+57+26+20+7+28+5+52+30-19+10+5+25</f>
        <v>276</v>
      </c>
      <c r="H6" s="41">
        <f>750+13+4+15+3+11+8</f>
        <v>804</v>
      </c>
      <c r="I6" s="41">
        <f>50+5+30+16+8+181+55+25+10+48+133+25+50+17+10</f>
        <v>663</v>
      </c>
      <c r="J6" s="41">
        <f>10+10+4+25+10+1+10+5+62-21+25+7+7+12+9</f>
        <v>176</v>
      </c>
      <c r="K6" s="41">
        <f>11+4+31+17+12+5+17+14+139+25+130</f>
        <v>405</v>
      </c>
      <c r="L6" s="41">
        <f>21+11+15+53+1963+64-53+13+25+5+12+9+3+10-35+16+13+19+2+2+79+37+3+121+6+6+16+287+668</f>
        <v>3391</v>
      </c>
      <c r="M6" s="41">
        <f>22+26+3+26+30-17+4+4-4+9+35+2+6+1+214+26+11+25+10+3+14+15</f>
        <v>465</v>
      </c>
      <c r="N6" s="39">
        <f t="shared" si="0"/>
        <v>7282</v>
      </c>
      <c r="O6" s="87"/>
      <c r="P6" s="88"/>
      <c r="Q6" s="90"/>
      <c r="R6" s="61">
        <v>42872</v>
      </c>
      <c r="S6" s="33">
        <v>50</v>
      </c>
      <c r="T6" s="33" t="s">
        <v>109</v>
      </c>
    </row>
    <row r="7" spans="1:20">
      <c r="A7" s="41" t="s">
        <v>30</v>
      </c>
      <c r="B7" s="41">
        <v>62</v>
      </c>
      <c r="C7" s="41">
        <v>7</v>
      </c>
      <c r="D7" s="41">
        <v>78</v>
      </c>
      <c r="E7" s="41">
        <v>70</v>
      </c>
      <c r="F7" s="41">
        <v>28</v>
      </c>
      <c r="G7" s="41">
        <f>29+11</f>
        <v>40</v>
      </c>
      <c r="H7" s="41">
        <f>30+12</f>
        <v>42</v>
      </c>
      <c r="I7" s="41">
        <f>29</f>
        <v>29</v>
      </c>
      <c r="J7" s="41">
        <f>48+13+138+38</f>
        <v>237</v>
      </c>
      <c r="K7" s="41">
        <f>13</f>
        <v>13</v>
      </c>
      <c r="L7" s="41">
        <f>10+21</f>
        <v>31</v>
      </c>
      <c r="M7" s="41">
        <f>85+3+6</f>
        <v>94</v>
      </c>
      <c r="N7" s="39">
        <f t="shared" si="0"/>
        <v>731</v>
      </c>
      <c r="O7" s="87"/>
      <c r="P7" s="88"/>
      <c r="Q7" s="90"/>
      <c r="R7" s="61">
        <v>42933</v>
      </c>
      <c r="S7" s="33">
        <v>145</v>
      </c>
      <c r="T7" s="33" t="s">
        <v>109</v>
      </c>
    </row>
    <row r="8" spans="1:20">
      <c r="A8" s="41" t="s">
        <v>29</v>
      </c>
      <c r="B8" s="41">
        <v>91</v>
      </c>
      <c r="C8" s="41">
        <v>71</v>
      </c>
      <c r="D8" s="41">
        <v>91</v>
      </c>
      <c r="E8" s="41">
        <v>57</v>
      </c>
      <c r="F8" s="41">
        <f>25+31</f>
        <v>56</v>
      </c>
      <c r="G8" s="41">
        <f>29+25+26</f>
        <v>80</v>
      </c>
      <c r="H8" s="41">
        <f>28+31+31</f>
        <v>90</v>
      </c>
      <c r="I8" s="41">
        <f>31+28</f>
        <v>59</v>
      </c>
      <c r="J8" s="41">
        <f>25+26+27</f>
        <v>78</v>
      </c>
      <c r="K8" s="41">
        <f>26+24+25</f>
        <v>75</v>
      </c>
      <c r="L8" s="41">
        <f>28+19+28</f>
        <v>75</v>
      </c>
      <c r="M8" s="41">
        <f>25</f>
        <v>25</v>
      </c>
      <c r="N8" s="39">
        <f t="shared" si="0"/>
        <v>848</v>
      </c>
      <c r="O8" s="87"/>
      <c r="P8" s="88"/>
      <c r="Q8" s="90"/>
      <c r="R8" s="61">
        <v>42964</v>
      </c>
      <c r="S8" s="33">
        <f>40</f>
        <v>40</v>
      </c>
      <c r="T8" s="33" t="s">
        <v>109</v>
      </c>
    </row>
    <row r="9" spans="1:20">
      <c r="A9" s="41" t="s">
        <v>31</v>
      </c>
      <c r="B9" s="41">
        <v>92</v>
      </c>
      <c r="C9" s="41">
        <v>7</v>
      </c>
      <c r="D9" s="41">
        <v>84</v>
      </c>
      <c r="E9" s="41">
        <v>70</v>
      </c>
      <c r="F9" s="41">
        <f>355+90+48+21</f>
        <v>514</v>
      </c>
      <c r="G9" s="41">
        <f>54+62+15+7</f>
        <v>138</v>
      </c>
      <c r="H9" s="41">
        <v>0</v>
      </c>
      <c r="I9" s="41">
        <f>23+24+48-19</f>
        <v>76</v>
      </c>
      <c r="J9" s="41">
        <v>0</v>
      </c>
      <c r="K9" s="41">
        <f>42+30+31+207+166-58-30-31</f>
        <v>357</v>
      </c>
      <c r="L9" s="41">
        <f>109+56+52+16+91-5+17+23+24+13-16</f>
        <v>380</v>
      </c>
      <c r="M9" s="41">
        <f>92+76+33+39+53+35+28+23+86+10</f>
        <v>475</v>
      </c>
      <c r="N9" s="39">
        <f t="shared" si="0"/>
        <v>2193</v>
      </c>
      <c r="O9" s="87"/>
      <c r="P9" s="88"/>
      <c r="Q9" s="90"/>
      <c r="R9" s="61">
        <v>42979</v>
      </c>
      <c r="S9" s="33">
        <f>200+60+50</f>
        <v>310</v>
      </c>
      <c r="T9" s="33" t="s">
        <v>109</v>
      </c>
    </row>
    <row r="10" spans="1:20">
      <c r="A10" s="41" t="s">
        <v>32</v>
      </c>
      <c r="B10" s="41">
        <v>144</v>
      </c>
      <c r="C10" s="41">
        <v>97</v>
      </c>
      <c r="D10" s="41">
        <v>151</v>
      </c>
      <c r="E10" s="41">
        <v>115</v>
      </c>
      <c r="F10" s="41">
        <f>9+9+16+2+25+6+33+52-5+12+36+7+3+7+4+15+12</f>
        <v>243</v>
      </c>
      <c r="G10" s="41">
        <f>2+4+17+7+25+8+18+15+14+18+3+9+7</f>
        <v>147</v>
      </c>
      <c r="H10" s="41">
        <f>8+30+9+10+12+28+3+11+12+4+9+12+24+67</f>
        <v>239</v>
      </c>
      <c r="I10" s="41">
        <f>11+7+27+27+3+4+7+8+18+11+3</f>
        <v>126</v>
      </c>
      <c r="J10" s="42">
        <f>17+3+24+9+14+3+4+18+27+4+17+12</f>
        <v>152</v>
      </c>
      <c r="K10" s="41">
        <f>11+10+8+9+13+4+6+3+3+13</f>
        <v>80</v>
      </c>
      <c r="L10" s="41">
        <f>5+27+6+14+17+3+17+6+28+9+8+4+2+31+9</f>
        <v>186</v>
      </c>
      <c r="M10" s="41">
        <f>18+14+9</f>
        <v>41</v>
      </c>
      <c r="N10" s="39">
        <f t="shared" si="0"/>
        <v>1721</v>
      </c>
      <c r="O10" s="87"/>
      <c r="P10" s="88"/>
      <c r="Q10" s="90"/>
      <c r="R10" s="61">
        <v>42979</v>
      </c>
      <c r="S10" s="33">
        <f>200+60+50</f>
        <v>310</v>
      </c>
      <c r="T10" s="33" t="s">
        <v>109</v>
      </c>
    </row>
    <row r="11" spans="1:20">
      <c r="A11" s="41" t="s">
        <v>89</v>
      </c>
      <c r="B11" s="41">
        <v>260</v>
      </c>
      <c r="C11" s="41">
        <v>670</v>
      </c>
      <c r="D11" s="41">
        <v>93</v>
      </c>
      <c r="E11" s="41">
        <v>135</v>
      </c>
      <c r="F11" s="41">
        <f>11+9+35+35+1850</f>
        <v>1940</v>
      </c>
      <c r="G11" s="41">
        <f>10+33+13</f>
        <v>56</v>
      </c>
      <c r="H11" s="41">
        <f>25+35+20</f>
        <v>80</v>
      </c>
      <c r="I11" s="41">
        <f>35+20</f>
        <v>55</v>
      </c>
      <c r="J11" s="41">
        <f>7+17</f>
        <v>24</v>
      </c>
      <c r="K11" s="41">
        <f>14+7+10+45+5</f>
        <v>81</v>
      </c>
      <c r="L11" s="41">
        <f>45+60</f>
        <v>105</v>
      </c>
      <c r="M11" s="41">
        <v>0</v>
      </c>
      <c r="N11" s="39">
        <f t="shared" si="0"/>
        <v>3499</v>
      </c>
      <c r="O11" s="87"/>
      <c r="P11" s="88"/>
      <c r="Q11" s="90"/>
      <c r="R11" s="61">
        <v>43040</v>
      </c>
      <c r="S11" s="33">
        <f>130+120</f>
        <v>250</v>
      </c>
      <c r="T11" s="33" t="s">
        <v>109</v>
      </c>
    </row>
    <row r="12" spans="1:20">
      <c r="A12" s="41" t="s">
        <v>138</v>
      </c>
      <c r="B12" s="41"/>
      <c r="C12" s="41"/>
      <c r="D12" s="41"/>
      <c r="E12" s="41"/>
      <c r="F12" s="41"/>
      <c r="G12" s="41"/>
      <c r="H12" s="41"/>
      <c r="I12" s="41">
        <v>542</v>
      </c>
      <c r="J12" s="41">
        <f>558</f>
        <v>558</v>
      </c>
      <c r="K12" s="41">
        <v>558</v>
      </c>
      <c r="L12" s="41">
        <v>150</v>
      </c>
      <c r="M12" s="41">
        <v>0</v>
      </c>
      <c r="N12" s="39">
        <f t="shared" si="0"/>
        <v>1808</v>
      </c>
      <c r="O12" s="87"/>
      <c r="P12" s="88"/>
      <c r="Q12" s="90"/>
      <c r="R12" s="61">
        <v>43070</v>
      </c>
      <c r="S12" s="33">
        <v>500</v>
      </c>
      <c r="T12" s="33" t="s">
        <v>108</v>
      </c>
    </row>
    <row r="13" spans="1:20">
      <c r="A13" s="67" t="s">
        <v>34</v>
      </c>
      <c r="B13" s="43"/>
      <c r="C13" s="4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87"/>
      <c r="P13" s="88"/>
      <c r="Q13" s="90"/>
      <c r="R13" s="61">
        <v>43070</v>
      </c>
      <c r="S13" s="33">
        <v>2000</v>
      </c>
      <c r="T13" s="33" t="s">
        <v>110</v>
      </c>
    </row>
    <row r="14" spans="1:20">
      <c r="A14" s="41" t="s">
        <v>125</v>
      </c>
      <c r="B14" s="41">
        <v>1600</v>
      </c>
      <c r="C14" s="41">
        <v>1600</v>
      </c>
      <c r="D14" s="41">
        <v>1594</v>
      </c>
      <c r="E14" s="41">
        <v>1595</v>
      </c>
      <c r="F14" s="41">
        <v>1595</v>
      </c>
      <c r="G14" s="44">
        <v>1631</v>
      </c>
      <c r="H14" s="41">
        <v>1596</v>
      </c>
      <c r="I14" s="41">
        <v>1635</v>
      </c>
      <c r="J14" s="41">
        <v>1711</v>
      </c>
      <c r="K14" s="41">
        <v>1662</v>
      </c>
      <c r="L14" s="41">
        <v>1662</v>
      </c>
      <c r="M14" s="41">
        <v>1660</v>
      </c>
      <c r="N14" s="39">
        <f t="shared" si="0"/>
        <v>19541</v>
      </c>
      <c r="O14" s="87"/>
      <c r="P14" s="88"/>
      <c r="Q14" s="90"/>
      <c r="R14" s="61">
        <v>43132</v>
      </c>
      <c r="S14" s="33">
        <v>-1500</v>
      </c>
      <c r="T14" s="33" t="s">
        <v>113</v>
      </c>
    </row>
    <row r="15" spans="1:20">
      <c r="A15" s="41" t="s">
        <v>77</v>
      </c>
      <c r="B15" s="41">
        <v>2311</v>
      </c>
      <c r="C15" s="41">
        <v>1391</v>
      </c>
      <c r="D15" s="41">
        <v>1655</v>
      </c>
      <c r="E15" s="41">
        <v>593</v>
      </c>
      <c r="F15" s="41">
        <v>388</v>
      </c>
      <c r="G15" s="44">
        <f>551+2000+100</f>
        <v>2651</v>
      </c>
      <c r="H15" s="41">
        <f>500+1000+57+65</f>
        <v>1622</v>
      </c>
      <c r="I15" s="41">
        <f>40+896+459</f>
        <v>1395</v>
      </c>
      <c r="J15" s="41">
        <f>670+40+53+900</f>
        <v>1663</v>
      </c>
      <c r="K15" s="41">
        <f>775+18</f>
        <v>793</v>
      </c>
      <c r="L15" s="41">
        <f>41+804</f>
        <v>845</v>
      </c>
      <c r="M15" s="41">
        <f>1000+729+107+828+1500</f>
        <v>4164</v>
      </c>
      <c r="N15" s="39">
        <f t="shared" si="0"/>
        <v>19471</v>
      </c>
      <c r="O15" s="87"/>
      <c r="P15" s="88"/>
      <c r="Q15" s="90"/>
      <c r="R15" s="61">
        <v>43132</v>
      </c>
      <c r="S15" s="33">
        <v>0</v>
      </c>
      <c r="T15" s="33" t="s">
        <v>114</v>
      </c>
    </row>
    <row r="16" spans="1:20">
      <c r="A16" s="41" t="s">
        <v>127</v>
      </c>
      <c r="B16" s="41">
        <v>225</v>
      </c>
      <c r="C16" s="41">
        <v>397</v>
      </c>
      <c r="D16" s="73"/>
      <c r="E16" s="74"/>
      <c r="F16" s="74"/>
      <c r="G16" s="74"/>
      <c r="H16" s="74"/>
      <c r="I16" s="74"/>
      <c r="J16" s="74"/>
      <c r="K16" s="74"/>
      <c r="L16" s="74"/>
      <c r="M16" s="75"/>
      <c r="N16" s="75">
        <f t="shared" si="0"/>
        <v>622</v>
      </c>
      <c r="O16" s="87"/>
      <c r="P16" s="88"/>
      <c r="Q16" s="90"/>
      <c r="R16" s="61">
        <v>43132</v>
      </c>
      <c r="S16" s="33">
        <v>170</v>
      </c>
      <c r="T16" s="33" t="s">
        <v>109</v>
      </c>
    </row>
    <row r="17" spans="1:20">
      <c r="A17" s="41" t="s">
        <v>126</v>
      </c>
      <c r="B17" s="41">
        <v>80</v>
      </c>
      <c r="C17" s="41">
        <v>80</v>
      </c>
      <c r="D17" s="41">
        <v>80</v>
      </c>
      <c r="E17" s="41">
        <v>80</v>
      </c>
      <c r="F17" s="41">
        <v>80</v>
      </c>
      <c r="G17" s="44">
        <v>80</v>
      </c>
      <c r="H17" s="41">
        <v>80</v>
      </c>
      <c r="I17" s="41">
        <v>80</v>
      </c>
      <c r="J17" s="41">
        <v>80</v>
      </c>
      <c r="K17" s="41">
        <v>80</v>
      </c>
      <c r="L17" s="41">
        <v>80</v>
      </c>
      <c r="M17" s="41">
        <v>80</v>
      </c>
      <c r="N17" s="39">
        <f t="shared" si="0"/>
        <v>960</v>
      </c>
      <c r="O17" s="87"/>
      <c r="P17" s="88"/>
      <c r="Q17" s="90"/>
      <c r="R17" s="61">
        <v>43132</v>
      </c>
      <c r="S17" s="33">
        <v>880</v>
      </c>
      <c r="T17" s="33" t="s">
        <v>115</v>
      </c>
    </row>
    <row r="18" spans="1:20">
      <c r="A18" s="41" t="s">
        <v>36</v>
      </c>
      <c r="B18" s="41">
        <v>119</v>
      </c>
      <c r="C18" s="41">
        <v>119</v>
      </c>
      <c r="D18" s="41">
        <v>119</v>
      </c>
      <c r="E18" s="41">
        <v>119</v>
      </c>
      <c r="F18" s="41">
        <v>119</v>
      </c>
      <c r="G18" s="44">
        <v>119</v>
      </c>
      <c r="H18" s="41">
        <v>121</v>
      </c>
      <c r="I18" s="41">
        <v>121</v>
      </c>
      <c r="J18" s="41">
        <v>121</v>
      </c>
      <c r="K18" s="41">
        <v>121</v>
      </c>
      <c r="L18" s="41">
        <v>121</v>
      </c>
      <c r="M18" s="41">
        <f>25</f>
        <v>25</v>
      </c>
      <c r="N18" s="39">
        <f t="shared" si="0"/>
        <v>1344</v>
      </c>
      <c r="O18" s="87"/>
      <c r="P18" s="88"/>
      <c r="Q18" s="90"/>
      <c r="R18" s="61">
        <v>43149</v>
      </c>
      <c r="S18" s="33">
        <v>200</v>
      </c>
      <c r="T18" s="33" t="s">
        <v>108</v>
      </c>
    </row>
    <row r="19" spans="1:20">
      <c r="A19" s="41" t="s">
        <v>107</v>
      </c>
      <c r="B19" s="41">
        <v>168</v>
      </c>
      <c r="C19" s="41">
        <v>244</v>
      </c>
      <c r="D19" s="41">
        <v>220</v>
      </c>
      <c r="E19" s="41">
        <v>161</v>
      </c>
      <c r="F19" s="41">
        <v>114</v>
      </c>
      <c r="G19" s="44">
        <v>116</v>
      </c>
      <c r="H19" s="41">
        <v>110</v>
      </c>
      <c r="I19" s="41">
        <v>94</v>
      </c>
      <c r="J19" s="41">
        <v>130</v>
      </c>
      <c r="K19" s="41">
        <v>104</v>
      </c>
      <c r="L19" s="41">
        <v>95</v>
      </c>
      <c r="M19" s="41">
        <v>133</v>
      </c>
      <c r="N19" s="39">
        <f t="shared" si="0"/>
        <v>1689</v>
      </c>
      <c r="O19" s="87"/>
      <c r="P19" s="88"/>
      <c r="Q19" s="90"/>
      <c r="R19" s="61">
        <v>43208</v>
      </c>
      <c r="S19" s="33">
        <v>200</v>
      </c>
      <c r="T19" s="33" t="s">
        <v>109</v>
      </c>
    </row>
    <row r="20" spans="1:20">
      <c r="A20" s="41" t="s">
        <v>91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225</v>
      </c>
      <c r="L20" s="41">
        <v>0</v>
      </c>
      <c r="M20" s="41">
        <v>52</v>
      </c>
      <c r="N20" s="39">
        <f t="shared" si="0"/>
        <v>277</v>
      </c>
      <c r="O20" s="87"/>
      <c r="P20" s="89"/>
      <c r="Q20" s="91"/>
      <c r="R20" s="61">
        <v>43252</v>
      </c>
      <c r="S20" s="33">
        <v>-255</v>
      </c>
      <c r="T20" s="33" t="s">
        <v>135</v>
      </c>
    </row>
    <row r="21" spans="1:20">
      <c r="A21" s="41" t="s">
        <v>139</v>
      </c>
      <c r="B21" s="41"/>
      <c r="C21" s="41"/>
      <c r="D21" s="41"/>
      <c r="E21" s="41">
        <v>667</v>
      </c>
      <c r="F21" s="41">
        <v>927</v>
      </c>
      <c r="G21" s="41"/>
      <c r="H21" s="41">
        <v>727</v>
      </c>
      <c r="I21" s="41">
        <v>788</v>
      </c>
      <c r="K21" s="41">
        <f>55+10+3+25+18+105+9+14+10+1+10+5+3+13+30+136+4+62+7+138+25+8+18+27+53+16+12+9+18+7+60+4+17+12+2</f>
        <v>946</v>
      </c>
      <c r="L21" s="41">
        <f>14+7+13+11+(33-25)+22+42+(38-5)+8+31+17+12+5+18+10+10+17+109+8+9+13+14+32+4+27+6+45+5+36+139+3+17+13+6+3+8+207+13+166-58</f>
        <v>1103</v>
      </c>
      <c r="M21" s="41">
        <f>109+5+21+15+52</f>
        <v>202</v>
      </c>
      <c r="N21" s="39">
        <f t="shared" si="0"/>
        <v>5360</v>
      </c>
      <c r="O21" s="76"/>
      <c r="P21" s="77"/>
      <c r="Q21" s="77"/>
      <c r="R21" s="61">
        <v>43282</v>
      </c>
      <c r="S21" s="33">
        <v>50</v>
      </c>
      <c r="T21" s="33" t="s">
        <v>109</v>
      </c>
    </row>
    <row r="22" spans="1:20">
      <c r="A22" s="72" t="s">
        <v>131</v>
      </c>
      <c r="B22" s="72">
        <v>1500</v>
      </c>
      <c r="C22" s="72">
        <v>1500</v>
      </c>
      <c r="D22" s="73"/>
      <c r="E22" s="74"/>
      <c r="F22" s="74"/>
      <c r="G22" s="74"/>
      <c r="H22" s="74"/>
      <c r="I22" s="74"/>
      <c r="J22" s="74"/>
      <c r="K22" s="74"/>
      <c r="L22" s="74"/>
      <c r="M22" s="75"/>
      <c r="N22" s="70">
        <f t="shared" si="0"/>
        <v>3000</v>
      </c>
      <c r="O22" s="70">
        <v>17510</v>
      </c>
      <c r="P22" s="70">
        <v>3000</v>
      </c>
      <c r="Q22" s="70">
        <f t="shared" ref="Q22:Q27" si="1">P22-N22</f>
        <v>0</v>
      </c>
      <c r="R22" s="55">
        <v>43770</v>
      </c>
      <c r="S22" s="33">
        <v>155</v>
      </c>
      <c r="T22" s="33" t="s">
        <v>114</v>
      </c>
    </row>
    <row r="23" spans="1:20">
      <c r="A23" s="72" t="s">
        <v>136</v>
      </c>
      <c r="B23" s="72">
        <v>100</v>
      </c>
      <c r="C23" s="72">
        <v>100</v>
      </c>
      <c r="D23" s="72">
        <v>1100</v>
      </c>
      <c r="E23" s="72">
        <v>1000</v>
      </c>
      <c r="F23" s="72">
        <v>1000</v>
      </c>
      <c r="G23" s="73"/>
      <c r="H23" s="74"/>
      <c r="I23" s="74"/>
      <c r="J23" s="74"/>
      <c r="K23" s="74"/>
      <c r="L23" s="74"/>
      <c r="M23" s="75"/>
      <c r="N23" s="70">
        <f t="shared" si="0"/>
        <v>3300</v>
      </c>
      <c r="O23" s="70">
        <v>6240</v>
      </c>
      <c r="P23" s="70">
        <v>3300</v>
      </c>
      <c r="Q23" s="70">
        <f t="shared" si="1"/>
        <v>0</v>
      </c>
      <c r="R23" s="61"/>
    </row>
    <row r="24" spans="1:20">
      <c r="A24" s="72" t="s">
        <v>133</v>
      </c>
      <c r="B24" s="72">
        <v>100</v>
      </c>
      <c r="C24" s="72">
        <v>100</v>
      </c>
      <c r="D24" s="72">
        <v>500</v>
      </c>
      <c r="E24" s="72">
        <v>500</v>
      </c>
      <c r="F24" s="72">
        <v>500</v>
      </c>
      <c r="G24" s="72">
        <f>400+600</f>
        <v>1000</v>
      </c>
      <c r="H24" s="72">
        <f>600+400</f>
        <v>1000</v>
      </c>
      <c r="I24" s="72">
        <f>25+675</f>
        <v>700</v>
      </c>
      <c r="J24" s="72">
        <f>500+400</f>
        <v>900</v>
      </c>
      <c r="K24" s="74"/>
      <c r="L24" s="74"/>
      <c r="M24" s="75"/>
      <c r="N24" s="70">
        <f>SUM(B24:M24)</f>
        <v>5300</v>
      </c>
      <c r="O24" s="70">
        <v>6180</v>
      </c>
      <c r="P24" s="70">
        <v>5300</v>
      </c>
      <c r="Q24" s="70">
        <f t="shared" si="1"/>
        <v>0</v>
      </c>
      <c r="R24" s="61"/>
    </row>
    <row r="25" spans="1:20">
      <c r="A25" s="72" t="s">
        <v>132</v>
      </c>
      <c r="B25" s="72">
        <v>0</v>
      </c>
      <c r="C25" s="72">
        <v>0</v>
      </c>
      <c r="D25" s="72">
        <v>100</v>
      </c>
      <c r="E25" s="72">
        <v>100</v>
      </c>
      <c r="F25" s="72">
        <v>100</v>
      </c>
      <c r="G25" s="72">
        <v>500</v>
      </c>
      <c r="H25" s="72">
        <v>500</v>
      </c>
      <c r="I25" s="72">
        <v>600</v>
      </c>
      <c r="J25" s="72">
        <f>500+500</f>
        <v>1000</v>
      </c>
      <c r="K25" s="72">
        <f>600+1400</f>
        <v>2000</v>
      </c>
      <c r="L25" s="72">
        <f>900+1100</f>
        <v>2000</v>
      </c>
      <c r="M25" s="75"/>
      <c r="N25" s="70">
        <f t="shared" si="0"/>
        <v>6900</v>
      </c>
      <c r="O25" s="70">
        <v>7725</v>
      </c>
      <c r="P25" s="70">
        <v>6900</v>
      </c>
      <c r="Q25" s="70">
        <f t="shared" si="1"/>
        <v>0</v>
      </c>
      <c r="R25" s="61"/>
    </row>
    <row r="26" spans="1:20">
      <c r="A26" s="72" t="s">
        <v>128</v>
      </c>
      <c r="B26" s="72">
        <v>100</v>
      </c>
      <c r="C26" s="72">
        <v>100</v>
      </c>
      <c r="D26" s="72">
        <v>100</v>
      </c>
      <c r="E26" s="72">
        <v>200</v>
      </c>
      <c r="F26" s="72">
        <v>200</v>
      </c>
      <c r="G26" s="72">
        <v>300</v>
      </c>
      <c r="H26" s="72">
        <v>300</v>
      </c>
      <c r="I26" s="72">
        <v>800</v>
      </c>
      <c r="J26" s="72">
        <v>200</v>
      </c>
      <c r="K26" s="72">
        <v>100</v>
      </c>
      <c r="L26" s="72">
        <v>100</v>
      </c>
      <c r="M26" s="72">
        <f>1200+500</f>
        <v>1700</v>
      </c>
      <c r="N26" s="70">
        <f t="shared" si="0"/>
        <v>4200</v>
      </c>
      <c r="O26" s="70">
        <v>4680</v>
      </c>
      <c r="P26" s="70">
        <v>4200</v>
      </c>
      <c r="Q26" s="70">
        <f t="shared" si="1"/>
        <v>0</v>
      </c>
      <c r="R26" s="61"/>
    </row>
    <row r="27" spans="1:20">
      <c r="A27" s="72" t="s">
        <v>134</v>
      </c>
      <c r="B27" s="94"/>
      <c r="C27" s="95"/>
      <c r="D27" s="95"/>
      <c r="E27" s="96"/>
      <c r="F27" s="72">
        <f>160+200</f>
        <v>360</v>
      </c>
      <c r="G27" s="72">
        <v>200</v>
      </c>
      <c r="H27" s="72">
        <v>200</v>
      </c>
      <c r="I27" s="72">
        <v>100</v>
      </c>
      <c r="J27" s="72">
        <v>0</v>
      </c>
      <c r="K27" s="72">
        <v>200</v>
      </c>
      <c r="L27" s="72">
        <v>200</v>
      </c>
      <c r="M27" s="72">
        <f>600</f>
        <v>600</v>
      </c>
      <c r="N27" s="39">
        <f>SUM(B27:M27)</f>
        <v>1860</v>
      </c>
      <c r="O27" s="69">
        <v>4160</v>
      </c>
      <c r="P27" s="2">
        <v>4160</v>
      </c>
      <c r="Q27" s="71">
        <f t="shared" si="1"/>
        <v>2300</v>
      </c>
      <c r="R27" s="61"/>
    </row>
    <row r="28" spans="1:20">
      <c r="R28" s="61"/>
    </row>
    <row r="29" spans="1:20">
      <c r="R29" s="61"/>
    </row>
    <row r="30" spans="1:20">
      <c r="R30" s="61"/>
    </row>
    <row r="31" spans="1:20">
      <c r="R31" s="38"/>
    </row>
    <row r="32" spans="1:20">
      <c r="R32" s="61"/>
    </row>
    <row r="33" spans="18:18">
      <c r="R33" s="61"/>
    </row>
    <row r="34" spans="18:18">
      <c r="R34" s="61"/>
    </row>
    <row r="35" spans="18:18">
      <c r="R35" s="61"/>
    </row>
    <row r="36" spans="18:18">
      <c r="R36" s="61"/>
    </row>
    <row r="37" spans="18:18">
      <c r="R37" s="61"/>
    </row>
    <row r="38" spans="18:18">
      <c r="R38" s="61"/>
    </row>
    <row r="39" spans="18:18">
      <c r="R39" s="61"/>
    </row>
    <row r="40" spans="18:18">
      <c r="R40" s="61"/>
    </row>
  </sheetData>
  <mergeCells count="4">
    <mergeCell ref="O1:O20"/>
    <mergeCell ref="P1:P20"/>
    <mergeCell ref="B27:E27"/>
    <mergeCell ref="Q1:Q2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"/>
  <sheetViews>
    <sheetView topLeftCell="A16" workbookViewId="0">
      <selection activeCell="E28" sqref="E28"/>
    </sheetView>
  </sheetViews>
  <sheetFormatPr defaultRowHeight="12.75"/>
  <cols>
    <col min="1" max="1" width="30.140625" style="33" customWidth="1"/>
    <col min="2" max="2" width="12.42578125" style="17" customWidth="1"/>
    <col min="3" max="3" width="11.42578125" style="33" customWidth="1"/>
    <col min="4" max="4" width="14.5703125" style="33" customWidth="1"/>
    <col min="5" max="5" width="16" style="33" customWidth="1"/>
    <col min="6" max="6" width="19.5703125" style="33" customWidth="1"/>
    <col min="7" max="7" width="20.5703125" style="33" customWidth="1"/>
    <col min="8" max="8" width="18" style="33" customWidth="1"/>
    <col min="9" max="10" width="9.140625" style="33"/>
    <col min="11" max="11" width="41.42578125" style="33" customWidth="1"/>
    <col min="12" max="12" width="26.140625" style="33" bestFit="1" customWidth="1"/>
    <col min="13" max="16384" width="9.140625" style="33"/>
  </cols>
  <sheetData>
    <row r="1" spans="1:6">
      <c r="A1" s="92" t="s">
        <v>4</v>
      </c>
      <c r="B1" s="92"/>
      <c r="C1" s="92"/>
      <c r="D1" s="92"/>
      <c r="E1" s="92"/>
      <c r="F1" s="92"/>
    </row>
    <row r="2" spans="1:6" ht="13.5" thickBot="1">
      <c r="A2" s="5" t="s">
        <v>5</v>
      </c>
      <c r="B2" s="14" t="s">
        <v>13</v>
      </c>
      <c r="C2" s="5" t="s">
        <v>12</v>
      </c>
      <c r="D2" s="5" t="s">
        <v>6</v>
      </c>
      <c r="E2" s="5" t="s">
        <v>7</v>
      </c>
      <c r="F2" s="5" t="s">
        <v>8</v>
      </c>
    </row>
    <row r="3" spans="1:6" ht="13.5" thickTop="1">
      <c r="A3" s="8" t="s">
        <v>42</v>
      </c>
      <c r="B3" s="15"/>
      <c r="C3" s="8">
        <v>1</v>
      </c>
      <c r="D3" s="12">
        <v>1700</v>
      </c>
      <c r="E3" s="6">
        <v>1700</v>
      </c>
      <c r="F3" s="10"/>
    </row>
    <row r="4" spans="1:6">
      <c r="A4" s="78" t="s">
        <v>138</v>
      </c>
      <c r="B4" s="15"/>
      <c r="C4" s="78">
        <v>1</v>
      </c>
      <c r="D4" s="79">
        <v>560</v>
      </c>
      <c r="E4" s="6"/>
      <c r="F4" s="80">
        <v>560</v>
      </c>
    </row>
    <row r="5" spans="1:6">
      <c r="A5" s="9" t="s">
        <v>40</v>
      </c>
      <c r="B5" s="16" t="s">
        <v>11</v>
      </c>
      <c r="C5" s="9">
        <v>8</v>
      </c>
      <c r="D5" s="13">
        <v>80</v>
      </c>
      <c r="E5" s="6">
        <v>80</v>
      </c>
      <c r="F5" s="11"/>
    </row>
    <row r="6" spans="1:6">
      <c r="A6" s="9" t="s">
        <v>10</v>
      </c>
      <c r="B6" s="16"/>
      <c r="C6" s="9">
        <v>10</v>
      </c>
      <c r="D6" s="13">
        <v>200</v>
      </c>
      <c r="E6" s="7"/>
      <c r="F6" s="11">
        <v>200</v>
      </c>
    </row>
    <row r="7" spans="1:6">
      <c r="A7" s="9" t="s">
        <v>86</v>
      </c>
      <c r="B7" s="16" t="s">
        <v>11</v>
      </c>
      <c r="C7" s="9">
        <v>15</v>
      </c>
      <c r="D7" s="13">
        <v>40</v>
      </c>
      <c r="E7" s="7"/>
      <c r="F7" s="11">
        <v>40</v>
      </c>
    </row>
    <row r="8" spans="1:6">
      <c r="A8" s="9" t="s">
        <v>53</v>
      </c>
      <c r="B8" s="16"/>
      <c r="C8" s="9">
        <v>16</v>
      </c>
      <c r="D8" s="13">
        <v>150</v>
      </c>
      <c r="E8" s="7">
        <v>150</v>
      </c>
      <c r="F8" s="11"/>
    </row>
    <row r="9" spans="1:6">
      <c r="A9" s="9" t="s">
        <v>18</v>
      </c>
      <c r="B9" s="16"/>
      <c r="C9" s="9">
        <v>16</v>
      </c>
      <c r="D9" s="13">
        <v>121</v>
      </c>
      <c r="E9" s="7">
        <v>121</v>
      </c>
      <c r="F9" s="11"/>
    </row>
    <row r="10" spans="1:6">
      <c r="A10" s="9" t="s">
        <v>10</v>
      </c>
      <c r="B10" s="16"/>
      <c r="C10" s="9">
        <v>20</v>
      </c>
      <c r="D10" s="13">
        <v>200</v>
      </c>
      <c r="E10" s="7"/>
      <c r="F10" s="11">
        <v>200</v>
      </c>
    </row>
    <row r="11" spans="1:6">
      <c r="A11" s="9" t="s">
        <v>79</v>
      </c>
      <c r="B11" s="16" t="s">
        <v>11</v>
      </c>
      <c r="C11" s="9">
        <v>29</v>
      </c>
      <c r="D11" s="13">
        <v>10</v>
      </c>
      <c r="E11" s="7"/>
      <c r="F11" s="11">
        <v>10</v>
      </c>
    </row>
    <row r="12" spans="1:6">
      <c r="A12" s="9" t="s">
        <v>10</v>
      </c>
      <c r="B12" s="16"/>
      <c r="C12" s="9">
        <v>30</v>
      </c>
      <c r="D12" s="13">
        <v>100</v>
      </c>
      <c r="E12" s="7"/>
      <c r="F12" s="11">
        <v>100</v>
      </c>
    </row>
    <row r="13" spans="1:6">
      <c r="A13" s="9" t="s">
        <v>24</v>
      </c>
      <c r="B13" s="16"/>
      <c r="C13" s="9"/>
      <c r="D13" s="13"/>
      <c r="E13" s="7"/>
      <c r="F13" s="11">
        <v>100</v>
      </c>
    </row>
    <row r="14" spans="1:6">
      <c r="A14" s="9" t="s">
        <v>141</v>
      </c>
      <c r="B14" s="16"/>
      <c r="C14" s="9"/>
      <c r="D14" s="13">
        <v>2100</v>
      </c>
      <c r="E14" s="7">
        <v>2100</v>
      </c>
      <c r="F14" s="11"/>
    </row>
    <row r="15" spans="1:6">
      <c r="B15" s="33"/>
    </row>
    <row r="16" spans="1:6">
      <c r="A16" s="1" t="s">
        <v>0</v>
      </c>
      <c r="B16" s="7">
        <f>SUM(E3:E15)</f>
        <v>4151</v>
      </c>
      <c r="C16" s="93" t="s">
        <v>21</v>
      </c>
    </row>
    <row r="17" spans="1:7">
      <c r="A17" s="1" t="s">
        <v>1</v>
      </c>
      <c r="B17" s="11">
        <f>SUM(F3:F15)</f>
        <v>1210</v>
      </c>
      <c r="C17" s="93"/>
    </row>
    <row r="18" spans="1:7">
      <c r="A18" s="1" t="s">
        <v>15</v>
      </c>
      <c r="B18" s="18">
        <v>500</v>
      </c>
      <c r="C18" s="93"/>
    </row>
    <row r="19" spans="1:7">
      <c r="A19" s="3" t="s">
        <v>2</v>
      </c>
      <c r="B19" s="4">
        <f>SUM(B16:B18)</f>
        <v>5861</v>
      </c>
      <c r="C19" s="93"/>
    </row>
    <row r="20" spans="1:7">
      <c r="A20" s="2" t="s">
        <v>3</v>
      </c>
      <c r="B20" s="2">
        <f>SUM(7000,-1*B19)</f>
        <v>1139</v>
      </c>
      <c r="C20" s="2">
        <f>B20*66/100000</f>
        <v>0.75173999999999996</v>
      </c>
    </row>
    <row r="21" spans="1:7">
      <c r="A21" s="1" t="s">
        <v>16</v>
      </c>
      <c r="B21" s="2">
        <f>B20+B18+D13</f>
        <v>1639</v>
      </c>
      <c r="C21" s="2">
        <f>B21*66/100000</f>
        <v>1.0817399999999999</v>
      </c>
    </row>
    <row r="24" spans="1:7">
      <c r="A24" s="20"/>
      <c r="B24" s="24" t="s">
        <v>3</v>
      </c>
      <c r="C24" s="24" t="s">
        <v>19</v>
      </c>
      <c r="D24" s="24" t="s">
        <v>20</v>
      </c>
      <c r="E24" s="24" t="s">
        <v>22</v>
      </c>
      <c r="F24" s="24" t="s">
        <v>55</v>
      </c>
      <c r="G24" s="24" t="s">
        <v>23</v>
      </c>
    </row>
    <row r="25" spans="1:7">
      <c r="A25" s="23" t="s">
        <v>83</v>
      </c>
      <c r="B25" s="48">
        <f>100000+250000-90000+10000-270000+20000+30000</f>
        <v>50000</v>
      </c>
      <c r="C25" s="20"/>
      <c r="D25" s="20"/>
      <c r="E25" s="20"/>
      <c r="G25" s="20"/>
    </row>
    <row r="26" spans="1:7">
      <c r="A26" s="23" t="s">
        <v>140</v>
      </c>
      <c r="B26" s="48">
        <v>10000</v>
      </c>
      <c r="C26" s="20"/>
      <c r="D26" s="20"/>
      <c r="E26" s="20"/>
      <c r="G26" s="20"/>
    </row>
    <row r="27" spans="1:7">
      <c r="B27" s="21"/>
    </row>
    <row r="28" spans="1:7">
      <c r="A28" s="26" t="s">
        <v>124</v>
      </c>
      <c r="B28" s="30"/>
      <c r="C28" s="31"/>
      <c r="D28" s="31"/>
      <c r="E28" s="31">
        <f>13180</f>
        <v>13180</v>
      </c>
      <c r="F28" s="31"/>
      <c r="G28" s="31"/>
    </row>
    <row r="29" spans="1:7">
      <c r="A29" s="26">
        <v>43466</v>
      </c>
      <c r="B29" s="63">
        <v>500</v>
      </c>
      <c r="C29" s="63">
        <f>E28+B29</f>
        <v>13680</v>
      </c>
      <c r="D29" s="63">
        <v>0</v>
      </c>
      <c r="E29" s="63">
        <f t="shared" ref="E29:E40" si="0">C29-D29</f>
        <v>13680</v>
      </c>
      <c r="F29" s="62"/>
      <c r="G29" s="62">
        <f>ROUND(E29*70,0)</f>
        <v>957600</v>
      </c>
    </row>
    <row r="30" spans="1:7">
      <c r="A30" s="26">
        <v>43497</v>
      </c>
      <c r="B30" s="63">
        <v>1150</v>
      </c>
      <c r="C30" s="63">
        <f t="shared" ref="C30:C40" si="1">E29+B30</f>
        <v>14830</v>
      </c>
      <c r="D30" s="63">
        <v>1500</v>
      </c>
      <c r="E30" s="63">
        <f t="shared" si="0"/>
        <v>13330</v>
      </c>
      <c r="F30" s="62"/>
      <c r="G30" s="62">
        <f t="shared" ref="G30:G38" si="2">ROUND(E30*70,0)</f>
        <v>933100</v>
      </c>
    </row>
    <row r="31" spans="1:7">
      <c r="A31" s="26">
        <v>43525</v>
      </c>
      <c r="B31" s="63">
        <v>4754</v>
      </c>
      <c r="C31" s="63">
        <f t="shared" si="1"/>
        <v>18084</v>
      </c>
      <c r="D31" s="63">
        <v>2000</v>
      </c>
      <c r="E31" s="63">
        <f t="shared" si="0"/>
        <v>16084</v>
      </c>
      <c r="F31" s="62"/>
      <c r="G31" s="62">
        <f t="shared" si="2"/>
        <v>1125880</v>
      </c>
    </row>
    <row r="32" spans="1:7">
      <c r="A32" s="26">
        <v>43556</v>
      </c>
      <c r="B32" s="63">
        <v>2550</v>
      </c>
      <c r="C32" s="63">
        <f t="shared" si="1"/>
        <v>18634</v>
      </c>
      <c r="D32" s="63">
        <v>850</v>
      </c>
      <c r="E32" s="63">
        <f t="shared" si="0"/>
        <v>17784</v>
      </c>
      <c r="F32" s="62"/>
      <c r="G32" s="62">
        <f t="shared" si="2"/>
        <v>1244880</v>
      </c>
    </row>
    <row r="33" spans="1:7">
      <c r="A33" s="26">
        <v>43586</v>
      </c>
      <c r="B33" s="63">
        <f>350+2000+366</f>
        <v>2716</v>
      </c>
      <c r="C33" s="63">
        <f t="shared" si="1"/>
        <v>20500</v>
      </c>
      <c r="D33" s="63">
        <v>500</v>
      </c>
      <c r="E33" s="63">
        <f t="shared" si="0"/>
        <v>20000</v>
      </c>
      <c r="F33" s="62"/>
      <c r="G33" s="62">
        <f t="shared" si="2"/>
        <v>1400000</v>
      </c>
    </row>
    <row r="34" spans="1:7">
      <c r="A34" s="26">
        <v>43617</v>
      </c>
      <c r="B34" s="63">
        <v>0</v>
      </c>
      <c r="C34" s="63">
        <f t="shared" si="1"/>
        <v>20000</v>
      </c>
      <c r="D34" s="63">
        <v>0</v>
      </c>
      <c r="E34" s="63">
        <f t="shared" si="0"/>
        <v>20000</v>
      </c>
      <c r="F34" s="62"/>
      <c r="G34" s="62">
        <f t="shared" si="2"/>
        <v>1400000</v>
      </c>
    </row>
    <row r="35" spans="1:7">
      <c r="A35" s="26">
        <v>43647</v>
      </c>
      <c r="B35" s="63">
        <v>1000</v>
      </c>
      <c r="C35" s="63">
        <f t="shared" si="1"/>
        <v>21000</v>
      </c>
      <c r="D35" s="63">
        <v>0</v>
      </c>
      <c r="E35" s="63">
        <f t="shared" si="0"/>
        <v>21000</v>
      </c>
      <c r="F35" s="62"/>
      <c r="G35" s="62">
        <f t="shared" si="2"/>
        <v>1470000</v>
      </c>
    </row>
    <row r="36" spans="1:7">
      <c r="A36" s="26">
        <v>43678</v>
      </c>
      <c r="B36" s="63">
        <v>1750</v>
      </c>
      <c r="C36" s="63">
        <f t="shared" si="1"/>
        <v>22750</v>
      </c>
      <c r="D36" s="63">
        <v>2000</v>
      </c>
      <c r="E36" s="63">
        <f t="shared" si="0"/>
        <v>20750</v>
      </c>
      <c r="F36" s="62"/>
      <c r="G36" s="62">
        <f t="shared" si="2"/>
        <v>1452500</v>
      </c>
    </row>
    <row r="37" spans="1:7">
      <c r="A37" s="26">
        <v>43709</v>
      </c>
      <c r="B37" s="63">
        <v>1400</v>
      </c>
      <c r="C37" s="63">
        <f t="shared" si="1"/>
        <v>22150</v>
      </c>
      <c r="D37" s="63">
        <v>0</v>
      </c>
      <c r="E37" s="63">
        <f t="shared" si="0"/>
        <v>22150</v>
      </c>
      <c r="F37" s="62"/>
      <c r="G37" s="62">
        <f t="shared" si="2"/>
        <v>1550500</v>
      </c>
    </row>
    <row r="38" spans="1:7">
      <c r="A38" s="26">
        <v>43739</v>
      </c>
      <c r="B38" s="63">
        <f>-2000+2000+1000</f>
        <v>1000</v>
      </c>
      <c r="C38" s="63">
        <f t="shared" si="1"/>
        <v>23150</v>
      </c>
      <c r="D38" s="63">
        <v>650</v>
      </c>
      <c r="E38" s="63">
        <f t="shared" si="0"/>
        <v>22500</v>
      </c>
      <c r="F38" s="62"/>
      <c r="G38" s="62">
        <f t="shared" si="2"/>
        <v>1575000</v>
      </c>
    </row>
    <row r="39" spans="1:7">
      <c r="A39" s="26">
        <v>43770</v>
      </c>
      <c r="B39" s="63">
        <f>1300</f>
        <v>1300</v>
      </c>
      <c r="C39" s="63">
        <f t="shared" si="1"/>
        <v>23800</v>
      </c>
      <c r="D39" s="63">
        <v>1000</v>
      </c>
      <c r="E39" s="63">
        <f t="shared" si="0"/>
        <v>22800</v>
      </c>
      <c r="F39" s="62"/>
      <c r="G39" s="62">
        <f>ROUND(E39*71,0)</f>
        <v>1618800</v>
      </c>
    </row>
    <row r="40" spans="1:7">
      <c r="A40" s="26">
        <v>43800</v>
      </c>
      <c r="B40" s="63">
        <f>-1000</f>
        <v>-1000</v>
      </c>
      <c r="C40" s="63">
        <f t="shared" si="1"/>
        <v>21800</v>
      </c>
      <c r="D40" s="63">
        <f>700+400</f>
        <v>1100</v>
      </c>
      <c r="E40" s="63">
        <f t="shared" si="0"/>
        <v>20700</v>
      </c>
      <c r="F40" s="62"/>
      <c r="G40" s="62">
        <f>ROUND(E40*71,0)</f>
        <v>1469700</v>
      </c>
    </row>
    <row r="41" spans="1:7">
      <c r="E41" s="63"/>
      <c r="F41" s="62"/>
    </row>
    <row r="47" spans="1:7">
      <c r="B47" s="33"/>
    </row>
    <row r="48" spans="1:7">
      <c r="B48" s="33"/>
    </row>
  </sheetData>
  <mergeCells count="2">
    <mergeCell ref="A1:F1"/>
    <mergeCell ref="C16:C1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41"/>
  <sheetViews>
    <sheetView workbookViewId="0">
      <selection activeCell="N8" sqref="N8"/>
    </sheetView>
  </sheetViews>
  <sheetFormatPr defaultRowHeight="12.75"/>
  <cols>
    <col min="1" max="1" width="47" style="33" customWidth="1"/>
    <col min="2" max="2" width="8.5703125" style="33" customWidth="1"/>
    <col min="3" max="3" width="7.85546875" style="33" customWidth="1"/>
    <col min="4" max="4" width="8" style="33" customWidth="1"/>
    <col min="5" max="5" width="7.7109375" style="33" customWidth="1"/>
    <col min="6" max="6" width="7.28515625" style="33" customWidth="1"/>
    <col min="7" max="7" width="8.140625" style="33" customWidth="1"/>
    <col min="8" max="8" width="8.42578125" style="33" customWidth="1"/>
    <col min="9" max="9" width="8.140625" style="33" customWidth="1"/>
    <col min="10" max="10" width="7.7109375" style="33" customWidth="1"/>
    <col min="11" max="11" width="7.42578125" style="33" customWidth="1"/>
    <col min="12" max="12" width="8" style="33" customWidth="1"/>
    <col min="13" max="13" width="7.42578125" style="33" customWidth="1"/>
    <col min="14" max="14" width="9.42578125" style="33" customWidth="1"/>
    <col min="15" max="15" width="8" style="33" customWidth="1"/>
    <col min="16" max="16" width="7.28515625" style="33" customWidth="1"/>
    <col min="17" max="17" width="10.28515625" style="33" customWidth="1"/>
    <col min="18" max="18" width="9.7109375" style="33" customWidth="1"/>
    <col min="19" max="19" width="23.140625" style="33" bestFit="1" customWidth="1"/>
    <col min="20" max="20" width="11.28515625" style="33" customWidth="1"/>
    <col min="21" max="21" width="22.140625" style="33" customWidth="1"/>
    <col min="22" max="16384" width="9.140625" style="33"/>
  </cols>
  <sheetData>
    <row r="1" spans="1:19">
      <c r="A1" s="64" t="s">
        <v>25</v>
      </c>
      <c r="B1" s="64" t="s">
        <v>17</v>
      </c>
      <c r="C1" s="64" t="s">
        <v>33</v>
      </c>
      <c r="D1" s="64" t="s">
        <v>38</v>
      </c>
      <c r="E1" s="64" t="s">
        <v>39</v>
      </c>
      <c r="F1" s="64" t="s">
        <v>41</v>
      </c>
      <c r="G1" s="64" t="s">
        <v>78</v>
      </c>
      <c r="H1" s="64" t="s">
        <v>46</v>
      </c>
      <c r="I1" s="64" t="s">
        <v>45</v>
      </c>
      <c r="J1" s="64" t="s">
        <v>47</v>
      </c>
      <c r="K1" s="64" t="s">
        <v>50</v>
      </c>
      <c r="L1" s="64" t="s">
        <v>51</v>
      </c>
      <c r="M1" s="64" t="s">
        <v>52</v>
      </c>
      <c r="N1" s="64" t="s">
        <v>23</v>
      </c>
      <c r="O1" s="87" t="s">
        <v>123</v>
      </c>
      <c r="P1" s="88" t="s">
        <v>116</v>
      </c>
    </row>
    <row r="2" spans="1:19">
      <c r="A2" s="38" t="s">
        <v>58</v>
      </c>
      <c r="B2" s="38">
        <f>359</f>
        <v>359</v>
      </c>
      <c r="C2" s="38">
        <f>359+302</f>
        <v>661</v>
      </c>
      <c r="D2" s="38">
        <f>302+359</f>
        <v>661</v>
      </c>
      <c r="E2" s="38">
        <f>359+302</f>
        <v>661</v>
      </c>
      <c r="F2" s="38">
        <v>661</v>
      </c>
      <c r="G2" s="38">
        <v>661</v>
      </c>
      <c r="H2" s="38">
        <v>661</v>
      </c>
      <c r="I2" s="38">
        <v>661</v>
      </c>
      <c r="J2" s="38">
        <v>661</v>
      </c>
      <c r="K2" s="38">
        <v>0</v>
      </c>
      <c r="L2" s="38">
        <v>0</v>
      </c>
      <c r="M2" s="38">
        <v>0</v>
      </c>
      <c r="N2" s="39">
        <f>SUM(B2:M2)</f>
        <v>5647</v>
      </c>
      <c r="O2" s="87"/>
      <c r="P2" s="88"/>
      <c r="Q2" s="97" t="s">
        <v>106</v>
      </c>
      <c r="R2" s="97"/>
    </row>
    <row r="3" spans="1:19">
      <c r="A3" s="38" t="s">
        <v>40</v>
      </c>
      <c r="B3" s="38">
        <v>58</v>
      </c>
      <c r="C3" s="38">
        <v>58</v>
      </c>
      <c r="D3" s="38">
        <v>58</v>
      </c>
      <c r="E3" s="38">
        <v>58</v>
      </c>
      <c r="F3" s="38">
        <v>58</v>
      </c>
      <c r="G3" s="38">
        <v>0</v>
      </c>
      <c r="H3" s="38">
        <v>94</v>
      </c>
      <c r="I3" s="38">
        <v>73</v>
      </c>
      <c r="J3" s="38">
        <v>73</v>
      </c>
      <c r="K3" s="38">
        <v>73</v>
      </c>
      <c r="L3" s="38">
        <v>73</v>
      </c>
      <c r="M3" s="38">
        <v>73</v>
      </c>
      <c r="N3" s="39">
        <f t="shared" ref="N3:N27" si="0">SUM(B3:M3)</f>
        <v>749</v>
      </c>
      <c r="O3" s="87"/>
      <c r="P3" s="88"/>
      <c r="Q3" s="61">
        <v>42705</v>
      </c>
      <c r="R3" s="33">
        <v>100</v>
      </c>
      <c r="S3" s="33" t="s">
        <v>109</v>
      </c>
    </row>
    <row r="4" spans="1:19">
      <c r="A4" s="38" t="s">
        <v>63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453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488</v>
      </c>
      <c r="N4" s="39">
        <f t="shared" si="0"/>
        <v>941</v>
      </c>
      <c r="O4" s="87"/>
      <c r="P4" s="88"/>
      <c r="Q4" s="61">
        <v>42767</v>
      </c>
      <c r="R4" s="33">
        <v>20</v>
      </c>
      <c r="S4" s="33" t="s">
        <v>109</v>
      </c>
    </row>
    <row r="5" spans="1:19">
      <c r="A5" s="38" t="s">
        <v>112</v>
      </c>
      <c r="B5" s="38">
        <v>0</v>
      </c>
      <c r="C5" s="38">
        <v>40</v>
      </c>
      <c r="D5" s="38">
        <v>40</v>
      </c>
      <c r="E5" s="38">
        <v>40</v>
      </c>
      <c r="F5" s="38">
        <v>40</v>
      </c>
      <c r="G5" s="38">
        <v>40</v>
      </c>
      <c r="H5" s="38">
        <v>40</v>
      </c>
      <c r="I5" s="38">
        <v>40</v>
      </c>
      <c r="J5" s="38">
        <v>40</v>
      </c>
      <c r="K5" s="38">
        <v>40</v>
      </c>
      <c r="L5" s="38">
        <v>40</v>
      </c>
      <c r="M5" s="38">
        <v>40</v>
      </c>
      <c r="N5" s="39">
        <f t="shared" si="0"/>
        <v>440</v>
      </c>
      <c r="O5" s="87"/>
      <c r="P5" s="88"/>
      <c r="Q5" s="61">
        <v>42795</v>
      </c>
      <c r="R5" s="33">
        <v>50</v>
      </c>
      <c r="S5" s="33" t="s">
        <v>109</v>
      </c>
    </row>
    <row r="6" spans="1:19">
      <c r="A6" s="38" t="s">
        <v>26</v>
      </c>
      <c r="B6" s="38">
        <v>10</v>
      </c>
      <c r="C6" s="38">
        <v>10</v>
      </c>
      <c r="D6" s="38">
        <v>0</v>
      </c>
      <c r="E6" s="38">
        <v>10</v>
      </c>
      <c r="F6" s="38">
        <v>0</v>
      </c>
      <c r="G6" s="38">
        <v>10</v>
      </c>
      <c r="H6" s="38">
        <v>10</v>
      </c>
      <c r="I6" s="38">
        <v>10</v>
      </c>
      <c r="J6" s="38">
        <v>10</v>
      </c>
      <c r="K6" s="38">
        <v>0</v>
      </c>
      <c r="L6" s="38">
        <v>10</v>
      </c>
      <c r="M6" s="38">
        <v>0</v>
      </c>
      <c r="N6" s="39">
        <f>SUM(B6:M6)</f>
        <v>80</v>
      </c>
      <c r="O6" s="87"/>
      <c r="P6" s="88"/>
      <c r="Q6" s="61">
        <v>42842</v>
      </c>
      <c r="R6" s="33">
        <v>170</v>
      </c>
      <c r="S6" s="33" t="s">
        <v>109</v>
      </c>
    </row>
    <row r="7" spans="1:19">
      <c r="A7" s="41" t="s">
        <v>28</v>
      </c>
      <c r="B7" s="41">
        <f>88+72+14+47+72+12+56+13+11</f>
        <v>385</v>
      </c>
      <c r="C7" s="41">
        <f>41+146+69+9+31+12+133-40+16+2+31</f>
        <v>450</v>
      </c>
      <c r="D7" s="41">
        <f>21+99+94+13+12+10+53+15</f>
        <v>317</v>
      </c>
      <c r="E7" s="41">
        <f>78+28+61+12+49+11</f>
        <v>239</v>
      </c>
      <c r="F7" s="41">
        <f>11+69</f>
        <v>80</v>
      </c>
      <c r="G7" s="41">
        <v>69</v>
      </c>
      <c r="H7" s="41">
        <v>217</v>
      </c>
      <c r="I7" s="41">
        <v>411</v>
      </c>
      <c r="J7" s="41">
        <v>588</v>
      </c>
      <c r="K7" s="41">
        <v>600</v>
      </c>
      <c r="L7" s="41">
        <v>527</v>
      </c>
      <c r="M7" s="41">
        <v>555</v>
      </c>
      <c r="N7" s="39">
        <f t="shared" si="0"/>
        <v>4438</v>
      </c>
      <c r="O7" s="87"/>
      <c r="P7" s="88"/>
      <c r="Q7" s="61">
        <v>42872</v>
      </c>
      <c r="R7" s="33">
        <v>50</v>
      </c>
      <c r="S7" s="33" t="s">
        <v>109</v>
      </c>
    </row>
    <row r="8" spans="1:19">
      <c r="A8" s="41" t="s">
        <v>27</v>
      </c>
      <c r="B8" s="41">
        <f>34+4+22</f>
        <v>60</v>
      </c>
      <c r="C8" s="41">
        <f>42+42+16+7+31</f>
        <v>138</v>
      </c>
      <c r="D8" s="41">
        <f>4+200+967+835+35+115-135+12+4+135+21+2+35+8+11</f>
        <v>2249</v>
      </c>
      <c r="E8" s="41">
        <f>35+12+13+20+7+24+15+7+3+10+7+24+4</f>
        <v>181</v>
      </c>
      <c r="F8" s="41">
        <f>69+22+35+59+97+9</f>
        <v>291</v>
      </c>
      <c r="G8" s="41">
        <v>394</v>
      </c>
      <c r="H8" s="41">
        <v>13</v>
      </c>
      <c r="I8" s="41">
        <v>835</v>
      </c>
      <c r="J8" s="41">
        <v>536</v>
      </c>
      <c r="K8" s="41">
        <v>199</v>
      </c>
      <c r="L8" s="41">
        <v>622</v>
      </c>
      <c r="M8" s="41">
        <v>790</v>
      </c>
      <c r="N8" s="39">
        <f t="shared" si="0"/>
        <v>6308</v>
      </c>
      <c r="O8" s="87"/>
      <c r="P8" s="88"/>
      <c r="Q8" s="61">
        <v>42933</v>
      </c>
      <c r="R8" s="33">
        <v>145</v>
      </c>
      <c r="S8" s="33" t="s">
        <v>109</v>
      </c>
    </row>
    <row r="9" spans="1:19">
      <c r="A9" s="41" t="s">
        <v>30</v>
      </c>
      <c r="B9" s="41">
        <f>16</f>
        <v>16</v>
      </c>
      <c r="C9" s="41">
        <f>15</f>
        <v>15</v>
      </c>
      <c r="D9" s="41">
        <f>38+20</f>
        <v>58</v>
      </c>
      <c r="E9" s="41">
        <f>30+25+4+9</f>
        <v>68</v>
      </c>
      <c r="F9" s="41">
        <f>135+4</f>
        <v>139</v>
      </c>
      <c r="G9" s="41">
        <v>71</v>
      </c>
      <c r="H9" s="41">
        <v>145</v>
      </c>
      <c r="I9" s="41">
        <v>0</v>
      </c>
      <c r="J9" s="41">
        <v>37</v>
      </c>
      <c r="K9" s="41">
        <v>5</v>
      </c>
      <c r="L9" s="41">
        <v>138</v>
      </c>
      <c r="M9" s="41">
        <v>87</v>
      </c>
      <c r="N9" s="39">
        <f t="shared" si="0"/>
        <v>779</v>
      </c>
      <c r="O9" s="87"/>
      <c r="P9" s="88"/>
      <c r="Q9" s="61">
        <v>42964</v>
      </c>
      <c r="R9" s="33">
        <f>40</f>
        <v>40</v>
      </c>
      <c r="S9" s="33" t="s">
        <v>109</v>
      </c>
    </row>
    <row r="10" spans="1:19">
      <c r="A10" s="41" t="s">
        <v>29</v>
      </c>
      <c r="B10" s="41">
        <f>27</f>
        <v>27</v>
      </c>
      <c r="C10" s="41">
        <f>29</f>
        <v>29</v>
      </c>
      <c r="D10" s="41">
        <f>27+30</f>
        <v>57</v>
      </c>
      <c r="E10" s="41">
        <f>31</f>
        <v>31</v>
      </c>
      <c r="F10" s="41">
        <f>10</f>
        <v>10</v>
      </c>
      <c r="G10" s="41">
        <v>61</v>
      </c>
      <c r="H10" s="41">
        <v>29</v>
      </c>
      <c r="I10" s="41">
        <v>48</v>
      </c>
      <c r="J10" s="41">
        <v>205</v>
      </c>
      <c r="K10" s="41">
        <v>95</v>
      </c>
      <c r="L10" s="41">
        <v>74</v>
      </c>
      <c r="M10" s="41">
        <v>93</v>
      </c>
      <c r="N10" s="39">
        <f t="shared" si="0"/>
        <v>759</v>
      </c>
      <c r="O10" s="87"/>
      <c r="P10" s="88"/>
      <c r="Q10" s="61">
        <v>42979</v>
      </c>
      <c r="R10" s="33">
        <f>200+60+50</f>
        <v>310</v>
      </c>
      <c r="S10" s="33" t="s">
        <v>109</v>
      </c>
    </row>
    <row r="11" spans="1:19">
      <c r="A11" s="41" t="s">
        <v>31</v>
      </c>
      <c r="B11" s="41">
        <v>0</v>
      </c>
      <c r="C11" s="41">
        <v>40</v>
      </c>
      <c r="D11" s="41">
        <f>174+125</f>
        <v>299</v>
      </c>
      <c r="E11" s="41">
        <f>169+163+53+163-74-3+300-35-14+50+97+50+76-63+58-23-50-21-10+5</f>
        <v>891</v>
      </c>
      <c r="F11" s="41">
        <f>68</f>
        <v>68</v>
      </c>
      <c r="G11" s="41">
        <v>28</v>
      </c>
      <c r="H11" s="41">
        <v>223</v>
      </c>
      <c r="I11" s="41">
        <v>0</v>
      </c>
      <c r="J11" s="41">
        <v>72</v>
      </c>
      <c r="K11" s="41">
        <v>0</v>
      </c>
      <c r="L11" s="41">
        <v>216</v>
      </c>
      <c r="M11" s="41">
        <v>15</v>
      </c>
      <c r="N11" s="39">
        <f t="shared" si="0"/>
        <v>1852</v>
      </c>
      <c r="O11" s="87"/>
      <c r="P11" s="88"/>
      <c r="Q11" s="61">
        <v>43009</v>
      </c>
      <c r="R11" s="33">
        <v>250</v>
      </c>
      <c r="S11" s="33" t="s">
        <v>109</v>
      </c>
    </row>
    <row r="12" spans="1:19">
      <c r="A12" s="41" t="s">
        <v>32</v>
      </c>
      <c r="B12" s="41">
        <f>17+13+17+17+17+16+14</f>
        <v>111</v>
      </c>
      <c r="C12" s="41">
        <f>16+19+17+16+17</f>
        <v>85</v>
      </c>
      <c r="D12" s="41">
        <f>16+17+6+8+10+11+34+24+9</f>
        <v>135</v>
      </c>
      <c r="E12" s="41">
        <f>32+5+11+17+16+30</f>
        <v>111</v>
      </c>
      <c r="F12" s="41">
        <f>11+5+16+9</f>
        <v>41</v>
      </c>
      <c r="G12" s="41">
        <v>26</v>
      </c>
      <c r="H12" s="41">
        <v>31</v>
      </c>
      <c r="I12" s="41">
        <v>70</v>
      </c>
      <c r="J12" s="42">
        <v>112</v>
      </c>
      <c r="K12" s="41">
        <v>94</v>
      </c>
      <c r="L12" s="41">
        <v>99</v>
      </c>
      <c r="M12" s="41">
        <v>134</v>
      </c>
      <c r="N12" s="39">
        <f t="shared" si="0"/>
        <v>1049</v>
      </c>
      <c r="O12" s="87"/>
      <c r="P12" s="88"/>
      <c r="Q12" s="61">
        <v>43040</v>
      </c>
      <c r="R12" s="33">
        <f>130+120</f>
        <v>250</v>
      </c>
      <c r="S12" s="33" t="s">
        <v>109</v>
      </c>
    </row>
    <row r="13" spans="1:19">
      <c r="A13" s="41" t="s">
        <v>89</v>
      </c>
      <c r="B13" s="41">
        <f>12+4</f>
        <v>16</v>
      </c>
      <c r="C13" s="41">
        <f>600</f>
        <v>600</v>
      </c>
      <c r="D13" s="41">
        <v>0</v>
      </c>
      <c r="E13" s="41">
        <v>16</v>
      </c>
      <c r="F13" s="41">
        <v>0</v>
      </c>
      <c r="G13" s="41">
        <v>0</v>
      </c>
      <c r="H13" s="41">
        <v>0</v>
      </c>
      <c r="I13" s="41">
        <v>32</v>
      </c>
      <c r="J13" s="41">
        <v>0</v>
      </c>
      <c r="K13" s="41">
        <v>57</v>
      </c>
      <c r="L13" s="41">
        <v>0</v>
      </c>
      <c r="M13" s="41">
        <v>35</v>
      </c>
      <c r="N13" s="39">
        <f t="shared" si="0"/>
        <v>756</v>
      </c>
      <c r="O13" s="87"/>
      <c r="P13" s="88"/>
      <c r="Q13" s="61">
        <v>43070</v>
      </c>
      <c r="R13" s="33">
        <v>500</v>
      </c>
      <c r="S13" s="33" t="s">
        <v>108</v>
      </c>
    </row>
    <row r="14" spans="1:19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39">
        <f t="shared" si="0"/>
        <v>0</v>
      </c>
      <c r="O14" s="87"/>
      <c r="P14" s="88"/>
      <c r="Q14" s="61">
        <v>43070</v>
      </c>
      <c r="R14" s="33">
        <v>2000</v>
      </c>
      <c r="S14" s="33" t="s">
        <v>110</v>
      </c>
    </row>
    <row r="15" spans="1:19">
      <c r="A15" s="64" t="s">
        <v>34</v>
      </c>
      <c r="B15" s="43"/>
      <c r="C15" s="4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87"/>
      <c r="P15" s="88"/>
      <c r="Q15" s="61">
        <v>43132</v>
      </c>
      <c r="R15" s="33">
        <v>-1500</v>
      </c>
      <c r="S15" s="33" t="s">
        <v>113</v>
      </c>
    </row>
    <row r="16" spans="1:19">
      <c r="A16" s="41" t="s">
        <v>35</v>
      </c>
      <c r="B16" s="41">
        <v>1380</v>
      </c>
      <c r="C16" s="41">
        <v>1380</v>
      </c>
      <c r="D16" s="41">
        <v>1380</v>
      </c>
      <c r="E16" s="41">
        <f>1480+161</f>
        <v>1641</v>
      </c>
      <c r="F16" s="41">
        <v>1480</v>
      </c>
      <c r="G16" s="44">
        <v>1530</v>
      </c>
      <c r="H16" s="41">
        <v>1538</v>
      </c>
      <c r="I16" s="41">
        <v>1480</v>
      </c>
      <c r="J16" s="41">
        <v>1480</v>
      </c>
      <c r="K16" s="41">
        <v>1695</v>
      </c>
      <c r="L16" s="41">
        <v>1600</v>
      </c>
      <c r="M16" s="41">
        <v>1600</v>
      </c>
      <c r="N16" s="39">
        <f t="shared" si="0"/>
        <v>18184</v>
      </c>
      <c r="O16" s="87"/>
      <c r="P16" s="88"/>
      <c r="Q16" s="61">
        <v>43132</v>
      </c>
      <c r="R16" s="33">
        <v>0</v>
      </c>
      <c r="S16" s="33" t="s">
        <v>114</v>
      </c>
    </row>
    <row r="17" spans="1:19">
      <c r="A17" s="41" t="s">
        <v>54</v>
      </c>
      <c r="B17" s="41">
        <v>56</v>
      </c>
      <c r="C17" s="41">
        <v>56</v>
      </c>
      <c r="D17" s="41">
        <v>51</v>
      </c>
      <c r="E17" s="41">
        <v>51</v>
      </c>
      <c r="F17" s="41">
        <v>66</v>
      </c>
      <c r="G17" s="44">
        <v>44</v>
      </c>
      <c r="H17" s="41">
        <v>0</v>
      </c>
      <c r="I17" s="41">
        <v>65</v>
      </c>
      <c r="J17" s="41">
        <v>65</v>
      </c>
      <c r="K17" s="41">
        <v>0</v>
      </c>
      <c r="L17" s="41">
        <v>0</v>
      </c>
      <c r="M17" s="41">
        <v>0</v>
      </c>
      <c r="N17" s="39">
        <f t="shared" si="0"/>
        <v>454</v>
      </c>
      <c r="O17" s="87"/>
      <c r="P17" s="88"/>
      <c r="Q17" s="61">
        <v>43132</v>
      </c>
      <c r="R17" s="33">
        <v>170</v>
      </c>
      <c r="S17" s="33" t="s">
        <v>109</v>
      </c>
    </row>
    <row r="18" spans="1:19">
      <c r="A18" s="41" t="s">
        <v>77</v>
      </c>
      <c r="B18" s="41">
        <f>1084+1302+419+32</f>
        <v>2837</v>
      </c>
      <c r="C18" s="41">
        <f>430+619+72</f>
        <v>1121</v>
      </c>
      <c r="D18" s="41">
        <f>759+649+431+60+300</f>
        <v>2199</v>
      </c>
      <c r="E18" s="41">
        <f>1151+759+256+169</f>
        <v>2335</v>
      </c>
      <c r="F18" s="41">
        <f>759+248+346+76+1000+73</f>
        <v>2502</v>
      </c>
      <c r="G18" s="44">
        <v>2197</v>
      </c>
      <c r="H18" s="41">
        <v>1159</v>
      </c>
      <c r="I18" s="41">
        <v>1505</v>
      </c>
      <c r="J18" s="41">
        <v>2208</v>
      </c>
      <c r="K18" s="41">
        <v>2223</v>
      </c>
      <c r="L18" s="41">
        <v>1296</v>
      </c>
      <c r="M18" s="41">
        <v>1732</v>
      </c>
      <c r="N18" s="39">
        <f t="shared" si="0"/>
        <v>23314</v>
      </c>
      <c r="O18" s="87"/>
      <c r="P18" s="88"/>
      <c r="Q18" s="61">
        <v>43132</v>
      </c>
      <c r="R18" s="33">
        <v>880</v>
      </c>
      <c r="S18" s="33" t="s">
        <v>115</v>
      </c>
    </row>
    <row r="19" spans="1:19">
      <c r="A19" s="41" t="s">
        <v>9</v>
      </c>
      <c r="B19" s="41">
        <v>225</v>
      </c>
      <c r="C19" s="41">
        <v>225</v>
      </c>
      <c r="D19" s="41">
        <v>225</v>
      </c>
      <c r="E19" s="41">
        <v>225</v>
      </c>
      <c r="F19" s="41">
        <v>225</v>
      </c>
      <c r="G19" s="44">
        <v>225</v>
      </c>
      <c r="H19" s="41">
        <v>225</v>
      </c>
      <c r="I19" s="41">
        <v>225</v>
      </c>
      <c r="J19" s="41">
        <v>225</v>
      </c>
      <c r="K19" s="41">
        <v>225</v>
      </c>
      <c r="L19" s="41">
        <v>225</v>
      </c>
      <c r="M19" s="41">
        <v>225</v>
      </c>
      <c r="N19" s="39">
        <f t="shared" si="0"/>
        <v>2700</v>
      </c>
      <c r="O19" s="87"/>
      <c r="P19" s="88"/>
      <c r="Q19" s="61">
        <v>43149</v>
      </c>
      <c r="R19" s="33">
        <v>200</v>
      </c>
      <c r="S19" s="33" t="s">
        <v>108</v>
      </c>
    </row>
    <row r="20" spans="1:19">
      <c r="A20" s="41" t="s">
        <v>36</v>
      </c>
      <c r="B20" s="41">
        <v>99</v>
      </c>
      <c r="C20" s="41">
        <v>78.5</v>
      </c>
      <c r="D20" s="41">
        <v>78.5</v>
      </c>
      <c r="E20" s="41">
        <v>78.5</v>
      </c>
      <c r="F20" s="2" t="s">
        <v>117</v>
      </c>
      <c r="G20" s="44">
        <v>145</v>
      </c>
      <c r="H20" s="41">
        <v>113</v>
      </c>
      <c r="I20" s="41">
        <v>113</v>
      </c>
      <c r="J20" s="41">
        <v>113</v>
      </c>
      <c r="K20" s="41">
        <v>138</v>
      </c>
      <c r="L20" s="41">
        <v>119</v>
      </c>
      <c r="M20" s="41">
        <v>119</v>
      </c>
      <c r="N20" s="39">
        <f t="shared" si="0"/>
        <v>1194.5</v>
      </c>
      <c r="O20" s="87"/>
      <c r="P20" s="88"/>
      <c r="Q20" s="61">
        <v>43208</v>
      </c>
      <c r="R20" s="33">
        <v>200</v>
      </c>
      <c r="S20" s="33" t="s">
        <v>109</v>
      </c>
    </row>
    <row r="21" spans="1:19" ht="13.5" customHeight="1">
      <c r="A21" s="41" t="s">
        <v>107</v>
      </c>
      <c r="B21" s="41">
        <v>278</v>
      </c>
      <c r="C21" s="41">
        <v>207</v>
      </c>
      <c r="D21" s="41">
        <v>158</v>
      </c>
      <c r="E21" s="41">
        <v>179</v>
      </c>
      <c r="F21" s="41">
        <v>103</v>
      </c>
      <c r="G21" s="44">
        <v>25</v>
      </c>
      <c r="H21" s="41">
        <v>43</v>
      </c>
      <c r="I21" s="41">
        <v>54</v>
      </c>
      <c r="J21" s="41">
        <v>102</v>
      </c>
      <c r="K21" s="41">
        <v>90</v>
      </c>
      <c r="L21" s="41">
        <v>107</v>
      </c>
      <c r="M21" s="41">
        <v>189</v>
      </c>
      <c r="N21" s="39">
        <f t="shared" si="0"/>
        <v>1535</v>
      </c>
      <c r="O21" s="87"/>
      <c r="P21" s="88"/>
      <c r="Q21" s="61"/>
    </row>
    <row r="22" spans="1:19">
      <c r="A22" s="41" t="s">
        <v>91</v>
      </c>
      <c r="B22" s="41">
        <f>170+16+720</f>
        <v>906</v>
      </c>
      <c r="C22" s="41">
        <f>18</f>
        <v>18</v>
      </c>
      <c r="D22" s="41">
        <f>56+60</f>
        <v>116</v>
      </c>
      <c r="E22" s="41">
        <v>20</v>
      </c>
      <c r="F22" s="41">
        <v>800</v>
      </c>
      <c r="G22" s="41">
        <v>0</v>
      </c>
      <c r="H22" s="41">
        <v>0</v>
      </c>
      <c r="I22" s="41"/>
      <c r="J22" s="41">
        <v>196</v>
      </c>
      <c r="K22" s="41">
        <v>12</v>
      </c>
      <c r="L22" s="41">
        <v>39</v>
      </c>
      <c r="M22" s="41">
        <v>344</v>
      </c>
      <c r="N22" s="39">
        <f t="shared" si="0"/>
        <v>2451</v>
      </c>
      <c r="O22" s="87"/>
      <c r="P22" s="88"/>
      <c r="Q22" s="61"/>
    </row>
    <row r="23" spans="1:19">
      <c r="A23" s="68" t="s">
        <v>119</v>
      </c>
      <c r="B23" s="68"/>
      <c r="C23" s="68"/>
      <c r="D23" s="68">
        <v>135</v>
      </c>
      <c r="E23" s="68">
        <f>117+1000</f>
        <v>1117</v>
      </c>
      <c r="F23" s="68">
        <v>1500</v>
      </c>
      <c r="G23" s="68">
        <v>1500</v>
      </c>
      <c r="H23" s="68">
        <v>1500</v>
      </c>
      <c r="I23" s="68">
        <v>1500</v>
      </c>
      <c r="J23" s="68">
        <v>1500</v>
      </c>
      <c r="K23" s="68">
        <v>1500</v>
      </c>
      <c r="L23" s="68">
        <v>2000</v>
      </c>
      <c r="M23" s="68">
        <v>2000</v>
      </c>
      <c r="N23" s="39">
        <f t="shared" si="0"/>
        <v>14252</v>
      </c>
      <c r="O23" s="39">
        <v>17510</v>
      </c>
      <c r="P23" s="39">
        <f>(835.11+874.11+92.81+15000+450)-SUM(B23:M23)</f>
        <v>3000.0299999999988</v>
      </c>
      <c r="Q23" s="61"/>
    </row>
    <row r="24" spans="1:19">
      <c r="A24" s="68" t="s">
        <v>118</v>
      </c>
      <c r="B24" s="68"/>
      <c r="C24" s="68"/>
      <c r="D24" s="68"/>
      <c r="E24" s="68"/>
      <c r="F24" s="68"/>
      <c r="G24" s="68"/>
      <c r="H24" s="68"/>
      <c r="I24" s="68">
        <v>225</v>
      </c>
      <c r="J24" s="68">
        <v>200</v>
      </c>
      <c r="K24" s="68">
        <v>200</v>
      </c>
      <c r="L24" s="68">
        <v>200</v>
      </c>
      <c r="M24" s="68">
        <v>0</v>
      </c>
      <c r="N24" s="39">
        <f t="shared" si="0"/>
        <v>825</v>
      </c>
      <c r="O24" s="39">
        <v>7725</v>
      </c>
      <c r="P24" s="39">
        <f>O24-N24</f>
        <v>6900</v>
      </c>
      <c r="Q24" s="61"/>
    </row>
    <row r="25" spans="1:19">
      <c r="A25" s="68" t="s">
        <v>120</v>
      </c>
      <c r="B25" s="68"/>
      <c r="C25" s="68"/>
      <c r="D25" s="68"/>
      <c r="E25" s="68"/>
      <c r="F25" s="68"/>
      <c r="G25" s="68"/>
      <c r="H25" s="68">
        <v>180</v>
      </c>
      <c r="I25" s="68">
        <v>200</v>
      </c>
      <c r="J25" s="68">
        <v>200</v>
      </c>
      <c r="K25" s="68">
        <v>100</v>
      </c>
      <c r="L25" s="68">
        <v>100</v>
      </c>
      <c r="M25" s="68">
        <v>100</v>
      </c>
      <c r="N25" s="39">
        <f t="shared" si="0"/>
        <v>880</v>
      </c>
      <c r="O25" s="39">
        <v>6180</v>
      </c>
      <c r="P25" s="39">
        <f>O25-N25</f>
        <v>5300</v>
      </c>
      <c r="Q25" s="61"/>
    </row>
    <row r="26" spans="1:19">
      <c r="A26" s="68" t="s">
        <v>121</v>
      </c>
      <c r="B26" s="68"/>
      <c r="C26" s="68"/>
      <c r="D26" s="68"/>
      <c r="E26" s="68"/>
      <c r="F26" s="68">
        <v>1240</v>
      </c>
      <c r="G26" s="68">
        <f>500</f>
        <v>500</v>
      </c>
      <c r="H26" s="68">
        <v>500</v>
      </c>
      <c r="I26" s="68">
        <v>200</v>
      </c>
      <c r="J26" s="68">
        <v>200</v>
      </c>
      <c r="K26" s="68">
        <v>100</v>
      </c>
      <c r="L26" s="68">
        <v>100</v>
      </c>
      <c r="M26" s="68">
        <v>100</v>
      </c>
      <c r="N26" s="39">
        <f t="shared" si="0"/>
        <v>2940</v>
      </c>
      <c r="O26" s="39">
        <v>6240</v>
      </c>
      <c r="P26" s="39">
        <f>O26-N26</f>
        <v>3300</v>
      </c>
      <c r="Q26" s="61"/>
    </row>
    <row r="27" spans="1:19">
      <c r="A27" s="68" t="s">
        <v>122</v>
      </c>
      <c r="B27" s="68"/>
      <c r="C27" s="68"/>
      <c r="D27" s="68"/>
      <c r="E27" s="68"/>
      <c r="F27" s="68"/>
      <c r="G27" s="68"/>
      <c r="H27" s="68"/>
      <c r="I27" s="68"/>
      <c r="J27" s="68">
        <v>180</v>
      </c>
      <c r="K27" s="68">
        <v>100</v>
      </c>
      <c r="L27" s="68">
        <v>100</v>
      </c>
      <c r="M27" s="68">
        <v>100</v>
      </c>
      <c r="N27" s="39">
        <f t="shared" si="0"/>
        <v>480</v>
      </c>
      <c r="O27" s="39">
        <v>4680</v>
      </c>
      <c r="P27" s="39">
        <f>O27-N27</f>
        <v>4200</v>
      </c>
      <c r="Q27" s="61"/>
    </row>
    <row r="28" spans="1:19">
      <c r="Q28" s="61"/>
    </row>
    <row r="29" spans="1:19">
      <c r="Q29" s="61"/>
    </row>
    <row r="30" spans="1:19">
      <c r="Q30" s="61"/>
    </row>
    <row r="31" spans="1:19">
      <c r="Q31" s="61"/>
    </row>
    <row r="32" spans="1:19">
      <c r="Q32" s="38">
        <f>3650-759-248-346-76-(1480+66)</f>
        <v>675</v>
      </c>
    </row>
    <row r="33" spans="17:17">
      <c r="Q33" s="61"/>
    </row>
    <row r="34" spans="17:17">
      <c r="Q34" s="61"/>
    </row>
    <row r="35" spans="17:17">
      <c r="Q35" s="61"/>
    </row>
    <row r="36" spans="17:17">
      <c r="Q36" s="61"/>
    </row>
    <row r="37" spans="17:17">
      <c r="Q37" s="61"/>
    </row>
    <row r="38" spans="17:17">
      <c r="Q38" s="61"/>
    </row>
    <row r="39" spans="17:17">
      <c r="Q39" s="61"/>
    </row>
    <row r="40" spans="17:17">
      <c r="Q40" s="61"/>
    </row>
    <row r="41" spans="17:17">
      <c r="Q41" s="61"/>
    </row>
  </sheetData>
  <mergeCells count="3">
    <mergeCell ref="Q2:R2"/>
    <mergeCell ref="P1:P22"/>
    <mergeCell ref="O1:O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0"/>
  <sheetViews>
    <sheetView topLeftCell="A22" workbookViewId="0">
      <selection activeCell="E30" sqref="E30"/>
    </sheetView>
  </sheetViews>
  <sheetFormatPr defaultRowHeight="12.75"/>
  <cols>
    <col min="1" max="1" width="30.140625" style="33" customWidth="1"/>
    <col min="2" max="2" width="12.42578125" style="17" customWidth="1"/>
    <col min="3" max="3" width="11.42578125" style="33" customWidth="1"/>
    <col min="4" max="4" width="14.5703125" style="33" customWidth="1"/>
    <col min="5" max="5" width="16" style="33" customWidth="1"/>
    <col min="6" max="6" width="19.5703125" style="33" customWidth="1"/>
    <col min="7" max="7" width="19" style="33" customWidth="1"/>
    <col min="8" max="8" width="20.5703125" style="33" customWidth="1"/>
    <col min="9" max="9" width="18" style="33" customWidth="1"/>
    <col min="10" max="11" width="9.140625" style="33"/>
    <col min="12" max="12" width="41.42578125" style="33" customWidth="1"/>
    <col min="13" max="13" width="26.140625" style="33" bestFit="1" customWidth="1"/>
    <col min="14" max="16384" width="9.140625" style="33"/>
  </cols>
  <sheetData>
    <row r="1" spans="1:6" ht="19.5" customHeight="1">
      <c r="A1" s="92" t="s">
        <v>4</v>
      </c>
      <c r="B1" s="92"/>
      <c r="C1" s="92"/>
      <c r="D1" s="92"/>
      <c r="E1" s="92"/>
      <c r="F1" s="92"/>
    </row>
    <row r="2" spans="1:6" ht="19.5" customHeight="1" thickBot="1">
      <c r="A2" s="5" t="s">
        <v>5</v>
      </c>
      <c r="B2" s="14" t="s">
        <v>13</v>
      </c>
      <c r="C2" s="5" t="s">
        <v>12</v>
      </c>
      <c r="D2" s="5" t="s">
        <v>6</v>
      </c>
      <c r="E2" s="5" t="s">
        <v>7</v>
      </c>
      <c r="F2" s="5" t="s">
        <v>8</v>
      </c>
    </row>
    <row r="3" spans="1:6" ht="19.5" customHeight="1" thickTop="1">
      <c r="A3" s="8" t="s">
        <v>42</v>
      </c>
      <c r="B3" s="15"/>
      <c r="C3" s="8">
        <v>1</v>
      </c>
      <c r="D3" s="12">
        <v>1435</v>
      </c>
      <c r="E3" s="6">
        <v>1435</v>
      </c>
      <c r="F3" s="10"/>
    </row>
    <row r="4" spans="1:6" ht="19.5" customHeight="1">
      <c r="A4" s="9" t="s">
        <v>93</v>
      </c>
      <c r="B4" s="16" t="s">
        <v>11</v>
      </c>
      <c r="C4" s="9">
        <v>6</v>
      </c>
      <c r="D4" s="13">
        <v>661</v>
      </c>
      <c r="E4" s="7"/>
      <c r="F4" s="11">
        <v>661</v>
      </c>
    </row>
    <row r="5" spans="1:6" ht="19.5" customHeight="1">
      <c r="A5" s="9" t="s">
        <v>48</v>
      </c>
      <c r="B5" s="16"/>
      <c r="C5" s="9">
        <v>3</v>
      </c>
      <c r="D5" s="13">
        <v>58</v>
      </c>
      <c r="E5" s="7"/>
      <c r="F5" s="11">
        <v>58</v>
      </c>
    </row>
    <row r="6" spans="1:6" ht="19.5" customHeight="1">
      <c r="A6" s="9" t="s">
        <v>9</v>
      </c>
      <c r="B6" s="16" t="s">
        <v>11</v>
      </c>
      <c r="C6" s="9">
        <v>4</v>
      </c>
      <c r="D6" s="13">
        <v>225</v>
      </c>
      <c r="E6" s="7">
        <v>225</v>
      </c>
      <c r="F6" s="11"/>
    </row>
    <row r="7" spans="1:6" ht="19.5" customHeight="1">
      <c r="A7" s="9" t="s">
        <v>53</v>
      </c>
      <c r="B7" s="16"/>
      <c r="C7" s="9">
        <v>5</v>
      </c>
      <c r="D7" s="13">
        <v>150</v>
      </c>
      <c r="E7" s="7">
        <v>150</v>
      </c>
      <c r="F7" s="11"/>
    </row>
    <row r="8" spans="1:6" ht="19.5" customHeight="1">
      <c r="A8" s="9" t="s">
        <v>10</v>
      </c>
      <c r="B8" s="16"/>
      <c r="C8" s="9">
        <v>10</v>
      </c>
      <c r="D8" s="13">
        <v>200</v>
      </c>
      <c r="E8" s="7"/>
      <c r="F8" s="11">
        <v>200</v>
      </c>
    </row>
    <row r="9" spans="1:6" ht="19.5" customHeight="1">
      <c r="A9" s="9" t="s">
        <v>18</v>
      </c>
      <c r="B9" s="16"/>
      <c r="C9" s="9">
        <v>12</v>
      </c>
      <c r="D9" s="13">
        <v>79</v>
      </c>
      <c r="E9" s="7">
        <v>79</v>
      </c>
      <c r="F9" s="11"/>
    </row>
    <row r="10" spans="1:6" ht="19.5" customHeight="1">
      <c r="A10" s="9" t="s">
        <v>86</v>
      </c>
      <c r="B10" s="16" t="s">
        <v>11</v>
      </c>
      <c r="C10" s="9">
        <v>15</v>
      </c>
      <c r="D10" s="13">
        <v>141</v>
      </c>
      <c r="E10" s="7"/>
      <c r="F10" s="11">
        <v>141</v>
      </c>
    </row>
    <row r="11" spans="1:6" ht="19.5" customHeight="1">
      <c r="A11" s="9" t="s">
        <v>10</v>
      </c>
      <c r="B11" s="16"/>
      <c r="C11" s="9">
        <v>20</v>
      </c>
      <c r="D11" s="13">
        <v>200</v>
      </c>
      <c r="E11" s="7"/>
      <c r="F11" s="11">
        <v>200</v>
      </c>
    </row>
    <row r="12" spans="1:6" ht="19.5" customHeight="1">
      <c r="A12" s="9" t="s">
        <v>79</v>
      </c>
      <c r="B12" s="16" t="s">
        <v>11</v>
      </c>
      <c r="C12" s="9">
        <v>29</v>
      </c>
      <c r="D12" s="13">
        <v>10</v>
      </c>
      <c r="E12" s="7"/>
      <c r="F12" s="11">
        <v>10</v>
      </c>
    </row>
    <row r="13" spans="1:6" ht="19.5" customHeight="1">
      <c r="A13" s="9" t="s">
        <v>10</v>
      </c>
      <c r="B13" s="16"/>
      <c r="C13" s="9">
        <v>30</v>
      </c>
      <c r="D13" s="13">
        <v>100</v>
      </c>
      <c r="E13" s="7"/>
      <c r="F13" s="11">
        <v>100</v>
      </c>
    </row>
    <row r="14" spans="1:6" ht="19.5" customHeight="1">
      <c r="A14" s="9" t="s">
        <v>24</v>
      </c>
      <c r="B14" s="16"/>
      <c r="C14" s="9"/>
      <c r="D14" s="13"/>
      <c r="E14" s="7"/>
      <c r="F14" s="11">
        <v>75</v>
      </c>
    </row>
    <row r="15" spans="1:6" ht="19.5" customHeight="1"/>
    <row r="16" spans="1:6" ht="19.5" customHeight="1">
      <c r="B16" s="33"/>
    </row>
    <row r="17" spans="1:8" ht="19.5" customHeight="1">
      <c r="A17" s="1" t="s">
        <v>0</v>
      </c>
      <c r="B17" s="7">
        <f>SUM(E3:E16)</f>
        <v>1889</v>
      </c>
      <c r="C17" s="93" t="s">
        <v>21</v>
      </c>
    </row>
    <row r="18" spans="1:8" ht="19.5" customHeight="1">
      <c r="A18" s="1" t="s">
        <v>1</v>
      </c>
      <c r="B18" s="11">
        <f>SUM(F3:F16)</f>
        <v>1445</v>
      </c>
      <c r="C18" s="93"/>
    </row>
    <row r="19" spans="1:8" ht="19.5" customHeight="1">
      <c r="A19" s="1" t="s">
        <v>15</v>
      </c>
      <c r="B19" s="18">
        <v>500</v>
      </c>
      <c r="C19" s="93"/>
    </row>
    <row r="20" spans="1:8" ht="19.5" customHeight="1">
      <c r="A20" s="3" t="s">
        <v>2</v>
      </c>
      <c r="B20" s="4">
        <f>SUM(B17:B19)</f>
        <v>3834</v>
      </c>
      <c r="C20" s="93"/>
    </row>
    <row r="21" spans="1:8" ht="19.5" customHeight="1">
      <c r="A21" s="2" t="s">
        <v>3</v>
      </c>
      <c r="B21" s="2">
        <f>SUM(7000,-1*B20)</f>
        <v>3166</v>
      </c>
      <c r="C21" s="2">
        <f>B21*66/100000</f>
        <v>2.0895600000000001</v>
      </c>
    </row>
    <row r="22" spans="1:8" ht="18" customHeight="1">
      <c r="A22" s="1" t="s">
        <v>16</v>
      </c>
      <c r="B22" s="2">
        <f>B21+B19+D14</f>
        <v>3666</v>
      </c>
      <c r="C22" s="2">
        <f>B22*66/100000</f>
        <v>2.4195600000000002</v>
      </c>
    </row>
    <row r="25" spans="1:8">
      <c r="A25" s="20"/>
      <c r="B25" s="24" t="s">
        <v>3</v>
      </c>
      <c r="C25" s="24" t="s">
        <v>19</v>
      </c>
      <c r="D25" s="24" t="s">
        <v>20</v>
      </c>
      <c r="E25" s="24" t="s">
        <v>22</v>
      </c>
      <c r="F25" s="24" t="s">
        <v>55</v>
      </c>
      <c r="G25" s="24" t="s">
        <v>56</v>
      </c>
      <c r="H25" s="24" t="s">
        <v>23</v>
      </c>
    </row>
    <row r="26" spans="1:8">
      <c r="A26" s="23" t="s">
        <v>83</v>
      </c>
      <c r="B26" s="48">
        <f>100000+250000-90000+10000</f>
        <v>270000</v>
      </c>
      <c r="C26" s="20"/>
      <c r="D26" s="20"/>
      <c r="E26" s="20"/>
      <c r="G26" s="20"/>
      <c r="H26" s="20"/>
    </row>
    <row r="27" spans="1:8">
      <c r="A27" s="23" t="s">
        <v>84</v>
      </c>
      <c r="B27" s="48">
        <f>25000-10000-10000</f>
        <v>5000</v>
      </c>
      <c r="C27" s="20"/>
      <c r="D27" s="20"/>
      <c r="E27" s="20"/>
      <c r="G27" s="20"/>
      <c r="H27" s="20"/>
    </row>
    <row r="28" spans="1:8">
      <c r="A28" s="23"/>
      <c r="B28" s="48"/>
      <c r="C28" s="20"/>
      <c r="D28" s="20"/>
      <c r="E28" s="20"/>
      <c r="G28" s="20"/>
      <c r="H28" s="20"/>
    </row>
    <row r="29" spans="1:8" ht="12" customHeight="1">
      <c r="B29" s="21"/>
    </row>
    <row r="30" spans="1:8">
      <c r="A30" s="26" t="s">
        <v>111</v>
      </c>
      <c r="B30" s="30">
        <v>17900</v>
      </c>
      <c r="C30" s="31"/>
      <c r="D30" s="31"/>
      <c r="E30" s="31">
        <v>17900</v>
      </c>
      <c r="F30" s="31"/>
      <c r="G30" s="31"/>
      <c r="H30" s="31"/>
    </row>
    <row r="31" spans="1:8">
      <c r="A31" s="26">
        <v>43101</v>
      </c>
      <c r="B31" s="63">
        <f>-350+2250</f>
        <v>1900</v>
      </c>
      <c r="C31" s="63">
        <f>E30+B31</f>
        <v>19800</v>
      </c>
      <c r="D31" s="63"/>
      <c r="E31" s="63">
        <f t="shared" ref="E31:E41" si="0">C31-D31</f>
        <v>19800</v>
      </c>
      <c r="F31" s="62"/>
      <c r="G31" s="62">
        <f>G30+D31*66+F31</f>
        <v>0</v>
      </c>
      <c r="H31" s="62">
        <f>ROUND(E31*66+G31,0)</f>
        <v>1306800</v>
      </c>
    </row>
    <row r="32" spans="1:8">
      <c r="A32" s="26">
        <v>43132</v>
      </c>
      <c r="B32" s="63">
        <f>500-900+3400</f>
        <v>3000</v>
      </c>
      <c r="C32" s="63">
        <f t="shared" ref="C32:C42" si="1">E31+B32</f>
        <v>22800</v>
      </c>
      <c r="D32" s="63"/>
      <c r="E32" s="63">
        <f t="shared" si="0"/>
        <v>22800</v>
      </c>
      <c r="F32" s="62"/>
      <c r="G32" s="62">
        <f>G31+D32*66+F32</f>
        <v>0</v>
      </c>
      <c r="H32" s="62">
        <f t="shared" ref="H32:H39" si="2">ROUND(E32*66+G32,0)</f>
        <v>1504800</v>
      </c>
    </row>
    <row r="33" spans="1:8">
      <c r="A33" s="26">
        <v>43160</v>
      </c>
      <c r="B33" s="63">
        <f>1220+1030+1700</f>
        <v>3950</v>
      </c>
      <c r="C33" s="63">
        <f t="shared" si="1"/>
        <v>26750</v>
      </c>
      <c r="D33" s="63">
        <f>3500</f>
        <v>3500</v>
      </c>
      <c r="E33" s="63">
        <f t="shared" si="0"/>
        <v>23250</v>
      </c>
      <c r="F33" s="62"/>
      <c r="G33" s="62">
        <v>0</v>
      </c>
      <c r="H33" s="62">
        <f t="shared" si="2"/>
        <v>1534500</v>
      </c>
    </row>
    <row r="34" spans="1:8">
      <c r="A34" s="26">
        <v>43191</v>
      </c>
      <c r="B34" s="63">
        <v>2250</v>
      </c>
      <c r="C34" s="63">
        <f t="shared" si="1"/>
        <v>25500</v>
      </c>
      <c r="D34" s="63">
        <f>2500+3000</f>
        <v>5500</v>
      </c>
      <c r="E34" s="63">
        <f t="shared" si="0"/>
        <v>20000</v>
      </c>
      <c r="F34" s="62"/>
      <c r="G34" s="62">
        <v>0</v>
      </c>
      <c r="H34" s="62">
        <f>ROUND(E34*64+G34,0)</f>
        <v>1280000</v>
      </c>
    </row>
    <row r="35" spans="1:8">
      <c r="A35" s="26">
        <v>43221</v>
      </c>
      <c r="B35" s="63">
        <v>0</v>
      </c>
      <c r="C35" s="63">
        <f t="shared" si="1"/>
        <v>20000</v>
      </c>
      <c r="D35" s="63">
        <v>800</v>
      </c>
      <c r="E35" s="63">
        <f t="shared" si="0"/>
        <v>19200</v>
      </c>
      <c r="F35" s="62"/>
      <c r="G35" s="62">
        <v>0</v>
      </c>
      <c r="H35" s="62">
        <f t="shared" si="2"/>
        <v>1267200</v>
      </c>
    </row>
    <row r="36" spans="1:8">
      <c r="A36" s="26">
        <v>43252</v>
      </c>
      <c r="B36" s="63">
        <v>0</v>
      </c>
      <c r="C36" s="63">
        <f t="shared" si="1"/>
        <v>19200</v>
      </c>
      <c r="D36" s="63">
        <v>3700</v>
      </c>
      <c r="E36" s="63">
        <f t="shared" si="0"/>
        <v>15500</v>
      </c>
      <c r="F36" s="62"/>
      <c r="G36" s="62">
        <v>0</v>
      </c>
      <c r="H36" s="62">
        <f t="shared" si="2"/>
        <v>1023000</v>
      </c>
    </row>
    <row r="37" spans="1:8">
      <c r="A37" s="26">
        <v>43282</v>
      </c>
      <c r="B37" s="63">
        <v>1200</v>
      </c>
      <c r="C37" s="63">
        <f t="shared" si="1"/>
        <v>16700</v>
      </c>
      <c r="D37" s="63">
        <v>4000</v>
      </c>
      <c r="E37" s="63">
        <f t="shared" si="0"/>
        <v>12700</v>
      </c>
      <c r="F37" s="62"/>
      <c r="G37" s="62">
        <v>0</v>
      </c>
      <c r="H37" s="62">
        <f t="shared" si="2"/>
        <v>838200</v>
      </c>
    </row>
    <row r="38" spans="1:8" ht="13.5" customHeight="1">
      <c r="A38" s="26">
        <v>43313</v>
      </c>
      <c r="B38" s="63">
        <v>2000</v>
      </c>
      <c r="C38" s="63">
        <f t="shared" si="1"/>
        <v>14700</v>
      </c>
      <c r="D38" s="63">
        <v>0</v>
      </c>
      <c r="E38" s="63">
        <f t="shared" si="0"/>
        <v>14700</v>
      </c>
      <c r="F38" s="62"/>
      <c r="G38" s="62">
        <f>G37+D38*63.64+F38</f>
        <v>0</v>
      </c>
      <c r="H38" s="62">
        <f t="shared" si="2"/>
        <v>970200</v>
      </c>
    </row>
    <row r="39" spans="1:8">
      <c r="A39" s="26">
        <v>43344</v>
      </c>
      <c r="B39" s="63">
        <v>1400</v>
      </c>
      <c r="C39" s="63">
        <f t="shared" si="1"/>
        <v>16100</v>
      </c>
      <c r="D39" s="63">
        <v>0</v>
      </c>
      <c r="E39" s="63">
        <f t="shared" si="0"/>
        <v>16100</v>
      </c>
      <c r="F39" s="62"/>
      <c r="G39" s="62">
        <f>G38+D39*63.66+F39</f>
        <v>0</v>
      </c>
      <c r="H39" s="62">
        <f t="shared" si="2"/>
        <v>1062600</v>
      </c>
    </row>
    <row r="40" spans="1:8">
      <c r="A40" s="26">
        <v>43374</v>
      </c>
      <c r="B40" s="63">
        <v>500</v>
      </c>
      <c r="C40" s="63">
        <f t="shared" si="1"/>
        <v>16600</v>
      </c>
      <c r="D40" s="63">
        <v>5500</v>
      </c>
      <c r="E40" s="63">
        <f t="shared" si="0"/>
        <v>11100</v>
      </c>
      <c r="F40" s="62"/>
      <c r="G40" s="62">
        <v>0</v>
      </c>
      <c r="H40" s="62">
        <f>ROUND(E40*65+G40,0)</f>
        <v>721500</v>
      </c>
    </row>
    <row r="41" spans="1:8">
      <c r="A41" s="26">
        <v>43405</v>
      </c>
      <c r="B41" s="63">
        <v>900</v>
      </c>
      <c r="C41" s="63">
        <f t="shared" si="1"/>
        <v>12000</v>
      </c>
      <c r="D41" s="63">
        <v>0</v>
      </c>
      <c r="E41" s="63">
        <f t="shared" si="0"/>
        <v>12000</v>
      </c>
      <c r="F41" s="62"/>
      <c r="G41" s="62">
        <f>G40+D41*64.5+F41</f>
        <v>0</v>
      </c>
      <c r="H41" s="62">
        <f>ROUND(E41*70+G41,0)</f>
        <v>840000</v>
      </c>
    </row>
    <row r="42" spans="1:8">
      <c r="A42" s="26">
        <v>43435</v>
      </c>
      <c r="B42" s="63">
        <v>1180</v>
      </c>
      <c r="C42" s="63">
        <f t="shared" si="1"/>
        <v>13180</v>
      </c>
      <c r="D42" s="63">
        <v>0</v>
      </c>
      <c r="E42" s="63">
        <f>C42-D42</f>
        <v>13180</v>
      </c>
      <c r="F42" s="62"/>
      <c r="G42" s="62">
        <f>G41+D42*66+F42</f>
        <v>0</v>
      </c>
      <c r="H42" s="62">
        <f>ROUND(E42*70+G42,0)</f>
        <v>922600</v>
      </c>
    </row>
    <row r="43" spans="1:8">
      <c r="E43" s="63"/>
      <c r="F43" s="62"/>
      <c r="G43" s="36"/>
    </row>
    <row r="48" spans="1:8">
      <c r="G48" s="33" t="s">
        <v>69</v>
      </c>
    </row>
    <row r="49" spans="2:2" ht="14.25" customHeight="1">
      <c r="B49" s="33"/>
    </row>
    <row r="50" spans="2:2">
      <c r="B50" s="33"/>
    </row>
  </sheetData>
  <mergeCells count="2">
    <mergeCell ref="A1:F1"/>
    <mergeCell ref="C17:C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8"/>
  <sheetViews>
    <sheetView topLeftCell="A3" workbookViewId="0">
      <selection activeCell="C8" sqref="C8"/>
    </sheetView>
  </sheetViews>
  <sheetFormatPr defaultRowHeight="12.75"/>
  <cols>
    <col min="1" max="1" width="33.140625" style="33" customWidth="1"/>
    <col min="2" max="4" width="9.140625" style="33"/>
    <col min="5" max="5" width="8.7109375" style="33" customWidth="1"/>
    <col min="6" max="6" width="9.140625" style="33"/>
    <col min="7" max="7" width="9.42578125" style="33" customWidth="1"/>
    <col min="8" max="8" width="9.85546875" style="33" customWidth="1"/>
    <col min="9" max="13" width="9.140625" style="33"/>
    <col min="14" max="14" width="11.7109375" style="33" customWidth="1"/>
    <col min="15" max="16" width="9.140625" style="33"/>
    <col min="17" max="17" width="13.28515625" style="33" customWidth="1"/>
    <col min="18" max="18" width="13.7109375" style="33" customWidth="1"/>
    <col min="19" max="19" width="16" style="33" customWidth="1"/>
    <col min="20" max="20" width="11.28515625" style="33" customWidth="1"/>
    <col min="21" max="21" width="22.140625" style="33" customWidth="1"/>
    <col min="22" max="16384" width="9.140625" style="33"/>
  </cols>
  <sheetData>
    <row r="1" spans="1:19">
      <c r="A1" s="50" t="s">
        <v>25</v>
      </c>
      <c r="B1" s="50" t="s">
        <v>17</v>
      </c>
      <c r="C1" s="50" t="s">
        <v>33</v>
      </c>
      <c r="D1" s="50" t="s">
        <v>38</v>
      </c>
      <c r="E1" s="50" t="s">
        <v>39</v>
      </c>
      <c r="F1" s="50" t="s">
        <v>41</v>
      </c>
      <c r="G1" s="50" t="s">
        <v>78</v>
      </c>
      <c r="H1" s="50" t="s">
        <v>46</v>
      </c>
      <c r="I1" s="50" t="s">
        <v>45</v>
      </c>
      <c r="J1" s="50" t="s">
        <v>47</v>
      </c>
      <c r="K1" s="50" t="s">
        <v>50</v>
      </c>
      <c r="L1" s="50" t="s">
        <v>51</v>
      </c>
      <c r="M1" s="50" t="s">
        <v>52</v>
      </c>
      <c r="N1" s="50" t="s">
        <v>23</v>
      </c>
      <c r="O1" s="65" t="s">
        <v>90</v>
      </c>
    </row>
    <row r="2" spans="1:19">
      <c r="A2" s="38" t="s">
        <v>58</v>
      </c>
      <c r="B2" s="38">
        <f>336+273</f>
        <v>609</v>
      </c>
      <c r="C2" s="38">
        <f>62+547</f>
        <v>609</v>
      </c>
      <c r="D2" s="38">
        <f>828+138</f>
        <v>966</v>
      </c>
      <c r="E2" s="38">
        <v>828</v>
      </c>
      <c r="F2" s="38">
        <v>787</v>
      </c>
      <c r="G2" s="38">
        <v>787</v>
      </c>
      <c r="H2" s="38">
        <v>787</v>
      </c>
      <c r="I2" s="38">
        <v>787</v>
      </c>
      <c r="J2" s="38">
        <v>787</v>
      </c>
      <c r="K2" s="38">
        <v>787</v>
      </c>
      <c r="L2" s="38">
        <v>787</v>
      </c>
      <c r="M2" s="38">
        <f>787+(302)</f>
        <v>1089</v>
      </c>
      <c r="N2" s="39">
        <f>SUM(B2:M2)</f>
        <v>9610</v>
      </c>
      <c r="O2" s="66">
        <f>N2/12</f>
        <v>800.83333333333337</v>
      </c>
      <c r="Q2" s="97" t="s">
        <v>106</v>
      </c>
      <c r="R2" s="97"/>
    </row>
    <row r="3" spans="1:19">
      <c r="A3" s="38" t="s">
        <v>40</v>
      </c>
      <c r="B3" s="38">
        <v>73</v>
      </c>
      <c r="C3" s="38">
        <v>73</v>
      </c>
      <c r="D3" s="38">
        <v>73</v>
      </c>
      <c r="E3" s="38">
        <v>73</v>
      </c>
      <c r="F3" s="38">
        <v>72</v>
      </c>
      <c r="G3" s="38">
        <v>72</v>
      </c>
      <c r="H3" s="38">
        <v>22</v>
      </c>
      <c r="I3" s="38">
        <v>118</v>
      </c>
      <c r="J3" s="38">
        <v>57</v>
      </c>
      <c r="K3" s="38">
        <v>57</v>
      </c>
      <c r="L3" s="38">
        <v>57</v>
      </c>
      <c r="M3" s="38">
        <v>57</v>
      </c>
      <c r="N3" s="39">
        <f t="shared" ref="N3:N23" si="0">SUM(B3:M3)</f>
        <v>804</v>
      </c>
      <c r="O3" s="66">
        <f t="shared" ref="O3:O23" si="1">N3/12</f>
        <v>67</v>
      </c>
      <c r="Q3" s="61">
        <v>42705</v>
      </c>
      <c r="R3" s="33">
        <v>100</v>
      </c>
      <c r="S3" s="33" t="s">
        <v>109</v>
      </c>
    </row>
    <row r="4" spans="1:19">
      <c r="A4" s="38" t="s">
        <v>85</v>
      </c>
      <c r="B4" s="38">
        <v>155</v>
      </c>
      <c r="C4" s="38">
        <v>155</v>
      </c>
      <c r="D4" s="38">
        <v>155</v>
      </c>
      <c r="E4" s="38">
        <v>155</v>
      </c>
      <c r="F4" s="38">
        <v>129</v>
      </c>
      <c r="G4" s="38">
        <v>144</v>
      </c>
      <c r="H4" s="38">
        <f>144</f>
        <v>144</v>
      </c>
      <c r="I4" s="38">
        <v>137</v>
      </c>
      <c r="J4" s="38">
        <v>141</v>
      </c>
      <c r="K4" s="38">
        <v>141</v>
      </c>
      <c r="L4" s="38">
        <v>141</v>
      </c>
      <c r="M4" s="38">
        <f>397+155-75</f>
        <v>477</v>
      </c>
      <c r="N4" s="39">
        <f t="shared" si="0"/>
        <v>2074</v>
      </c>
      <c r="O4" s="66">
        <f t="shared" si="1"/>
        <v>172.83333333333334</v>
      </c>
      <c r="Q4" s="61">
        <v>42767</v>
      </c>
      <c r="R4" s="33">
        <v>20</v>
      </c>
      <c r="S4" s="33" t="s">
        <v>109</v>
      </c>
    </row>
    <row r="5" spans="1:19">
      <c r="A5" s="38" t="s">
        <v>87</v>
      </c>
      <c r="B5" s="38">
        <v>11</v>
      </c>
      <c r="C5" s="38">
        <v>11</v>
      </c>
      <c r="D5" s="38">
        <v>11</v>
      </c>
      <c r="E5" s="38">
        <v>11</v>
      </c>
      <c r="F5" s="38">
        <v>11</v>
      </c>
      <c r="G5" s="38">
        <v>11</v>
      </c>
      <c r="H5" s="38">
        <v>11</v>
      </c>
      <c r="I5" s="38">
        <v>11</v>
      </c>
      <c r="J5" s="38">
        <v>11</v>
      </c>
      <c r="K5" s="38">
        <v>11</v>
      </c>
      <c r="L5" s="38">
        <v>0</v>
      </c>
      <c r="M5" s="38">
        <v>0</v>
      </c>
      <c r="N5" s="39">
        <f>SUM(B5:M5)</f>
        <v>110</v>
      </c>
      <c r="O5" s="66">
        <f t="shared" si="1"/>
        <v>9.1666666666666661</v>
      </c>
      <c r="Q5" s="61">
        <v>42795</v>
      </c>
      <c r="R5" s="33">
        <v>50</v>
      </c>
      <c r="S5" s="33" t="s">
        <v>109</v>
      </c>
    </row>
    <row r="6" spans="1:19">
      <c r="A6" s="38" t="s">
        <v>26</v>
      </c>
      <c r="B6" s="38">
        <v>29</v>
      </c>
      <c r="C6" s="38">
        <v>29</v>
      </c>
      <c r="D6" s="38">
        <v>29</v>
      </c>
      <c r="E6" s="38">
        <v>28</v>
      </c>
      <c r="F6" s="38">
        <v>28</v>
      </c>
      <c r="G6" s="38">
        <v>28</v>
      </c>
      <c r="H6" s="38">
        <v>29</v>
      </c>
      <c r="I6" s="38">
        <v>29</v>
      </c>
      <c r="J6" s="38">
        <f>38</f>
        <v>38</v>
      </c>
      <c r="K6" s="38">
        <v>6</v>
      </c>
      <c r="L6" s="38">
        <v>10</v>
      </c>
      <c r="M6" s="38">
        <v>0</v>
      </c>
      <c r="N6" s="39">
        <f>SUM(B6:M6)</f>
        <v>283</v>
      </c>
      <c r="O6" s="66">
        <f t="shared" si="1"/>
        <v>23.583333333333332</v>
      </c>
      <c r="Q6" s="61">
        <v>42842</v>
      </c>
      <c r="R6" s="33">
        <v>170</v>
      </c>
      <c r="S6" s="33" t="s">
        <v>109</v>
      </c>
    </row>
    <row r="7" spans="1:19">
      <c r="A7" s="41" t="s">
        <v>28</v>
      </c>
      <c r="B7" s="41">
        <f>21+13+20+10+62+28+58+31+15+14+57+38+76+28-15+13+91+19+9-5</f>
        <v>583</v>
      </c>
      <c r="C7" s="41">
        <f>101+10+21+48+14+67+32+12+16+34+13+46+23+32</f>
        <v>469</v>
      </c>
      <c r="D7" s="41">
        <f>55+19+11+84+3+64+28+29+100+37+14+3-15+66+34+21+107+9+21+4+86</f>
        <v>780</v>
      </c>
      <c r="E7" s="41">
        <f>13+81+22+47+11+150+13+16+86+14+71+12+21+10</f>
        <v>567</v>
      </c>
      <c r="F7" s="41">
        <f>32+109+51+10+84+8+60+14+136+13+50+25+45+18+76+22</f>
        <v>753</v>
      </c>
      <c r="G7" s="41">
        <f>53+9+11+7+11+42+175+12+23-30+9+13+10-60+13+8+29+21+11+19+18</f>
        <v>404</v>
      </c>
      <c r="H7" s="41">
        <f>32+79+7+25+67+11+8+68+14+106+20+25+16</f>
        <v>478</v>
      </c>
      <c r="I7" s="41">
        <f>73+27+15+84+12+34+15+8+33+20+7</f>
        <v>328</v>
      </c>
      <c r="J7" s="41">
        <f>65+72+13+116-42+5+48+56+14+49+6+6+8</f>
        <v>416</v>
      </c>
      <c r="K7" s="41">
        <f>9+16+24+12+88+29+20+5+10+18+43+9+31+11+35</f>
        <v>360</v>
      </c>
      <c r="L7" s="41">
        <f>127+53+86+5+56+44+37</f>
        <v>408</v>
      </c>
      <c r="M7" s="41">
        <f>19+16+23+(104-42)+75+13+(102-42-42)+54+9+18+(109-42-5)+14</f>
        <v>383</v>
      </c>
      <c r="N7" s="39">
        <f t="shared" si="0"/>
        <v>5929</v>
      </c>
      <c r="O7" s="66">
        <f t="shared" si="1"/>
        <v>494.08333333333331</v>
      </c>
      <c r="Q7" s="61">
        <v>42872</v>
      </c>
      <c r="R7" s="33">
        <v>50</v>
      </c>
      <c r="S7" s="33" t="s">
        <v>109</v>
      </c>
    </row>
    <row r="8" spans="1:19">
      <c r="A8" s="41" t="s">
        <v>27</v>
      </c>
      <c r="B8" s="41">
        <f>21+5+46+21+10+11+169+14</f>
        <v>297</v>
      </c>
      <c r="C8" s="41">
        <f>55+60+24+10+61+18+12+12+62</f>
        <v>314</v>
      </c>
      <c r="D8" s="41">
        <f>18+19+5+22+17+9+25+15+19+10+27+5+10</f>
        <v>201</v>
      </c>
      <c r="E8" s="41">
        <f>11+16+22+3+35+11+42+5+254+2+2+10</f>
        <v>413</v>
      </c>
      <c r="F8" s="41">
        <f>352+12+59+24+10+100+48+5+18+15+45+18+3+68</f>
        <v>777</v>
      </c>
      <c r="G8" s="41">
        <f>14+25+6+33+22</f>
        <v>100</v>
      </c>
      <c r="H8" s="41">
        <f>159+24+5+3+169+65+7+180+15+159+24+383+31+6</f>
        <v>1230</v>
      </c>
      <c r="I8" s="41">
        <f>5+10+17+7+27+8+7+3+8+15+6+12+33+8</f>
        <v>166</v>
      </c>
      <c r="J8" s="41">
        <f>35-23+128+137+15+16+51+9+5+25+4+10+25</f>
        <v>437</v>
      </c>
      <c r="K8" s="41">
        <f>100+50+11+20-50+60+134+8+32+3+27+16+19+30+32+6+12+25+6+26+8+6+7+18+13-80</f>
        <v>539</v>
      </c>
      <c r="L8" s="41">
        <f>43+20+3+16+7+11+25+17+8+117+599+329+16+46+2+50-17-21</f>
        <v>1271</v>
      </c>
      <c r="M8" s="41">
        <f>(12+39+48+9+14+5)+15+40+70+13+9+15</f>
        <v>289</v>
      </c>
      <c r="N8" s="39">
        <f t="shared" si="0"/>
        <v>6034</v>
      </c>
      <c r="O8" s="66">
        <f t="shared" si="1"/>
        <v>502.83333333333331</v>
      </c>
      <c r="Q8" s="61">
        <v>42933</v>
      </c>
      <c r="R8" s="33">
        <v>145</v>
      </c>
      <c r="S8" s="33" t="s">
        <v>109</v>
      </c>
    </row>
    <row r="9" spans="1:19">
      <c r="A9" s="41" t="s">
        <v>30</v>
      </c>
      <c r="B9" s="41">
        <f>25+7+101+25-28+25-25+25</f>
        <v>155</v>
      </c>
      <c r="C9" s="41">
        <f>47+25+66</f>
        <v>138</v>
      </c>
      <c r="D9" s="41">
        <f>25+25+33+56</f>
        <v>139</v>
      </c>
      <c r="E9" s="41">
        <f>63+25+25+25</f>
        <v>138</v>
      </c>
      <c r="F9" s="41">
        <f>59+26+17+34+25+62+7</f>
        <v>230</v>
      </c>
      <c r="G9" s="41">
        <f>9+17</f>
        <v>26</v>
      </c>
      <c r="H9" s="41">
        <f>31+68+38</f>
        <v>137</v>
      </c>
      <c r="I9" s="41">
        <v>0</v>
      </c>
      <c r="J9" s="41">
        <f>10+38</f>
        <v>48</v>
      </c>
      <c r="K9" s="41">
        <v>10</v>
      </c>
      <c r="L9" s="41">
        <f>19+6+38+31</f>
        <v>94</v>
      </c>
      <c r="M9" s="41">
        <f>20+38+33</f>
        <v>91</v>
      </c>
      <c r="N9" s="39">
        <f t="shared" si="0"/>
        <v>1206</v>
      </c>
      <c r="O9" s="66">
        <f t="shared" si="1"/>
        <v>100.5</v>
      </c>
      <c r="Q9" s="61">
        <v>42964</v>
      </c>
      <c r="R9" s="33">
        <f>40</f>
        <v>40</v>
      </c>
      <c r="S9" s="33" t="s">
        <v>109</v>
      </c>
    </row>
    <row r="10" spans="1:19">
      <c r="A10" s="41" t="s">
        <v>29</v>
      </c>
      <c r="B10" s="41">
        <f>24+10</f>
        <v>34</v>
      </c>
      <c r="C10" s="41">
        <f>25+22</f>
        <v>47</v>
      </c>
      <c r="D10" s="41">
        <f>25+26</f>
        <v>51</v>
      </c>
      <c r="E10" s="41">
        <f>26+28</f>
        <v>54</v>
      </c>
      <c r="F10" s="41">
        <f>27+26+24</f>
        <v>77</v>
      </c>
      <c r="G10" s="41">
        <f>25+10+24</f>
        <v>59</v>
      </c>
      <c r="H10" s="41">
        <f>10+25</f>
        <v>35</v>
      </c>
      <c r="I10" s="41">
        <f>26+27</f>
        <v>53</v>
      </c>
      <c r="J10" s="41">
        <f>28+32+28</f>
        <v>88</v>
      </c>
      <c r="K10" s="41">
        <f>27</f>
        <v>27</v>
      </c>
      <c r="L10" s="41">
        <f>29+27</f>
        <v>56</v>
      </c>
      <c r="M10" s="41">
        <f>27+28</f>
        <v>55</v>
      </c>
      <c r="N10" s="39">
        <f t="shared" si="0"/>
        <v>636</v>
      </c>
      <c r="O10" s="66">
        <f t="shared" si="1"/>
        <v>53</v>
      </c>
      <c r="Q10" s="61">
        <v>42979</v>
      </c>
      <c r="R10" s="33">
        <f>200+60+50</f>
        <v>310</v>
      </c>
      <c r="S10" s="33" t="s">
        <v>109</v>
      </c>
    </row>
    <row r="11" spans="1:19">
      <c r="A11" s="41" t="s">
        <v>31</v>
      </c>
      <c r="B11" s="41">
        <f>49+8+17+6</f>
        <v>80</v>
      </c>
      <c r="C11" s="41">
        <f>24</f>
        <v>24</v>
      </c>
      <c r="D11" s="41">
        <f>31+3+2+10</f>
        <v>46</v>
      </c>
      <c r="E11" s="41">
        <f>14+16+7</f>
        <v>37</v>
      </c>
      <c r="F11" s="41">
        <f>21+35+35+102+20+24+161-10+21+72+77+48</f>
        <v>606</v>
      </c>
      <c r="G11" s="41">
        <f>25</f>
        <v>25</v>
      </c>
      <c r="H11" s="41">
        <f>59+23+81+21+45+29-18-31</f>
        <v>209</v>
      </c>
      <c r="I11" s="41">
        <f>40+30</f>
        <v>70</v>
      </c>
      <c r="J11" s="41">
        <f>47+4+10</f>
        <v>61</v>
      </c>
      <c r="K11" s="41">
        <f>21+30</f>
        <v>51</v>
      </c>
      <c r="L11" s="41">
        <f>11-21-21+41+173</f>
        <v>183</v>
      </c>
      <c r="M11" s="41">
        <f>41+136-100</f>
        <v>77</v>
      </c>
      <c r="N11" s="39">
        <f t="shared" si="0"/>
        <v>1469</v>
      </c>
      <c r="O11" s="66">
        <f t="shared" si="1"/>
        <v>122.41666666666667</v>
      </c>
      <c r="Q11" s="61">
        <v>43009</v>
      </c>
      <c r="R11" s="33">
        <v>250</v>
      </c>
      <c r="S11" s="33" t="s">
        <v>109</v>
      </c>
    </row>
    <row r="12" spans="1:19">
      <c r="A12" s="41" t="s">
        <v>32</v>
      </c>
      <c r="B12" s="41">
        <v>0</v>
      </c>
      <c r="C12" s="41">
        <f>13+11+18+53</f>
        <v>95</v>
      </c>
      <c r="D12" s="41">
        <v>11</v>
      </c>
      <c r="E12" s="41">
        <f>43+25</f>
        <v>68</v>
      </c>
      <c r="F12" s="41">
        <f>23+9+11+68+19+14+38+12+14+24+15</f>
        <v>247</v>
      </c>
      <c r="G12" s="41">
        <f>10+8</f>
        <v>18</v>
      </c>
      <c r="H12" s="41">
        <f>19+17+22+39+51</f>
        <v>148</v>
      </c>
      <c r="I12" s="41">
        <f>19+30+20+16</f>
        <v>85</v>
      </c>
      <c r="J12" s="42">
        <f>8+15+12+14+19+9+8+16</f>
        <v>101</v>
      </c>
      <c r="K12" s="41">
        <f>18+8+15+11</f>
        <v>52</v>
      </c>
      <c r="L12" s="41">
        <f>11+8+17</f>
        <v>36</v>
      </c>
      <c r="M12" s="41">
        <f>40+8+16+14+17+28</f>
        <v>123</v>
      </c>
      <c r="N12" s="39">
        <f t="shared" si="0"/>
        <v>984</v>
      </c>
      <c r="O12" s="66">
        <f t="shared" si="1"/>
        <v>82</v>
      </c>
      <c r="Q12" s="61">
        <v>43040</v>
      </c>
      <c r="R12" s="33">
        <f>130+120</f>
        <v>250</v>
      </c>
      <c r="S12" s="33" t="s">
        <v>109</v>
      </c>
    </row>
    <row r="13" spans="1:19">
      <c r="A13" s="41" t="s">
        <v>92</v>
      </c>
      <c r="B13" s="41">
        <f>18+10+32-30+15+16+6+17+7+28</f>
        <v>119</v>
      </c>
      <c r="C13" s="41">
        <f>32+16+28+12+48+13+16</f>
        <v>165</v>
      </c>
      <c r="D13" s="41">
        <f>28+12+32+14+26</f>
        <v>112</v>
      </c>
      <c r="E13" s="41">
        <f>14+32+31+9+16+9+16+3+50</f>
        <v>180</v>
      </c>
      <c r="F13" s="41">
        <f>50+11+27+16+50</f>
        <v>154</v>
      </c>
      <c r="G13" s="41">
        <f>40+15+50+45+33</f>
        <v>183</v>
      </c>
      <c r="H13" s="41">
        <f>39+45+30+16+50+22+50</f>
        <v>252</v>
      </c>
      <c r="I13" s="41">
        <f>30+49+50-15+50-15+16+22+14+42-15</f>
        <v>228</v>
      </c>
      <c r="J13" s="41">
        <f>42+26+3+42+42+50+15</f>
        <v>220</v>
      </c>
      <c r="K13" s="41">
        <f>42-10+50+10+42-50+42+42+4+42</f>
        <v>214</v>
      </c>
      <c r="L13" s="41">
        <f>42+30+42+20+42+24+42+44</f>
        <v>286</v>
      </c>
      <c r="M13" s="41">
        <f>42+42+42+22+42-5</f>
        <v>185</v>
      </c>
      <c r="N13" s="39">
        <f t="shared" si="0"/>
        <v>2298</v>
      </c>
      <c r="O13" s="66">
        <f t="shared" si="1"/>
        <v>191.5</v>
      </c>
      <c r="Q13" s="61">
        <v>43070</v>
      </c>
      <c r="R13" s="33">
        <v>500</v>
      </c>
      <c r="S13" s="33" t="s">
        <v>108</v>
      </c>
    </row>
    <row r="14" spans="1:19">
      <c r="A14" s="41" t="s">
        <v>89</v>
      </c>
      <c r="B14" s="41">
        <f>30+30+1052</f>
        <v>1112</v>
      </c>
      <c r="C14" s="41">
        <f>30+19+530+294+10+10</f>
        <v>893</v>
      </c>
      <c r="D14" s="41">
        <f>8+266+818</f>
        <v>1092</v>
      </c>
      <c r="E14" s="41">
        <f>267</f>
        <v>267</v>
      </c>
      <c r="F14" s="41">
        <f>1512+135+129+40</f>
        <v>1816</v>
      </c>
      <c r="G14" s="41">
        <f>40</f>
        <v>40</v>
      </c>
      <c r="H14" s="41">
        <f>15</f>
        <v>15</v>
      </c>
      <c r="I14" s="41">
        <f>40</f>
        <v>40</v>
      </c>
      <c r="J14" s="41">
        <v>0</v>
      </c>
      <c r="K14" s="41">
        <v>8</v>
      </c>
      <c r="L14" s="41">
        <v>0</v>
      </c>
      <c r="M14" s="41">
        <f>8+7</f>
        <v>15</v>
      </c>
      <c r="N14" s="39">
        <f t="shared" si="0"/>
        <v>5298</v>
      </c>
      <c r="O14" s="66">
        <f t="shared" si="1"/>
        <v>441.5</v>
      </c>
      <c r="Q14" s="61">
        <v>43070</v>
      </c>
      <c r="R14" s="33">
        <v>2000</v>
      </c>
      <c r="S14" s="33" t="s">
        <v>110</v>
      </c>
    </row>
    <row r="15" spans="1:19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9">
        <f t="shared" si="0"/>
        <v>0</v>
      </c>
      <c r="O15" s="66">
        <f t="shared" si="1"/>
        <v>0</v>
      </c>
      <c r="Q15" s="61"/>
    </row>
    <row r="16" spans="1:19">
      <c r="A16" s="50" t="s">
        <v>34</v>
      </c>
      <c r="B16" s="43"/>
      <c r="C16" s="4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61"/>
    </row>
    <row r="17" spans="1:17">
      <c r="A17" s="41" t="s">
        <v>35</v>
      </c>
      <c r="B17" s="41">
        <v>1252</v>
      </c>
      <c r="C17" s="41">
        <v>1252</v>
      </c>
      <c r="D17" s="41">
        <v>1252</v>
      </c>
      <c r="E17" s="41">
        <v>1252</v>
      </c>
      <c r="F17" s="41">
        <v>1252</v>
      </c>
      <c r="G17" s="44">
        <v>1252</v>
      </c>
      <c r="H17" s="41">
        <v>1380</v>
      </c>
      <c r="I17" s="41">
        <v>1380</v>
      </c>
      <c r="J17" s="41">
        <v>1380</v>
      </c>
      <c r="K17" s="41">
        <v>1380</v>
      </c>
      <c r="L17" s="41">
        <v>1380</v>
      </c>
      <c r="M17" s="41">
        <v>1380</v>
      </c>
      <c r="N17" s="39">
        <f t="shared" si="0"/>
        <v>15792</v>
      </c>
      <c r="O17" s="66">
        <f t="shared" si="1"/>
        <v>1316</v>
      </c>
      <c r="Q17" s="61"/>
    </row>
    <row r="18" spans="1:17">
      <c r="A18" s="41" t="s">
        <v>54</v>
      </c>
      <c r="B18" s="41">
        <v>31</v>
      </c>
      <c r="C18" s="41">
        <v>31</v>
      </c>
      <c r="D18" s="41">
        <v>31</v>
      </c>
      <c r="E18" s="41">
        <v>30</v>
      </c>
      <c r="F18" s="41">
        <v>30</v>
      </c>
      <c r="G18" s="44">
        <v>30</v>
      </c>
      <c r="H18" s="41">
        <f>49</f>
        <v>49</v>
      </c>
      <c r="I18" s="41">
        <v>50</v>
      </c>
      <c r="J18" s="41">
        <v>55</v>
      </c>
      <c r="K18" s="41">
        <v>55</v>
      </c>
      <c r="L18" s="41">
        <v>55</v>
      </c>
      <c r="M18" s="41">
        <v>56</v>
      </c>
      <c r="N18" s="39">
        <f t="shared" si="0"/>
        <v>503</v>
      </c>
      <c r="O18" s="66">
        <f t="shared" si="1"/>
        <v>41.916666666666664</v>
      </c>
      <c r="Q18" s="61"/>
    </row>
    <row r="19" spans="1:17">
      <c r="A19" s="41" t="s">
        <v>77</v>
      </c>
      <c r="B19" s="41">
        <f>549+561+402+218+528+300</f>
        <v>2558</v>
      </c>
      <c r="C19" s="41">
        <f>835+671+45+95+300+500+530+2363</f>
        <v>5339</v>
      </c>
      <c r="D19" s="41">
        <f>836+1205+55+179+39+41+150+1575</f>
        <v>4080</v>
      </c>
      <c r="E19" s="41">
        <f>1109+1194+228</f>
        <v>2531</v>
      </c>
      <c r="F19" s="41">
        <f>98+267+1080+300+855+1136</f>
        <v>3736</v>
      </c>
      <c r="G19" s="44">
        <f>989+948+102+48+200+1165+232+100</f>
        <v>3784</v>
      </c>
      <c r="H19" s="41">
        <f>513+1004+384+300+200+200</f>
        <v>2601</v>
      </c>
      <c r="I19" s="41">
        <f>953+219+226+49+150+1300+50+300</f>
        <v>3247</v>
      </c>
      <c r="J19" s="41">
        <f>1043+391+647+50+50</f>
        <v>2181</v>
      </c>
      <c r="K19" s="41">
        <f>1245+136+411+600+50</f>
        <v>2442</v>
      </c>
      <c r="L19" s="41">
        <f>986+309+390+300+300</f>
        <v>2285</v>
      </c>
      <c r="M19" s="41">
        <f>986+511+173+406+1200</f>
        <v>3276</v>
      </c>
      <c r="N19" s="39">
        <f t="shared" si="0"/>
        <v>38060</v>
      </c>
      <c r="O19" s="66">
        <f t="shared" si="1"/>
        <v>3171.6666666666665</v>
      </c>
      <c r="Q19" s="61"/>
    </row>
    <row r="20" spans="1:17" ht="13.5" customHeight="1">
      <c r="A20" s="41" t="s">
        <v>9</v>
      </c>
      <c r="B20" s="41">
        <v>225</v>
      </c>
      <c r="C20" s="41">
        <v>225</v>
      </c>
      <c r="D20" s="41">
        <v>225</v>
      </c>
      <c r="E20" s="41">
        <v>225</v>
      </c>
      <c r="F20" s="41">
        <v>225</v>
      </c>
      <c r="G20" s="44">
        <v>225</v>
      </c>
      <c r="H20" s="41">
        <v>225</v>
      </c>
      <c r="I20" s="41">
        <v>225</v>
      </c>
      <c r="J20" s="41">
        <v>225</v>
      </c>
      <c r="K20" s="41">
        <v>225</v>
      </c>
      <c r="L20" s="41">
        <v>225</v>
      </c>
      <c r="M20" s="41">
        <v>225</v>
      </c>
      <c r="N20" s="39">
        <f t="shared" si="0"/>
        <v>2700</v>
      </c>
      <c r="O20" s="66">
        <f t="shared" si="1"/>
        <v>225</v>
      </c>
      <c r="Q20" s="61"/>
    </row>
    <row r="21" spans="1:17">
      <c r="A21" s="41" t="s">
        <v>36</v>
      </c>
      <c r="B21" s="41">
        <v>99</v>
      </c>
      <c r="C21" s="41">
        <v>99</v>
      </c>
      <c r="D21" s="41">
        <v>99</v>
      </c>
      <c r="E21" s="41">
        <v>99</v>
      </c>
      <c r="F21" s="41">
        <v>99</v>
      </c>
      <c r="G21" s="44">
        <v>99</v>
      </c>
      <c r="H21" s="41">
        <f>99</f>
        <v>99</v>
      </c>
      <c r="I21" s="41">
        <f>45+99</f>
        <v>144</v>
      </c>
      <c r="J21" s="41">
        <v>99</v>
      </c>
      <c r="K21" s="41">
        <v>99</v>
      </c>
      <c r="L21" s="41">
        <v>99</v>
      </c>
      <c r="M21" s="41">
        <v>99</v>
      </c>
      <c r="N21" s="39">
        <f t="shared" si="0"/>
        <v>1233</v>
      </c>
      <c r="O21" s="66">
        <f t="shared" si="1"/>
        <v>102.75</v>
      </c>
      <c r="Q21" s="61"/>
    </row>
    <row r="22" spans="1:17">
      <c r="A22" s="41" t="s">
        <v>107</v>
      </c>
      <c r="B22" s="41">
        <v>140</v>
      </c>
      <c r="C22" s="41">
        <v>137</v>
      </c>
      <c r="D22" s="41">
        <v>125</v>
      </c>
      <c r="E22" s="41">
        <v>138</v>
      </c>
      <c r="F22" s="41">
        <v>134</v>
      </c>
      <c r="G22" s="44">
        <v>134</v>
      </c>
      <c r="H22" s="41">
        <f>317</f>
        <v>317</v>
      </c>
      <c r="I22" s="41">
        <v>70</v>
      </c>
      <c r="J22" s="41">
        <v>149</v>
      </c>
      <c r="K22" s="41">
        <v>124</v>
      </c>
      <c r="L22" s="41">
        <v>96</v>
      </c>
      <c r="M22" s="41">
        <v>143</v>
      </c>
      <c r="N22" s="39">
        <f t="shared" si="0"/>
        <v>1707</v>
      </c>
      <c r="O22" s="66">
        <f t="shared" si="1"/>
        <v>142.25</v>
      </c>
      <c r="Q22" s="61"/>
    </row>
    <row r="23" spans="1:17">
      <c r="A23" s="41" t="s">
        <v>91</v>
      </c>
      <c r="B23" s="41">
        <v>120</v>
      </c>
      <c r="C23" s="41">
        <f>25+16+20</f>
        <v>61</v>
      </c>
      <c r="D23" s="41">
        <f>20+30</f>
        <v>50</v>
      </c>
      <c r="E23" s="41">
        <f>20+100+50</f>
        <v>170</v>
      </c>
      <c r="F23" s="41">
        <f>13+50+13+155</f>
        <v>231</v>
      </c>
      <c r="G23" s="44">
        <f>320+34</f>
        <v>354</v>
      </c>
      <c r="H23" s="41">
        <f>100+45+100</f>
        <v>245</v>
      </c>
      <c r="I23" s="41">
        <f>19+38+14</f>
        <v>71</v>
      </c>
      <c r="J23" s="41">
        <v>0</v>
      </c>
      <c r="K23" s="41">
        <f>15+40</f>
        <v>55</v>
      </c>
      <c r="L23" s="41">
        <f>41+15</f>
        <v>56</v>
      </c>
      <c r="M23" s="41">
        <f>15+200+40</f>
        <v>255</v>
      </c>
      <c r="N23" s="39">
        <f t="shared" si="0"/>
        <v>1668</v>
      </c>
      <c r="O23" s="66">
        <f t="shared" si="1"/>
        <v>139</v>
      </c>
      <c r="Q23" s="61"/>
    </row>
    <row r="24" spans="1:17">
      <c r="F24" s="17"/>
      <c r="Q24" s="61"/>
    </row>
    <row r="25" spans="1:17">
      <c r="Q25" s="61"/>
    </row>
    <row r="26" spans="1:17">
      <c r="Q26" s="61"/>
    </row>
    <row r="27" spans="1:17">
      <c r="Q27" s="61"/>
    </row>
    <row r="28" spans="1:17">
      <c r="Q28" s="61"/>
    </row>
    <row r="29" spans="1:17">
      <c r="Q29" s="61"/>
    </row>
    <row r="30" spans="1:17">
      <c r="Q30" s="61"/>
    </row>
    <row r="31" spans="1:17">
      <c r="Q31" s="61"/>
    </row>
    <row r="32" spans="1:17">
      <c r="Q32" s="61"/>
    </row>
    <row r="33" spans="17:17">
      <c r="Q33" s="61"/>
    </row>
    <row r="34" spans="17:17">
      <c r="Q34" s="61"/>
    </row>
    <row r="35" spans="17:17">
      <c r="Q35" s="61"/>
    </row>
    <row r="36" spans="17:17">
      <c r="Q36" s="61"/>
    </row>
    <row r="37" spans="17:17">
      <c r="Q37" s="61"/>
    </row>
    <row r="38" spans="17:17">
      <c r="Q38" s="61"/>
    </row>
  </sheetData>
  <mergeCells count="1">
    <mergeCell ref="Q2:R2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1"/>
  <sheetViews>
    <sheetView topLeftCell="A26" workbookViewId="0">
      <selection activeCell="E31" sqref="E31"/>
    </sheetView>
  </sheetViews>
  <sheetFormatPr defaultRowHeight="12.75"/>
  <cols>
    <col min="1" max="1" width="30.140625" customWidth="1"/>
    <col min="2" max="2" width="12.42578125" style="17" customWidth="1"/>
    <col min="3" max="3" width="11.42578125" customWidth="1"/>
    <col min="4" max="4" width="14.5703125" customWidth="1"/>
    <col min="5" max="5" width="16" customWidth="1"/>
    <col min="6" max="6" width="19.5703125" customWidth="1"/>
    <col min="7" max="7" width="19" customWidth="1"/>
    <col min="8" max="8" width="20.5703125" customWidth="1"/>
    <col min="9" max="9" width="18" customWidth="1"/>
    <col min="12" max="12" width="41.42578125" customWidth="1"/>
    <col min="13" max="13" width="26.140625" bestFit="1" customWidth="1"/>
  </cols>
  <sheetData>
    <row r="1" spans="1:6" ht="19.5" customHeight="1">
      <c r="A1" s="92" t="s">
        <v>4</v>
      </c>
      <c r="B1" s="92"/>
      <c r="C1" s="92"/>
      <c r="D1" s="92"/>
      <c r="E1" s="92"/>
      <c r="F1" s="92"/>
    </row>
    <row r="2" spans="1:6" ht="19.5" customHeight="1" thickBot="1">
      <c r="A2" s="5" t="s">
        <v>5</v>
      </c>
      <c r="B2" s="14" t="s">
        <v>13</v>
      </c>
      <c r="C2" s="5" t="s">
        <v>12</v>
      </c>
      <c r="D2" s="5" t="s">
        <v>6</v>
      </c>
      <c r="E2" s="5" t="s">
        <v>7</v>
      </c>
      <c r="F2" s="5" t="s">
        <v>8</v>
      </c>
    </row>
    <row r="3" spans="1:6" ht="19.5" customHeight="1" thickTop="1">
      <c r="A3" s="8" t="s">
        <v>42</v>
      </c>
      <c r="B3" s="15"/>
      <c r="C3" s="8">
        <v>1</v>
      </c>
      <c r="D3" s="12">
        <v>1435</v>
      </c>
      <c r="E3" s="6">
        <v>1435</v>
      </c>
      <c r="F3" s="10"/>
    </row>
    <row r="4" spans="1:6" ht="19.5" customHeight="1">
      <c r="A4" s="9" t="s">
        <v>93</v>
      </c>
      <c r="B4" s="16"/>
      <c r="C4" s="9">
        <v>1</v>
      </c>
      <c r="D4" s="13">
        <v>787</v>
      </c>
      <c r="E4" s="7"/>
      <c r="F4" s="11">
        <v>787</v>
      </c>
    </row>
    <row r="5" spans="1:6" ht="19.5" customHeight="1">
      <c r="A5" s="9" t="s">
        <v>48</v>
      </c>
      <c r="B5" s="16"/>
      <c r="C5" s="9">
        <v>3</v>
      </c>
      <c r="D5" s="13">
        <v>57</v>
      </c>
      <c r="E5" s="7"/>
      <c r="F5" s="11">
        <v>57</v>
      </c>
    </row>
    <row r="6" spans="1:6" s="33" customFormat="1" ht="19.5" customHeight="1">
      <c r="A6" s="9" t="s">
        <v>9</v>
      </c>
      <c r="B6" s="16" t="s">
        <v>11</v>
      </c>
      <c r="C6" s="9">
        <v>4</v>
      </c>
      <c r="D6" s="13">
        <v>225</v>
      </c>
      <c r="E6" s="7">
        <v>225</v>
      </c>
      <c r="F6" s="11"/>
    </row>
    <row r="7" spans="1:6" ht="19.5" customHeight="1">
      <c r="A7" s="9" t="s">
        <v>53</v>
      </c>
      <c r="B7" s="16"/>
      <c r="C7" s="9">
        <v>5</v>
      </c>
      <c r="D7" s="13">
        <v>150</v>
      </c>
      <c r="E7" s="7">
        <v>150</v>
      </c>
      <c r="F7" s="11"/>
    </row>
    <row r="8" spans="1:6" ht="19.5" customHeight="1">
      <c r="A8" s="9" t="s">
        <v>10</v>
      </c>
      <c r="B8" s="16"/>
      <c r="C8" s="9">
        <v>10</v>
      </c>
      <c r="D8" s="13">
        <v>200</v>
      </c>
      <c r="E8" s="7"/>
      <c r="F8" s="11">
        <v>200</v>
      </c>
    </row>
    <row r="9" spans="1:6" ht="19.5" customHeight="1">
      <c r="A9" s="9" t="s">
        <v>18</v>
      </c>
      <c r="B9" s="16"/>
      <c r="C9" s="9">
        <v>12</v>
      </c>
      <c r="D9" s="13">
        <v>99</v>
      </c>
      <c r="E9" s="7">
        <v>99</v>
      </c>
      <c r="F9" s="11"/>
    </row>
    <row r="10" spans="1:6" ht="19.5" customHeight="1">
      <c r="A10" s="9" t="s">
        <v>86</v>
      </c>
      <c r="B10" s="16" t="s">
        <v>11</v>
      </c>
      <c r="C10" s="9">
        <v>15</v>
      </c>
      <c r="D10" s="13">
        <v>141</v>
      </c>
      <c r="E10" s="7"/>
      <c r="F10" s="11">
        <v>141</v>
      </c>
    </row>
    <row r="11" spans="1:6" ht="19.5" customHeight="1">
      <c r="A11" s="9" t="s">
        <v>10</v>
      </c>
      <c r="B11" s="16"/>
      <c r="C11" s="9">
        <v>20</v>
      </c>
      <c r="D11" s="13">
        <v>200</v>
      </c>
      <c r="E11" s="7"/>
      <c r="F11" s="11">
        <v>200</v>
      </c>
    </row>
    <row r="12" spans="1:6" ht="19.5" customHeight="1">
      <c r="A12" s="9" t="s">
        <v>79</v>
      </c>
      <c r="B12" s="16" t="s">
        <v>11</v>
      </c>
      <c r="C12" s="9">
        <v>29</v>
      </c>
      <c r="D12" s="13">
        <v>29</v>
      </c>
      <c r="E12" s="7"/>
      <c r="F12" s="11">
        <v>29</v>
      </c>
    </row>
    <row r="13" spans="1:6" ht="19.5" customHeight="1">
      <c r="A13" s="9" t="s">
        <v>87</v>
      </c>
      <c r="B13" s="16" t="s">
        <v>11</v>
      </c>
      <c r="C13" s="9">
        <v>11</v>
      </c>
      <c r="D13" s="13">
        <v>11</v>
      </c>
      <c r="E13" s="7"/>
      <c r="F13" s="11">
        <v>11</v>
      </c>
    </row>
    <row r="14" spans="1:6" ht="19.5" customHeight="1">
      <c r="A14" s="9" t="s">
        <v>10</v>
      </c>
      <c r="B14" s="16"/>
      <c r="C14" s="9">
        <v>30</v>
      </c>
      <c r="D14" s="13">
        <v>100</v>
      </c>
      <c r="E14" s="7"/>
      <c r="F14" s="11">
        <v>100</v>
      </c>
    </row>
    <row r="15" spans="1:6" ht="19.5" customHeight="1">
      <c r="A15" s="9" t="s">
        <v>24</v>
      </c>
      <c r="B15" s="16"/>
      <c r="C15" s="9"/>
      <c r="D15" s="13"/>
      <c r="E15" s="7"/>
      <c r="F15" s="11">
        <v>75</v>
      </c>
    </row>
    <row r="16" spans="1:6" ht="19.5" customHeight="1"/>
    <row r="17" spans="1:8" ht="19.5" customHeight="1">
      <c r="B17"/>
    </row>
    <row r="18" spans="1:8" ht="19.5" customHeight="1">
      <c r="A18" s="1" t="s">
        <v>0</v>
      </c>
      <c r="B18" s="7">
        <f>SUM(E3:E17)</f>
        <v>1909</v>
      </c>
      <c r="C18" s="93" t="s">
        <v>21</v>
      </c>
    </row>
    <row r="19" spans="1:8" ht="19.5" customHeight="1">
      <c r="A19" s="1" t="s">
        <v>1</v>
      </c>
      <c r="B19" s="11">
        <f>SUM(F3:F17)</f>
        <v>1600</v>
      </c>
      <c r="C19" s="93"/>
    </row>
    <row r="20" spans="1:8" ht="19.5" customHeight="1">
      <c r="A20" s="1" t="s">
        <v>15</v>
      </c>
      <c r="B20" s="18">
        <v>500</v>
      </c>
      <c r="C20" s="93"/>
    </row>
    <row r="21" spans="1:8" ht="19.5" customHeight="1">
      <c r="A21" s="3" t="s">
        <v>2</v>
      </c>
      <c r="B21" s="4">
        <f>SUM(B18:B20)</f>
        <v>4009</v>
      </c>
      <c r="C21" s="93"/>
    </row>
    <row r="22" spans="1:8" ht="19.5" customHeight="1">
      <c r="A22" s="2" t="s">
        <v>3</v>
      </c>
      <c r="B22" s="2">
        <f>SUM(7000,-1*B21)</f>
        <v>2991</v>
      </c>
      <c r="C22" s="2">
        <f>B22*66/100000</f>
        <v>1.9740599999999999</v>
      </c>
    </row>
    <row r="23" spans="1:8" ht="18" customHeight="1">
      <c r="A23" s="1" t="s">
        <v>16</v>
      </c>
      <c r="B23" s="2">
        <f>B22+B20+D15</f>
        <v>3491</v>
      </c>
      <c r="C23" s="2">
        <f>B23*66/100000</f>
        <v>2.3040600000000002</v>
      </c>
    </row>
    <row r="26" spans="1:8">
      <c r="A26" s="20"/>
      <c r="B26" s="24" t="s">
        <v>3</v>
      </c>
      <c r="C26" s="24" t="s">
        <v>19</v>
      </c>
      <c r="D26" s="24" t="s">
        <v>20</v>
      </c>
      <c r="E26" s="24" t="s">
        <v>22</v>
      </c>
      <c r="F26" s="24" t="s">
        <v>55</v>
      </c>
      <c r="G26" s="24" t="s">
        <v>56</v>
      </c>
      <c r="H26" s="24" t="s">
        <v>23</v>
      </c>
    </row>
    <row r="27" spans="1:8">
      <c r="A27" s="23" t="s">
        <v>83</v>
      </c>
      <c r="B27" s="48">
        <f>100000+250000-90000+10000</f>
        <v>270000</v>
      </c>
      <c r="C27" s="20"/>
      <c r="D27" s="20"/>
      <c r="E27" s="20"/>
      <c r="G27" s="20"/>
      <c r="H27" s="20"/>
    </row>
    <row r="28" spans="1:8" s="33" customFormat="1">
      <c r="A28" s="23" t="s">
        <v>84</v>
      </c>
      <c r="B28" s="48">
        <f>25000-10000-10000</f>
        <v>5000</v>
      </c>
      <c r="C28" s="20"/>
      <c r="D28" s="20"/>
      <c r="E28" s="20"/>
      <c r="G28" s="20"/>
      <c r="H28" s="20"/>
    </row>
    <row r="29" spans="1:8" s="33" customFormat="1">
      <c r="A29" s="23"/>
      <c r="B29" s="48"/>
      <c r="C29" s="20"/>
      <c r="D29" s="20"/>
      <c r="E29" s="20"/>
      <c r="G29" s="20"/>
      <c r="H29" s="20"/>
    </row>
    <row r="30" spans="1:8" ht="12" customHeight="1">
      <c r="B30" s="21"/>
    </row>
    <row r="31" spans="1:8">
      <c r="A31" s="26" t="s">
        <v>88</v>
      </c>
      <c r="B31" s="30">
        <v>60000</v>
      </c>
      <c r="C31" s="31"/>
      <c r="D31" s="31"/>
      <c r="E31" s="31">
        <v>60000</v>
      </c>
      <c r="F31" s="31"/>
      <c r="G31" s="31">
        <v>130340</v>
      </c>
      <c r="H31" s="31"/>
    </row>
    <row r="32" spans="1:8">
      <c r="A32" s="26">
        <v>42736</v>
      </c>
      <c r="B32" s="63">
        <f>1200-120</f>
        <v>1080</v>
      </c>
      <c r="C32" s="63">
        <f>E31+B32</f>
        <v>61080</v>
      </c>
      <c r="D32" s="63"/>
      <c r="E32" s="63">
        <f t="shared" ref="E32:E42" si="0">C32-D32</f>
        <v>61080</v>
      </c>
      <c r="F32" s="62">
        <f>-4000</f>
        <v>-4000</v>
      </c>
      <c r="G32" s="62">
        <f>G31+D32*66+F32</f>
        <v>126340</v>
      </c>
      <c r="H32" s="62">
        <f>ROUND(E32*66+G32,0)</f>
        <v>4157620</v>
      </c>
    </row>
    <row r="33" spans="1:8">
      <c r="A33" s="26">
        <v>42767</v>
      </c>
      <c r="B33" s="63">
        <v>2500</v>
      </c>
      <c r="C33" s="63">
        <f t="shared" ref="C33:C43" si="1">E32+B33</f>
        <v>63580</v>
      </c>
      <c r="D33" s="63"/>
      <c r="E33" s="63">
        <f t="shared" si="0"/>
        <v>63580</v>
      </c>
      <c r="F33" s="62">
        <f>-23754-5000-3000-2000</f>
        <v>-33754</v>
      </c>
      <c r="G33" s="62">
        <f>G32+D33*66+F33</f>
        <v>92586</v>
      </c>
      <c r="H33" s="62">
        <f t="shared" ref="H33:H43" si="2">ROUND(E33*66+G33,0)</f>
        <v>4288866</v>
      </c>
    </row>
    <row r="34" spans="1:8">
      <c r="A34" s="26">
        <v>42795</v>
      </c>
      <c r="B34" s="63">
        <v>650</v>
      </c>
      <c r="C34" s="63">
        <f t="shared" si="1"/>
        <v>64230</v>
      </c>
      <c r="D34" s="63"/>
      <c r="E34" s="63">
        <f t="shared" si="0"/>
        <v>64230</v>
      </c>
      <c r="F34" s="62">
        <f>-25000</f>
        <v>-25000</v>
      </c>
      <c r="G34" s="62">
        <f>G33+D34*66+F34</f>
        <v>67586</v>
      </c>
      <c r="H34" s="62">
        <f t="shared" si="2"/>
        <v>4306766</v>
      </c>
    </row>
    <row r="35" spans="1:8">
      <c r="A35" s="26">
        <v>42826</v>
      </c>
      <c r="B35" s="63">
        <f>-350+3500</f>
        <v>3150</v>
      </c>
      <c r="C35" s="63">
        <f t="shared" si="1"/>
        <v>67380</v>
      </c>
      <c r="D35" s="63">
        <f>2999+2999+2800+2000</f>
        <v>10798</v>
      </c>
      <c r="E35" s="63">
        <f t="shared" si="0"/>
        <v>56582</v>
      </c>
      <c r="F35" s="62">
        <f>870+186-353407-83968-9000</f>
        <v>-445319</v>
      </c>
      <c r="G35" s="62">
        <f>G34+D35*64+F35</f>
        <v>313339</v>
      </c>
      <c r="H35" s="62">
        <f>ROUND(E35*64+G35,0)</f>
        <v>3934587</v>
      </c>
    </row>
    <row r="36" spans="1:8">
      <c r="A36" s="26">
        <v>42856</v>
      </c>
      <c r="B36" s="63">
        <v>1200</v>
      </c>
      <c r="C36" s="63">
        <f t="shared" si="1"/>
        <v>57782</v>
      </c>
      <c r="D36" s="63">
        <f>2999+2999+2999</f>
        <v>8997</v>
      </c>
      <c r="E36" s="63">
        <f t="shared" si="0"/>
        <v>48785</v>
      </c>
      <c r="F36" s="62">
        <f>-8000-3000</f>
        <v>-11000</v>
      </c>
      <c r="G36" s="62">
        <f>G35+D36*64+F36</f>
        <v>878147</v>
      </c>
      <c r="H36" s="62">
        <f t="shared" si="2"/>
        <v>4097957</v>
      </c>
    </row>
    <row r="37" spans="1:8">
      <c r="A37" s="26">
        <v>42887</v>
      </c>
      <c r="B37" s="63">
        <f>1500-300</f>
        <v>1200</v>
      </c>
      <c r="C37" s="63">
        <f t="shared" si="1"/>
        <v>49985</v>
      </c>
      <c r="D37" s="63">
        <f>2999+2999</f>
        <v>5998</v>
      </c>
      <c r="E37" s="63">
        <f t="shared" si="0"/>
        <v>43987</v>
      </c>
      <c r="F37" s="62">
        <f>-6000-6000-25000-25000-25000-300-77000-23000-25000-56000-25000-25000-25000-15000-25000-25000-100000-50000-3200+1322+2630</f>
        <v>-557548</v>
      </c>
      <c r="G37" s="62">
        <f>G36+D37*64+F37</f>
        <v>704471</v>
      </c>
      <c r="H37" s="62">
        <f t="shared" si="2"/>
        <v>3607613</v>
      </c>
    </row>
    <row r="38" spans="1:8">
      <c r="A38" s="26">
        <v>42917</v>
      </c>
      <c r="B38" s="63">
        <v>2800</v>
      </c>
      <c r="C38" s="63">
        <f t="shared" si="1"/>
        <v>46787</v>
      </c>
      <c r="D38" s="63">
        <v>2999</v>
      </c>
      <c r="E38" s="63">
        <f t="shared" si="0"/>
        <v>43788</v>
      </c>
      <c r="F38" s="62">
        <f>-25000-25000-25000-30000-25000-100000-20500-106603-25000-15000-12000-25000-25000-25000-25000-25000</f>
        <v>-534103</v>
      </c>
      <c r="G38" s="62">
        <f>G37+D38*64.2+F38</f>
        <v>362903.80000000005</v>
      </c>
      <c r="H38" s="62">
        <f t="shared" si="2"/>
        <v>3252912</v>
      </c>
    </row>
    <row r="39" spans="1:8" ht="13.5" customHeight="1">
      <c r="A39" s="26">
        <v>42948</v>
      </c>
      <c r="B39" s="63">
        <v>2100</v>
      </c>
      <c r="C39" s="63">
        <f t="shared" si="1"/>
        <v>45888</v>
      </c>
      <c r="D39" s="63">
        <f>2999+2999+2999+2000+2999</f>
        <v>13996</v>
      </c>
      <c r="E39" s="63">
        <f t="shared" si="0"/>
        <v>31892</v>
      </c>
      <c r="F39" s="62">
        <f>-25000-25000-25000-25000-25000-100000-25000-25000-25000-25000-100000-25000-25000-25000-25000-100000-25000-25000-100000-25000-101480-25000-25000-25000-25000</f>
        <v>-1001480</v>
      </c>
      <c r="G39" s="62">
        <f>G38+D39*63.64+F39</f>
        <v>252129.24000000022</v>
      </c>
      <c r="H39" s="62">
        <f t="shared" si="2"/>
        <v>2357001</v>
      </c>
    </row>
    <row r="40" spans="1:8">
      <c r="A40" s="26">
        <v>42979</v>
      </c>
      <c r="B40" s="63">
        <f>-200+3800</f>
        <v>3600</v>
      </c>
      <c r="C40" s="63">
        <f t="shared" si="1"/>
        <v>35492</v>
      </c>
      <c r="D40" s="63">
        <f>2999+2999+6000+3500</f>
        <v>15498</v>
      </c>
      <c r="E40" s="63">
        <f t="shared" si="0"/>
        <v>19994</v>
      </c>
      <c r="F40" s="62">
        <f>-25000-25000-25000-25000-25000-20000-193830-25000-25000-25000-25000-50000-25000-25000-25000-25000-25000-25000+100-25000-236045-25000-5000</f>
        <v>-929775</v>
      </c>
      <c r="G40" s="62">
        <f>G39+D40*63.66+F40</f>
        <v>308956.92000000016</v>
      </c>
      <c r="H40" s="62">
        <f t="shared" si="2"/>
        <v>1628561</v>
      </c>
    </row>
    <row r="41" spans="1:8">
      <c r="A41" s="26">
        <v>43009</v>
      </c>
      <c r="B41" s="63">
        <v>2100</v>
      </c>
      <c r="C41" s="63">
        <f t="shared" si="1"/>
        <v>22094</v>
      </c>
      <c r="D41" s="63">
        <f>3000</f>
        <v>3000</v>
      </c>
      <c r="E41" s="63">
        <f t="shared" si="0"/>
        <v>19094</v>
      </c>
      <c r="F41" s="62">
        <f>-25000-25000-25000-25000-25000-25000-25000-25000-25000-25000-500-25000-25000-25000-25000-25000-6020-25000-25000-25000</f>
        <v>-456520</v>
      </c>
      <c r="G41" s="62">
        <f>G40+D41*65+F41</f>
        <v>47436.920000000158</v>
      </c>
      <c r="H41" s="62">
        <f>ROUND(E41*65+G41,0)</f>
        <v>1288547</v>
      </c>
    </row>
    <row r="42" spans="1:8">
      <c r="A42" s="26">
        <v>43040</v>
      </c>
      <c r="B42" s="63">
        <v>3400</v>
      </c>
      <c r="C42" s="63">
        <f t="shared" si="1"/>
        <v>22494</v>
      </c>
      <c r="D42" s="63">
        <v>3100</v>
      </c>
      <c r="E42" s="63">
        <f t="shared" si="0"/>
        <v>19394</v>
      </c>
      <c r="F42" s="62">
        <f>-70700-25000-25000-25000-25000-25000-25000-20000-50-1620-10000+10000</f>
        <v>-242370</v>
      </c>
      <c r="G42" s="62">
        <f>G41+D42*64.5+F42</f>
        <v>5016.9200000001583</v>
      </c>
      <c r="H42" s="62">
        <f>ROUND(E42*64.5+G42,0)</f>
        <v>1255930</v>
      </c>
    </row>
    <row r="43" spans="1:8">
      <c r="A43" s="26">
        <v>43070</v>
      </c>
      <c r="B43" s="63">
        <v>1000</v>
      </c>
      <c r="C43" s="63">
        <f t="shared" si="1"/>
        <v>20394</v>
      </c>
      <c r="D43" s="63">
        <v>360</v>
      </c>
      <c r="E43" s="63">
        <f>C43-D43-500-2000</f>
        <v>17534</v>
      </c>
      <c r="F43" s="62"/>
      <c r="G43" s="62">
        <f>G42+D43*66+F43</f>
        <v>28776.920000000158</v>
      </c>
      <c r="H43" s="62">
        <f t="shared" si="2"/>
        <v>1186021</v>
      </c>
    </row>
    <row r="44" spans="1:8">
      <c r="E44" s="63"/>
      <c r="F44" s="62"/>
      <c r="G44" s="36"/>
    </row>
    <row r="45" spans="1:8">
      <c r="G45" s="33"/>
    </row>
    <row r="46" spans="1:8">
      <c r="G46" s="33"/>
    </row>
    <row r="47" spans="1:8">
      <c r="G47" s="33"/>
    </row>
    <row r="49" spans="1:7">
      <c r="G49" t="s">
        <v>69</v>
      </c>
    </row>
    <row r="50" spans="1:7" ht="14.25" customHeight="1">
      <c r="A50" s="32"/>
      <c r="B50" s="32"/>
    </row>
    <row r="51" spans="1:7">
      <c r="B51" s="32"/>
    </row>
  </sheetData>
  <sortState ref="A3:F15">
    <sortCondition ref="C3"/>
  </sortState>
  <mergeCells count="2">
    <mergeCell ref="A1:F1"/>
    <mergeCell ref="C18:C2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V35"/>
  <sheetViews>
    <sheetView workbookViewId="0">
      <pane ySplit="1" topLeftCell="A2" activePane="bottomLeft" state="frozen"/>
      <selection pane="bottomLeft" activeCell="H29" sqref="H29"/>
    </sheetView>
  </sheetViews>
  <sheetFormatPr defaultRowHeight="12.75"/>
  <cols>
    <col min="1" max="1" width="33.140625" customWidth="1"/>
    <col min="5" max="5" width="8.7109375" customWidth="1"/>
    <col min="7" max="7" width="9.42578125" customWidth="1"/>
    <col min="8" max="8" width="9.85546875" customWidth="1"/>
    <col min="14" max="14" width="11.7109375" customWidth="1"/>
    <col min="15" max="15" width="14.42578125" customWidth="1"/>
    <col min="16" max="16" width="9.140625" style="33"/>
    <col min="18" max="18" width="13.28515625" customWidth="1"/>
    <col min="20" max="20" width="16" customWidth="1"/>
    <col min="22" max="22" width="16.5703125" customWidth="1"/>
  </cols>
  <sheetData>
    <row r="1" spans="1:22">
      <c r="A1" s="37" t="s">
        <v>25</v>
      </c>
      <c r="B1" s="37" t="s">
        <v>17</v>
      </c>
      <c r="C1" s="37" t="s">
        <v>33</v>
      </c>
      <c r="D1" s="37" t="s">
        <v>38</v>
      </c>
      <c r="E1" s="37" t="s">
        <v>39</v>
      </c>
      <c r="F1" s="37" t="s">
        <v>41</v>
      </c>
      <c r="G1" s="37" t="s">
        <v>78</v>
      </c>
      <c r="H1" s="37" t="s">
        <v>46</v>
      </c>
      <c r="I1" s="37" t="s">
        <v>45</v>
      </c>
      <c r="J1" s="37" t="s">
        <v>47</v>
      </c>
      <c r="K1" s="37" t="s">
        <v>50</v>
      </c>
      <c r="L1" s="37" t="s">
        <v>51</v>
      </c>
      <c r="M1" s="37" t="s">
        <v>52</v>
      </c>
      <c r="N1" s="37" t="s">
        <v>23</v>
      </c>
      <c r="O1" s="51" t="s">
        <v>90</v>
      </c>
    </row>
    <row r="2" spans="1:22">
      <c r="A2" s="38" t="s">
        <v>58</v>
      </c>
      <c r="B2" s="38">
        <f>132-132</f>
        <v>0</v>
      </c>
      <c r="C2" s="38">
        <f>323+263</f>
        <v>586</v>
      </c>
      <c r="D2" s="38">
        <f>263+323</f>
        <v>586</v>
      </c>
      <c r="E2" s="38">
        <f>263+323</f>
        <v>586</v>
      </c>
      <c r="F2" s="38">
        <v>586</v>
      </c>
      <c r="G2" s="38">
        <f>323+263</f>
        <v>586</v>
      </c>
      <c r="H2" s="38">
        <f>263+323</f>
        <v>586</v>
      </c>
      <c r="I2" s="38">
        <f>323+263</f>
        <v>586</v>
      </c>
      <c r="J2" s="38">
        <f>263+323</f>
        <v>586</v>
      </c>
      <c r="K2" s="38">
        <f>323+263</f>
        <v>586</v>
      </c>
      <c r="L2" s="38">
        <f>323+263</f>
        <v>586</v>
      </c>
      <c r="M2" s="38">
        <f>323+263</f>
        <v>586</v>
      </c>
      <c r="N2" s="39">
        <f>SUM(B2:M2)</f>
        <v>6446</v>
      </c>
      <c r="O2" s="54">
        <f>N2/12</f>
        <v>537.16666666666663</v>
      </c>
    </row>
    <row r="3" spans="1:22">
      <c r="A3" s="38" t="s">
        <v>40</v>
      </c>
      <c r="B3" s="38">
        <v>51</v>
      </c>
      <c r="C3" s="38">
        <v>51</v>
      </c>
      <c r="D3" s="38">
        <v>51</v>
      </c>
      <c r="E3" s="38">
        <v>51</v>
      </c>
      <c r="F3" s="38">
        <v>51</v>
      </c>
      <c r="G3" s="38">
        <v>51</v>
      </c>
      <c r="H3" s="38">
        <v>71</v>
      </c>
      <c r="I3" s="38">
        <v>71</v>
      </c>
      <c r="J3" s="38">
        <v>71</v>
      </c>
      <c r="K3" s="38">
        <v>71</v>
      </c>
      <c r="L3" s="38">
        <v>71</v>
      </c>
      <c r="M3" s="38">
        <v>71</v>
      </c>
      <c r="N3" s="39">
        <f t="shared" ref="N3:N23" si="0">SUM(B3:M3)</f>
        <v>732</v>
      </c>
      <c r="O3" s="54">
        <f t="shared" ref="O3:O23" si="1">N3/12</f>
        <v>61</v>
      </c>
    </row>
    <row r="4" spans="1:22">
      <c r="A4" s="38" t="s">
        <v>85</v>
      </c>
      <c r="B4" s="38">
        <v>146</v>
      </c>
      <c r="C4" s="38">
        <v>150</v>
      </c>
      <c r="D4" s="38">
        <v>150</v>
      </c>
      <c r="E4" s="38">
        <v>150</v>
      </c>
      <c r="F4" s="38">
        <v>150</v>
      </c>
      <c r="G4" s="38">
        <v>143</v>
      </c>
      <c r="H4" s="38">
        <v>155</v>
      </c>
      <c r="I4" s="38">
        <v>155</v>
      </c>
      <c r="J4" s="38">
        <v>155</v>
      </c>
      <c r="K4" s="38">
        <v>155</v>
      </c>
      <c r="L4" s="38">
        <v>155</v>
      </c>
      <c r="M4" s="38">
        <v>155</v>
      </c>
      <c r="N4" s="39">
        <f t="shared" si="0"/>
        <v>1819</v>
      </c>
      <c r="O4" s="54">
        <f t="shared" si="1"/>
        <v>151.58333333333334</v>
      </c>
    </row>
    <row r="5" spans="1:22">
      <c r="A5" s="38" t="s">
        <v>14</v>
      </c>
      <c r="B5" s="38">
        <v>8</v>
      </c>
      <c r="C5" s="38">
        <v>8</v>
      </c>
      <c r="D5" s="38">
        <v>8</v>
      </c>
      <c r="E5" s="38">
        <v>8</v>
      </c>
      <c r="F5" s="38">
        <v>8</v>
      </c>
      <c r="G5" s="38">
        <v>10</v>
      </c>
      <c r="H5" s="38">
        <v>10</v>
      </c>
      <c r="I5" s="38">
        <v>10</v>
      </c>
      <c r="J5" s="38">
        <v>10</v>
      </c>
      <c r="K5" s="38">
        <v>10</v>
      </c>
      <c r="L5" s="38">
        <v>0</v>
      </c>
      <c r="M5" s="38">
        <v>11</v>
      </c>
      <c r="N5" s="39">
        <f>SUM(B5:M5)</f>
        <v>101</v>
      </c>
      <c r="O5" s="54">
        <f t="shared" si="1"/>
        <v>8.4166666666666661</v>
      </c>
      <c r="Q5" s="1" t="s">
        <v>81</v>
      </c>
      <c r="R5" s="1" t="s">
        <v>80</v>
      </c>
    </row>
    <row r="6" spans="1:22">
      <c r="A6" s="38" t="s">
        <v>26</v>
      </c>
      <c r="B6" s="38">
        <v>18</v>
      </c>
      <c r="C6" s="38">
        <v>18</v>
      </c>
      <c r="D6" s="38">
        <v>38</v>
      </c>
      <c r="E6" s="38">
        <v>38</v>
      </c>
      <c r="F6" s="38">
        <v>38</v>
      </c>
      <c r="G6" s="38">
        <v>38</v>
      </c>
      <c r="H6" s="38">
        <v>38</v>
      </c>
      <c r="I6" s="38">
        <v>38</v>
      </c>
      <c r="J6" s="38">
        <v>19</v>
      </c>
      <c r="K6" s="38">
        <v>29</v>
      </c>
      <c r="L6" s="38">
        <v>29</v>
      </c>
      <c r="M6" s="38">
        <v>29</v>
      </c>
      <c r="N6" s="39">
        <f>SUM(B6:M6)</f>
        <v>370</v>
      </c>
      <c r="O6" s="54">
        <f t="shared" si="1"/>
        <v>30.833333333333332</v>
      </c>
      <c r="Q6" s="47">
        <v>42430</v>
      </c>
      <c r="R6" s="41">
        <v>157</v>
      </c>
      <c r="V6" s="33"/>
    </row>
    <row r="7" spans="1:22">
      <c r="A7" s="41" t="s">
        <v>28</v>
      </c>
      <c r="B7" s="41">
        <f>90+47+21+136+89+9-25+68+17+37+90+22+93+21-72</f>
        <v>643</v>
      </c>
      <c r="C7" s="41">
        <f>82+85+19+9+44+28+10+56+2</f>
        <v>335</v>
      </c>
      <c r="D7" s="41">
        <f>56+58+11+2+28+25+105+11+61+80+34+18</f>
        <v>489</v>
      </c>
      <c r="E7" s="41">
        <f>17+12+74+3+14+28+5+12+56+6+21+22+15</f>
        <v>285</v>
      </c>
      <c r="F7" s="41">
        <f>64+15+31+21+97+7+11+67+19+40-21+13+11+44</f>
        <v>419</v>
      </c>
      <c r="G7" s="41">
        <f>78+13+97+19+12+16+21+12+110+76+13</f>
        <v>467</v>
      </c>
      <c r="H7" s="41">
        <f>11+179-112+10+90+24+73+12+19+5+10+97-4+65+22</f>
        <v>501</v>
      </c>
      <c r="I7" s="41">
        <f>11+12+61+3+11+80+38+19+21+56+16+12+51+11</f>
        <v>402</v>
      </c>
      <c r="J7" s="41">
        <f>55+119+17+18+13+20+21+47+22-16+13+43+51+24</f>
        <v>447</v>
      </c>
      <c r="K7" s="41">
        <f>57+23+55+22+10+81+40+4+48+11+23+6+18+16</f>
        <v>414</v>
      </c>
      <c r="L7" s="41">
        <f>215+12-121-21+13+53+13+6+19+89+26+65+21+40</f>
        <v>430</v>
      </c>
      <c r="M7" s="41">
        <f>29+22+69+80+16+45+26+72+11+58+25+59+13+29+66</f>
        <v>620</v>
      </c>
      <c r="N7" s="39">
        <f t="shared" si="0"/>
        <v>5452</v>
      </c>
      <c r="O7" s="54">
        <f t="shared" si="1"/>
        <v>454.33333333333331</v>
      </c>
      <c r="Q7" s="47">
        <v>42491</v>
      </c>
      <c r="R7" s="41">
        <v>70</v>
      </c>
    </row>
    <row r="8" spans="1:22">
      <c r="A8" s="41" t="s">
        <v>27</v>
      </c>
      <c r="B8" s="41">
        <v>91</v>
      </c>
      <c r="C8" s="41">
        <f>7+55+4+18-64+69+52+20+6+54+85+15+27+14</f>
        <v>362</v>
      </c>
      <c r="D8" s="41">
        <f>60+6+355+9+26+10+35+72+157</f>
        <v>730</v>
      </c>
      <c r="E8" s="41">
        <f>21+18+9-16</f>
        <v>32</v>
      </c>
      <c r="F8" s="41">
        <f>6+91+29+18+70+18</f>
        <v>232</v>
      </c>
      <c r="G8" s="41">
        <f>9+30+38+180+30</f>
        <v>287</v>
      </c>
      <c r="H8" s="41">
        <f>(25+34+9+18)+12+112+25+20+13</f>
        <v>268</v>
      </c>
      <c r="I8" s="41">
        <f>5+5+37+303</f>
        <v>350</v>
      </c>
      <c r="J8" s="41">
        <f>1990+43+127</f>
        <v>2160</v>
      </c>
      <c r="K8" s="41">
        <f>18+24+21+30</f>
        <v>93</v>
      </c>
      <c r="L8" s="41">
        <f>17+16+160+12</f>
        <v>205</v>
      </c>
      <c r="M8" s="41">
        <f>193+6+18+2+16+7+54+23</f>
        <v>319</v>
      </c>
      <c r="N8" s="39">
        <f t="shared" si="0"/>
        <v>5129</v>
      </c>
      <c r="O8" s="54">
        <f t="shared" si="1"/>
        <v>427.41666666666669</v>
      </c>
      <c r="Q8" s="47">
        <v>42522</v>
      </c>
      <c r="R8" s="41">
        <v>38</v>
      </c>
    </row>
    <row r="9" spans="1:22">
      <c r="A9" s="41" t="s">
        <v>30</v>
      </c>
      <c r="B9" s="41">
        <f>25+41+32+34+53+25</f>
        <v>210</v>
      </c>
      <c r="C9" s="41">
        <f>41+27+39+7+3+36</f>
        <v>153</v>
      </c>
      <c r="D9" s="41">
        <f>30</f>
        <v>30</v>
      </c>
      <c r="E9" s="41">
        <f>34+19+13+60+36</f>
        <v>162</v>
      </c>
      <c r="F9" s="41">
        <f>15+62</f>
        <v>77</v>
      </c>
      <c r="G9" s="41">
        <f>34+16+29</f>
        <v>79</v>
      </c>
      <c r="H9" s="41">
        <f>10+15</f>
        <v>25</v>
      </c>
      <c r="I9" s="41">
        <f>29</f>
        <v>29</v>
      </c>
      <c r="J9" s="41">
        <f>76+17+12</f>
        <v>105</v>
      </c>
      <c r="K9" s="41">
        <f>44</f>
        <v>44</v>
      </c>
      <c r="L9" s="41">
        <f>30+55</f>
        <v>85</v>
      </c>
      <c r="M9" s="41">
        <f>27+33</f>
        <v>60</v>
      </c>
      <c r="N9" s="39">
        <f t="shared" si="0"/>
        <v>1059</v>
      </c>
      <c r="O9" s="54">
        <f t="shared" si="1"/>
        <v>88.25</v>
      </c>
      <c r="Q9" s="47">
        <v>42552</v>
      </c>
      <c r="R9" s="41">
        <v>112</v>
      </c>
    </row>
    <row r="10" spans="1:22">
      <c r="A10" s="41" t="s">
        <v>29</v>
      </c>
      <c r="B10" s="41">
        <f>16+24</f>
        <v>40</v>
      </c>
      <c r="C10" s="41">
        <f>19+11+16</f>
        <v>46</v>
      </c>
      <c r="D10" s="41">
        <f>17+11+21</f>
        <v>49</v>
      </c>
      <c r="E10" s="41">
        <f>23+18</f>
        <v>41</v>
      </c>
      <c r="F10" s="41">
        <f>23+24</f>
        <v>47</v>
      </c>
      <c r="G10" s="41">
        <f>24+26</f>
        <v>50</v>
      </c>
      <c r="H10" s="41">
        <f>10+20+22</f>
        <v>52</v>
      </c>
      <c r="I10" s="41">
        <f>12+20+8</f>
        <v>40</v>
      </c>
      <c r="J10" s="41">
        <f>25+24</f>
        <v>49</v>
      </c>
      <c r="K10" s="41">
        <f>25+27</f>
        <v>52</v>
      </c>
      <c r="L10" s="41">
        <f>22+23+23</f>
        <v>68</v>
      </c>
      <c r="M10" s="41">
        <f>21+24+22</f>
        <v>67</v>
      </c>
      <c r="N10" s="39">
        <f t="shared" si="0"/>
        <v>601</v>
      </c>
      <c r="O10" s="54">
        <f t="shared" si="1"/>
        <v>50.083333333333336</v>
      </c>
      <c r="Q10" s="47">
        <v>42583</v>
      </c>
      <c r="R10" s="41">
        <v>303</v>
      </c>
    </row>
    <row r="11" spans="1:22">
      <c r="A11" s="41" t="s">
        <v>31</v>
      </c>
      <c r="B11" s="41">
        <f>21</f>
        <v>21</v>
      </c>
      <c r="C11" s="41">
        <f>129+80+182+137+4+57+32+104-20</f>
        <v>705</v>
      </c>
      <c r="D11" s="41">
        <f>86</f>
        <v>86</v>
      </c>
      <c r="E11" s="41">
        <f>39+37+10</f>
        <v>86</v>
      </c>
      <c r="F11" s="41">
        <f>50</f>
        <v>50</v>
      </c>
      <c r="G11" s="41">
        <f>9+29+66</f>
        <v>104</v>
      </c>
      <c r="H11" s="41">
        <v>0</v>
      </c>
      <c r="I11" s="41">
        <f>80</f>
        <v>80</v>
      </c>
      <c r="J11" s="41">
        <f>30</f>
        <v>30</v>
      </c>
      <c r="K11" s="41">
        <v>0</v>
      </c>
      <c r="L11" s="41">
        <f>196-116+(371+191+84+23+64+104+117)</f>
        <v>1034</v>
      </c>
      <c r="M11" s="41">
        <f>276+167+21+43+31</f>
        <v>538</v>
      </c>
      <c r="N11" s="39">
        <f t="shared" si="0"/>
        <v>2734</v>
      </c>
      <c r="O11" s="54">
        <f t="shared" si="1"/>
        <v>227.83333333333334</v>
      </c>
      <c r="Q11" s="47">
        <v>42675</v>
      </c>
      <c r="R11" s="41">
        <v>-40</v>
      </c>
    </row>
    <row r="12" spans="1:22">
      <c r="A12" s="41" t="s">
        <v>32</v>
      </c>
      <c r="B12" s="41">
        <f>15+14</f>
        <v>29</v>
      </c>
      <c r="C12" s="41">
        <f>39+22</f>
        <v>61</v>
      </c>
      <c r="D12" s="41">
        <f>10+25+30</f>
        <v>65</v>
      </c>
      <c r="E12" s="41">
        <f>13+24+16</f>
        <v>53</v>
      </c>
      <c r="F12" s="41">
        <f>24+13+36+47</f>
        <v>120</v>
      </c>
      <c r="G12" s="41">
        <f>12+18+15+12+14+5+13</f>
        <v>89</v>
      </c>
      <c r="H12" s="41">
        <f>3+12+5</f>
        <v>20</v>
      </c>
      <c r="I12" s="41">
        <f>13+15+3+30+7+8</f>
        <v>76</v>
      </c>
      <c r="J12" s="42">
        <f>12+30+29+13</f>
        <v>84</v>
      </c>
      <c r="K12" s="41">
        <f>7+12+5+21+10</f>
        <v>55</v>
      </c>
      <c r="L12" s="41">
        <f>26+5+21</f>
        <v>52</v>
      </c>
      <c r="M12" s="41">
        <f>15+42+14</f>
        <v>71</v>
      </c>
      <c r="N12" s="39">
        <f t="shared" si="0"/>
        <v>775</v>
      </c>
      <c r="O12" s="54">
        <f t="shared" si="1"/>
        <v>64.583333333333329</v>
      </c>
    </row>
    <row r="13" spans="1:22" ht="13.5" customHeight="1">
      <c r="A13" s="41" t="s">
        <v>43</v>
      </c>
      <c r="B13" s="41">
        <v>0</v>
      </c>
      <c r="C13" s="41">
        <f>25+25+25+25</f>
        <v>100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39">
        <f t="shared" si="0"/>
        <v>100</v>
      </c>
      <c r="O13" s="54">
        <f t="shared" si="1"/>
        <v>8.3333333333333339</v>
      </c>
    </row>
    <row r="14" spans="1:22">
      <c r="A14" s="41" t="s">
        <v>59</v>
      </c>
      <c r="B14" s="41">
        <f>30+470+30+30+30+120+30+30+320+30</f>
        <v>1120</v>
      </c>
      <c r="C14" s="41">
        <f>30+30+1800+31</f>
        <v>1891</v>
      </c>
      <c r="D14" s="41">
        <f>30+144+1619+30</f>
        <v>1823</v>
      </c>
      <c r="E14" s="41">
        <f>30+144</f>
        <v>174</v>
      </c>
      <c r="F14" s="41">
        <f>30+50+30</f>
        <v>110</v>
      </c>
      <c r="G14" s="41">
        <f>30</f>
        <v>30</v>
      </c>
      <c r="H14" s="41">
        <v>0</v>
      </c>
      <c r="I14" s="41">
        <v>60</v>
      </c>
      <c r="J14" s="41">
        <v>99</v>
      </c>
      <c r="K14" s="41">
        <f>174+10+55+50+100+100</f>
        <v>489</v>
      </c>
      <c r="L14" s="41">
        <f>99</f>
        <v>99</v>
      </c>
      <c r="M14" s="41">
        <v>0</v>
      </c>
      <c r="N14" s="39">
        <f t="shared" si="0"/>
        <v>5895</v>
      </c>
      <c r="O14" s="54">
        <f t="shared" si="1"/>
        <v>491.25</v>
      </c>
    </row>
    <row r="15" spans="1:2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39">
        <f t="shared" si="0"/>
        <v>0</v>
      </c>
      <c r="O15" s="54"/>
    </row>
    <row r="16" spans="1:22">
      <c r="A16" s="37" t="s">
        <v>34</v>
      </c>
      <c r="B16" s="43"/>
      <c r="C16" s="43"/>
      <c r="D16" s="1"/>
      <c r="E16" s="1"/>
      <c r="F16" s="1"/>
      <c r="G16" s="1"/>
      <c r="H16" s="1"/>
      <c r="I16" s="1"/>
      <c r="J16" s="1"/>
      <c r="K16" s="1"/>
      <c r="L16" s="1"/>
      <c r="M16" s="1"/>
      <c r="N16" s="39">
        <f t="shared" si="0"/>
        <v>0</v>
      </c>
      <c r="O16" s="54"/>
    </row>
    <row r="17" spans="1:15">
      <c r="A17" s="41" t="s">
        <v>35</v>
      </c>
      <c r="B17" s="41">
        <v>1170</v>
      </c>
      <c r="C17" s="41">
        <v>1170</v>
      </c>
      <c r="D17" s="41">
        <v>1170</v>
      </c>
      <c r="E17" s="41">
        <v>1170</v>
      </c>
      <c r="F17" s="41">
        <v>1170</v>
      </c>
      <c r="G17" s="44">
        <v>1170</v>
      </c>
      <c r="H17" s="41">
        <v>1250</v>
      </c>
      <c r="I17" s="41">
        <v>1252</v>
      </c>
      <c r="J17" s="41">
        <v>1252</v>
      </c>
      <c r="K17" s="41">
        <v>1252</v>
      </c>
      <c r="L17" s="41">
        <v>1252</v>
      </c>
      <c r="M17" s="41">
        <v>1252</v>
      </c>
      <c r="N17" s="39">
        <f t="shared" si="0"/>
        <v>14530</v>
      </c>
      <c r="O17" s="54">
        <f t="shared" si="1"/>
        <v>1210.8333333333333</v>
      </c>
    </row>
    <row r="18" spans="1:15" s="33" customFormat="1">
      <c r="A18" s="41" t="s">
        <v>54</v>
      </c>
      <c r="B18" s="41">
        <v>32</v>
      </c>
      <c r="C18" s="41">
        <v>32</v>
      </c>
      <c r="D18" s="41">
        <v>31</v>
      </c>
      <c r="E18" s="41">
        <v>31</v>
      </c>
      <c r="F18" s="41">
        <v>30</v>
      </c>
      <c r="G18" s="44">
        <v>31</v>
      </c>
      <c r="H18" s="41">
        <v>32</v>
      </c>
      <c r="I18" s="41">
        <v>32</v>
      </c>
      <c r="J18" s="41">
        <v>32</v>
      </c>
      <c r="K18" s="41">
        <v>33</v>
      </c>
      <c r="L18" s="41">
        <v>33</v>
      </c>
      <c r="M18" s="41">
        <v>33</v>
      </c>
      <c r="N18" s="39">
        <f t="shared" si="0"/>
        <v>382</v>
      </c>
      <c r="O18" s="54">
        <f t="shared" si="1"/>
        <v>31.833333333333332</v>
      </c>
    </row>
    <row r="19" spans="1:15">
      <c r="A19" s="41" t="s">
        <v>77</v>
      </c>
      <c r="B19" s="41">
        <f>722+315+285+61+500</f>
        <v>1883</v>
      </c>
      <c r="C19" s="41">
        <f>769+500+200+415+212+500</f>
        <v>2596</v>
      </c>
      <c r="D19" s="41">
        <f>982+500+393+200+500+271</f>
        <v>2846</v>
      </c>
      <c r="E19" s="41">
        <f>971+541+233+200+500+200+100+400</f>
        <v>3145</v>
      </c>
      <c r="F19" s="41">
        <f>1008+200+86+370+479</f>
        <v>2143</v>
      </c>
      <c r="G19" s="44">
        <f>824+360+288+200+875</f>
        <v>2547</v>
      </c>
      <c r="H19" s="41">
        <f>829+642+273+330+700</f>
        <v>2774</v>
      </c>
      <c r="I19" s="41">
        <f>659+605+461+400+100</f>
        <v>2225</v>
      </c>
      <c r="J19" s="41">
        <f>606+625+80+700+200+25</f>
        <v>2236</v>
      </c>
      <c r="K19" s="41">
        <f>656+482+500+434+500+229</f>
        <v>2801</v>
      </c>
      <c r="L19" s="41">
        <f>205+556+563+100+880</f>
        <v>2304</v>
      </c>
      <c r="M19" s="41">
        <f>549+247+679+214+279+576</f>
        <v>2544</v>
      </c>
      <c r="N19" s="39">
        <f t="shared" si="0"/>
        <v>30044</v>
      </c>
      <c r="O19" s="54">
        <f t="shared" si="1"/>
        <v>2503.6666666666665</v>
      </c>
    </row>
    <row r="20" spans="1:15" ht="13.5" customHeight="1">
      <c r="A20" s="41" t="s">
        <v>9</v>
      </c>
      <c r="B20" s="41">
        <v>225</v>
      </c>
      <c r="C20" s="41">
        <v>225</v>
      </c>
      <c r="D20" s="41">
        <v>225</v>
      </c>
      <c r="E20" s="41">
        <v>225</v>
      </c>
      <c r="F20" s="41">
        <v>225</v>
      </c>
      <c r="G20" s="44">
        <v>225</v>
      </c>
      <c r="H20" s="41">
        <v>225</v>
      </c>
      <c r="I20" s="41">
        <v>225</v>
      </c>
      <c r="J20" s="41">
        <v>225</v>
      </c>
      <c r="K20" s="41">
        <v>225</v>
      </c>
      <c r="L20" s="41">
        <v>225</v>
      </c>
      <c r="M20" s="41">
        <v>225</v>
      </c>
      <c r="N20" s="39">
        <f t="shared" si="0"/>
        <v>2700</v>
      </c>
      <c r="O20" s="54">
        <f t="shared" si="1"/>
        <v>225</v>
      </c>
    </row>
    <row r="21" spans="1:15">
      <c r="A21" s="41" t="s">
        <v>36</v>
      </c>
      <c r="B21" s="41">
        <v>148</v>
      </c>
      <c r="C21" s="41">
        <v>148</v>
      </c>
      <c r="D21" s="41">
        <v>148</v>
      </c>
      <c r="E21" s="41">
        <v>135</v>
      </c>
      <c r="F21" s="41">
        <v>135</v>
      </c>
      <c r="G21" s="44">
        <v>135</v>
      </c>
      <c r="H21" s="41">
        <v>135</v>
      </c>
      <c r="I21" s="41">
        <v>135</v>
      </c>
      <c r="J21" s="41">
        <v>135</v>
      </c>
      <c r="K21" s="41">
        <v>135</v>
      </c>
      <c r="L21" s="41">
        <v>99</v>
      </c>
      <c r="M21" s="41">
        <v>99</v>
      </c>
      <c r="N21" s="39">
        <f t="shared" si="0"/>
        <v>1587</v>
      </c>
      <c r="O21" s="54">
        <f t="shared" si="1"/>
        <v>132.25</v>
      </c>
    </row>
    <row r="22" spans="1:15" s="33" customFormat="1">
      <c r="A22" s="41" t="s">
        <v>49</v>
      </c>
      <c r="B22" s="41">
        <v>121</v>
      </c>
      <c r="C22" s="41">
        <v>140</v>
      </c>
      <c r="D22" s="41">
        <v>121</v>
      </c>
      <c r="E22" s="41">
        <v>85</v>
      </c>
      <c r="F22" s="41">
        <v>79</v>
      </c>
      <c r="G22" s="44">
        <v>48</v>
      </c>
      <c r="H22" s="41">
        <v>55</v>
      </c>
      <c r="I22" s="41">
        <v>86</v>
      </c>
      <c r="J22" s="41">
        <v>83</v>
      </c>
      <c r="K22" s="41">
        <v>89</v>
      </c>
      <c r="L22" s="41">
        <v>78</v>
      </c>
      <c r="M22" s="41">
        <v>91</v>
      </c>
      <c r="N22" s="39">
        <f t="shared" si="0"/>
        <v>1076</v>
      </c>
      <c r="O22" s="54">
        <f t="shared" si="1"/>
        <v>89.666666666666671</v>
      </c>
    </row>
    <row r="23" spans="1:15">
      <c r="A23" s="41" t="s">
        <v>57</v>
      </c>
      <c r="B23" s="41">
        <f>229+119</f>
        <v>348</v>
      </c>
      <c r="C23" s="41">
        <v>0</v>
      </c>
      <c r="D23" s="41">
        <v>0</v>
      </c>
      <c r="E23" s="41">
        <v>0</v>
      </c>
      <c r="F23" s="41">
        <v>0</v>
      </c>
      <c r="G23" s="44">
        <v>0</v>
      </c>
      <c r="H23" s="41">
        <v>0</v>
      </c>
      <c r="I23" s="41">
        <v>100</v>
      </c>
      <c r="J23" s="41">
        <v>63</v>
      </c>
      <c r="K23" s="41">
        <v>11</v>
      </c>
      <c r="L23" s="41">
        <v>0</v>
      </c>
      <c r="M23" s="41">
        <f>20+19+33</f>
        <v>72</v>
      </c>
      <c r="N23" s="39">
        <f t="shared" si="0"/>
        <v>594</v>
      </c>
      <c r="O23" s="54">
        <f t="shared" si="1"/>
        <v>49.5</v>
      </c>
    </row>
    <row r="24" spans="1:15">
      <c r="A24" s="41" t="s">
        <v>75</v>
      </c>
      <c r="B24" s="41"/>
      <c r="C24" s="41"/>
      <c r="D24" s="41"/>
      <c r="E24" s="41"/>
      <c r="F24" s="45" t="s">
        <v>11</v>
      </c>
      <c r="G24" s="45" t="s">
        <v>11</v>
      </c>
      <c r="H24" s="45" t="s">
        <v>11</v>
      </c>
      <c r="I24" s="45" t="s">
        <v>11</v>
      </c>
      <c r="J24" s="45" t="s">
        <v>11</v>
      </c>
      <c r="K24" s="45" t="s">
        <v>11</v>
      </c>
      <c r="L24" s="45" t="s">
        <v>11</v>
      </c>
      <c r="M24" s="40"/>
      <c r="N24" s="41"/>
      <c r="O24" s="52"/>
    </row>
    <row r="25" spans="1:15">
      <c r="A25" s="41" t="s">
        <v>67</v>
      </c>
      <c r="B25" s="41"/>
      <c r="C25" s="41"/>
      <c r="D25" s="41"/>
      <c r="E25" s="41"/>
      <c r="F25" s="45" t="s">
        <v>11</v>
      </c>
      <c r="G25" s="45" t="s">
        <v>11</v>
      </c>
      <c r="H25" s="45" t="s">
        <v>11</v>
      </c>
      <c r="I25" s="45" t="s">
        <v>11</v>
      </c>
      <c r="J25" s="45" t="s">
        <v>11</v>
      </c>
      <c r="K25" s="45" t="s">
        <v>11</v>
      </c>
      <c r="L25" s="45" t="s">
        <v>11</v>
      </c>
      <c r="M25" s="49" t="s">
        <v>11</v>
      </c>
      <c r="N25" s="41"/>
      <c r="O25" s="52"/>
    </row>
    <row r="26" spans="1:15">
      <c r="A26" s="41" t="s">
        <v>76</v>
      </c>
      <c r="B26" s="41"/>
      <c r="C26" s="41"/>
      <c r="D26" s="41"/>
      <c r="E26" s="41"/>
      <c r="F26" s="45" t="s">
        <v>11</v>
      </c>
      <c r="G26" s="45" t="s">
        <v>11</v>
      </c>
      <c r="H26" s="45" t="s">
        <v>11</v>
      </c>
      <c r="I26" s="45" t="s">
        <v>11</v>
      </c>
      <c r="J26" s="45" t="s">
        <v>11</v>
      </c>
      <c r="K26" s="45" t="s">
        <v>11</v>
      </c>
      <c r="L26" s="45" t="s">
        <v>11</v>
      </c>
      <c r="M26" s="49" t="s">
        <v>11</v>
      </c>
      <c r="N26" s="41"/>
      <c r="O26" s="52"/>
    </row>
    <row r="27" spans="1:15">
      <c r="F27" s="17"/>
      <c r="O27" s="53"/>
    </row>
    <row r="30" spans="1:15">
      <c r="K30" s="33"/>
    </row>
    <row r="31" spans="1:15">
      <c r="K31" s="33"/>
    </row>
    <row r="32" spans="1:15">
      <c r="K32" s="33"/>
    </row>
    <row r="33" spans="11:11">
      <c r="K33" s="33"/>
    </row>
    <row r="34" spans="11:11">
      <c r="K34" s="33"/>
    </row>
    <row r="35" spans="11:11">
      <c r="K35" s="3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</vt:lpstr>
      <vt:lpstr>Summary-2020</vt:lpstr>
      <vt:lpstr>2019</vt:lpstr>
      <vt:lpstr>Summary-2019</vt:lpstr>
      <vt:lpstr>2018</vt:lpstr>
      <vt:lpstr>Summary-2018</vt:lpstr>
      <vt:lpstr>2017</vt:lpstr>
      <vt:lpstr>Summary-2017</vt:lpstr>
      <vt:lpstr>2016</vt:lpstr>
      <vt:lpstr>2015</vt:lpstr>
      <vt:lpstr>Summary-2015</vt:lpstr>
    </vt:vector>
  </TitlesOfParts>
  <Company>TD Ameritrade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TDA Associate</dc:creator>
  <cp:lastModifiedBy>rajshekharchary@gmail.com</cp:lastModifiedBy>
  <cp:lastPrinted>2013-12-02T21:36:20Z</cp:lastPrinted>
  <dcterms:created xsi:type="dcterms:W3CDTF">2013-11-26T16:19:53Z</dcterms:created>
  <dcterms:modified xsi:type="dcterms:W3CDTF">2020-05-16T22:51:35Z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_AdHocReviewCycleID">
    <vt:i4>211754412</vt:i4>
  </property>
  <property fmtid="{D5CDD505-2E9C-101B-9397-08002B2CF9AE}" pid="4" name="_NewReviewCycle">
    <vt:lpwstr/>
  </property>
  <property fmtid="{D5CDD505-2E9C-101B-9397-08002B2CF9AE}" pid="5" name="_EmailSubject">
    <vt:lpwstr>docs</vt:lpwstr>
  </property>
  <property fmtid="{D5CDD505-2E9C-101B-9397-08002B2CF9AE}" pid="6" name="_AuthorEmail">
    <vt:lpwstr>Rajshekhar.Rasoju@tdameritrade.com</vt:lpwstr>
  </property>
  <property fmtid="{D5CDD505-2E9C-101B-9397-08002B2CF9AE}" pid="7" name="_AuthorEmailDisplayName">
    <vt:lpwstr>Rasoju, Rajshekhar</vt:lpwstr>
  </property>
  <property fmtid="{D5CDD505-2E9C-101B-9397-08002B2CF9AE}" pid="8" name="_ReviewingToolsShownOnce">
    <vt:lpwstr/>
  </property>
</Properties>
</file>