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bd06da3ca1175/Documents/Desktop/"/>
    </mc:Choice>
  </mc:AlternateContent>
  <xr:revisionPtr revIDLastSave="2" documentId="13_ncr:1_{4156AEA0-B7BD-4615-9D90-7A29B4DA2F77}" xr6:coauthVersionLast="45" xr6:coauthVersionMax="45" xr10:uidLastSave="{92FAC1D8-96D2-4664-AB26-D5C64EA034FA}"/>
  <bookViews>
    <workbookView xWindow="20370" yWindow="-120" windowWidth="29040" windowHeight="15840" xr2:uid="{61992853-2137-4B8B-9CEE-8E7C5BE34BAF}"/>
  </bookViews>
  <sheets>
    <sheet name="Income Statement" sheetId="1" r:id="rId1"/>
    <sheet name="Balance Sheet" sheetId="3" r:id="rId2"/>
    <sheet name="Cash Flow Statement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22" i="4"/>
  <c r="B16" i="4"/>
  <c r="B10" i="4"/>
  <c r="B8" i="4"/>
  <c r="B7" i="4"/>
  <c r="B18" i="4" l="1"/>
  <c r="B22" i="3"/>
  <c r="B19" i="3"/>
  <c r="B43" i="3"/>
  <c r="B12" i="3"/>
  <c r="B5" i="3"/>
  <c r="B33" i="3"/>
  <c r="D44" i="3"/>
  <c r="E44" i="3"/>
  <c r="C44" i="3"/>
  <c r="B13" i="3" l="1"/>
  <c r="B13" i="4"/>
  <c r="B14" i="4" s="1"/>
  <c r="E41" i="3"/>
  <c r="D41" i="3"/>
  <c r="C41" i="3"/>
  <c r="D40" i="3"/>
  <c r="E40" i="3"/>
  <c r="C40" i="3"/>
  <c r="D39" i="3"/>
  <c r="E39" i="3"/>
  <c r="C39" i="3"/>
  <c r="D38" i="3"/>
  <c r="E38" i="3"/>
  <c r="C38" i="3"/>
  <c r="B15" i="3"/>
  <c r="D34" i="3"/>
  <c r="E34" i="3"/>
  <c r="C34" i="3"/>
  <c r="E28" i="3"/>
  <c r="E35" i="3" s="1"/>
  <c r="D27" i="3"/>
  <c r="E27" i="3"/>
  <c r="C27" i="3"/>
  <c r="D23" i="3"/>
  <c r="D28" i="3" s="1"/>
  <c r="D35" i="3" s="1"/>
  <c r="E23" i="3"/>
  <c r="C23" i="3"/>
  <c r="C28" i="3" s="1"/>
  <c r="C35" i="3" s="1"/>
  <c r="D15" i="3"/>
  <c r="D16" i="3" s="1"/>
  <c r="E15" i="3"/>
  <c r="C15" i="3"/>
  <c r="D10" i="3"/>
  <c r="E10" i="3"/>
  <c r="C10" i="3"/>
  <c r="C16" i="3" s="1"/>
  <c r="D29" i="1"/>
  <c r="C29" i="1"/>
  <c r="B11" i="1"/>
  <c r="B13" i="1" s="1"/>
  <c r="B14" i="1" s="1"/>
  <c r="B18" i="1" s="1"/>
  <c r="B19" i="1" s="1"/>
  <c r="D11" i="1"/>
  <c r="D13" i="1" s="1"/>
  <c r="D27" i="1" s="1"/>
  <c r="D28" i="1"/>
  <c r="C28" i="1"/>
  <c r="B4" i="1"/>
  <c r="B18" i="3" s="1"/>
  <c r="B9" i="4" s="1"/>
  <c r="D25" i="1"/>
  <c r="C25" i="1"/>
  <c r="D23" i="1"/>
  <c r="C23" i="1"/>
  <c r="D18" i="1"/>
  <c r="E18" i="1"/>
  <c r="C18" i="1"/>
  <c r="D5" i="1"/>
  <c r="D24" i="1" s="1"/>
  <c r="E5" i="1"/>
  <c r="E11" i="1" s="1"/>
  <c r="E13" i="1" s="1"/>
  <c r="C5" i="1"/>
  <c r="C24" i="1" s="1"/>
  <c r="B32" i="3" l="1"/>
  <c r="B34" i="3" s="1"/>
  <c r="B4" i="4"/>
  <c r="B11" i="4" s="1"/>
  <c r="B20" i="4" s="1"/>
  <c r="B24" i="4" s="1"/>
  <c r="B20" i="1"/>
  <c r="C11" i="1"/>
  <c r="C13" i="1" s="1"/>
  <c r="C27" i="1" s="1"/>
  <c r="E16" i="3"/>
  <c r="B23" i="3"/>
  <c r="B27" i="3"/>
  <c r="B28" i="3" s="1"/>
  <c r="B35" i="3" s="1"/>
  <c r="B10" i="3" l="1"/>
  <c r="B16" i="3" s="1"/>
</calcChain>
</file>

<file path=xl/sharedStrings.xml><?xml version="1.0" encoding="utf-8"?>
<sst xmlns="http://schemas.openxmlformats.org/spreadsheetml/2006/main" count="91" uniqueCount="83">
  <si>
    <t>Total Revenue</t>
  </si>
  <si>
    <t>Cost of Revenue</t>
  </si>
  <si>
    <t>Gross Profit</t>
  </si>
  <si>
    <t>Operating Expenses</t>
  </si>
  <si>
    <t>Research and Development</t>
  </si>
  <si>
    <t>Sales, General and Admin</t>
  </si>
  <si>
    <t>Non-Recurring Items</t>
  </si>
  <si>
    <t>Other Operating Items</t>
  </si>
  <si>
    <t>Operating Income</t>
  </si>
  <si>
    <t>Earnings Before Interest and Tax</t>
  </si>
  <si>
    <t>Earning Before Tax</t>
  </si>
  <si>
    <t>Income Tax</t>
  </si>
  <si>
    <t>Minority Interest</t>
  </si>
  <si>
    <t>Equity Earnings/Loss Unconsolidated Subsidiary</t>
  </si>
  <si>
    <t>Net Income-Cont. Operations</t>
  </si>
  <si>
    <t>Net Income</t>
  </si>
  <si>
    <t>Net Income Applicable to Common Shareholders</t>
  </si>
  <si>
    <t>Apple Income Statements</t>
  </si>
  <si>
    <t>(In Millions of USD)</t>
  </si>
  <si>
    <t>Selected Ratios</t>
  </si>
  <si>
    <t>Sales growth</t>
  </si>
  <si>
    <t>Gross Profit Margin</t>
  </si>
  <si>
    <t>Sales, General and Admin Expense/Sales</t>
  </si>
  <si>
    <t>Interest Expense/Prior-year long-term debt</t>
  </si>
  <si>
    <t>Income tax expense/Pretax Income</t>
  </si>
  <si>
    <t>Research and Development growth</t>
  </si>
  <si>
    <t>Add'l Income/(Expense), net</t>
  </si>
  <si>
    <t>Current assets:</t>
  </si>
  <si>
    <t>Cash and cash equivalents</t>
  </si>
  <si>
    <t>Accounts receivable, net</t>
  </si>
  <si>
    <t>Inventories</t>
  </si>
  <si>
    <t>Other current assets</t>
  </si>
  <si>
    <t>Total current assets</t>
  </si>
  <si>
    <t>Non-current assets:</t>
  </si>
  <si>
    <t>Property, plant and equipment, net</t>
  </si>
  <si>
    <t>Other non-current assets</t>
  </si>
  <si>
    <t>Total non-current assets</t>
  </si>
  <si>
    <t>Total assets</t>
  </si>
  <si>
    <t>Current liabilities:</t>
  </si>
  <si>
    <t>Accounts payable</t>
  </si>
  <si>
    <t>Other current liabilities</t>
  </si>
  <si>
    <t>Deferred revenue</t>
  </si>
  <si>
    <t>Commercial paper</t>
  </si>
  <si>
    <t>Total current liabilities</t>
  </si>
  <si>
    <t>Non-current liabilities:</t>
  </si>
  <si>
    <t>Other non-current liabilities</t>
  </si>
  <si>
    <t>Total non-current liabilities</t>
  </si>
  <si>
    <t>Total liabilities</t>
  </si>
  <si>
    <t>Commitments and contingencies</t>
  </si>
  <si>
    <t>Shareholders’ equity:</t>
  </si>
  <si>
    <t>Retained earnings</t>
  </si>
  <si>
    <t>Accumulated other comprehensive income/(loss)</t>
  </si>
  <si>
    <t>Total shareholders’ equity</t>
  </si>
  <si>
    <t>Total liabilities and shareholders’ equity</t>
  </si>
  <si>
    <t>Apple Balance Sheet</t>
  </si>
  <si>
    <t>Vendor non-trade receivables (Other Receivable)</t>
  </si>
  <si>
    <t>Accounts Receivable turnover Rate</t>
  </si>
  <si>
    <t>Inventory Turnover Rate</t>
  </si>
  <si>
    <t>Accounts Payable Turnover Rate</t>
  </si>
  <si>
    <t>Taxes payable/Tax Expense</t>
  </si>
  <si>
    <t>Dividends per Share</t>
  </si>
  <si>
    <t>Capital Expensitures (CAPEX)-In Millions</t>
  </si>
  <si>
    <t>CAPEX/Sales</t>
  </si>
  <si>
    <t>Marketable securities (Long Term Investments)</t>
  </si>
  <si>
    <t>Marketable securities (Short Term Investments)</t>
  </si>
  <si>
    <t>Long Term debt</t>
  </si>
  <si>
    <t xml:space="preserve"> Other Term debt</t>
  </si>
  <si>
    <t>Items to adjust income to Cash Flow</t>
  </si>
  <si>
    <t>Receivables</t>
  </si>
  <si>
    <t>Accounts Payable</t>
  </si>
  <si>
    <t>Income taxes and Others</t>
  </si>
  <si>
    <t>Net Cash flow from operations</t>
  </si>
  <si>
    <t>Capital Expenditure</t>
  </si>
  <si>
    <t>Net Cash flow from Investing activities</t>
  </si>
  <si>
    <t>Long Term Debt</t>
  </si>
  <si>
    <t>Dividens</t>
  </si>
  <si>
    <t>Net Cash flow from Financing Activities</t>
  </si>
  <si>
    <t>Net Change in Cash</t>
  </si>
  <si>
    <t>Ending Cash</t>
  </si>
  <si>
    <t>Beginning Cash</t>
  </si>
  <si>
    <t>Projected 2021</t>
  </si>
  <si>
    <t>Common Stock</t>
  </si>
  <si>
    <t>2021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</si>
</sst>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</font>
    <font>
      <sz val="16"/>
      <name val="Calibri"/>
      <family val="2"/>
    </font>
    <font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/>
    </xf>
    <xf numFmtId="164" fontId="5" fillId="0" borderId="1" xfId="0" applyNumberFormat="1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/>
    <xf numFmtId="0" fontId="6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3" fontId="2" fillId="3" borderId="1" xfId="0" applyNumberFormat="1" applyFont="1" applyFill="1" applyBorder="1" applyAlignment="1">
      <alignment horizontal="left"/>
    </xf>
    <xf numFmtId="10" fontId="2" fillId="3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5949-147E-4A7D-B298-51155667F481}">
  <dimension ref="A1:F34"/>
  <sheetViews>
    <sheetView tabSelected="1" workbookViewId="0">
      <selection activeCell="N19" sqref="N19"/>
    </sheetView>
  </sheetViews>
  <sheetFormatPr defaultRowHeight="21" x14ac:dyDescent="0.35"/>
  <cols>
    <col min="1" max="1" width="62.28515625" style="1" bestFit="1" customWidth="1"/>
    <col min="2" max="5" width="22.7109375" style="1" customWidth="1"/>
    <col min="6" max="16384" width="9.140625" style="1"/>
  </cols>
  <sheetData>
    <row r="1" spans="1:5" ht="26.25" x14ac:dyDescent="0.35">
      <c r="A1" s="26" t="s">
        <v>17</v>
      </c>
      <c r="B1" s="26"/>
      <c r="C1" s="26"/>
      <c r="D1" s="26"/>
      <c r="E1" s="26"/>
    </row>
    <row r="2" spans="1:5" x14ac:dyDescent="0.35">
      <c r="A2" s="3" t="s">
        <v>18</v>
      </c>
      <c r="B2" s="19" t="s">
        <v>80</v>
      </c>
      <c r="C2" s="3">
        <v>2020</v>
      </c>
      <c r="D2" s="3">
        <v>2019</v>
      </c>
      <c r="E2" s="3">
        <v>2018</v>
      </c>
    </row>
    <row r="3" spans="1:5" x14ac:dyDescent="0.35">
      <c r="A3" s="3" t="s">
        <v>0</v>
      </c>
      <c r="B3" s="20">
        <v>289641</v>
      </c>
      <c r="C3" s="4">
        <v>274515</v>
      </c>
      <c r="D3" s="4">
        <v>260174</v>
      </c>
      <c r="E3" s="4">
        <v>265595</v>
      </c>
    </row>
    <row r="4" spans="1:5" x14ac:dyDescent="0.35">
      <c r="A4" s="3" t="s">
        <v>1</v>
      </c>
      <c r="B4" s="20">
        <f>B3-B5</f>
        <v>178911</v>
      </c>
      <c r="C4" s="4">
        <v>169559</v>
      </c>
      <c r="D4" s="4">
        <v>161782</v>
      </c>
      <c r="E4" s="4">
        <v>163756</v>
      </c>
    </row>
    <row r="5" spans="1:5" x14ac:dyDescent="0.35">
      <c r="A5" s="3" t="s">
        <v>2</v>
      </c>
      <c r="B5" s="21">
        <v>110730</v>
      </c>
      <c r="C5" s="5">
        <f>C3-C4</f>
        <v>104956</v>
      </c>
      <c r="D5" s="5">
        <f t="shared" ref="D5:E5" si="0">D3-D4</f>
        <v>98392</v>
      </c>
      <c r="E5" s="5">
        <f t="shared" si="0"/>
        <v>101839</v>
      </c>
    </row>
    <row r="6" spans="1:5" x14ac:dyDescent="0.35">
      <c r="A6" s="27" t="s">
        <v>3</v>
      </c>
      <c r="B6" s="27"/>
      <c r="C6" s="27"/>
      <c r="D6" s="27"/>
      <c r="E6" s="27"/>
    </row>
    <row r="7" spans="1:5" x14ac:dyDescent="0.35">
      <c r="A7" s="3" t="s">
        <v>4</v>
      </c>
      <c r="B7" s="20">
        <v>21683</v>
      </c>
      <c r="C7" s="4">
        <v>18752</v>
      </c>
      <c r="D7" s="4">
        <v>16217</v>
      </c>
      <c r="E7" s="4">
        <v>14236</v>
      </c>
    </row>
    <row r="8" spans="1:5" x14ac:dyDescent="0.35">
      <c r="A8" s="3" t="s">
        <v>5</v>
      </c>
      <c r="B8" s="20">
        <v>20999</v>
      </c>
      <c r="C8" s="4">
        <v>19916</v>
      </c>
      <c r="D8" s="4">
        <v>18245</v>
      </c>
      <c r="E8" s="4">
        <v>16705</v>
      </c>
    </row>
    <row r="9" spans="1:5" x14ac:dyDescent="0.35">
      <c r="A9" s="3" t="s">
        <v>6</v>
      </c>
      <c r="B9" s="20">
        <v>0</v>
      </c>
      <c r="C9" s="4">
        <v>0</v>
      </c>
      <c r="D9" s="4">
        <v>0</v>
      </c>
      <c r="E9" s="4">
        <v>0</v>
      </c>
    </row>
    <row r="10" spans="1:5" x14ac:dyDescent="0.35">
      <c r="A10" s="3" t="s">
        <v>7</v>
      </c>
      <c r="B10" s="20">
        <v>0</v>
      </c>
      <c r="C10" s="4">
        <v>0</v>
      </c>
      <c r="D10" s="4">
        <v>0</v>
      </c>
      <c r="E10" s="4">
        <v>0</v>
      </c>
    </row>
    <row r="11" spans="1:5" x14ac:dyDescent="0.35">
      <c r="A11" s="3" t="s">
        <v>8</v>
      </c>
      <c r="B11" s="20">
        <f>B5-B7-B8-B9-B10</f>
        <v>68048</v>
      </c>
      <c r="C11" s="4">
        <f>C5-C7-C8-C9-C10</f>
        <v>66288</v>
      </c>
      <c r="D11" s="4">
        <f t="shared" ref="D11:E11" si="1">D5-D7-D8-D9-D10</f>
        <v>63930</v>
      </c>
      <c r="E11" s="4">
        <f t="shared" si="1"/>
        <v>70898</v>
      </c>
    </row>
    <row r="12" spans="1:5" x14ac:dyDescent="0.35">
      <c r="A12" s="3" t="s">
        <v>26</v>
      </c>
      <c r="B12" s="20">
        <v>357</v>
      </c>
      <c r="C12" s="4">
        <v>803</v>
      </c>
      <c r="D12" s="4">
        <v>1807</v>
      </c>
      <c r="E12" s="4">
        <v>2005</v>
      </c>
    </row>
    <row r="13" spans="1:5" x14ac:dyDescent="0.35">
      <c r="A13" s="3" t="s">
        <v>9</v>
      </c>
      <c r="B13" s="20">
        <f>B11+B12</f>
        <v>68405</v>
      </c>
      <c r="C13" s="4">
        <f>C11+C12</f>
        <v>67091</v>
      </c>
      <c r="D13" s="4">
        <f t="shared" ref="D13:E13" si="2">D11+D12</f>
        <v>65737</v>
      </c>
      <c r="E13" s="4">
        <f t="shared" si="2"/>
        <v>72903</v>
      </c>
    </row>
    <row r="14" spans="1:5" x14ac:dyDescent="0.35">
      <c r="A14" s="3" t="s">
        <v>10</v>
      </c>
      <c r="B14" s="20">
        <f>B13</f>
        <v>68405</v>
      </c>
      <c r="C14" s="4">
        <v>67091</v>
      </c>
      <c r="D14" s="4">
        <v>65737</v>
      </c>
      <c r="E14" s="4">
        <v>72903</v>
      </c>
    </row>
    <row r="15" spans="1:5" x14ac:dyDescent="0.35">
      <c r="A15" s="3" t="s">
        <v>11</v>
      </c>
      <c r="B15" s="20">
        <v>9871</v>
      </c>
      <c r="C15" s="4">
        <v>9680</v>
      </c>
      <c r="D15" s="4">
        <v>10481</v>
      </c>
      <c r="E15" s="4">
        <v>13372</v>
      </c>
    </row>
    <row r="16" spans="1:5" x14ac:dyDescent="0.35">
      <c r="A16" s="3" t="s">
        <v>12</v>
      </c>
      <c r="B16" s="20">
        <v>0</v>
      </c>
      <c r="C16" s="4">
        <v>0</v>
      </c>
      <c r="D16" s="4">
        <v>0</v>
      </c>
      <c r="E16" s="4">
        <v>0</v>
      </c>
    </row>
    <row r="17" spans="1:6" x14ac:dyDescent="0.35">
      <c r="A17" s="3" t="s">
        <v>13</v>
      </c>
      <c r="B17" s="20">
        <v>0</v>
      </c>
      <c r="C17" s="4">
        <v>0</v>
      </c>
      <c r="D17" s="4">
        <v>0</v>
      </c>
      <c r="E17" s="4">
        <v>0</v>
      </c>
    </row>
    <row r="18" spans="1:6" x14ac:dyDescent="0.35">
      <c r="A18" s="3" t="s">
        <v>14</v>
      </c>
      <c r="B18" s="20">
        <f>B14-B15</f>
        <v>58534</v>
      </c>
      <c r="C18" s="4">
        <f>C14-C15</f>
        <v>57411</v>
      </c>
      <c r="D18" s="4">
        <f t="shared" ref="D18:E18" si="3">D14-D15</f>
        <v>55256</v>
      </c>
      <c r="E18" s="4">
        <f t="shared" si="3"/>
        <v>59531</v>
      </c>
    </row>
    <row r="19" spans="1:6" x14ac:dyDescent="0.35">
      <c r="A19" s="3" t="s">
        <v>15</v>
      </c>
      <c r="B19" s="20">
        <f>B18</f>
        <v>58534</v>
      </c>
      <c r="C19" s="4">
        <v>57411</v>
      </c>
      <c r="D19" s="4">
        <v>55256</v>
      </c>
      <c r="E19" s="4">
        <v>59531</v>
      </c>
    </row>
    <row r="20" spans="1:6" x14ac:dyDescent="0.35">
      <c r="A20" s="3" t="s">
        <v>16</v>
      </c>
      <c r="B20" s="20">
        <f>B19</f>
        <v>58534</v>
      </c>
      <c r="C20" s="4">
        <v>57411</v>
      </c>
      <c r="D20" s="4">
        <v>55256</v>
      </c>
      <c r="E20" s="4">
        <v>59531</v>
      </c>
    </row>
    <row r="22" spans="1:6" x14ac:dyDescent="0.35">
      <c r="A22" s="27" t="s">
        <v>19</v>
      </c>
      <c r="B22" s="27"/>
      <c r="C22" s="27"/>
      <c r="D22" s="27"/>
      <c r="E22" s="27"/>
    </row>
    <row r="23" spans="1:6" x14ac:dyDescent="0.35">
      <c r="A23" s="13" t="s">
        <v>20</v>
      </c>
      <c r="B23" s="25">
        <v>5.5100000000000003E-2</v>
      </c>
      <c r="C23" s="15">
        <f>(C3-D3)/D3</f>
        <v>5.5120803769784836E-2</v>
      </c>
      <c r="D23" s="15">
        <f>(D3-E3)/E3</f>
        <v>-2.0410775805267418E-2</v>
      </c>
      <c r="E23" s="13"/>
      <c r="F23" s="2"/>
    </row>
    <row r="24" spans="1:6" x14ac:dyDescent="0.35">
      <c r="A24" s="13" t="s">
        <v>21</v>
      </c>
      <c r="B24" s="25">
        <v>0.38229999999999997</v>
      </c>
      <c r="C24" s="15">
        <f>C5/C3</f>
        <v>0.38233247727810865</v>
      </c>
      <c r="D24" s="15">
        <f>D5/D3</f>
        <v>0.37817768109034722</v>
      </c>
      <c r="E24" s="13"/>
      <c r="F24" s="2"/>
    </row>
    <row r="25" spans="1:6" x14ac:dyDescent="0.35">
      <c r="A25" s="13" t="s">
        <v>22</v>
      </c>
      <c r="B25" s="25">
        <v>7.2499999999999995E-2</v>
      </c>
      <c r="C25" s="15">
        <f>C8/C3</f>
        <v>7.2549769593646979E-2</v>
      </c>
      <c r="D25" s="15">
        <f>D8/D3</f>
        <v>7.0126146348213125E-2</v>
      </c>
      <c r="E25" s="13"/>
      <c r="F25" s="2"/>
    </row>
    <row r="26" spans="1:6" x14ac:dyDescent="0.35">
      <c r="A26" s="13" t="s">
        <v>23</v>
      </c>
      <c r="B26" s="25">
        <v>3.1300000000000001E-2</v>
      </c>
      <c r="C26" s="15">
        <v>3.1300000000000001E-2</v>
      </c>
      <c r="D26" s="15">
        <v>3.8199999999999998E-2</v>
      </c>
      <c r="E26" s="13"/>
      <c r="F26" s="2"/>
    </row>
    <row r="27" spans="1:6" x14ac:dyDescent="0.35">
      <c r="A27" s="13" t="s">
        <v>24</v>
      </c>
      <c r="B27" s="25">
        <v>0.14430000000000001</v>
      </c>
      <c r="C27" s="15">
        <f>C15/C13</f>
        <v>0.14428164731484103</v>
      </c>
      <c r="D27" s="15">
        <f>D15/D13</f>
        <v>0.15943836804235059</v>
      </c>
      <c r="E27" s="13"/>
      <c r="F27" s="2"/>
    </row>
    <row r="28" spans="1:6" x14ac:dyDescent="0.35">
      <c r="A28" s="13" t="s">
        <v>25</v>
      </c>
      <c r="B28" s="25">
        <v>0.15629999999999999</v>
      </c>
      <c r="C28" s="15">
        <f>(C7-D7)/D7</f>
        <v>0.15631744465684158</v>
      </c>
      <c r="D28" s="15">
        <f>(D7-E7)/E7</f>
        <v>0.13915425681371171</v>
      </c>
      <c r="E28" s="13"/>
      <c r="F28" s="2"/>
    </row>
    <row r="29" spans="1:6" x14ac:dyDescent="0.35">
      <c r="A29" s="13" t="s">
        <v>26</v>
      </c>
      <c r="B29" s="25">
        <v>-0.55559999999999998</v>
      </c>
      <c r="C29" s="15">
        <f>(C12-D12)/D12</f>
        <v>-0.55561704482567786</v>
      </c>
      <c r="D29" s="15">
        <f>(D12-E12)/E12</f>
        <v>-9.8753117206982544E-2</v>
      </c>
      <c r="E29" s="13"/>
      <c r="F29" s="2"/>
    </row>
    <row r="30" spans="1:6" x14ac:dyDescent="0.35">
      <c r="A30" s="2"/>
      <c r="B30" s="2"/>
      <c r="C30" s="2"/>
      <c r="D30" s="2"/>
      <c r="E30" s="2"/>
      <c r="F30" s="2"/>
    </row>
    <row r="31" spans="1:6" x14ac:dyDescent="0.35">
      <c r="A31" s="2"/>
      <c r="B31" s="2"/>
      <c r="C31" s="2"/>
      <c r="D31" s="2"/>
      <c r="E31" s="2"/>
      <c r="F31" s="2"/>
    </row>
    <row r="32" spans="1:6" x14ac:dyDescent="0.35">
      <c r="A32" s="2"/>
      <c r="B32" s="2"/>
      <c r="C32" s="2"/>
      <c r="D32" s="2"/>
      <c r="E32" s="2"/>
      <c r="F32" s="2"/>
    </row>
    <row r="33" spans="1:6" x14ac:dyDescent="0.35">
      <c r="A33" s="2"/>
      <c r="B33" s="2"/>
      <c r="C33" s="2"/>
      <c r="D33" s="2"/>
      <c r="E33" s="2"/>
      <c r="F33" s="2"/>
    </row>
    <row r="34" spans="1:6" x14ac:dyDescent="0.35">
      <c r="A34" s="2"/>
      <c r="B34" s="2"/>
      <c r="C34" s="2"/>
      <c r="D34" s="2"/>
      <c r="E34" s="2"/>
      <c r="F34" s="2"/>
    </row>
  </sheetData>
  <mergeCells count="3">
    <mergeCell ref="A1:E1"/>
    <mergeCell ref="A6:E6"/>
    <mergeCell ref="A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F164-C302-4C42-92D3-298F24F5FC0F}">
  <dimension ref="A1:M50"/>
  <sheetViews>
    <sheetView zoomScaleNormal="100" workbookViewId="0">
      <selection activeCell="A36" sqref="A36"/>
    </sheetView>
  </sheetViews>
  <sheetFormatPr defaultRowHeight="15" x14ac:dyDescent="0.25"/>
  <cols>
    <col min="1" max="1" width="80" customWidth="1"/>
    <col min="2" max="2" width="23.7109375" customWidth="1"/>
    <col min="3" max="5" width="17.7109375" customWidth="1"/>
    <col min="11" max="11" width="14.42578125" customWidth="1"/>
    <col min="12" max="13" width="17.5703125" bestFit="1" customWidth="1"/>
  </cols>
  <sheetData>
    <row r="1" spans="1:13" ht="26.25" x14ac:dyDescent="0.25">
      <c r="A1" s="26" t="s">
        <v>54</v>
      </c>
      <c r="B1" s="26"/>
      <c r="C1" s="26"/>
      <c r="D1" s="26"/>
      <c r="E1" s="26"/>
    </row>
    <row r="2" spans="1:13" ht="21" x14ac:dyDescent="0.35">
      <c r="A2" s="3" t="s">
        <v>18</v>
      </c>
      <c r="B2" s="19" t="s">
        <v>80</v>
      </c>
      <c r="C2" s="3">
        <v>2020</v>
      </c>
      <c r="D2" s="3">
        <v>2019</v>
      </c>
      <c r="E2" s="3">
        <v>2018</v>
      </c>
    </row>
    <row r="3" spans="1:13" s="2" customFormat="1" ht="21" x14ac:dyDescent="0.35">
      <c r="A3" s="6" t="s">
        <v>27</v>
      </c>
      <c r="B3" s="3"/>
      <c r="C3" s="3"/>
      <c r="D3" s="3"/>
      <c r="E3" s="3"/>
    </row>
    <row r="4" spans="1:13" s="2" customFormat="1" ht="21" x14ac:dyDescent="0.35">
      <c r="A4" s="7" t="s">
        <v>28</v>
      </c>
      <c r="B4" s="20">
        <v>28660</v>
      </c>
      <c r="C4" s="8">
        <v>38016</v>
      </c>
      <c r="D4" s="8">
        <v>48844</v>
      </c>
      <c r="E4" s="4">
        <v>25913</v>
      </c>
      <c r="M4" s="16"/>
    </row>
    <row r="5" spans="1:13" s="2" customFormat="1" ht="21" x14ac:dyDescent="0.35">
      <c r="A5" s="7" t="s">
        <v>64</v>
      </c>
      <c r="B5" s="20">
        <f>C5</f>
        <v>52927</v>
      </c>
      <c r="C5" s="8">
        <v>52927</v>
      </c>
      <c r="D5" s="8">
        <v>51713</v>
      </c>
      <c r="E5" s="4">
        <v>40388</v>
      </c>
      <c r="L5" s="16"/>
    </row>
    <row r="6" spans="1:13" s="2" customFormat="1" ht="21" x14ac:dyDescent="0.35">
      <c r="A6" s="7" t="s">
        <v>29</v>
      </c>
      <c r="B6" s="20">
        <v>17008</v>
      </c>
      <c r="C6" s="8">
        <v>16120</v>
      </c>
      <c r="D6" s="8">
        <v>22926</v>
      </c>
      <c r="E6" s="4">
        <v>23186</v>
      </c>
    </row>
    <row r="7" spans="1:13" s="2" customFormat="1" ht="21" x14ac:dyDescent="0.35">
      <c r="A7" s="7" t="s">
        <v>30</v>
      </c>
      <c r="B7" s="20">
        <v>4285</v>
      </c>
      <c r="C7" s="8">
        <v>4061</v>
      </c>
      <c r="D7" s="8">
        <v>4106</v>
      </c>
      <c r="E7" s="4">
        <v>3956</v>
      </c>
    </row>
    <row r="8" spans="1:13" s="2" customFormat="1" ht="21" x14ac:dyDescent="0.35">
      <c r="A8" s="7" t="s">
        <v>55</v>
      </c>
      <c r="B8" s="20">
        <v>21325</v>
      </c>
      <c r="C8" s="8">
        <v>21325</v>
      </c>
      <c r="D8" s="8">
        <v>22878</v>
      </c>
      <c r="E8" s="4">
        <v>25809</v>
      </c>
    </row>
    <row r="9" spans="1:13" s="2" customFormat="1" ht="21" x14ac:dyDescent="0.35">
      <c r="A9" s="7" t="s">
        <v>31</v>
      </c>
      <c r="B9" s="20">
        <v>11264</v>
      </c>
      <c r="C9" s="8">
        <v>11264</v>
      </c>
      <c r="D9" s="8">
        <v>12352</v>
      </c>
      <c r="E9" s="4">
        <v>12087</v>
      </c>
    </row>
    <row r="10" spans="1:13" s="2" customFormat="1" ht="21" x14ac:dyDescent="0.35">
      <c r="A10" s="7" t="s">
        <v>32</v>
      </c>
      <c r="B10" s="22">
        <f>SUM(B4:B9)</f>
        <v>135469</v>
      </c>
      <c r="C10" s="8">
        <f>SUM(C4:C9)</f>
        <v>143713</v>
      </c>
      <c r="D10" s="8">
        <f t="shared" ref="D10:E10" si="0">SUM(D4:D9)</f>
        <v>162819</v>
      </c>
      <c r="E10" s="8">
        <f t="shared" si="0"/>
        <v>131339</v>
      </c>
    </row>
    <row r="11" spans="1:13" s="2" customFormat="1" ht="21" x14ac:dyDescent="0.35">
      <c r="A11" s="6" t="s">
        <v>33</v>
      </c>
      <c r="B11" s="3"/>
      <c r="C11" s="4"/>
      <c r="D11" s="4"/>
      <c r="E11" s="4"/>
    </row>
    <row r="12" spans="1:13" s="2" customFormat="1" ht="21" x14ac:dyDescent="0.35">
      <c r="A12" s="7" t="s">
        <v>63</v>
      </c>
      <c r="B12" s="20">
        <f>C12</f>
        <v>100887</v>
      </c>
      <c r="C12" s="8">
        <v>100887</v>
      </c>
      <c r="D12" s="8">
        <v>105341</v>
      </c>
      <c r="E12" s="4">
        <v>170799</v>
      </c>
    </row>
    <row r="13" spans="1:13" s="2" customFormat="1" ht="21" x14ac:dyDescent="0.35">
      <c r="A13" s="7" t="s">
        <v>34</v>
      </c>
      <c r="B13" s="20">
        <f>C13+B43</f>
        <v>44470.450599999996</v>
      </c>
      <c r="C13" s="8">
        <v>36766</v>
      </c>
      <c r="D13" s="8">
        <v>37378</v>
      </c>
      <c r="E13" s="4">
        <v>41304</v>
      </c>
    </row>
    <row r="14" spans="1:13" s="2" customFormat="1" ht="21" x14ac:dyDescent="0.35">
      <c r="A14" s="7" t="s">
        <v>35</v>
      </c>
      <c r="B14" s="20">
        <v>42522</v>
      </c>
      <c r="C14" s="8">
        <v>42522</v>
      </c>
      <c r="D14" s="8">
        <v>32978</v>
      </c>
      <c r="E14" s="4">
        <v>22283</v>
      </c>
    </row>
    <row r="15" spans="1:13" s="2" customFormat="1" ht="21" x14ac:dyDescent="0.35">
      <c r="A15" s="7" t="s">
        <v>36</v>
      </c>
      <c r="B15" s="22">
        <f>SUM(B12:B14)</f>
        <v>187879.45059999998</v>
      </c>
      <c r="C15" s="8">
        <f>SUM(C12:C14)</f>
        <v>180175</v>
      </c>
      <c r="D15" s="8">
        <f t="shared" ref="D15:E15" si="1">SUM(D12:D14)</f>
        <v>175697</v>
      </c>
      <c r="E15" s="8">
        <f t="shared" si="1"/>
        <v>234386</v>
      </c>
    </row>
    <row r="16" spans="1:13" s="2" customFormat="1" ht="21" x14ac:dyDescent="0.35">
      <c r="A16" s="7" t="s">
        <v>37</v>
      </c>
      <c r="B16" s="20">
        <f t="shared" ref="B16:D16" si="2">B10+B15</f>
        <v>323348.45059999998</v>
      </c>
      <c r="C16" s="4">
        <f t="shared" si="2"/>
        <v>323888</v>
      </c>
      <c r="D16" s="4">
        <f t="shared" si="2"/>
        <v>338516</v>
      </c>
      <c r="E16" s="4">
        <f>E10+E15</f>
        <v>365725</v>
      </c>
    </row>
    <row r="17" spans="1:5" s="2" customFormat="1" ht="21" x14ac:dyDescent="0.35">
      <c r="A17" s="6" t="s">
        <v>38</v>
      </c>
      <c r="B17" s="3"/>
      <c r="C17" s="4"/>
      <c r="D17" s="4"/>
      <c r="E17" s="4"/>
    </row>
    <row r="18" spans="1:5" s="2" customFormat="1" ht="21" x14ac:dyDescent="0.35">
      <c r="A18" s="7" t="s">
        <v>39</v>
      </c>
      <c r="B18" s="20">
        <f>'Income Statement'!B4/'Balance Sheet'!B40</f>
        <v>44616.209476309232</v>
      </c>
      <c r="C18" s="8">
        <v>42296</v>
      </c>
      <c r="D18" s="8">
        <v>46236</v>
      </c>
      <c r="E18" s="4">
        <v>55888</v>
      </c>
    </row>
    <row r="19" spans="1:5" s="2" customFormat="1" ht="21" x14ac:dyDescent="0.35">
      <c r="A19" s="7" t="s">
        <v>40</v>
      </c>
      <c r="B19" s="20">
        <f>C19</f>
        <v>42684</v>
      </c>
      <c r="C19" s="8">
        <v>42684</v>
      </c>
      <c r="D19" s="8">
        <v>37720</v>
      </c>
      <c r="E19" s="4">
        <v>33327</v>
      </c>
    </row>
    <row r="20" spans="1:5" s="2" customFormat="1" ht="21" x14ac:dyDescent="0.35">
      <c r="A20" s="7" t="s">
        <v>41</v>
      </c>
      <c r="B20" s="20">
        <v>6643</v>
      </c>
      <c r="C20" s="8">
        <v>6643</v>
      </c>
      <c r="D20" s="8">
        <v>5522</v>
      </c>
      <c r="E20" s="4">
        <v>5966</v>
      </c>
    </row>
    <row r="21" spans="1:5" s="2" customFormat="1" ht="21" x14ac:dyDescent="0.35">
      <c r="A21" s="7" t="s">
        <v>42</v>
      </c>
      <c r="B21" s="20">
        <v>4996</v>
      </c>
      <c r="C21" s="8">
        <v>4996</v>
      </c>
      <c r="D21" s="8">
        <v>5980</v>
      </c>
      <c r="E21" s="4">
        <v>11964</v>
      </c>
    </row>
    <row r="22" spans="1:5" s="2" customFormat="1" ht="21" x14ac:dyDescent="0.35">
      <c r="A22" s="7" t="s">
        <v>66</v>
      </c>
      <c r="B22" s="20">
        <f>C22</f>
        <v>8773</v>
      </c>
      <c r="C22" s="8">
        <v>8773</v>
      </c>
      <c r="D22" s="8">
        <v>10260</v>
      </c>
      <c r="E22" s="4">
        <v>8784</v>
      </c>
    </row>
    <row r="23" spans="1:5" s="2" customFormat="1" ht="21" x14ac:dyDescent="0.35">
      <c r="A23" s="7" t="s">
        <v>43</v>
      </c>
      <c r="B23" s="22">
        <f>SUM(B18:B22)</f>
        <v>107712.20947630923</v>
      </c>
      <c r="C23" s="8">
        <f>SUM(C18:C22)</f>
        <v>105392</v>
      </c>
      <c r="D23" s="8">
        <f t="shared" ref="D23:E23" si="3">SUM(D18:D22)</f>
        <v>105718</v>
      </c>
      <c r="E23" s="8">
        <f t="shared" si="3"/>
        <v>115929</v>
      </c>
    </row>
    <row r="24" spans="1:5" s="2" customFormat="1" ht="21" x14ac:dyDescent="0.35">
      <c r="A24" s="6" t="s">
        <v>44</v>
      </c>
      <c r="B24" s="3"/>
      <c r="C24" s="4"/>
      <c r="D24" s="4"/>
      <c r="E24" s="4"/>
    </row>
    <row r="25" spans="1:5" s="2" customFormat="1" ht="21" x14ac:dyDescent="0.35">
      <c r="A25" s="7" t="s">
        <v>65</v>
      </c>
      <c r="B25" s="22">
        <v>89894</v>
      </c>
      <c r="C25" s="8">
        <v>98667</v>
      </c>
      <c r="D25" s="8">
        <v>91807</v>
      </c>
      <c r="E25" s="4">
        <v>93735</v>
      </c>
    </row>
    <row r="26" spans="1:5" s="2" customFormat="1" ht="21" x14ac:dyDescent="0.35">
      <c r="A26" s="7" t="s">
        <v>45</v>
      </c>
      <c r="B26" s="20">
        <v>54490</v>
      </c>
      <c r="C26" s="8">
        <v>54490</v>
      </c>
      <c r="D26" s="8">
        <v>50503</v>
      </c>
      <c r="E26" s="4">
        <v>48914</v>
      </c>
    </row>
    <row r="27" spans="1:5" s="2" customFormat="1" ht="21" x14ac:dyDescent="0.35">
      <c r="A27" s="7" t="s">
        <v>46</v>
      </c>
      <c r="B27" s="22">
        <f>SUM(B25:B26)</f>
        <v>144384</v>
      </c>
      <c r="C27" s="8">
        <f>SUM(C25:C26)</f>
        <v>153157</v>
      </c>
      <c r="D27" s="8">
        <f t="shared" ref="D27:E27" si="4">SUM(D25:D26)</f>
        <v>142310</v>
      </c>
      <c r="E27" s="8">
        <f t="shared" si="4"/>
        <v>142649</v>
      </c>
    </row>
    <row r="28" spans="1:5" s="2" customFormat="1" ht="21" x14ac:dyDescent="0.35">
      <c r="A28" s="7" t="s">
        <v>47</v>
      </c>
      <c r="B28" s="22">
        <f>SUM(B23,B27)</f>
        <v>252096.20947630925</v>
      </c>
      <c r="C28" s="8">
        <f>SUM(C23,C27)</f>
        <v>258549</v>
      </c>
      <c r="D28" s="8">
        <f t="shared" ref="D28:E28" si="5">SUM(D23,D27)</f>
        <v>248028</v>
      </c>
      <c r="E28" s="8">
        <f t="shared" si="5"/>
        <v>258578</v>
      </c>
    </row>
    <row r="29" spans="1:5" s="2" customFormat="1" ht="21" x14ac:dyDescent="0.35">
      <c r="A29" s="7" t="s">
        <v>48</v>
      </c>
      <c r="B29" s="3"/>
      <c r="C29" s="9"/>
      <c r="D29" s="9"/>
      <c r="E29" s="4"/>
    </row>
    <row r="30" spans="1:5" s="2" customFormat="1" ht="21" x14ac:dyDescent="0.35">
      <c r="A30" s="6" t="s">
        <v>49</v>
      </c>
      <c r="B30" s="3"/>
      <c r="C30" s="4"/>
      <c r="D30" s="4"/>
      <c r="E30" s="4"/>
    </row>
    <row r="31" spans="1:5" s="2" customFormat="1" ht="21" x14ac:dyDescent="0.35">
      <c r="A31" s="7" t="s">
        <v>81</v>
      </c>
      <c r="B31" s="23">
        <v>50779</v>
      </c>
      <c r="C31" s="8">
        <v>50779</v>
      </c>
      <c r="D31" s="8">
        <v>45174</v>
      </c>
      <c r="E31" s="10">
        <v>40201</v>
      </c>
    </row>
    <row r="32" spans="1:5" s="2" customFormat="1" ht="21" x14ac:dyDescent="0.35">
      <c r="A32" s="7" t="s">
        <v>50</v>
      </c>
      <c r="B32" s="20">
        <f>C32+'Income Statement'!B19 - (17002*B42)</f>
        <v>70014.59</v>
      </c>
      <c r="C32" s="8">
        <v>14966</v>
      </c>
      <c r="D32" s="8">
        <v>45898</v>
      </c>
      <c r="E32" s="4">
        <v>70400</v>
      </c>
    </row>
    <row r="33" spans="1:5" s="2" customFormat="1" ht="21" x14ac:dyDescent="0.35">
      <c r="A33" s="7" t="s">
        <v>51</v>
      </c>
      <c r="B33" s="20">
        <f>C33</f>
        <v>-406</v>
      </c>
      <c r="C33" s="8">
        <v>-406</v>
      </c>
      <c r="D33" s="8">
        <v>-584</v>
      </c>
      <c r="E33" s="4">
        <v>-3454</v>
      </c>
    </row>
    <row r="34" spans="1:5" s="2" customFormat="1" ht="21" x14ac:dyDescent="0.35">
      <c r="A34" s="7" t="s">
        <v>52</v>
      </c>
      <c r="B34" s="22">
        <f>SUM(B31:B33)</f>
        <v>120387.59</v>
      </c>
      <c r="C34" s="8">
        <f>SUM(C31:C33)</f>
        <v>65339</v>
      </c>
      <c r="D34" s="8">
        <f t="shared" ref="D34:E34" si="6">SUM(D31:D33)</f>
        <v>90488</v>
      </c>
      <c r="E34" s="8">
        <f t="shared" si="6"/>
        <v>107147</v>
      </c>
    </row>
    <row r="35" spans="1:5" s="2" customFormat="1" ht="21" x14ac:dyDescent="0.35">
      <c r="A35" s="6" t="s">
        <v>53</v>
      </c>
      <c r="B35" s="22">
        <f>SUM(B28,B34)</f>
        <v>372483.79947630921</v>
      </c>
      <c r="C35" s="8">
        <f>SUM(C28,C34)</f>
        <v>323888</v>
      </c>
      <c r="D35" s="8">
        <f t="shared" ref="D35:E35" si="7">SUM(D28,D34)</f>
        <v>338516</v>
      </c>
      <c r="E35" s="8">
        <f t="shared" si="7"/>
        <v>365725</v>
      </c>
    </row>
    <row r="36" spans="1:5" s="2" customFormat="1" ht="21" x14ac:dyDescent="0.35">
      <c r="A36" s="3"/>
      <c r="B36" s="3"/>
      <c r="C36" s="3"/>
      <c r="D36" s="3"/>
      <c r="E36" s="4"/>
    </row>
    <row r="37" spans="1:5" s="2" customFormat="1" ht="21" x14ac:dyDescent="0.35">
      <c r="A37" s="28" t="s">
        <v>19</v>
      </c>
      <c r="B37" s="29"/>
      <c r="C37" s="29"/>
      <c r="D37" s="29"/>
      <c r="E37" s="29"/>
    </row>
    <row r="38" spans="1:5" s="2" customFormat="1" ht="21" x14ac:dyDescent="0.35">
      <c r="A38" s="3" t="s">
        <v>56</v>
      </c>
      <c r="B38" s="19">
        <v>17.03</v>
      </c>
      <c r="C38" s="11">
        <f>'Income Statement'!C3/'Balance Sheet'!C6</f>
        <v>17.029466501240694</v>
      </c>
      <c r="D38" s="11">
        <f>'Income Statement'!D3/'Balance Sheet'!D6</f>
        <v>11.348425368577161</v>
      </c>
      <c r="E38" s="11">
        <f>'Income Statement'!E3/'Balance Sheet'!E6</f>
        <v>11.45497282843095</v>
      </c>
    </row>
    <row r="39" spans="1:5" s="2" customFormat="1" ht="21" x14ac:dyDescent="0.35">
      <c r="A39" s="3" t="s">
        <v>57</v>
      </c>
      <c r="B39" s="19">
        <v>41.75</v>
      </c>
      <c r="C39" s="11">
        <f>'Income Statement'!C4/'Balance Sheet'!C7</f>
        <v>41.753016498399411</v>
      </c>
      <c r="D39" s="11">
        <f>'Income Statement'!D4/'Balance Sheet'!D7</f>
        <v>39.40136385776912</v>
      </c>
      <c r="E39" s="11">
        <f>'Income Statement'!E4/'Balance Sheet'!E7</f>
        <v>41.394337714863497</v>
      </c>
    </row>
    <row r="40" spans="1:5" s="2" customFormat="1" ht="21" x14ac:dyDescent="0.35">
      <c r="A40" s="3" t="s">
        <v>58</v>
      </c>
      <c r="B40" s="19">
        <v>4.01</v>
      </c>
      <c r="C40" s="11">
        <f>'Income Statement'!C4/'Balance Sheet'!C18</f>
        <v>4.0088660866275774</v>
      </c>
      <c r="D40" s="11">
        <f>'Income Statement'!D4/'Balance Sheet'!D18</f>
        <v>3.4990483605848257</v>
      </c>
      <c r="E40" s="11">
        <f>'Income Statement'!E4/'Balance Sheet'!E18</f>
        <v>2.9300744345834526</v>
      </c>
    </row>
    <row r="41" spans="1:5" s="2" customFormat="1" ht="21" x14ac:dyDescent="0.35">
      <c r="A41" s="3" t="s">
        <v>59</v>
      </c>
      <c r="B41" s="19">
        <v>3.37</v>
      </c>
      <c r="C41" s="11">
        <f>'Income Statement'!C15/2873</f>
        <v>3.3693003828750436</v>
      </c>
      <c r="D41" s="11">
        <f>'Income Statement'!D15/3576</f>
        <v>2.9309284116331096</v>
      </c>
      <c r="E41" s="11">
        <f>'Income Statement'!E15/3240</f>
        <v>4.1271604938271604</v>
      </c>
    </row>
    <row r="42" spans="1:5" s="2" customFormat="1" ht="21" x14ac:dyDescent="0.35">
      <c r="A42" s="3" t="s">
        <v>60</v>
      </c>
      <c r="B42" s="19">
        <v>0.20499999999999999</v>
      </c>
      <c r="C42" s="3">
        <v>0.20499999999999999</v>
      </c>
      <c r="D42" s="3">
        <v>3.04</v>
      </c>
      <c r="E42" s="3">
        <v>2.82</v>
      </c>
    </row>
    <row r="43" spans="1:5" s="2" customFormat="1" ht="21" x14ac:dyDescent="0.35">
      <c r="A43" s="3" t="s">
        <v>61</v>
      </c>
      <c r="B43" s="24">
        <f>B44*'Income Statement'!B3</f>
        <v>7704.4505999999992</v>
      </c>
      <c r="C43" s="14">
        <v>7309</v>
      </c>
      <c r="D43" s="14">
        <v>10495</v>
      </c>
      <c r="E43" s="14">
        <v>13313</v>
      </c>
    </row>
    <row r="44" spans="1:5" s="2" customFormat="1" ht="21" x14ac:dyDescent="0.35">
      <c r="A44" s="3" t="s">
        <v>62</v>
      </c>
      <c r="B44" s="25">
        <v>2.6599999999999999E-2</v>
      </c>
      <c r="C44" s="15">
        <f>C43/'Income Statement'!C3</f>
        <v>2.6625138881299748E-2</v>
      </c>
      <c r="D44" s="15">
        <f>D43/'Income Statement'!D3</f>
        <v>4.033838892433525E-2</v>
      </c>
      <c r="E44" s="15">
        <f>E43/'Income Statement'!E3</f>
        <v>5.0125190609762983E-2</v>
      </c>
    </row>
    <row r="45" spans="1:5" s="2" customFormat="1" ht="21" x14ac:dyDescent="0.35"/>
    <row r="46" spans="1:5" s="2" customFormat="1" ht="21" x14ac:dyDescent="0.35"/>
    <row r="47" spans="1:5" s="2" customFormat="1" ht="21" x14ac:dyDescent="0.35"/>
    <row r="48" spans="1:5" s="2" customFormat="1" ht="21" x14ac:dyDescent="0.35"/>
    <row r="49" s="2" customFormat="1" ht="21" x14ac:dyDescent="0.35"/>
    <row r="50" s="2" customFormat="1" ht="21" x14ac:dyDescent="0.35"/>
  </sheetData>
  <mergeCells count="2">
    <mergeCell ref="A1:E1"/>
    <mergeCell ref="A37:E37"/>
  </mergeCells>
  <pageMargins left="0.75" right="0.75" top="1" bottom="1" header="0.5" footer="0.5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C6E3-DE8D-42FF-895E-ACFF11A54A1B}">
  <dimension ref="A1:B37"/>
  <sheetViews>
    <sheetView workbookViewId="0">
      <selection activeCell="D9" sqref="D9"/>
    </sheetView>
  </sheetViews>
  <sheetFormatPr defaultRowHeight="15" x14ac:dyDescent="0.25"/>
  <cols>
    <col min="1" max="1" width="52.85546875" customWidth="1"/>
    <col min="2" max="2" width="23.42578125" customWidth="1"/>
  </cols>
  <sheetData>
    <row r="1" spans="1:2" ht="26.25" x14ac:dyDescent="0.4">
      <c r="A1" s="30" t="s">
        <v>54</v>
      </c>
      <c r="B1" s="30"/>
    </row>
    <row r="2" spans="1:2" s="1" customFormat="1" ht="21" x14ac:dyDescent="0.35">
      <c r="A2" s="13" t="s">
        <v>18</v>
      </c>
      <c r="B2" s="13" t="s">
        <v>82</v>
      </c>
    </row>
    <row r="3" spans="1:2" s="1" customFormat="1" ht="21" x14ac:dyDescent="0.35">
      <c r="A3" s="13"/>
      <c r="B3" s="13"/>
    </row>
    <row r="4" spans="1:2" s="1" customFormat="1" ht="21" x14ac:dyDescent="0.35">
      <c r="A4" s="13" t="s">
        <v>15</v>
      </c>
      <c r="B4" s="4">
        <f>'Income Statement'!B19</f>
        <v>58534</v>
      </c>
    </row>
    <row r="5" spans="1:2" s="1" customFormat="1" ht="21" x14ac:dyDescent="0.35">
      <c r="A5" s="13"/>
      <c r="B5" s="11"/>
    </row>
    <row r="6" spans="1:2" s="1" customFormat="1" ht="21" x14ac:dyDescent="0.35">
      <c r="A6" s="31" t="s">
        <v>67</v>
      </c>
      <c r="B6" s="31"/>
    </row>
    <row r="7" spans="1:2" s="1" customFormat="1" ht="21" x14ac:dyDescent="0.35">
      <c r="A7" s="13" t="s">
        <v>68</v>
      </c>
      <c r="B7" s="4">
        <f>-'Balance Sheet'!B6</f>
        <v>-17008</v>
      </c>
    </row>
    <row r="8" spans="1:2" s="1" customFormat="1" ht="21" x14ac:dyDescent="0.35">
      <c r="A8" s="13" t="s">
        <v>30</v>
      </c>
      <c r="B8" s="4">
        <f>-'Balance Sheet'!B7</f>
        <v>-4285</v>
      </c>
    </row>
    <row r="9" spans="1:2" s="1" customFormat="1" ht="21" x14ac:dyDescent="0.35">
      <c r="A9" s="13" t="s">
        <v>69</v>
      </c>
      <c r="B9" s="4">
        <f>'Balance Sheet'!B18</f>
        <v>44616.209476309232</v>
      </c>
    </row>
    <row r="10" spans="1:2" s="1" customFormat="1" ht="21" x14ac:dyDescent="0.35">
      <c r="A10" s="13" t="s">
        <v>70</v>
      </c>
      <c r="B10" s="4">
        <f>'Income Statement'!B15</f>
        <v>9871</v>
      </c>
    </row>
    <row r="11" spans="1:2" s="1" customFormat="1" ht="21" x14ac:dyDescent="0.35">
      <c r="A11" s="18" t="s">
        <v>71</v>
      </c>
      <c r="B11" s="4">
        <f>SUM(B4,B7,B8,B9,B10)</f>
        <v>91728.209476309232</v>
      </c>
    </row>
    <row r="12" spans="1:2" s="1" customFormat="1" ht="21" x14ac:dyDescent="0.35">
      <c r="A12" s="13"/>
      <c r="B12" s="4"/>
    </row>
    <row r="13" spans="1:2" s="1" customFormat="1" ht="21" x14ac:dyDescent="0.35">
      <c r="A13" s="13" t="s">
        <v>72</v>
      </c>
      <c r="B13" s="4">
        <f>-'Balance Sheet'!B43</f>
        <v>-7704.4505999999992</v>
      </c>
    </row>
    <row r="14" spans="1:2" s="1" customFormat="1" ht="21" x14ac:dyDescent="0.35">
      <c r="A14" s="18" t="s">
        <v>73</v>
      </c>
      <c r="B14" s="4">
        <f>SUM(B13)</f>
        <v>-7704.4505999999992</v>
      </c>
    </row>
    <row r="15" spans="1:2" s="1" customFormat="1" ht="21" x14ac:dyDescent="0.35">
      <c r="A15" s="13"/>
      <c r="B15" s="4"/>
    </row>
    <row r="16" spans="1:2" s="1" customFormat="1" ht="21" x14ac:dyDescent="0.35">
      <c r="A16" s="13" t="s">
        <v>74</v>
      </c>
      <c r="B16" s="4">
        <f>-'Balance Sheet'!B25</f>
        <v>-89894</v>
      </c>
    </row>
    <row r="17" spans="1:2" s="1" customFormat="1" ht="21" x14ac:dyDescent="0.35">
      <c r="A17" s="13" t="s">
        <v>75</v>
      </c>
      <c r="B17" s="4">
        <f>-('Balance Sheet'!B42*17002)</f>
        <v>-3485.41</v>
      </c>
    </row>
    <row r="18" spans="1:2" s="1" customFormat="1" ht="21" x14ac:dyDescent="0.35">
      <c r="A18" s="18" t="s">
        <v>76</v>
      </c>
      <c r="B18" s="4">
        <f>SUM(B16:B17)</f>
        <v>-93379.41</v>
      </c>
    </row>
    <row r="19" spans="1:2" s="1" customFormat="1" ht="21" x14ac:dyDescent="0.35">
      <c r="A19" s="13"/>
      <c r="B19" s="4"/>
    </row>
    <row r="20" spans="1:2" s="1" customFormat="1" ht="21" x14ac:dyDescent="0.35">
      <c r="A20" s="12" t="s">
        <v>77</v>
      </c>
      <c r="B20" s="4">
        <f>SUM(B11,B14,B18)</f>
        <v>-9355.6511236907681</v>
      </c>
    </row>
    <row r="21" spans="1:2" s="1" customFormat="1" ht="21" x14ac:dyDescent="0.35">
      <c r="A21" s="13"/>
      <c r="B21" s="4"/>
    </row>
    <row r="22" spans="1:2" s="1" customFormat="1" ht="21" x14ac:dyDescent="0.35">
      <c r="A22" s="13" t="s">
        <v>79</v>
      </c>
      <c r="B22" s="4">
        <f>'Balance Sheet'!C4</f>
        <v>38016</v>
      </c>
    </row>
    <row r="23" spans="1:2" s="1" customFormat="1" ht="21" x14ac:dyDescent="0.35">
      <c r="A23" s="13"/>
      <c r="B23" s="4"/>
    </row>
    <row r="24" spans="1:2" s="1" customFormat="1" ht="21" x14ac:dyDescent="0.35">
      <c r="A24" s="13" t="s">
        <v>78</v>
      </c>
      <c r="B24" s="4">
        <f>SUM(B20,B22)</f>
        <v>28660.348876309232</v>
      </c>
    </row>
    <row r="25" spans="1:2" s="1" customFormat="1" ht="21" x14ac:dyDescent="0.35">
      <c r="B25" s="17"/>
    </row>
    <row r="26" spans="1:2" s="1" customFormat="1" ht="21" x14ac:dyDescent="0.35"/>
    <row r="27" spans="1:2" s="1" customFormat="1" ht="21" x14ac:dyDescent="0.35"/>
    <row r="28" spans="1:2" s="1" customFormat="1" ht="21" x14ac:dyDescent="0.35"/>
    <row r="29" spans="1:2" s="1" customFormat="1" ht="21" x14ac:dyDescent="0.35"/>
    <row r="30" spans="1:2" s="1" customFormat="1" ht="21" x14ac:dyDescent="0.35"/>
    <row r="31" spans="1:2" s="1" customFormat="1" ht="21" x14ac:dyDescent="0.35"/>
    <row r="32" spans="1:2" s="1" customFormat="1" ht="21" x14ac:dyDescent="0.35"/>
    <row r="33" s="1" customFormat="1" ht="21" x14ac:dyDescent="0.35"/>
    <row r="34" s="1" customFormat="1" ht="21" x14ac:dyDescent="0.35"/>
    <row r="35" s="1" customFormat="1" ht="21" x14ac:dyDescent="0.35"/>
    <row r="36" s="1" customFormat="1" ht="21" x14ac:dyDescent="0.35"/>
    <row r="37" s="1" customFormat="1" ht="21" x14ac:dyDescent="0.35"/>
  </sheetData>
  <mergeCells count="2">
    <mergeCell ref="A1:B1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Patel</dc:creator>
  <cp:lastModifiedBy>Rajvi Mehta</cp:lastModifiedBy>
  <dcterms:created xsi:type="dcterms:W3CDTF">2020-11-29T05:48:12Z</dcterms:created>
  <dcterms:modified xsi:type="dcterms:W3CDTF">2020-11-30T01:36:43Z</dcterms:modified>
</cp:coreProperties>
</file>