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Ex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jya\OneDrive\Desktop\BDM\"/>
    </mc:Choice>
  </mc:AlternateContent>
  <xr:revisionPtr revIDLastSave="0" documentId="13_ncr:1_{39DA5D94-2A67-4B63-8690-50B92D949765}" xr6:coauthVersionLast="47" xr6:coauthVersionMax="47" xr10:uidLastSave="{00000000-0000-0000-0000-000000000000}"/>
  <bookViews>
    <workbookView xWindow="-108" yWindow="-108" windowWidth="23256" windowHeight="12456" tabRatio="736" activeTab="2" xr2:uid="{5B17563A-03B1-40D6-A902-D3987B1CCB8F}"/>
  </bookViews>
  <sheets>
    <sheet name="Sales Data" sheetId="9" r:id="rId1"/>
    <sheet name="Month-wise" sheetId="10" r:id="rId2"/>
    <sheet name="Footfall" sheetId="13" r:id="rId3"/>
    <sheet name="Display Container Utilization" sheetId="1" r:id="rId4"/>
    <sheet name="Quality data" sheetId="2" r:id="rId5"/>
    <sheet name="Expired analysis" sheetId="7" r:id="rId6"/>
    <sheet name="Expiring soon" sheetId="11" r:id="rId7"/>
    <sheet name="Sheet1" sheetId="14" r:id="rId8"/>
  </sheets>
  <definedNames>
    <definedName name="_xlnm._FilterDatabase" localSheetId="2" hidden="1">Footfall!$B$1:$B$32</definedName>
    <definedName name="_xlnm._FilterDatabase" localSheetId="4" hidden="1">'Quality data'!$B$1:$B$91</definedName>
    <definedName name="_xlnm._FilterDatabase" localSheetId="7" hidden="1">Sheet1!$A$1:$A$32</definedName>
    <definedName name="_xlchart.v1.0" hidden="1">Sheet1!$H$2:$H$31</definedName>
    <definedName name="_xlchart.v1.1" hidden="1">Sheet1!$I$1</definedName>
    <definedName name="_xlchart.v1.2" hidden="1">Sheet1!$I$2:$I$31</definedName>
    <definedName name="_xlnm.Extract" localSheetId="4">'Quality data'!#REF!</definedName>
  </definedNames>
  <calcPr calcId="191029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N6" i="1" s="1"/>
  <c r="N3" i="1"/>
  <c r="R5" i="10"/>
  <c r="R4" i="10"/>
  <c r="R3" i="10"/>
  <c r="Q5" i="10"/>
  <c r="Q4" i="10"/>
  <c r="Q3" i="10"/>
  <c r="E1" i="14"/>
  <c r="F1" i="14"/>
  <c r="E3" i="14"/>
  <c r="F3" i="14"/>
  <c r="Q17" i="9"/>
  <c r="Q16" i="9"/>
  <c r="Q15" i="9"/>
  <c r="Q9" i="9" a="1"/>
  <c r="Q9" i="9" s="1"/>
  <c r="Q6" i="9"/>
  <c r="Q3" i="9"/>
  <c r="Q2" i="9"/>
  <c r="F2" i="14"/>
  <c r="F4" i="14"/>
  <c r="F5" i="14"/>
  <c r="F6" i="14"/>
  <c r="F7" i="14"/>
  <c r="E2" i="14"/>
  <c r="E4" i="14"/>
  <c r="E5" i="14"/>
  <c r="E6" i="14"/>
  <c r="E7" i="14"/>
  <c r="C23" i="10"/>
  <c r="C24" i="10"/>
  <c r="C25" i="10"/>
  <c r="C26" i="10"/>
  <c r="C27" i="10"/>
  <c r="C28" i="10"/>
  <c r="C29" i="10"/>
  <c r="C30" i="10"/>
  <c r="C31" i="10"/>
  <c r="C22" i="10"/>
  <c r="C32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N4" i="1"/>
  <c r="N5" i="1"/>
  <c r="B41" i="1"/>
  <c r="L2" i="1" s="1"/>
  <c r="B42" i="1"/>
  <c r="M3" i="1" s="1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5" i="10"/>
  <c r="C15" i="10"/>
  <c r="B15" i="10"/>
  <c r="D14" i="10"/>
  <c r="C14" i="10"/>
  <c r="B14" i="10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J5" i="11"/>
  <c r="J4" i="11"/>
  <c r="J3" i="11"/>
  <c r="J2" i="11"/>
  <c r="R42" i="7"/>
  <c r="R41" i="7"/>
  <c r="R40" i="7"/>
  <c r="R37" i="7"/>
  <c r="R25" i="7"/>
  <c r="R36" i="7"/>
  <c r="R24" i="7"/>
  <c r="R32" i="7"/>
  <c r="R35" i="7"/>
  <c r="R34" i="7"/>
  <c r="R30" i="7"/>
  <c r="R28" i="7"/>
  <c r="R33" i="7"/>
  <c r="R31" i="7"/>
  <c r="R29" i="7"/>
  <c r="R27" i="7"/>
  <c r="R38" i="7"/>
  <c r="R26" i="7"/>
  <c r="R39" i="7"/>
  <c r="N4" i="13"/>
  <c r="N3" i="13"/>
  <c r="Q18" i="9" l="1"/>
  <c r="B43" i="1"/>
  <c r="H2" i="1" a="1"/>
  <c r="H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<sst xmlns="http://schemas.openxmlformats.org/spreadsheetml/2006/main" count="486" uniqueCount="246">
  <si>
    <t>Contents</t>
  </si>
  <si>
    <t>Total Capacity (in Kg)</t>
  </si>
  <si>
    <t>Quantity present (in Kg)</t>
  </si>
  <si>
    <t>Ajwain Phool</t>
  </si>
  <si>
    <t>Mint</t>
  </si>
  <si>
    <t>Black Jeera</t>
  </si>
  <si>
    <t>Gluco bolts</t>
  </si>
  <si>
    <t>NA</t>
  </si>
  <si>
    <t>Camphor</t>
  </si>
  <si>
    <t>Coriander seeds</t>
  </si>
  <si>
    <t>Turmeric</t>
  </si>
  <si>
    <t>Ajwain</t>
  </si>
  <si>
    <t>Rose petal</t>
  </si>
  <si>
    <t>Pepper</t>
  </si>
  <si>
    <t>Biryani flower</t>
  </si>
  <si>
    <t>Edible gum</t>
  </si>
  <si>
    <t>Sugar crystals</t>
  </si>
  <si>
    <t>Sugar balls</t>
  </si>
  <si>
    <t>White elachi</t>
  </si>
  <si>
    <t>Alum</t>
  </si>
  <si>
    <t>Nutmeg</t>
  </si>
  <si>
    <t>Javitri</t>
  </si>
  <si>
    <t>Green Elachi</t>
  </si>
  <si>
    <t>Haritaki</t>
  </si>
  <si>
    <t>Black Spice</t>
  </si>
  <si>
    <t>Betel nut</t>
  </si>
  <si>
    <t>Cinnamon</t>
  </si>
  <si>
    <t>Sabja</t>
  </si>
  <si>
    <t>Black Anjeer</t>
  </si>
  <si>
    <t>Amla</t>
  </si>
  <si>
    <t>%Utilization</t>
  </si>
  <si>
    <t>Mfg Date</t>
  </si>
  <si>
    <t>Expiry Date</t>
  </si>
  <si>
    <t>Quantity</t>
  </si>
  <si>
    <t>Pour Home French Flora</t>
  </si>
  <si>
    <t>Pour Home French Fusion</t>
  </si>
  <si>
    <t>Stop Odour Spray</t>
  </si>
  <si>
    <t>Aer Power lemon</t>
  </si>
  <si>
    <t>Aer Power Lavendar</t>
  </si>
  <si>
    <t>Equal Original Powder</t>
  </si>
  <si>
    <t>Equal Original Tablets</t>
  </si>
  <si>
    <t>Twinkle Cockroach Chalk</t>
  </si>
  <si>
    <t>Himalaya Face Wash</t>
  </si>
  <si>
    <t>Stop Odour Bag</t>
  </si>
  <si>
    <t>Candeeman FruiteeFun</t>
  </si>
  <si>
    <t>Mad Angles</t>
  </si>
  <si>
    <t>Sunfeast Biscuits</t>
  </si>
  <si>
    <t>Smart Choice Rusk</t>
  </si>
  <si>
    <t>Toastea Rusk</t>
  </si>
  <si>
    <t>Milkbikis</t>
  </si>
  <si>
    <t>Cake Gobbles</t>
  </si>
  <si>
    <t>Choxy Raisins Chocolate</t>
  </si>
  <si>
    <t>Dark Fantasy</t>
  </si>
  <si>
    <t>Smart Choice Jeera Peanut</t>
  </si>
  <si>
    <t>Tang Orange</t>
  </si>
  <si>
    <t>Doritos</t>
  </si>
  <si>
    <t>Gone mad biscuits</t>
  </si>
  <si>
    <t>Manna Rice Sevai</t>
  </si>
  <si>
    <t>Sunfeast Chocofills</t>
  </si>
  <si>
    <t>Wingreens Tomato Ketchup</t>
  </si>
  <si>
    <t>Dukes Nibbles</t>
  </si>
  <si>
    <t>Unibic Sugar Free biscuits</t>
  </si>
  <si>
    <t>Shreeji Saunf</t>
  </si>
  <si>
    <t>Gone mad badam sticks</t>
  </si>
  <si>
    <t>Bauli Cake</t>
  </si>
  <si>
    <t>Bourboun Big</t>
  </si>
  <si>
    <t>Prabhuji Soan Papdi</t>
  </si>
  <si>
    <t>Yippie Pasta</t>
  </si>
  <si>
    <t>Wai Wai Noodles</t>
  </si>
  <si>
    <t>Bingo Salted Chips</t>
  </si>
  <si>
    <t>Wai Wai Cup Noodles</t>
  </si>
  <si>
    <t>Yippie Noodles</t>
  </si>
  <si>
    <t>Riya Continental Sauce</t>
  </si>
  <si>
    <t>BRB Pop Corn Chips</t>
  </si>
  <si>
    <t>Good Day biscuits</t>
  </si>
  <si>
    <t>50-50 biscuits</t>
  </si>
  <si>
    <t>Marie Gold biscuits</t>
  </si>
  <si>
    <t>Sunfeast Caker</t>
  </si>
  <si>
    <t>Dark Fantasy chocolate</t>
  </si>
  <si>
    <t>Choxy Truffles</t>
  </si>
  <si>
    <t>Choxy Milk Truffles</t>
  </si>
  <si>
    <t>Xingg Sauce</t>
  </si>
  <si>
    <t>PVN Vinegar</t>
  </si>
  <si>
    <t>Disano Olive Oil</t>
  </si>
  <si>
    <t>Monacco Classic</t>
  </si>
  <si>
    <t>Little Hearts</t>
  </si>
  <si>
    <t>AS Brand Gingelly Oil</t>
  </si>
  <si>
    <t>Shreeji Muruku</t>
  </si>
  <si>
    <t>Bourboun Small</t>
  </si>
  <si>
    <t>Timepass Biscuits</t>
  </si>
  <si>
    <t>Marie Light Biscuits</t>
  </si>
  <si>
    <t>Mom's Magic</t>
  </si>
  <si>
    <t>Tiger Biscuits</t>
  </si>
  <si>
    <t>Dark Fantasy chocolate Shake</t>
  </si>
  <si>
    <t>Milano</t>
  </si>
  <si>
    <t>Parachute 600ml</t>
  </si>
  <si>
    <t>Dabur Amla</t>
  </si>
  <si>
    <t>Dabur Vatika</t>
  </si>
  <si>
    <t>Dabur Almond</t>
  </si>
  <si>
    <t>Parachute 250ml</t>
  </si>
  <si>
    <t>Parachute Jasmine</t>
  </si>
  <si>
    <t>Parachute Onion</t>
  </si>
  <si>
    <t>Vcare Herbal Hair Oil</t>
  </si>
  <si>
    <t>Colgate Visible White</t>
  </si>
  <si>
    <t>Colgate VedShakti</t>
  </si>
  <si>
    <t>Pepsodent Sparkling White</t>
  </si>
  <si>
    <t>Arogya Health Mix</t>
  </si>
  <si>
    <t>Swastik Gulab Jamun Mix</t>
  </si>
  <si>
    <t>Byond Cornflour</t>
  </si>
  <si>
    <t>Swastik Tomato Pickle</t>
  </si>
  <si>
    <t>Swastik Mix Veg Pickle</t>
  </si>
  <si>
    <t>Everest Pani Puri Masala</t>
  </si>
  <si>
    <t>Dabur Chyavanprash</t>
  </si>
  <si>
    <t>Disano Peanut Butter</t>
  </si>
  <si>
    <t>Apis Fruit Jam</t>
  </si>
  <si>
    <t>Rama Ajwain Water</t>
  </si>
  <si>
    <t>KTR Dhaniya Powder</t>
  </si>
  <si>
    <t>Surya Chilli Powder</t>
  </si>
  <si>
    <t>Rala Spices</t>
  </si>
  <si>
    <t>3 Mango Rai Powder</t>
  </si>
  <si>
    <t>Swastik Kebab Masala</t>
  </si>
  <si>
    <t>3 Mango Chilli Powder</t>
  </si>
  <si>
    <t>Grand Total</t>
  </si>
  <si>
    <t>SKU Name</t>
  </si>
  <si>
    <t>Upper Limit</t>
  </si>
  <si>
    <t>Months left to expire</t>
  </si>
  <si>
    <t>No. of Containers</t>
  </si>
  <si>
    <t>No. of SKUs</t>
  </si>
  <si>
    <t>No. of items</t>
  </si>
  <si>
    <t>Months to expire</t>
  </si>
  <si>
    <t>0-6 months</t>
  </si>
  <si>
    <t>6-12 months</t>
  </si>
  <si>
    <t>Age (in years)</t>
  </si>
  <si>
    <t>Expired</t>
  </si>
  <si>
    <t>&gt;1 year</t>
  </si>
  <si>
    <t>0-25% filled</t>
  </si>
  <si>
    <t>26-50% filled</t>
  </si>
  <si>
    <t>50-75% filled</t>
  </si>
  <si>
    <t>76-100% filled</t>
  </si>
  <si>
    <t>Row Labels</t>
  </si>
  <si>
    <t>Sum of Quantity</t>
  </si>
  <si>
    <t>Month</t>
  </si>
  <si>
    <t>Sale amount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</si>
  <si>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</si>
  <si>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</si>
  <si>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</si>
  <si>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</si>
  <si>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</si>
  <si>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</si>
  <si>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</si>
  <si>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</si>
  <si>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</si>
  <si>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</si>
  <si>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</si>
  <si>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</si>
  <si>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</si>
  <si>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&lt;0 or (blank)</t>
  </si>
  <si>
    <t>0-6</t>
  </si>
  <si>
    <t>Sum</t>
  </si>
  <si>
    <t>Empty</t>
  </si>
  <si>
    <t>Total no of jars</t>
  </si>
  <si>
    <t>Empty jars</t>
  </si>
  <si>
    <t>Utilized jars</t>
  </si>
  <si>
    <t>&lt; 25% filled</t>
  </si>
  <si>
    <t>Fraction of whole</t>
  </si>
  <si>
    <t>Fraction of filled</t>
  </si>
  <si>
    <t>Household Supplies</t>
  </si>
  <si>
    <t>Health Care</t>
  </si>
  <si>
    <t>Personal Care</t>
  </si>
  <si>
    <t>Pest Control</t>
  </si>
  <si>
    <t>Chips</t>
  </si>
  <si>
    <t>Cookies</t>
  </si>
  <si>
    <t>Wholegrain Snacks</t>
  </si>
  <si>
    <t>Fruit Snacks</t>
  </si>
  <si>
    <t>Bakery</t>
  </si>
  <si>
    <t>Chocolates</t>
  </si>
  <si>
    <t>Indian Snacks</t>
  </si>
  <si>
    <t>Soft Drinks</t>
  </si>
  <si>
    <t>Instant foods</t>
  </si>
  <si>
    <t>Spices</t>
  </si>
  <si>
    <t>Sweets</t>
  </si>
  <si>
    <t>Flavouring</t>
  </si>
  <si>
    <t>PVN Salad Dressing</t>
  </si>
  <si>
    <t>Oils</t>
  </si>
  <si>
    <t>Dairy</t>
  </si>
  <si>
    <t>Toothcare</t>
  </si>
  <si>
    <t>Kitchen supplies</t>
  </si>
  <si>
    <t>Pickles</t>
  </si>
  <si>
    <t>Category</t>
  </si>
  <si>
    <t>Pie1</t>
  </si>
  <si>
    <t>Pie2</t>
  </si>
  <si>
    <t>Date</t>
  </si>
  <si>
    <t>Weekday</t>
  </si>
  <si>
    <t>No. of customers purchased something</t>
  </si>
  <si>
    <t>No. of customers who left empty handed</t>
  </si>
  <si>
    <t>Items they asked for</t>
  </si>
  <si>
    <t>Nandini Tetra Pack, Bread</t>
  </si>
  <si>
    <t>AS Brand Ground nut Oil</t>
  </si>
  <si>
    <t>Hersheys Chocolate Syrup</t>
  </si>
  <si>
    <t>Ashirvad atta, Tamarind Pickle</t>
  </si>
  <si>
    <t>Dairy Milk Silk</t>
  </si>
  <si>
    <t>Meera Shampoo</t>
  </si>
  <si>
    <t>Sunday</t>
  </si>
  <si>
    <t>Monday</t>
  </si>
  <si>
    <t>Tuesday</t>
  </si>
  <si>
    <t>Wednesday</t>
  </si>
  <si>
    <t>Thursday</t>
  </si>
  <si>
    <t>Friday</t>
  </si>
  <si>
    <t>Saturday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</si>
  <si>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</si>
  <si>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</si>
  <si>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</si>
  <si>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</si>
  <si>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</si>
  <si>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</si>
  <si>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</si>
  <si>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</si>
  <si>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</si>
  <si>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</si>
  <si>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</si>
  <si>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</si>
  <si>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Footfall</t>
  </si>
  <si>
    <t>Revenue</t>
  </si>
  <si>
    <t>Above average</t>
  </si>
  <si>
    <t>Below average</t>
  </si>
  <si>
    <t>Standard Deviation</t>
  </si>
  <si>
    <t>No. of months</t>
  </si>
  <si>
    <t>Sales range upto</t>
  </si>
  <si>
    <t>First Quartile</t>
  </si>
  <si>
    <t>Second Quartile</t>
  </si>
  <si>
    <t>Third Quartile</t>
  </si>
  <si>
    <t>IQR</t>
  </si>
  <si>
    <t>Std Dev 2020</t>
  </si>
  <si>
    <t>Std Dev 2021</t>
  </si>
  <si>
    <t xml:space="preserve">Std Dev 2022 </t>
  </si>
  <si>
    <t>Sales upto</t>
  </si>
  <si>
    <t>No of months</t>
  </si>
  <si>
    <t>0-5 lakhs</t>
  </si>
  <si>
    <t>5-10 lakhs</t>
  </si>
  <si>
    <t>10-15 lakhs</t>
  </si>
  <si>
    <t>15-20 lakhs</t>
  </si>
  <si>
    <t>20-25 lakhs</t>
  </si>
  <si>
    <t>%QoQ</t>
  </si>
  <si>
    <t>Revenue (in lakhs)</t>
  </si>
  <si>
    <t>Wednesday footfall</t>
  </si>
  <si>
    <t>Wednesday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</si>
</sst>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\-yyyy"/>
    <numFmt numFmtId="165" formatCode="[&gt;9999999][$₹]##\,##\,##\,##0;[&gt;99999][$₹]##\,##\,##0;[$₹]##,##0\ "/>
    <numFmt numFmtId="166" formatCode="dd/mm/yyyy"/>
    <numFmt numFmtId="167" formatCode="dddd"/>
    <numFmt numFmtId="168" formatCode="[$₹-820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pivotButton="1"/>
    <xf numFmtId="164" fontId="1" fillId="3" borderId="0" xfId="0" applyNumberFormat="1" applyFont="1" applyFill="1"/>
    <xf numFmtId="165" fontId="0" fillId="0" borderId="0" xfId="0" applyNumberFormat="1"/>
    <xf numFmtId="49" fontId="1" fillId="3" borderId="0" xfId="0" applyNumberFormat="1" applyFont="1" applyFill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0" fontId="0" fillId="4" borderId="0" xfId="0" applyFill="1"/>
    <xf numFmtId="166" fontId="0" fillId="5" borderId="1" xfId="0" applyNumberFormat="1" applyFill="1" applyBorder="1"/>
    <xf numFmtId="167" fontId="0" fillId="5" borderId="1" xfId="0" applyNumberFormat="1" applyFill="1" applyBorder="1"/>
    <xf numFmtId="0" fontId="0" fillId="5" borderId="1" xfId="0" applyFill="1" applyBorder="1" applyAlignment="1">
      <alignment horizontal="right" wrapText="1"/>
    </xf>
    <xf numFmtId="0" fontId="0" fillId="5" borderId="1" xfId="0" applyFill="1" applyBorder="1" applyAlignment="1">
      <alignment horizontal="center" wrapText="1"/>
    </xf>
    <xf numFmtId="166" fontId="0" fillId="0" borderId="1" xfId="0" applyNumberFormat="1" applyBorder="1"/>
    <xf numFmtId="167" fontId="0" fillId="0" borderId="1" xfId="0" applyNumberForma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5" borderId="1" xfId="0" applyFill="1" applyBorder="1"/>
    <xf numFmtId="0" fontId="1" fillId="3" borderId="1" xfId="0" applyFont="1" applyFill="1" applyBorder="1" applyAlignment="1">
      <alignment horizontal="center" wrapText="1"/>
    </xf>
    <xf numFmtId="10" fontId="0" fillId="0" borderId="0" xfId="0" applyNumberFormat="1"/>
    <xf numFmtId="0" fontId="0" fillId="0" borderId="1" xfId="0" pivotButton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8" fontId="0" fillId="0" borderId="0" xfId="0" applyNumberFormat="1"/>
    <xf numFmtId="9" fontId="0" fillId="0" borderId="0" xfId="0" applyNumberFormat="1"/>
    <xf numFmtId="0" fontId="1" fillId="3" borderId="0" xfId="0" applyFont="1" applyFill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B632"/>
      <color rgb="FFEEA0E3"/>
      <color rgb="FF3366FF"/>
      <color rgb="FF921D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Sales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70712259498774"/>
          <c:y val="0.13477524551681325"/>
          <c:w val="0.84897840187357243"/>
          <c:h val="0.74965541764225507"/>
        </c:manualLayout>
      </c:layout>
      <c:lineChart>
        <c:grouping val="standard"/>
        <c:varyColors val="0"/>
        <c:ser>
          <c:idx val="0"/>
          <c:order val="0"/>
          <c:tx>
            <c:strRef>
              <c:f>'Sales Data'!$B$1</c:f>
              <c:strCache>
                <c:ptCount val="1"/>
                <c:pt idx="0">
                  <c:v>Revenue (in lakhs)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7"/>
            <c:dispRSqr val="0"/>
            <c:dispEq val="0"/>
          </c:trendline>
          <c:cat>
            <c:numRef>
              <c:f>'Sales Data'!$A$2:$A$40</c:f>
              <c:numCache>
                <c:formatCode>mmm\-yyyy</c:formatCode>
                <c:ptCount val="39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  <c:pt idx="36">
                  <c:v>44927</c:v>
                </c:pt>
                <c:pt idx="37">
                  <c:v>44958</c:v>
                </c:pt>
                <c:pt idx="38">
                  <c:v>44986</c:v>
                </c:pt>
              </c:numCache>
            </c:numRef>
          </c:cat>
          <c:val>
            <c:numRef>
              <c:f>'Sales Data'!$B$2:$B$40</c:f>
              <c:numCache>
                <c:formatCode>General</c:formatCode>
                <c:ptCount val="39"/>
                <c:pt idx="0">
                  <c:v>1784826</c:v>
                </c:pt>
                <c:pt idx="1">
                  <c:v>1604462</c:v>
                </c:pt>
                <c:pt idx="2">
                  <c:v>1816343</c:v>
                </c:pt>
                <c:pt idx="3">
                  <c:v>2149219</c:v>
                </c:pt>
                <c:pt idx="4">
                  <c:v>1731429</c:v>
                </c:pt>
                <c:pt idx="5">
                  <c:v>1509507</c:v>
                </c:pt>
                <c:pt idx="6">
                  <c:v>1676811</c:v>
                </c:pt>
                <c:pt idx="7">
                  <c:v>1596383</c:v>
                </c:pt>
                <c:pt idx="8">
                  <c:v>1708736</c:v>
                </c:pt>
                <c:pt idx="9">
                  <c:v>1773533</c:v>
                </c:pt>
                <c:pt idx="10">
                  <c:v>1441823</c:v>
                </c:pt>
                <c:pt idx="11">
                  <c:v>1539375</c:v>
                </c:pt>
                <c:pt idx="12">
                  <c:v>1196405</c:v>
                </c:pt>
                <c:pt idx="13">
                  <c:v>1223886</c:v>
                </c:pt>
                <c:pt idx="14">
                  <c:v>1141926</c:v>
                </c:pt>
                <c:pt idx="15">
                  <c:v>1288407</c:v>
                </c:pt>
                <c:pt idx="16">
                  <c:v>979948</c:v>
                </c:pt>
                <c:pt idx="17">
                  <c:v>806348</c:v>
                </c:pt>
                <c:pt idx="18">
                  <c:v>986826</c:v>
                </c:pt>
                <c:pt idx="19">
                  <c:v>1040577</c:v>
                </c:pt>
                <c:pt idx="20">
                  <c:v>979577</c:v>
                </c:pt>
                <c:pt idx="21">
                  <c:v>734430</c:v>
                </c:pt>
                <c:pt idx="22">
                  <c:v>1082485</c:v>
                </c:pt>
                <c:pt idx="23">
                  <c:v>1019253</c:v>
                </c:pt>
                <c:pt idx="24">
                  <c:v>894073</c:v>
                </c:pt>
                <c:pt idx="25">
                  <c:v>750882</c:v>
                </c:pt>
                <c:pt idx="26">
                  <c:v>683486</c:v>
                </c:pt>
                <c:pt idx="27">
                  <c:v>754943</c:v>
                </c:pt>
                <c:pt idx="28">
                  <c:v>806931</c:v>
                </c:pt>
                <c:pt idx="29">
                  <c:v>682057</c:v>
                </c:pt>
                <c:pt idx="30">
                  <c:v>752736</c:v>
                </c:pt>
                <c:pt idx="31">
                  <c:v>642871</c:v>
                </c:pt>
                <c:pt idx="32">
                  <c:v>549565</c:v>
                </c:pt>
                <c:pt idx="33">
                  <c:v>322573</c:v>
                </c:pt>
                <c:pt idx="34">
                  <c:v>453465</c:v>
                </c:pt>
                <c:pt idx="35">
                  <c:v>461211</c:v>
                </c:pt>
                <c:pt idx="36">
                  <c:v>402599</c:v>
                </c:pt>
                <c:pt idx="37">
                  <c:v>277914</c:v>
                </c:pt>
                <c:pt idx="38">
                  <c:v>285947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D6-42E2-B6F3-8DFF9C4C5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922448"/>
        <c:axId val="758929648"/>
      </c:lineChart>
      <c:dateAx>
        <c:axId val="758922448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29648"/>
        <c:crosses val="autoZero"/>
        <c:auto val="1"/>
        <c:lblOffset val="100"/>
        <c:baseTimeUnit val="months"/>
      </c:dateAx>
      <c:valAx>
        <c:axId val="7589296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Reveenue (in lakhs)</a:t>
                </a:r>
              </a:p>
            </c:rich>
          </c:tx>
          <c:layout>
            <c:manualLayout>
              <c:xMode val="edge"/>
              <c:yMode val="edge"/>
              <c:x val="2.029610597682734E-2"/>
              <c:y val="0.30988998074437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22448"/>
        <c:crosses val="autoZero"/>
        <c:crossBetween val="between"/>
        <c:dispUnits>
          <c:builtInUnit val="hundredThousand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Monthly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24201944407936"/>
          <c:y val="0.15540595675234603"/>
          <c:w val="0.83099622031312859"/>
          <c:h val="0.66069610025796954"/>
        </c:manualLayout>
      </c:layout>
      <c:lineChart>
        <c:grouping val="standard"/>
        <c:varyColors val="0"/>
        <c:ser>
          <c:idx val="0"/>
          <c:order val="0"/>
          <c:tx>
            <c:v>2020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'Month-wise'!$A$2:$A$13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'Month-wise'!$B$2:$B$13</c:f>
              <c:numCache>
                <c:formatCode>General</c:formatCode>
                <c:ptCount val="12"/>
                <c:pt idx="0">
                  <c:v>1784826</c:v>
                </c:pt>
                <c:pt idx="1">
                  <c:v>1604462</c:v>
                </c:pt>
                <c:pt idx="2">
                  <c:v>1816343</c:v>
                </c:pt>
                <c:pt idx="3">
                  <c:v>2149219</c:v>
                </c:pt>
                <c:pt idx="4">
                  <c:v>1731429</c:v>
                </c:pt>
                <c:pt idx="5">
                  <c:v>1509507</c:v>
                </c:pt>
                <c:pt idx="6">
                  <c:v>1676811</c:v>
                </c:pt>
                <c:pt idx="7">
                  <c:v>1596383</c:v>
                </c:pt>
                <c:pt idx="8">
                  <c:v>1708736</c:v>
                </c:pt>
                <c:pt idx="9">
                  <c:v>1773533</c:v>
                </c:pt>
                <c:pt idx="10">
                  <c:v>1441823</c:v>
                </c:pt>
                <c:pt idx="11">
                  <c:v>1539375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BA-41C8-9B99-8E981ECA9500}"/>
            </c:ext>
          </c:extLst>
        </c:ser>
        <c:ser>
          <c:idx val="1"/>
          <c:order val="1"/>
          <c:tx>
            <c:v>2021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'Month-wise'!$A$2:$A$13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'Month-wise'!$C$2:$C$13</c:f>
              <c:numCache>
                <c:formatCode>General</c:formatCode>
                <c:ptCount val="12"/>
                <c:pt idx="0">
                  <c:v>1196405</c:v>
                </c:pt>
                <c:pt idx="1">
                  <c:v>1223886</c:v>
                </c:pt>
                <c:pt idx="2">
                  <c:v>1141926</c:v>
                </c:pt>
                <c:pt idx="3">
                  <c:v>1288407</c:v>
                </c:pt>
                <c:pt idx="4">
                  <c:v>979948</c:v>
                </c:pt>
                <c:pt idx="5">
                  <c:v>806348</c:v>
                </c:pt>
                <c:pt idx="6">
                  <c:v>986826</c:v>
                </c:pt>
                <c:pt idx="7">
                  <c:v>1040577</c:v>
                </c:pt>
                <c:pt idx="8">
                  <c:v>979577</c:v>
                </c:pt>
                <c:pt idx="9">
                  <c:v>734430</c:v>
                </c:pt>
                <c:pt idx="10">
                  <c:v>1082485</c:v>
                </c:pt>
                <c:pt idx="11">
                  <c:v>1019253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BA-41C8-9B99-8E981ECA9500}"/>
            </c:ext>
          </c:extLst>
        </c:ser>
        <c:ser>
          <c:idx val="2"/>
          <c:order val="2"/>
          <c:tx>
            <c:v>2022</c:v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'Month-wise'!$A$2:$A$13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'Month-wise'!$D$2:$D$13</c:f>
              <c:numCache>
                <c:formatCode>General</c:formatCode>
                <c:ptCount val="12"/>
                <c:pt idx="0">
                  <c:v>894073</c:v>
                </c:pt>
                <c:pt idx="1">
                  <c:v>750882</c:v>
                </c:pt>
                <c:pt idx="2">
                  <c:v>683486</c:v>
                </c:pt>
                <c:pt idx="3">
                  <c:v>754943</c:v>
                </c:pt>
                <c:pt idx="4">
                  <c:v>806931</c:v>
                </c:pt>
                <c:pt idx="5">
                  <c:v>682057</c:v>
                </c:pt>
                <c:pt idx="6">
                  <c:v>752736</c:v>
                </c:pt>
                <c:pt idx="7">
                  <c:v>642871</c:v>
                </c:pt>
                <c:pt idx="8">
                  <c:v>549565</c:v>
                </c:pt>
                <c:pt idx="9">
                  <c:v>322573</c:v>
                </c:pt>
                <c:pt idx="10">
                  <c:v>453465</c:v>
                </c:pt>
                <c:pt idx="11">
                  <c:v>461211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BA-41C8-9B99-8E981ECA9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197360"/>
        <c:axId val="595194960"/>
      </c:lineChart>
      <c:catAx>
        <c:axId val="59519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194960"/>
        <c:crosses val="autoZero"/>
        <c:auto val="1"/>
        <c:lblAlgn val="ctr"/>
        <c:lblOffset val="100"/>
        <c:noMultiLvlLbl val="0"/>
      </c:catAx>
      <c:valAx>
        <c:axId val="59519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Revenue</a:t>
                </a:r>
                <a:r>
                  <a:rPr lang="en-US" sz="1200" baseline="0">
                    <a:solidFill>
                      <a:schemeClr val="tx1"/>
                    </a:solidFill>
                  </a:rPr>
                  <a:t> (in lakhs)</a:t>
                </a:r>
                <a:endParaRPr lang="en-US" sz="12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3.2439056628712777E-2"/>
              <c:y val="0.28195345745908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197360"/>
        <c:crosses val="autoZero"/>
        <c:crossBetween val="between"/>
        <c:dispUnits>
          <c:builtInUnit val="hundredThousand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Quarterly</a:t>
            </a:r>
            <a:r>
              <a:rPr lang="en-US" baseline="0">
                <a:solidFill>
                  <a:schemeClr val="tx1"/>
                </a:solidFill>
              </a:rPr>
              <a:t> revenue and QoQ change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'Month-wise'!$B$20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'Month-wise'!$A$21:$A$32</c:f>
              <c:strCache>
                <c:ptCount val="12"/>
                <c:pt idx="0">
                  <c:v>Q1 2020</c:v>
                </c:pt>
                <c:pt idx="1">
                  <c:v>Q2 2020</c:v>
                </c:pt>
                <c:pt idx="2">
                  <c:v>Q3 2020</c:v>
                </c:pt>
                <c:pt idx="3">
                  <c:v>Q4 2020</c:v>
                </c:pt>
                <c:pt idx="4">
                  <c:v>Q1 2021</c:v>
                </c:pt>
                <c:pt idx="5">
                  <c:v>Q2 2021</c:v>
                </c:pt>
                <c:pt idx="6">
                  <c:v>Q3 2021</c:v>
                </c:pt>
                <c:pt idx="7">
                  <c:v>Q4 2021</c:v>
                </c:pt>
                <c:pt idx="8">
                  <c:v>Q1 2022</c:v>
                </c:pt>
                <c:pt idx="9">
                  <c:v>Q2 2022</c:v>
                </c:pt>
                <c:pt idx="10">
                  <c:v>Q3 2022</c:v>
                </c:pt>
                <c:pt idx="11">
                  <c:v>Q4 2022</c:v>
                </c:pt>
              </c:strCache>
            </c:strRef>
          </c:cat>
          <c:val>
            <c:numRef>
              <c:f>'Month-wise'!$B$21:$B$32</c:f>
              <c:numCache>
                <c:formatCode>General</c:formatCode>
                <c:ptCount val="12"/>
                <c:pt idx="0">
                  <c:v>5205631</c:v>
                </c:pt>
                <c:pt idx="1">
                  <c:v>5390155</c:v>
                </c:pt>
                <c:pt idx="2">
                  <c:v>4981930</c:v>
                </c:pt>
                <c:pt idx="3">
                  <c:v>4754731</c:v>
                </c:pt>
                <c:pt idx="4">
                  <c:v>3562217</c:v>
                </c:pt>
                <c:pt idx="5">
                  <c:v>3074703</c:v>
                </c:pt>
                <c:pt idx="6">
                  <c:v>3006980</c:v>
                </c:pt>
                <c:pt idx="7">
                  <c:v>2836168</c:v>
                </c:pt>
                <c:pt idx="8">
                  <c:v>2328441</c:v>
                </c:pt>
                <c:pt idx="9">
                  <c:v>2243931</c:v>
                </c:pt>
                <c:pt idx="10">
                  <c:v>1945172</c:v>
                </c:pt>
                <c:pt idx="11">
                  <c:v>1237249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B-46F3-B2C0-DFA4DA860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965328"/>
        <c:axId val="1521971568"/>
      </c:barChart>
      <c:lineChart>
        <c:grouping val="standard"/>
        <c:varyColors val="0"/>
        <c:ser>
          <c:idx val="1"/>
          <c:order val="1"/>
          <c:tx>
            <c:strRef>
              <c:f>'Month-wise'!$C$20</c:f>
              <c:strCache>
                <c:ptCount val="1"/>
                <c:pt idx="0">
                  <c:v>%QoQ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'Month-wise'!$A$21:$A$32</c:f>
              <c:strCache>
                <c:ptCount val="12"/>
                <c:pt idx="0">
                  <c:v>Q1 2020</c:v>
                </c:pt>
                <c:pt idx="1">
                  <c:v>Q2 2020</c:v>
                </c:pt>
                <c:pt idx="2">
                  <c:v>Q3 2020</c:v>
                </c:pt>
                <c:pt idx="3">
                  <c:v>Q4 2020</c:v>
                </c:pt>
                <c:pt idx="4">
                  <c:v>Q1 2021</c:v>
                </c:pt>
                <c:pt idx="5">
                  <c:v>Q2 2021</c:v>
                </c:pt>
                <c:pt idx="6">
                  <c:v>Q3 2021</c:v>
                </c:pt>
                <c:pt idx="7">
                  <c:v>Q4 2021</c:v>
                </c:pt>
                <c:pt idx="8">
                  <c:v>Q1 2022</c:v>
                </c:pt>
                <c:pt idx="9">
                  <c:v>Q2 2022</c:v>
                </c:pt>
                <c:pt idx="10">
                  <c:v>Q3 2022</c:v>
                </c:pt>
                <c:pt idx="11">
                  <c:v>Q4 2022</c:v>
                </c:pt>
              </c:strCache>
            </c:strRef>
          </c:cat>
          <c:val>
            <c:numRef>
              <c:f>'Month-wise'!$C$21:$C$32</c:f>
              <c:numCache>
                <c:formatCode>0.00%</c:formatCode>
                <c:ptCount val="12"/>
                <c:pt idx="0">
                  <c:v>0</c:v>
                </c:pt>
                <c:pt idx="1">
                  <c:v>3.5446999604850982E-2</c:v>
                </c:pt>
                <c:pt idx="2">
                  <c:v>-7.5735298892146918E-2</c:v>
                </c:pt>
                <c:pt idx="3">
                  <c:v>-4.5604615078895128E-2</c:v>
                </c:pt>
                <c:pt idx="4">
                  <c:v>-0.25080577639407997</c:v>
                </c:pt>
                <c:pt idx="5">
                  <c:v>-0.1368569068083163</c:v>
                </c:pt>
                <c:pt idx="6">
                  <c:v>-2.2025867213841477E-2</c:v>
                </c:pt>
                <c:pt idx="7">
                  <c:v>-5.6805166645604532E-2</c:v>
                </c:pt>
                <c:pt idx="8">
                  <c:v>-0.17901866180000625</c:v>
                </c:pt>
                <c:pt idx="9">
                  <c:v>-3.6294670983718302E-2</c:v>
                </c:pt>
                <c:pt idx="10">
                  <c:v>-0.1331409031739389</c:v>
                </c:pt>
                <c:pt idx="11">
                  <c:v>-0.36393851032196634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9B-46F3-B2C0-DFA4DA860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1967248"/>
        <c:axId val="1521975888"/>
      </c:lineChart>
      <c:catAx>
        <c:axId val="152196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71568"/>
        <c:crosses val="autoZero"/>
        <c:auto val="1"/>
        <c:lblAlgn val="ctr"/>
        <c:lblOffset val="100"/>
        <c:noMultiLvlLbl val="0"/>
      </c:catAx>
      <c:valAx>
        <c:axId val="152197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Revenue</a:t>
                </a:r>
                <a:r>
                  <a:rPr lang="en-US" sz="1200" baseline="0">
                    <a:solidFill>
                      <a:schemeClr val="tx1"/>
                    </a:solidFill>
                  </a:rPr>
                  <a:t> (in lakhs)</a:t>
                </a:r>
                <a:endParaRPr lang="en-US" sz="12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65328"/>
        <c:crosses val="autoZero"/>
        <c:crossBetween val="between"/>
        <c:dispUnits>
          <c:builtInUnit val="hundredThousands"/>
        </c:dispUnits>
      </c:valAx>
      <c:valAx>
        <c:axId val="15219758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QoQ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67248"/>
        <c:crosses val="max"/>
        <c:crossBetween val="between"/>
        <c:majorUnit val="0.1"/>
      </c:valAx>
      <c:catAx>
        <c:axId val="1521967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21975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[Data.xlsx]Footfall!PivotTable10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Weekday-wise total footfall and revenue (May 2023)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Footfall!$J$1</c:f>
              <c:strCache>
                <c:ptCount val="1"/>
                <c:pt idx="0">
                  <c:v>Footfall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Footfall!$I$2:$I$9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Footfall!$J$2:$J$9</c:f>
              <c:numCache>
                <c:formatCode>General</c:formatCode>
                <c:ptCount val="7"/>
                <c:pt idx="0">
                  <c:v>34</c:v>
                </c:pt>
                <c:pt idx="1">
                  <c:v>35</c:v>
                </c:pt>
                <c:pt idx="2">
                  <c:v>29</c:v>
                </c:pt>
                <c:pt idx="3">
                  <c:v>47</c:v>
                </c:pt>
                <c:pt idx="4">
                  <c:v>38</c:v>
                </c:pt>
                <c:pt idx="5">
                  <c:v>36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E4-4D03-B10A-044712C94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0231664"/>
        <c:axId val="1960251344"/>
      </c:barChart>
      <c:lineChart>
        <c:grouping val="standard"/>
        <c:varyColors val="0"/>
        <c:ser>
          <c:idx val="1"/>
          <c:order val="1"/>
          <c:tx>
            <c:strRef>
              <c:f>Footfall!$K$1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42E4-4D03-B10A-044712C943B5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2E4-4D03-B10A-044712C943B5}"/>
              </c:ext>
            </c:extLst>
          </c:dPt>
          <c:cat>
            <c:strRef>
              <c:f>Footfall!$I$2:$I$9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Footfall!$K$2:$K$9</c:f>
              <c:numCache>
                <c:formatCode>General</c:formatCode>
                <c:ptCount val="7"/>
                <c:pt idx="0">
                  <c:v>18530</c:v>
                </c:pt>
                <c:pt idx="1">
                  <c:v>26706</c:v>
                </c:pt>
                <c:pt idx="2">
                  <c:v>22200</c:v>
                </c:pt>
                <c:pt idx="3">
                  <c:v>48709</c:v>
                </c:pt>
                <c:pt idx="4">
                  <c:v>32314</c:v>
                </c:pt>
                <c:pt idx="5">
                  <c:v>36043</c:v>
                </c:pt>
                <c:pt idx="6">
                  <c:v>39085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E4-4D03-B10A-044712C94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0259504"/>
        <c:axId val="1960257104"/>
      </c:lineChart>
      <c:catAx>
        <c:axId val="196023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251344"/>
        <c:crosses val="autoZero"/>
        <c:auto val="1"/>
        <c:lblAlgn val="ctr"/>
        <c:lblOffset val="100"/>
        <c:noMultiLvlLbl val="0"/>
      </c:catAx>
      <c:valAx>
        <c:axId val="196025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Customer</a:t>
                </a:r>
                <a:r>
                  <a:rPr lang="en-US" sz="1200" baseline="0">
                    <a:solidFill>
                      <a:schemeClr val="tx1"/>
                    </a:solidFill>
                  </a:rPr>
                  <a:t> count</a:t>
                </a:r>
                <a:endParaRPr lang="en-US" sz="12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231664"/>
        <c:crosses val="autoZero"/>
        <c:crossBetween val="between"/>
        <c:majorUnit val="10"/>
      </c:valAx>
      <c:valAx>
        <c:axId val="1960257104"/>
        <c:scaling>
          <c:orientation val="minMax"/>
          <c:max val="600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Revenue ( in 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259504"/>
        <c:crosses val="max"/>
        <c:crossBetween val="between"/>
        <c:majorUnit val="10000"/>
        <c:dispUnits>
          <c:builtInUnit val="thousands"/>
        </c:dispUnits>
      </c:valAx>
      <c:catAx>
        <c:axId val="1960259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60257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No. of customers who left empty handed (May</a:t>
            </a:r>
            <a:r>
              <a:rPr lang="en-US" baseline="0">
                <a:solidFill>
                  <a:schemeClr val="tx1"/>
                </a:solidFill>
              </a:rPr>
              <a:t> 2023)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67670217693377"/>
          <c:y val="0.18575362505916268"/>
          <c:w val="0.86900841438937781"/>
          <c:h val="0.645064505825660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Footfall!$E$1</c:f>
              <c:strCache>
                <c:ptCount val="1"/>
                <c:pt idx="0">
                  <c:v>No. of customers who left empty handed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Footfall!$E$2:$E$32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E-464A-8864-3701564F2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5302336"/>
        <c:axId val="1815306656"/>
      </c:barChart>
      <c:catAx>
        <c:axId val="1815302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9925679326848849"/>
              <c:y val="0.906648127317418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30665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815306656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tx1"/>
                    </a:solidFill>
                  </a:rPr>
                  <a:t>Customer count</a:t>
                </a:r>
              </a:p>
            </c:rich>
          </c:tx>
          <c:layout>
            <c:manualLayout>
              <c:xMode val="edge"/>
              <c:yMode val="edge"/>
              <c:x val="2.9931102362204726E-2"/>
              <c:y val="0.368771264703023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30233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Display Container Utilization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7A-45CC-B8C9-B7E61C9D89E8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F7A-45CC-B8C9-B7E61C9D89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F7A-45CC-B8C9-B7E61C9D89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7A-45CC-B8C9-B7E61C9D89E8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7A-45CC-B8C9-B7E61C9D89E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F7A-45CC-B8C9-B7E61C9D89E8}"/>
              </c:ext>
            </c:extLst>
          </c:dPt>
          <c:dLbls>
            <c:dLbl>
              <c:idx val="0"/>
              <c:layout>
                <c:manualLayout>
                  <c:x val="0.12700668275840521"/>
                  <c:y val="1.1498393157082246E-2"/>
                </c:manualLayout>
              </c:layout>
              <c:tx>
                <c:rich>
                  <a:bodyPr/>
                  <a:lstStyle/>
                  <a:p>
                    <a:fld id="{57ACD31B-8B6E-454B-923C-5DC0ED7BE59A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AA5D94EB-9427-40C9-93D5-05B85BBEB11D}" type="PERCENTAGE">
                      <a:rPr lang="en-US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F7A-45CC-B8C9-B7E61C9D89E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87C81DE-70F0-4DE0-89CE-DC3A9D113CFB}" type="CATEGORYNAME">
                      <a:rPr lang="en-US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FF7A-45CC-B8C9-B7E61C9D89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E1B4DAC-5310-44ED-9878-D74B7CA9154A}" type="CATEGORYNAME">
                      <a:rPr lang="en-US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FF7A-45CC-B8C9-B7E61C9D89E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B0349CF-F61F-4E63-A283-73D0A1FE419E}" type="CATEGORYNAME">
                      <a:rPr lang="en-US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FF7A-45CC-B8C9-B7E61C9D89E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4931C15-883A-4FEE-AEA9-C911067FC73C}" type="CATEGORYNAME">
                      <a:rPr lang="en-US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F7A-45CC-B8C9-B7E61C9D89E8}"/>
                </c:ext>
              </c:extLst>
            </c:dLbl>
            <c:dLbl>
              <c:idx val="5"/>
              <c:layout>
                <c:manualLayout>
                  <c:x val="-0.15810562742157236"/>
                  <c:y val="3.2780890058286489E-3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Utilized</a:t>
                    </a:r>
                    <a:r>
                      <a:rPr lang="en-US" baseline="0"/>
                      <a:t>
</a:t>
                    </a:r>
                    <a:fld id="{D0E3E01A-46CB-4910-BBBC-37517D5A7B48}" type="PERCENTAGE">
                      <a:rPr lang="en-US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FF7A-45CC-B8C9-B7E61C9D89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'Display Container Utilization'!$K$2:$K$6</c:f>
              <c:strCache>
                <c:ptCount val="5"/>
                <c:pt idx="0">
                  <c:v>Empty</c:v>
                </c:pt>
                <c:pt idx="1">
                  <c:v>76-100% filled</c:v>
                </c:pt>
                <c:pt idx="2">
                  <c:v>50-75% filled</c:v>
                </c:pt>
                <c:pt idx="3">
                  <c:v>26-50% filled</c:v>
                </c:pt>
                <c:pt idx="4">
                  <c:v>&lt; 25% filled</c:v>
                </c:pt>
              </c:strCache>
            </c:strRef>
          </c:cat>
          <c:val>
            <c:numRef>
              <c:f>'Display Container Utilization'!$L$2:$L$6</c:f>
              <c:numCache>
                <c:formatCode>0.00</c:formatCode>
                <c:ptCount val="5"/>
                <c:pt idx="0">
                  <c:v>0.31578947368421051</c:v>
                </c:pt>
                <c:pt idx="1">
                  <c:v>0.13157894736842107</c:v>
                </c:pt>
                <c:pt idx="2">
                  <c:v>5.2631578947368425E-2</c:v>
                </c:pt>
                <c:pt idx="3">
                  <c:v>0.2105263157894737</c:v>
                </c:pt>
                <c:pt idx="4">
                  <c:v>0.28947368421052633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7A-45CC-B8C9-B7E61C9D89E8}"/>
            </c:ext>
          </c:extLst>
        </c:ser>
        <c:dLbls>
          <c:dLblPos val="bestFit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gapWidth val="100"/>
        <c:splitType val="pos"/>
        <c:splitPos val="4"/>
        <c:secondPieSize val="100"/>
        <c:ser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00475624256837"/>
          <c:y val="3.4299968818210166E-2"/>
          <c:w val="0.59195402298850575"/>
          <c:h val="0.9314000623635796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6CC1-4C51-BAF5-FC44693BF4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CC1-4C51-BAF5-FC44693BF4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6CC1-4C51-BAF5-FC44693BF4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CC1-4C51-BAF5-FC44693BF4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6CC1-4C51-BAF5-FC44693BF43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CC1-4C51-BAF5-FC44693BF43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6CC1-4C51-BAF5-FC44693BF43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CC1-4C51-BAF5-FC44693BF43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6CC1-4C51-BAF5-FC44693BF43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CC1-4C51-BAF5-FC44693BF43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CC1-4C51-BAF5-FC44693BF43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CC1-4C51-BAF5-FC44693BF43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6CC1-4C51-BAF5-FC44693BF43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CC1-4C51-BAF5-FC44693BF43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CC1-4C51-BAF5-FC44693BF43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CC1-4C51-BAF5-FC44693BF43F}"/>
              </c:ext>
            </c:extLst>
          </c:dPt>
          <c:dPt>
            <c:idx val="16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C1-4C51-BAF5-FC44693BF43F}"/>
              </c:ext>
            </c:extLst>
          </c:dPt>
          <c:dPt>
            <c:idx val="17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CC1-4C51-BAF5-FC44693BF43F}"/>
              </c:ext>
            </c:extLst>
          </c:dPt>
          <c:dPt>
            <c:idx val="18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CC1-4C51-BAF5-FC44693BF43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07BCB814-2161-4E3C-A91E-8DDF250835D6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6CC1-4C51-BAF5-FC44693BF43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31074EF-C612-4658-B596-60B8BC4FAE50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6CC1-4C51-BAF5-FC44693BF43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52492E1-0602-49C3-91A2-8B1EABDA5511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6CC1-4C51-BAF5-FC44693BF43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E02146D-B6D8-4405-9D44-59AFD3E71011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6CC1-4C51-BAF5-FC44693BF43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FAE8095-D918-4808-B495-81246ED6807C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6CC1-4C51-BAF5-FC44693BF43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EA5AA1E-EAC8-4D7C-AC30-87689BEB814A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6CC1-4C51-BAF5-FC44693BF43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0F87D63-0DFB-4181-9F01-72CE32E39AA4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2-6CC1-4C51-BAF5-FC44693BF43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45A7569-E867-47B5-BDE5-368BCF520636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6CC1-4C51-BAF5-FC44693BF43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39B99B4-B335-42E5-969A-09EEB2E93EC8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6CC1-4C51-BAF5-FC44693BF43F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CC1-4C51-BAF5-FC44693BF43F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CC1-4C51-BAF5-FC44693BF43F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CC1-4C51-BAF5-FC44693BF43F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CC1-4C51-BAF5-FC44693BF43F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CC1-4C51-BAF5-FC44693BF43F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CC1-4C51-BAF5-FC44693BF43F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CC1-4C51-BAF5-FC44693BF43F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CC1-4C51-BAF5-FC44693BF43F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CC1-4C51-BAF5-FC44693BF43F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CC1-4C51-BAF5-FC44693BF4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'Expired analysis'!$Q$24:$Q$42</c:f>
              <c:strCache>
                <c:ptCount val="19"/>
                <c:pt idx="0">
                  <c:v>Cookies</c:v>
                </c:pt>
                <c:pt idx="1">
                  <c:v>Kitchen supplies</c:v>
                </c:pt>
                <c:pt idx="2">
                  <c:v>Pickles</c:v>
                </c:pt>
                <c:pt idx="3">
                  <c:v>Instant foods</c:v>
                </c:pt>
                <c:pt idx="4">
                  <c:v>Chips</c:v>
                </c:pt>
                <c:pt idx="5">
                  <c:v>Flavouring</c:v>
                </c:pt>
                <c:pt idx="6">
                  <c:v>Bakery</c:v>
                </c:pt>
                <c:pt idx="7">
                  <c:v>Chocolates</c:v>
                </c:pt>
                <c:pt idx="8">
                  <c:v>Spices</c:v>
                </c:pt>
                <c:pt idx="9">
                  <c:v>Indian Snacks</c:v>
                </c:pt>
                <c:pt idx="10">
                  <c:v>Pest Control</c:v>
                </c:pt>
                <c:pt idx="11">
                  <c:v>Sweets</c:v>
                </c:pt>
                <c:pt idx="12">
                  <c:v>Toothcare</c:v>
                </c:pt>
                <c:pt idx="13">
                  <c:v>Household Supplies</c:v>
                </c:pt>
                <c:pt idx="14">
                  <c:v>Oils</c:v>
                </c:pt>
                <c:pt idx="15">
                  <c:v>Soft Drinks</c:v>
                </c:pt>
                <c:pt idx="16">
                  <c:v>0-6 months</c:v>
                </c:pt>
                <c:pt idx="17">
                  <c:v>6-12 months</c:v>
                </c:pt>
                <c:pt idx="18">
                  <c:v>&gt;1 year</c:v>
                </c:pt>
              </c:strCache>
            </c:strRef>
          </c:cat>
          <c:val>
            <c:numRef>
              <c:f>'Expired analysis'!$R$24:$R$42</c:f>
              <c:numCache>
                <c:formatCode>General</c:formatCode>
                <c:ptCount val="19"/>
                <c:pt idx="0">
                  <c:v>30</c:v>
                </c:pt>
                <c:pt idx="1">
                  <c:v>29</c:v>
                </c:pt>
                <c:pt idx="2">
                  <c:v>29</c:v>
                </c:pt>
                <c:pt idx="3">
                  <c:v>23</c:v>
                </c:pt>
                <c:pt idx="4">
                  <c:v>18</c:v>
                </c:pt>
                <c:pt idx="5">
                  <c:v>17</c:v>
                </c:pt>
                <c:pt idx="6">
                  <c:v>13</c:v>
                </c:pt>
                <c:pt idx="7">
                  <c:v>11</c:v>
                </c:pt>
                <c:pt idx="8">
                  <c:v>10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1</c:v>
                </c:pt>
                <c:pt idx="16">
                  <c:v>277</c:v>
                </c:pt>
                <c:pt idx="17">
                  <c:v>72</c:v>
                </c:pt>
                <c:pt idx="18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1-4C51-BAF5-FC44693BF4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[Data.xlsx]Expired analysis!PivotTable2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F7D88EE-189C-43DF-B33E-AEC3B6325E1E}" type="CATEGORYNAM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chemeClr val="bg1"/>
                    </a:solidFill>
                  </a:rPr>
                  <a:t>
</a:t>
                </a:r>
                <a:fld id="{BC05A46E-89CE-42CB-BBDD-897159C6B8FB}" type="PERCENTAGE">
                  <a:rPr lang="en-US" baseline="0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US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5DC971F-B004-42DC-80B9-F7D40EB2EFE4}" type="CATEGORYNAM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chemeClr val="bg1"/>
                    </a:solidFill>
                  </a:rPr>
                  <a:t>
</a:t>
                </a:r>
                <a:fld id="{347BFEA1-0499-47A5-8A49-E413D77A29DB}" type="PERCENTAGE">
                  <a:rPr lang="en-US" baseline="0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US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CFB9628-F8FF-470E-BB00-03733FACD7B0}" type="CATEGORYNAM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chemeClr val="bg1"/>
                    </a:solidFill>
                  </a:rPr>
                  <a:t>
</a:t>
                </a:r>
                <a:fld id="{1ED8AF16-CC3F-4C59-BC4D-677000A641F8}" type="PERCENTAGE">
                  <a:rPr lang="en-US" baseline="0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US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9BA7412-7136-4448-A1DE-22201623385C}" type="CATEGORYNAM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chemeClr val="bg1"/>
                    </a:solidFill>
                  </a:rPr>
                  <a:t>
</a:t>
                </a:r>
                <a:fld id="{29E22176-F346-4E3C-89E1-B78A490A86DA}" type="PERCENTAGE">
                  <a:rPr lang="en-US" baseline="0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US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'Expired analysis'!$I$1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6EB-4838-AF85-4807847D94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EB-4838-AF85-4807847D94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6EB-4838-AF85-4807847D94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EB-4838-AF85-4807847D946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F7D88EE-189C-43DF-B33E-AEC3B6325E1E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BC05A46E-89CE-42CB-BBDD-897159C6B8FB}" type="PERCENTAGE">
                      <a:rPr lang="en-US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B6EB-4838-AF85-4807847D946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5DC971F-B004-42DC-80B9-F7D40EB2EFE4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347BFEA1-0499-47A5-8A49-E413D77A29DB}" type="PERCENTAGE">
                      <a:rPr lang="en-US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6EB-4838-AF85-4807847D946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CFB9628-F8FF-470E-BB00-03733FACD7B0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1ED8AF16-CC3F-4C59-BC4D-677000A641F8}" type="PERCENTAGE">
                      <a:rPr lang="en-US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B6EB-4838-AF85-4807847D946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9BA7412-7136-4448-A1DE-22201623385C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29E22176-F346-4E3C-89E1-B78A490A86DA}" type="PERCENTAGE">
                      <a:rPr lang="en-US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B6EB-4838-AF85-4807847D94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'Expired analysis'!$H$2:$H$6</c:f>
              <c:strCache>
                <c:ptCount val="4"/>
                <c:pt idx="0">
                  <c:v>Expired</c:v>
                </c:pt>
                <c:pt idx="1">
                  <c:v>0-6 months</c:v>
                </c:pt>
                <c:pt idx="2">
                  <c:v>6-12 months</c:v>
                </c:pt>
                <c:pt idx="3">
                  <c:v>&gt;1 year</c:v>
                </c:pt>
              </c:strCache>
            </c:strRef>
          </c:cat>
          <c:val>
            <c:numRef>
              <c:f>'Expired analysis'!$I$2:$I$6</c:f>
              <c:numCache>
                <c:formatCode>General</c:formatCode>
                <c:ptCount val="4"/>
                <c:pt idx="0">
                  <c:v>210</c:v>
                </c:pt>
                <c:pt idx="1">
                  <c:v>277</c:v>
                </c:pt>
                <c:pt idx="2">
                  <c:v>72</c:v>
                </c:pt>
                <c:pt idx="3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EB-4838-AF85-4807847D946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[Data.xlsx]Expired analysis!PivotTable1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Months to expire (SKU</a:t>
            </a:r>
            <a:r>
              <a:rPr lang="en-US" baseline="0"/>
              <a:t> level)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0236406619385367E-2"/>
              <c:y val="-5.765765765765765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'Expired analysis'!$E$1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FD-4AD9-BD6D-AD3432F74D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FD-4AD9-BD6D-AD3432F74D1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9FD-4AD9-BD6D-AD3432F74D1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9FD-4AD9-BD6D-AD3432F74D1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E6F-4786-A2B8-D2A33702041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9FD-4AD9-BD6D-AD3432F74D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'Expired analysis'!$D$2:$D$6</c:f>
              <c:strCache>
                <c:ptCount val="4"/>
                <c:pt idx="0">
                  <c:v>Expired</c:v>
                </c:pt>
                <c:pt idx="1">
                  <c:v>0-6 months</c:v>
                </c:pt>
                <c:pt idx="2">
                  <c:v>6-12 months</c:v>
                </c:pt>
                <c:pt idx="3">
                  <c:v>&gt;1 year</c:v>
                </c:pt>
              </c:strCache>
            </c:strRef>
          </c:cat>
          <c:val>
            <c:numRef>
              <c:f>'Expired analysis'!$E$2:$E$6</c:f>
              <c:numCache>
                <c:formatCode>General</c:formatCode>
                <c:ptCount val="4"/>
                <c:pt idx="0">
                  <c:v>37</c:v>
                </c:pt>
                <c:pt idx="1">
                  <c:v>31</c:v>
                </c:pt>
                <c:pt idx="2">
                  <c:v>8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F-4786-A2B8-D2A33702041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19681419993686"/>
          <c:y val="3.1288890854935261E-2"/>
          <c:w val="0.59706387450498777"/>
          <c:h val="0.9405433169168460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98A-4AD8-98BC-30477AAA60BF}"/>
              </c:ext>
            </c:extLst>
          </c:dPt>
          <c:dPt>
            <c:idx val="1"/>
            <c:bubble3D val="0"/>
            <c:spPr>
              <a:solidFill>
                <a:srgbClr val="EEA0E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8A-4AD8-98BC-30477AAA6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98A-4AD8-98BC-30477AAA60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F98A-4AD8-98BC-30477AAA60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98A-4AD8-98BC-30477AAA60B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F98A-4AD8-98BC-30477AAA60B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F98A-4AD8-98BC-30477AAA60B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98A-4AD8-98BC-30477AAA60B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F98A-4AD8-98BC-30477AAA60B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98A-4AD8-98BC-30477AAA60B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98A-4AD8-98BC-30477AAA60B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8A-4AD8-98BC-30477AAA60B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98A-4AD8-98BC-30477AAA60BF}"/>
              </c:ext>
            </c:extLst>
          </c:dPt>
          <c:dPt>
            <c:idx val="13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8A-4AD8-98BC-30477AAA60BF}"/>
              </c:ext>
            </c:extLst>
          </c:dPt>
          <c:dPt>
            <c:idx val="14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98A-4AD8-98BC-30477AAA60BF}"/>
              </c:ext>
            </c:extLst>
          </c:dPt>
          <c:dPt>
            <c:idx val="15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8A-4AD8-98BC-30477AAA60BF}"/>
              </c:ext>
            </c:extLst>
          </c:dPt>
          <c:dLbls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98A-4AD8-98BC-30477AAA60B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98A-4AD8-98BC-30477AAA60BF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98A-4AD8-98BC-30477AAA60BF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98A-4AD8-98BC-30477AAA60BF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98A-4AD8-98BC-30477AAA60BF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98A-4AD8-98BC-30477AAA60BF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98A-4AD8-98BC-30477AAA60BF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8A-4AD8-98BC-30477AAA60BF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98A-4AD8-98BC-30477AAA60BF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8A-4AD8-98BC-30477AAA60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'Expiring soon'!$L$2:$L$17</c:f>
              <c:strCache>
                <c:ptCount val="16"/>
                <c:pt idx="0">
                  <c:v>Cookies</c:v>
                </c:pt>
                <c:pt idx="1">
                  <c:v>Instant foods</c:v>
                </c:pt>
                <c:pt idx="2">
                  <c:v>Chips</c:v>
                </c:pt>
                <c:pt idx="3">
                  <c:v>Oils</c:v>
                </c:pt>
                <c:pt idx="4">
                  <c:v>Wholegrain Snacks</c:v>
                </c:pt>
                <c:pt idx="5">
                  <c:v>Bakery</c:v>
                </c:pt>
                <c:pt idx="6">
                  <c:v>Dairy</c:v>
                </c:pt>
                <c:pt idx="7">
                  <c:v>Chocolates</c:v>
                </c:pt>
                <c:pt idx="8">
                  <c:v>Kitchen supplies</c:v>
                </c:pt>
                <c:pt idx="9">
                  <c:v>Household Supplies</c:v>
                </c:pt>
                <c:pt idx="10">
                  <c:v>Fruit Snacks</c:v>
                </c:pt>
                <c:pt idx="11">
                  <c:v>Health Care</c:v>
                </c:pt>
                <c:pt idx="12">
                  <c:v>Indian Snacks</c:v>
                </c:pt>
                <c:pt idx="13">
                  <c:v>6-12 months</c:v>
                </c:pt>
                <c:pt idx="14">
                  <c:v>&gt;1 year</c:v>
                </c:pt>
                <c:pt idx="15">
                  <c:v>Expired</c:v>
                </c:pt>
              </c:strCache>
            </c:strRef>
          </c:cat>
          <c:val>
            <c:numRef>
              <c:f>'Expiring soon'!$M$2:$M$17</c:f>
              <c:numCache>
                <c:formatCode>General</c:formatCode>
                <c:ptCount val="16"/>
                <c:pt idx="0">
                  <c:v>116</c:v>
                </c:pt>
                <c:pt idx="1">
                  <c:v>60</c:v>
                </c:pt>
                <c:pt idx="2">
                  <c:v>27</c:v>
                </c:pt>
                <c:pt idx="3">
                  <c:v>24</c:v>
                </c:pt>
                <c:pt idx="4">
                  <c:v>11</c:v>
                </c:pt>
                <c:pt idx="5">
                  <c:v>10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2</c:v>
                </c:pt>
                <c:pt idx="13">
                  <c:v>72</c:v>
                </c:pt>
                <c:pt idx="14">
                  <c:v>38</c:v>
                </c:pt>
                <c:pt idx="15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A-4AD8-98BC-30477AAA60B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188-43A4-872C-595F47F3A113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88-43A4-872C-595F47F3A113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8-43A4-872C-595F47F3A113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88-43A4-872C-595F47F3A11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6A7B79C-ED54-4AC1-972C-A7F8789FF266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46B33EF7-9D20-41EC-B0E0-0603BA2E1D8F}" type="PERCENTAGE">
                      <a:rPr lang="en-US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4188-43A4-872C-595F47F3A11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D6DDB08-E27C-47DF-A40A-644BD84BA22F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F34316F5-D2C4-482C-8545-EC1EF55BFF21}" type="PERCENTAGE">
                      <a:rPr lang="en-US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188-43A4-872C-595F47F3A11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3CE405C-0310-4A00-9206-BAB49E71854B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8D1D649E-AE59-403A-922A-85AB67A2937F}" type="PERCENTAGE">
                      <a:rPr lang="en-US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4188-43A4-872C-595F47F3A11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E8F208E-2B65-4C6F-A452-CBF4AC53E404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26BBE9E1-1764-4997-9FE7-BD2C6D2FC133}" type="PERCENTAGE">
                      <a:rPr lang="en-US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188-43A4-872C-595F47F3A1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'Expiring soon'!$I$2:$I$5</c:f>
              <c:strCache>
                <c:ptCount val="4"/>
                <c:pt idx="0">
                  <c:v>0-6 months</c:v>
                </c:pt>
                <c:pt idx="1">
                  <c:v>6-12 months</c:v>
                </c:pt>
                <c:pt idx="2">
                  <c:v>&gt;1 year</c:v>
                </c:pt>
                <c:pt idx="3">
                  <c:v>Expired</c:v>
                </c:pt>
              </c:strCache>
            </c:strRef>
          </c:cat>
          <c:val>
            <c:numRef>
              <c:f>'Expiring soon'!$J$2:$J$5</c:f>
              <c:numCache>
                <c:formatCode>General</c:formatCode>
                <c:ptCount val="4"/>
                <c:pt idx="0">
                  <c:v>277</c:v>
                </c:pt>
                <c:pt idx="1">
                  <c:v>72</c:v>
                </c:pt>
                <c:pt idx="2">
                  <c:v>38</c:v>
                </c:pt>
                <c:pt idx="3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8-43A4-872C-595F47F3A11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Sales range vs No. of months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Sales range vs No. of months</a:t>
          </a:r>
        </a:p>
      </cx:txPr>
    </cx:title>
    <cx:plotArea>
      <cx:plotAreaRegion>
        <cx:series layoutId="clusteredColumn" uniqueId="{003FDF70-D410-413A-8538-AB32CC37AB9F}" formatIdx="0">
          <cx:tx>
            <cx:txData>
              <cx:f>_xlchart.v1.1</cx:f>
              <cx:v>No of months</cx:v>
            </cx:txData>
          </cx:tx>
          <cx:dataId val="0"/>
          <cx:layoutPr>
            <cx:aggregation/>
          </cx:layoutPr>
        </cx:series>
      </cx:plotAreaRegion>
      <cx:axis id="0">
        <cx:catScaling gapWidth="2.79999995"/>
        <cx:tickLabels/>
      </cx:axis>
      <cx:axis id="1">
        <cx:valScaling max="14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3</xdr:row>
      <xdr:rowOff>34290</xdr:rowOff>
    </xdr:from>
    <xdr:to>
      <xdr:col>14</xdr:col>
      <xdr:colOff>259080</xdr:colOff>
      <xdr:row>21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BA843A-D776-69F3-61F7-90DD3833D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1</xdr:row>
      <xdr:rowOff>80010</xdr:rowOff>
    </xdr:from>
    <xdr:to>
      <xdr:col>14</xdr:col>
      <xdr:colOff>106680</xdr:colOff>
      <xdr:row>19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C49C170-CE9B-0821-7E9B-E82191C36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144780</xdr:colOff>
      <xdr:row>21</xdr:row>
      <xdr:rowOff>91440</xdr:rowOff>
    </xdr:from>
    <xdr:to>
      <xdr:col>14</xdr:col>
      <xdr:colOff>15240</xdr:colOff>
      <xdr:row>39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E46584-7EEB-FF11-B6C6-7E829EF82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0.90542</cdr:x>
      <cdr:y>0.32044</cdr:y>
    </cdr:from>
    <cdr:to>
      <cdr:x>0.99444</cdr:x>
      <cdr:y>0.39057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23D5359-8A2B-F0CD-67CC-CDB3210F7FF5}"/>
            </a:ext>
          </a:extLst>
        </cdr:cNvPr>
        <cdr:cNvSpPr txBox="1"/>
      </cdr:nvSpPr>
      <cdr:spPr>
        <a:xfrm xmlns:a="http://schemas.openxmlformats.org/drawingml/2006/main">
          <a:off x="4960620" y="1009650"/>
          <a:ext cx="487680" cy="2209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2020</a:t>
          </a:r>
        </a:p>
      </cdr:txBody>
    </cdr:sp>
  </cdr:relSizeAnchor>
  <cdr:relSizeAnchor xmlns:cdr="http://schemas.openxmlformats.org/drawingml/2006/chartDrawing">
    <cdr:from>
      <cdr:x>0.91099</cdr:x>
      <cdr:y>0.46594</cdr:y>
    </cdr:from>
    <cdr:to>
      <cdr:x>1</cdr:x>
      <cdr:y>0.53607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979AEBA4-0549-4D84-4178-4F15FF5FBC67}"/>
            </a:ext>
          </a:extLst>
        </cdr:cNvPr>
        <cdr:cNvSpPr txBox="1"/>
      </cdr:nvSpPr>
      <cdr:spPr>
        <a:xfrm xmlns:a="http://schemas.openxmlformats.org/drawingml/2006/main">
          <a:off x="4991100" y="1468120"/>
          <a:ext cx="487680" cy="2209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2021</a:t>
          </a:r>
        </a:p>
      </cdr:txBody>
    </cdr:sp>
  </cdr:relSizeAnchor>
  <cdr:relSizeAnchor xmlns:cdr="http://schemas.openxmlformats.org/drawingml/2006/chartDrawing">
    <cdr:from>
      <cdr:x>0.90791</cdr:x>
      <cdr:y>0.61588</cdr:y>
    </cdr:from>
    <cdr:to>
      <cdr:x>1</cdr:x>
      <cdr:y>0.68601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979AEBA4-0549-4D84-4178-4F15FF5FBC67}"/>
            </a:ext>
          </a:extLst>
        </cdr:cNvPr>
        <cdr:cNvSpPr txBox="1"/>
      </cdr:nvSpPr>
      <cdr:spPr>
        <a:xfrm xmlns:a="http://schemas.openxmlformats.org/drawingml/2006/main">
          <a:off x="4808220" y="1940560"/>
          <a:ext cx="487680" cy="2209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2022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213360</xdr:colOff>
      <xdr:row>11</xdr:row>
      <xdr:rowOff>3810</xdr:rowOff>
    </xdr:from>
    <xdr:to>
      <xdr:col>13</xdr:col>
      <xdr:colOff>7620</xdr:colOff>
      <xdr:row>26</xdr:row>
      <xdr:rowOff>3810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D4A952-ADFD-85DD-0643-A4BCB3069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83820</xdr:colOff>
      <xdr:row>28</xdr:row>
      <xdr:rowOff>160020</xdr:rowOff>
    </xdr:from>
    <xdr:to>
      <xdr:col>12</xdr:col>
      <xdr:colOff>662940</xdr:colOff>
      <xdr:row>44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0F784DD-DB03-E6F2-9C8B-D15551FB6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7</xdr:row>
      <xdr:rowOff>11430</xdr:rowOff>
    </xdr:from>
    <xdr:to>
      <xdr:col>11</xdr:col>
      <xdr:colOff>243840</xdr:colOff>
      <xdr:row>24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DF2CA2-9618-1325-0EED-04F775B0C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327660</xdr:colOff>
      <xdr:row>11</xdr:row>
      <xdr:rowOff>0</xdr:rowOff>
    </xdr:from>
    <xdr:to>
      <xdr:col>10</xdr:col>
      <xdr:colOff>121920</xdr:colOff>
      <xdr:row>12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829F0B-4918-3443-548B-8E8B6D8BA545}"/>
            </a:ext>
          </a:extLst>
        </xdr:cNvPr>
        <xdr:cNvSpPr txBox="1"/>
      </xdr:nvSpPr>
      <xdr:spPr>
        <a:xfrm>
          <a:off x="9166860" y="2011680"/>
          <a:ext cx="40386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1"/>
              </a:solidFill>
            </a:rPr>
            <a:t>19%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0.71246</cdr:x>
      <cdr:y>0.69914</cdr:y>
    </cdr:from>
    <cdr:to>
      <cdr:x>0.79603</cdr:x>
      <cdr:y>0.78298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1FE8ABC-16A2-3B6E-E220-CDB31CE97910}"/>
            </a:ext>
          </a:extLst>
        </cdr:cNvPr>
        <cdr:cNvSpPr txBox="1"/>
      </cdr:nvSpPr>
      <cdr:spPr>
        <a:xfrm xmlns:a="http://schemas.openxmlformats.org/drawingml/2006/main">
          <a:off x="3832860" y="2160270"/>
          <a:ext cx="44958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>
              <a:solidFill>
                <a:schemeClr val="bg1"/>
              </a:solidFill>
            </a:rPr>
            <a:t>42%</a:t>
          </a:r>
        </a:p>
      </cdr:txBody>
    </cdr:sp>
  </cdr:relSizeAnchor>
  <cdr:relSizeAnchor xmlns:cdr="http://schemas.openxmlformats.org/drawingml/2006/chartDrawing">
    <cdr:from>
      <cdr:x>0.71246</cdr:x>
      <cdr:y>0.45499</cdr:y>
    </cdr:from>
    <cdr:to>
      <cdr:x>0.7932</cdr:x>
      <cdr:y>0.54624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4E47C5F-1F46-5F8A-3896-3352CC2622EC}"/>
            </a:ext>
          </a:extLst>
        </cdr:cNvPr>
        <cdr:cNvSpPr txBox="1"/>
      </cdr:nvSpPr>
      <cdr:spPr>
        <a:xfrm xmlns:a="http://schemas.openxmlformats.org/drawingml/2006/main">
          <a:off x="3832860" y="1405890"/>
          <a:ext cx="434340" cy="281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>
              <a:solidFill>
                <a:schemeClr val="bg1"/>
              </a:solidFill>
            </a:rPr>
            <a:t>31%</a:t>
          </a:r>
          <a:endParaRPr lang="en-US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0.7238</cdr:x>
      <cdr:y>0.32949</cdr:y>
    </cdr:from>
    <cdr:to>
      <cdr:x>0.80028</cdr:x>
      <cdr:y>0.37635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D8FABC3-05F1-A3D4-1B9D-A12BD0C8633E}"/>
            </a:ext>
          </a:extLst>
        </cdr:cNvPr>
        <cdr:cNvSpPr txBox="1"/>
      </cdr:nvSpPr>
      <cdr:spPr>
        <a:xfrm xmlns:a="http://schemas.openxmlformats.org/drawingml/2006/main">
          <a:off x="3893820" y="1040694"/>
          <a:ext cx="411480" cy="1479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bg1"/>
              </a:solidFill>
            </a:rPr>
            <a:t>8%</a:t>
          </a:r>
          <a:endParaRPr lang="en-US" sz="1100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480060</xdr:colOff>
      <xdr:row>8</xdr:row>
      <xdr:rowOff>26670</xdr:rowOff>
    </xdr:from>
    <xdr:to>
      <xdr:col>14</xdr:col>
      <xdr:colOff>487680</xdr:colOff>
      <xdr:row>30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B0F0335-5E77-BB3C-0B6E-EBA487767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9</xdr:row>
      <xdr:rowOff>87630</xdr:rowOff>
    </xdr:from>
    <xdr:to>
      <xdr:col>13</xdr:col>
      <xdr:colOff>274320</xdr:colOff>
      <xdr:row>29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E199B3-6ADC-B0D4-1AF3-2B12AB81C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60960</xdr:colOff>
      <xdr:row>7</xdr:row>
      <xdr:rowOff>57150</xdr:rowOff>
    </xdr:from>
    <xdr:to>
      <xdr:col>5</xdr:col>
      <xdr:colOff>144780</xdr:colOff>
      <xdr:row>27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46FD7-1EBC-5E72-2476-C6532D8E5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335280</xdr:colOff>
      <xdr:row>18</xdr:row>
      <xdr:rowOff>156210</xdr:rowOff>
    </xdr:from>
    <xdr:to>
      <xdr:col>11</xdr:col>
      <xdr:colOff>464820</xdr:colOff>
      <xdr:row>40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C9291C-149C-3339-B927-105F9BAA1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99060</xdr:colOff>
      <xdr:row>20</xdr:row>
      <xdr:rowOff>30480</xdr:rowOff>
    </xdr:from>
    <xdr:to>
      <xdr:col>9</xdr:col>
      <xdr:colOff>568452</xdr:colOff>
      <xdr:row>39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F75194-B0B2-7239-51F0-ADDE8AD963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34</xdr:row>
      <xdr:rowOff>80010</xdr:rowOff>
    </xdr:from>
    <xdr:to>
      <xdr:col>9</xdr:col>
      <xdr:colOff>190500</xdr:colOff>
      <xdr:row>49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4AA77A6-1C0A-91ED-29C4-2351FE5864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80360" y="1725930"/>
              <a:ext cx="46405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ya Lakshmi Jampani" refreshedDate="45057.939718402777" createdVersion="8" refreshedVersion="8" minRefreshableVersion="3" recordCount="91" xr:uid="{A064D761-7EA8-43D2-87EC-D0560851887B}">
  <cacheSource type="worksheet">
    <worksheetSource ref="A1:G1048576" sheet="Quality data"/>
  </cacheSource>
  <cacheFields count="7">
    <cacheField name="SKU Name" numFmtId="0">
      <sharedItems containsBlank="1"/>
    </cacheField>
    <cacheField name="Category" numFmtId="0">
      <sharedItems containsBlank="1"/>
    </cacheField>
    <cacheField name="Mfg Date" numFmtId="164">
      <sharedItems containsNonDate="0" containsDate="1" containsString="0" containsBlank="1" minDate="2020-01-01T00:00:00" maxDate="2023-04-02T00:00:00"/>
    </cacheField>
    <cacheField name="Expiry Date" numFmtId="164">
      <sharedItems containsNonDate="0" containsDate="1" containsString="0" containsBlank="1" minDate="2022-01-01T00:00:00" maxDate="2025-09-02T00:00:00"/>
    </cacheField>
    <cacheField name="Quantity" numFmtId="1">
      <sharedItems containsString="0" containsBlank="1" containsNumber="1" containsInteger="1" minValue="1" maxValue="30"/>
    </cacheField>
    <cacheField name="Age (in years)" numFmtId="0">
      <sharedItems containsString="0" containsBlank="1" containsNumber="1" minValue="0.11" maxValue="3.4"/>
    </cacheField>
    <cacheField name="Months left to expire" numFmtId="2">
      <sharedItems containsString="0" containsBlank="1" containsNumber="1" minValue="-16.5" maxValue="28.13" count="34">
        <n v="25.06"/>
        <n v="26.06"/>
        <n v="-4.33"/>
        <n v="15.96"/>
        <n v="28.13"/>
        <n v="27.1"/>
        <n v="-10.46"/>
        <n v="1.7"/>
        <n v="5.8"/>
        <n v="0.7"/>
        <n v="3.76"/>
        <n v="-7.4"/>
        <n v="-1.33"/>
        <n v="-6.36"/>
        <n v="-16.5"/>
        <n v="2.73"/>
        <n v="-9.43"/>
        <n v="-2.36"/>
        <n v="-15.46"/>
        <n v="4.76"/>
        <n v="-3.3"/>
        <n v="-8.4"/>
        <n v="-11.46"/>
        <n v="-5.36"/>
        <n v="-0.33"/>
        <n v="8.86"/>
        <n v="9.83"/>
        <n v="12.9"/>
        <n v="21.06"/>
        <n v="18"/>
        <n v="10.86"/>
        <n v="16.96"/>
        <n v="7.83"/>
        <m/>
      </sharedItems>
      <fieldGroup base="6">
        <rangePr autoStart="0" autoEnd="0" startNum="0" endNum="12" groupInterval="6"/>
        <groupItems count="4">
          <s v="&lt;0 or (blank)"/>
          <s v="0-6"/>
          <s v="6-12"/>
          <s v="&gt;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ya Lakshmi Jampani" refreshedDate="45057.940106481481" createdVersion="8" refreshedVersion="8" minRefreshableVersion="3" recordCount="91" xr:uid="{1E052179-3585-4141-937E-2620B8AD70DB}">
  <cacheSource type="worksheet">
    <worksheetSource ref="B1:G1048576" sheet="Quality data"/>
  </cacheSource>
  <cacheFields count="6">
    <cacheField name="Category" numFmtId="0">
      <sharedItems containsBlank="1" count="22">
        <s v="Household Supplies"/>
        <s v="Health Care"/>
        <s v="Pest Control"/>
        <s v="Personal Care"/>
        <s v="Fruit Snacks"/>
        <s v="Chips"/>
        <s v="Cookies"/>
        <s v="Wholegrain Snacks"/>
        <s v="Bakery"/>
        <s v="Chocolates"/>
        <s v="Indian Snacks"/>
        <s v="Soft Drinks"/>
        <s v="Instant foods"/>
        <s v="Flavouring"/>
        <s v="Spices"/>
        <s v="Sweets"/>
        <s v="Oils"/>
        <s v="Dairy"/>
        <s v="Toothcare"/>
        <s v="Kitchen supplies"/>
        <s v="Pickles"/>
        <m/>
      </sharedItems>
    </cacheField>
    <cacheField name="Mfg Date" numFmtId="164">
      <sharedItems containsNonDate="0" containsDate="1" containsString="0" containsBlank="1" minDate="2020-01-01T00:00:00" maxDate="2023-04-02T00:00:00"/>
    </cacheField>
    <cacheField name="Expiry Date" numFmtId="164">
      <sharedItems containsNonDate="0" containsDate="1" containsString="0" containsBlank="1" minDate="2022-01-01T00:00:00" maxDate="2025-09-02T00:00:00"/>
    </cacheField>
    <cacheField name="Quantity" numFmtId="1">
      <sharedItems containsString="0" containsBlank="1" containsNumber="1" containsInteger="1" minValue="1" maxValue="30"/>
    </cacheField>
    <cacheField name="Age (in years)" numFmtId="0">
      <sharedItems containsString="0" containsBlank="1" containsNumber="1" minValue="0.11" maxValue="3.4"/>
    </cacheField>
    <cacheField name="Months left to expire" numFmtId="2">
      <sharedItems containsString="0" containsBlank="1" containsNumber="1" minValue="-16.5" maxValue="28.13" count="34">
        <n v="25.06"/>
        <n v="26.06"/>
        <n v="-4.33"/>
        <n v="15.96"/>
        <n v="28.13"/>
        <n v="27.1"/>
        <n v="-10.46"/>
        <n v="1.7"/>
        <n v="5.8"/>
        <n v="0.7"/>
        <n v="3.76"/>
        <n v="-7.4"/>
        <n v="-1.33"/>
        <n v="-6.36"/>
        <n v="-16.5"/>
        <n v="2.73"/>
        <n v="-9.43"/>
        <n v="-2.36"/>
        <n v="-15.46"/>
        <n v="4.76"/>
        <n v="-3.3"/>
        <n v="-8.4"/>
        <n v="-11.46"/>
        <n v="-5.36"/>
        <n v="-0.33"/>
        <n v="8.86"/>
        <n v="9.83"/>
        <n v="12.9"/>
        <n v="21.06"/>
        <n v="18"/>
        <n v="10.86"/>
        <n v="16.96"/>
        <n v="7.83"/>
        <m/>
      </sharedItems>
      <fieldGroup base="5">
        <rangePr autoStart="0" autoEnd="0" startNum="0" endNum="12" groupInterval="6"/>
        <groupItems count="4">
          <s v="&lt;0 or (blank)"/>
          <s v="0-6"/>
          <s v="6-12"/>
          <s v="&gt;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ya Lakshmi Jampani" refreshedDate="45079.686808796294" createdVersion="8" refreshedVersion="8" minRefreshableVersion="3" recordCount="32" xr:uid="{FAE4231F-7A8E-4419-A6D4-227D8450A793}">
  <cacheSource type="worksheet">
    <worksheetSource ref="B1:D1048576" sheet="Footfall"/>
  </cacheSource>
  <cacheFields count="3">
    <cacheField name="Weekday" numFmtId="0">
      <sharedItems containsBlank="1" count="8">
        <s v="Monday"/>
        <s v="Tuesday"/>
        <s v="Wednesday"/>
        <s v="Thursday"/>
        <s v="Friday"/>
        <s v="Saturday"/>
        <s v="Sunday"/>
        <m/>
      </sharedItems>
    </cacheField>
    <cacheField name="No. of customers purchased something" numFmtId="0">
      <sharedItems containsString="0" containsBlank="1" containsNumber="1" containsInteger="1" minValue="0" maxValue="13"/>
    </cacheField>
    <cacheField name="Sale amount" numFmtId="0">
      <sharedItems containsString="0" containsBlank="1" containsNumber="1" containsInteger="1" minValue="0" maxValue="108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Pour Home French Flora"/>
    <s v="Household Supplies"/>
    <d v="2022-07-01T00:00:00"/>
    <d v="2025-06-01T00:00:00"/>
    <n v="5"/>
    <n v="0.87"/>
    <x v="0"/>
  </r>
  <r>
    <s v="Pour Home French Fusion"/>
    <s v="Household Supplies"/>
    <d v="2022-08-01T00:00:00"/>
    <d v="2025-07-01T00:00:00"/>
    <n v="2"/>
    <n v="0.78"/>
    <x v="1"/>
  </r>
  <r>
    <s v="Stop Odour Spray"/>
    <s v="Household Supplies"/>
    <d v="2021-02-01T00:00:00"/>
    <d v="2023-01-01T00:00:00"/>
    <n v="4"/>
    <n v="2.2999999999999998"/>
    <x v="2"/>
  </r>
  <r>
    <s v="Aer Power lemon"/>
    <s v="Household Supplies"/>
    <d v="2022-10-01T00:00:00"/>
    <d v="2024-09-01T00:00:00"/>
    <n v="1"/>
    <n v="0.61"/>
    <x v="3"/>
  </r>
  <r>
    <s v="Aer Power Lavendar"/>
    <s v="Household Supplies"/>
    <d v="2022-10-01T00:00:00"/>
    <d v="2024-09-01T00:00:00"/>
    <n v="1"/>
    <n v="0.61"/>
    <x v="3"/>
  </r>
  <r>
    <s v="Equal Original Powder"/>
    <s v="Health Care"/>
    <d v="2022-10-01T00:00:00"/>
    <d v="2025-09-01T00:00:00"/>
    <n v="2"/>
    <n v="0.61"/>
    <x v="4"/>
  </r>
  <r>
    <s v="Equal Original Tablets"/>
    <s v="Health Care"/>
    <d v="2022-09-01T00:00:00"/>
    <d v="2025-08-01T00:00:00"/>
    <n v="1"/>
    <n v="0.7"/>
    <x v="5"/>
  </r>
  <r>
    <s v="Twinkle Cockroach Chalk"/>
    <s v="Pest Control"/>
    <d v="2020-08-01T00:00:00"/>
    <d v="2022-07-01T00:00:00"/>
    <n v="6"/>
    <n v="2.81"/>
    <x v="6"/>
  </r>
  <r>
    <s v="Himalaya Face Wash"/>
    <s v="Personal Care"/>
    <d v="2022-10-01T00:00:00"/>
    <d v="2025-09-01T00:00:00"/>
    <n v="6"/>
    <n v="0.61"/>
    <x v="4"/>
  </r>
  <r>
    <s v="Stop Odour Bag"/>
    <s v="Household Supplies"/>
    <d v="2021-08-01T00:00:00"/>
    <d v="2023-07-01T00:00:00"/>
    <n v="4"/>
    <n v="1.8"/>
    <x v="7"/>
  </r>
  <r>
    <s v="Candeeman FruiteeFun"/>
    <s v="Fruit Snacks"/>
    <d v="2022-06-01T00:00:00"/>
    <d v="2023-11-01T00:00:00"/>
    <n v="4"/>
    <n v="0.95"/>
    <x v="8"/>
  </r>
  <r>
    <s v="Mad Angles"/>
    <s v="Chips"/>
    <d v="2022-12-01T00:00:00"/>
    <d v="2023-06-01T00:00:00"/>
    <n v="7"/>
    <n v="0.44"/>
    <x v="9"/>
  </r>
  <r>
    <s v="Sunfeast Biscuits"/>
    <s v="Cookies"/>
    <d v="2023-01-01T00:00:00"/>
    <d v="2023-07-01T00:00:00"/>
    <n v="5"/>
    <n v="0.36"/>
    <x v="7"/>
  </r>
  <r>
    <s v="Smart Choice Rusk"/>
    <s v="Wholegrain Snacks"/>
    <d v="2023-03-01T00:00:00"/>
    <d v="2023-07-01T00:00:00"/>
    <n v="6"/>
    <n v="0.19"/>
    <x v="7"/>
  </r>
  <r>
    <s v="Toastea Rusk"/>
    <s v="Wholegrain Snacks"/>
    <d v="2023-03-01T00:00:00"/>
    <d v="2023-07-01T00:00:00"/>
    <n v="5"/>
    <n v="0.19"/>
    <x v="7"/>
  </r>
  <r>
    <s v="Milkbikis"/>
    <s v="Cookies"/>
    <d v="2023-04-01T00:00:00"/>
    <d v="2023-09-01T00:00:00"/>
    <n v="25"/>
    <n v="0.11"/>
    <x v="10"/>
  </r>
  <r>
    <s v="Cake Gobbles"/>
    <s v="Bakery"/>
    <d v="2023-03-01T00:00:00"/>
    <d v="2023-07-01T00:00:00"/>
    <n v="10"/>
    <n v="0.19"/>
    <x v="7"/>
  </r>
  <r>
    <s v="Choxy Raisins Chocolate"/>
    <s v="Chocolates"/>
    <d v="2022-01-01T00:00:00"/>
    <d v="2022-10-01T00:00:00"/>
    <n v="1"/>
    <n v="1.37"/>
    <x v="11"/>
  </r>
  <r>
    <s v="Dark Fantasy"/>
    <s v="Cookies"/>
    <d v="2022-10-01T00:00:00"/>
    <d v="2023-04-01T00:00:00"/>
    <n v="12"/>
    <n v="0.61"/>
    <x v="12"/>
  </r>
  <r>
    <s v="Smart Choice Jeera Peanut"/>
    <s v="Indian Snacks"/>
    <d v="2022-06-01T00:00:00"/>
    <d v="2022-10-01T00:00:00"/>
    <n v="7"/>
    <n v="0.95"/>
    <x v="11"/>
  </r>
  <r>
    <s v="Tang Orange"/>
    <s v="Soft Drinks"/>
    <d v="2021-05-01T00:00:00"/>
    <d v="2022-11-01T00:00:00"/>
    <n v="1"/>
    <n v="2.0499999999999998"/>
    <x v="13"/>
  </r>
  <r>
    <s v="Doritos"/>
    <s v="Chips"/>
    <d v="2021-07-01T00:00:00"/>
    <d v="2022-01-01T00:00:00"/>
    <n v="3"/>
    <n v="1.88"/>
    <x v="14"/>
  </r>
  <r>
    <s v="Gone mad biscuits"/>
    <s v="Cookies"/>
    <d v="2022-01-01T00:00:00"/>
    <d v="2023-01-01T00:00:00"/>
    <n v="2"/>
    <n v="1.37"/>
    <x v="2"/>
  </r>
  <r>
    <s v="Manna Rice Sevai"/>
    <s v="Instant foods"/>
    <d v="2021-10-01T00:00:00"/>
    <d v="2022-10-01T00:00:00"/>
    <n v="2"/>
    <n v="1.63"/>
    <x v="11"/>
  </r>
  <r>
    <s v="Sunfeast Chocofills"/>
    <s v="Cookies"/>
    <d v="2023-02-01T00:00:00"/>
    <d v="2023-08-01T00:00:00"/>
    <n v="1"/>
    <n v="0.27"/>
    <x v="15"/>
  </r>
  <r>
    <s v="Wingreens Tomato Ketchup"/>
    <s v="Flavouring"/>
    <d v="2021-09-01T00:00:00"/>
    <d v="2022-08-01T00:00:00"/>
    <n v="2"/>
    <n v="1.71"/>
    <x v="16"/>
  </r>
  <r>
    <s v="Dukes Nibbles"/>
    <s v="Cookies"/>
    <d v="2022-06-01T00:00:00"/>
    <d v="2023-03-01T00:00:00"/>
    <n v="1"/>
    <n v="0.95"/>
    <x v="17"/>
  </r>
  <r>
    <s v="Unibic Sugar Free biscuits"/>
    <s v="Cookies"/>
    <d v="2021-03-01T00:00:00"/>
    <d v="2022-02-01T00:00:00"/>
    <n v="1"/>
    <n v="2.2200000000000002"/>
    <x v="18"/>
  </r>
  <r>
    <s v="Shreeji Saunf"/>
    <s v="Spices"/>
    <d v="2022-01-01T00:00:00"/>
    <d v="2022-07-01T00:00:00"/>
    <n v="10"/>
    <n v="1.37"/>
    <x v="6"/>
  </r>
  <r>
    <s v="Gone mad badam sticks"/>
    <s v="Cookies"/>
    <d v="2021-12-01T00:00:00"/>
    <d v="2022-11-01T00:00:00"/>
    <n v="7"/>
    <n v="1.46"/>
    <x v="13"/>
  </r>
  <r>
    <s v="Bauli Cake"/>
    <s v="Bakery"/>
    <d v="2022-07-01T00:00:00"/>
    <d v="2022-10-01T00:00:00"/>
    <n v="3"/>
    <n v="0.87"/>
    <x v="11"/>
  </r>
  <r>
    <s v="Bourboun Big"/>
    <s v="Cookies"/>
    <d v="2023-01-01T00:00:00"/>
    <d v="2023-10-01T00:00:00"/>
    <n v="2"/>
    <n v="0.36"/>
    <x v="19"/>
  </r>
  <r>
    <s v="Prabhuji Soan Papdi"/>
    <s v="Sweets"/>
    <d v="2022-09-01T00:00:00"/>
    <d v="2023-02-01T00:00:00"/>
    <n v="5"/>
    <n v="0.7"/>
    <x v="20"/>
  </r>
  <r>
    <s v="Yippie Pasta"/>
    <s v="Instant foods"/>
    <d v="2022-09-01T00:00:00"/>
    <d v="2023-06-01T00:00:00"/>
    <n v="15"/>
    <n v="0.7"/>
    <x v="9"/>
  </r>
  <r>
    <s v="Wai Wai Noodles"/>
    <s v="Instant foods"/>
    <d v="2021-12-01T00:00:00"/>
    <d v="2022-09-01T00:00:00"/>
    <n v="16"/>
    <n v="1.46"/>
    <x v="21"/>
  </r>
  <r>
    <s v="Bingo Salted Chips"/>
    <s v="Chips"/>
    <d v="2023-02-01T00:00:00"/>
    <d v="2023-06-01T00:00:00"/>
    <n v="20"/>
    <n v="0.27"/>
    <x v="9"/>
  </r>
  <r>
    <s v="Wai Wai Cup Noodles"/>
    <s v="Instant foods"/>
    <d v="2021-07-01T00:00:00"/>
    <d v="2022-06-01T00:00:00"/>
    <n v="5"/>
    <n v="1.88"/>
    <x v="22"/>
  </r>
  <r>
    <s v="Yippie Noodles"/>
    <s v="Instant foods"/>
    <d v="2022-07-01T00:00:00"/>
    <d v="2023-06-01T00:00:00"/>
    <n v="20"/>
    <n v="0.87"/>
    <x v="9"/>
  </r>
  <r>
    <s v="Riya Continental Sauce"/>
    <s v="Flavouring"/>
    <d v="2022-02-01T00:00:00"/>
    <d v="2022-11-01T00:00:00"/>
    <n v="1"/>
    <n v="1.28"/>
    <x v="13"/>
  </r>
  <r>
    <s v="BRB Pop Corn Chips"/>
    <s v="Chips"/>
    <d v="2022-06-01T00:00:00"/>
    <d v="2022-12-01T00:00:00"/>
    <n v="15"/>
    <n v="0.95"/>
    <x v="23"/>
  </r>
  <r>
    <s v="Good Day biscuits"/>
    <s v="Cookies"/>
    <d v="2023-04-01T00:00:00"/>
    <d v="2023-08-01T00:00:00"/>
    <n v="10"/>
    <n v="0.11"/>
    <x v="15"/>
  </r>
  <r>
    <s v="50-50 biscuits"/>
    <s v="Cookies"/>
    <d v="2023-04-01T00:00:00"/>
    <d v="2023-11-01T00:00:00"/>
    <n v="8"/>
    <n v="0.11"/>
    <x v="8"/>
  </r>
  <r>
    <s v="Marie Gold biscuits"/>
    <s v="Cookies"/>
    <d v="2023-04-01T00:00:00"/>
    <d v="2023-10-01T00:00:00"/>
    <n v="10"/>
    <n v="0.11"/>
    <x v="19"/>
  </r>
  <r>
    <s v="Sunfeast Caker"/>
    <s v="Bakery"/>
    <d v="2023-01-01T00:00:00"/>
    <d v="2023-05-01T00:00:00"/>
    <n v="10"/>
    <n v="0.36"/>
    <x v="24"/>
  </r>
  <r>
    <s v="Dark Fantasy chocolate"/>
    <s v="Chocolates"/>
    <d v="2023-02-01T00:00:00"/>
    <d v="2023-11-01T00:00:00"/>
    <n v="5"/>
    <n v="0.27"/>
    <x v="8"/>
  </r>
  <r>
    <s v="Choxy Truffles"/>
    <s v="Chocolates"/>
    <d v="2022-01-01T00:00:00"/>
    <d v="2022-10-01T00:00:00"/>
    <n v="8"/>
    <n v="1.37"/>
    <x v="11"/>
  </r>
  <r>
    <s v="Choxy Milk Truffles"/>
    <s v="Chocolates"/>
    <d v="2022-01-01T00:00:00"/>
    <d v="2023-01-01T00:00:00"/>
    <n v="2"/>
    <n v="1.37"/>
    <x v="2"/>
  </r>
  <r>
    <s v="Xingg Sauce"/>
    <s v="Flavouring"/>
    <d v="2023-02-01T00:00:00"/>
    <d v="2024-02-01T00:00:00"/>
    <n v="5"/>
    <n v="0.27"/>
    <x v="25"/>
  </r>
  <r>
    <s v="PVN Salad Dressing"/>
    <s v="Flavouring"/>
    <d v="2023-03-01T00:00:00"/>
    <d v="2024-03-01T00:00:00"/>
    <n v="10"/>
    <n v="0.19"/>
    <x v="26"/>
  </r>
  <r>
    <s v="PVN Vinegar"/>
    <s v="Flavouring"/>
    <d v="2023-02-01T00:00:00"/>
    <d v="2024-02-01T00:00:00"/>
    <n v="10"/>
    <n v="0.27"/>
    <x v="25"/>
  </r>
  <r>
    <s v="Disano Olive Oil"/>
    <s v="Oils"/>
    <d v="2021-06-01T00:00:00"/>
    <d v="2024-06-01T00:00:00"/>
    <n v="3"/>
    <n v="1.96"/>
    <x v="27"/>
  </r>
  <r>
    <s v="Monacco Classic"/>
    <s v="Cookies"/>
    <d v="2021-08-01T00:00:00"/>
    <d v="2022-02-01T00:00:00"/>
    <n v="1"/>
    <n v="1.8"/>
    <x v="18"/>
  </r>
  <r>
    <s v="Little Hearts"/>
    <s v="Cookies"/>
    <d v="2023-03-01T00:00:00"/>
    <d v="2023-09-01T00:00:00"/>
    <n v="10"/>
    <n v="0.19"/>
    <x v="10"/>
  </r>
  <r>
    <s v="AS Brand Gingelly Oil"/>
    <s v="Oils"/>
    <d v="2023-02-01T00:00:00"/>
    <d v="2025-02-01T00:00:00"/>
    <n v="4"/>
    <n v="0.27"/>
    <x v="28"/>
  </r>
  <r>
    <s v="Shreeji Muruku"/>
    <s v="Indian Snacks"/>
    <d v="2022-04-01T00:00:00"/>
    <d v="2023-07-01T00:00:00"/>
    <n v="2"/>
    <n v="1.1200000000000001"/>
    <x v="7"/>
  </r>
  <r>
    <s v="Bourboun Small"/>
    <s v="Cookies"/>
    <d v="2023-04-01T00:00:00"/>
    <d v="2023-10-01T00:00:00"/>
    <n v="11"/>
    <n v="0.11"/>
    <x v="19"/>
  </r>
  <r>
    <s v="Timepass Biscuits"/>
    <s v="Cookies"/>
    <d v="2023-03-01T00:00:00"/>
    <d v="2023-08-01T00:00:00"/>
    <n v="15"/>
    <n v="0.19"/>
    <x v="15"/>
  </r>
  <r>
    <s v="Marie Light Biscuits"/>
    <s v="Cookies"/>
    <d v="2023-01-01T00:00:00"/>
    <d v="2023-07-01T00:00:00"/>
    <n v="3"/>
    <n v="0.36"/>
    <x v="7"/>
  </r>
  <r>
    <s v="Mom's Magic"/>
    <s v="Cookies"/>
    <d v="2023-02-01T00:00:00"/>
    <d v="2023-08-01T00:00:00"/>
    <n v="6"/>
    <n v="0.27"/>
    <x v="15"/>
  </r>
  <r>
    <s v="Tiger Biscuits"/>
    <s v="Cookies"/>
    <d v="2022-12-01T00:00:00"/>
    <d v="2023-06-01T00:00:00"/>
    <n v="10"/>
    <n v="0.44"/>
    <x v="9"/>
  </r>
  <r>
    <s v="Dark Fantasy chocolate Shake"/>
    <s v="Dairy"/>
    <d v="2023-01-01T00:00:00"/>
    <d v="2023-10-01T00:00:00"/>
    <n v="6"/>
    <n v="0.36"/>
    <x v="19"/>
  </r>
  <r>
    <s v="Bourboun Big"/>
    <s v="Cookies"/>
    <d v="2022-06-01T00:00:00"/>
    <d v="2023-03-01T00:00:00"/>
    <n v="2"/>
    <n v="0.95"/>
    <x v="17"/>
  </r>
  <r>
    <s v="Milano"/>
    <s v="Cookies"/>
    <d v="2021-08-01T00:00:00"/>
    <d v="2022-02-01T00:00:00"/>
    <n v="4"/>
    <n v="1.8"/>
    <x v="18"/>
  </r>
  <r>
    <s v="Parachute 600ml"/>
    <s v="Oils"/>
    <d v="2021-11-01T00:00:00"/>
    <d v="2024-11-01T00:00:00"/>
    <n v="1"/>
    <n v="1.54"/>
    <x v="29"/>
  </r>
  <r>
    <s v="Dabur Amla"/>
    <s v="Oils"/>
    <d v="2020-11-01T00:00:00"/>
    <d v="2023-11-01T00:00:00"/>
    <n v="20"/>
    <n v="2.5499999999999998"/>
    <x v="8"/>
  </r>
  <r>
    <s v="Dabur Vatika"/>
    <s v="Oils"/>
    <d v="2021-08-01T00:00:00"/>
    <d v="2023-08-01T00:00:00"/>
    <n v="4"/>
    <n v="1.8"/>
    <x v="15"/>
  </r>
  <r>
    <s v="Dabur Almond"/>
    <s v="Oils"/>
    <d v="2022-07-01T00:00:00"/>
    <d v="2025-07-01T00:00:00"/>
    <n v="1"/>
    <n v="0.87"/>
    <x v="1"/>
  </r>
  <r>
    <s v="Parachute 250ml"/>
    <s v="Oils"/>
    <d v="2023-03-01T00:00:00"/>
    <d v="2024-09-01T00:00:00"/>
    <n v="4"/>
    <n v="0.19"/>
    <x v="3"/>
  </r>
  <r>
    <s v="Parachute Jasmine"/>
    <s v="Oils"/>
    <d v="2021-04-01T00:00:00"/>
    <d v="2024-04-01T00:00:00"/>
    <n v="12"/>
    <n v="2.13"/>
    <x v="30"/>
  </r>
  <r>
    <s v="Parachute Onion"/>
    <s v="Oils"/>
    <d v="2022-02-01T00:00:00"/>
    <d v="2024-02-01T00:00:00"/>
    <n v="2"/>
    <n v="1.28"/>
    <x v="25"/>
  </r>
  <r>
    <s v="Vcare Herbal Hair Oil"/>
    <s v="Oils"/>
    <d v="2020-01-01T00:00:00"/>
    <d v="2023-01-01T00:00:00"/>
    <n v="2"/>
    <n v="3.4"/>
    <x v="2"/>
  </r>
  <r>
    <s v="Colgate Visible White"/>
    <s v="Toothcare"/>
    <d v="2021-05-01T00:00:00"/>
    <d v="2023-05-01T00:00:00"/>
    <n v="4"/>
    <n v="2.0499999999999998"/>
    <x v="24"/>
  </r>
  <r>
    <s v="Colgate VedShakti"/>
    <s v="Toothcare"/>
    <d v="2020-12-01T00:00:00"/>
    <d v="2022-12-01T00:00:00"/>
    <n v="1"/>
    <n v="2.4700000000000002"/>
    <x v="23"/>
  </r>
  <r>
    <s v="Pepsodent Sparkling White"/>
    <s v="Toothcare"/>
    <d v="2022-06-01T00:00:00"/>
    <d v="2025-06-01T00:00:00"/>
    <n v="6"/>
    <n v="0.95"/>
    <x v="0"/>
  </r>
  <r>
    <s v="Arogya Health Mix"/>
    <s v="Instant foods"/>
    <d v="2023-03-01T00:00:00"/>
    <d v="2023-11-01T00:00:00"/>
    <n v="5"/>
    <n v="0.19"/>
    <x v="8"/>
  </r>
  <r>
    <s v="Swastik Gulab Jamun Mix"/>
    <s v="Instant foods"/>
    <d v="2022-07-01T00:00:00"/>
    <d v="2023-07-01T00:00:00"/>
    <n v="20"/>
    <n v="0.87"/>
    <x v="7"/>
  </r>
  <r>
    <s v="Byond Cornflour"/>
    <s v="Kitchen supplies"/>
    <d v="2020-10-01T00:00:00"/>
    <d v="2022-10-01T00:00:00"/>
    <n v="3"/>
    <n v="2.64"/>
    <x v="11"/>
  </r>
  <r>
    <s v="Swastik Tomato Pickle"/>
    <s v="Pickles"/>
    <d v="2021-09-01T00:00:00"/>
    <d v="2022-08-01T00:00:00"/>
    <n v="25"/>
    <n v="1.71"/>
    <x v="16"/>
  </r>
  <r>
    <s v="Swastik Mix Veg Pickle"/>
    <s v="Pickles"/>
    <d v="2021-12-01T00:00:00"/>
    <d v="2022-12-01T00:00:00"/>
    <n v="4"/>
    <n v="1.46"/>
    <x v="23"/>
  </r>
  <r>
    <s v="Everest Pani Puri Masala"/>
    <s v="Kitchen supplies"/>
    <d v="2021-06-01T00:00:00"/>
    <d v="2022-12-01T00:00:00"/>
    <n v="6"/>
    <n v="1.96"/>
    <x v="23"/>
  </r>
  <r>
    <s v="Dabur Chyavanprash"/>
    <s v="Health Care"/>
    <d v="2021-10-01T00:00:00"/>
    <d v="2024-10-01T00:00:00"/>
    <n v="1"/>
    <n v="1.63"/>
    <x v="31"/>
  </r>
  <r>
    <s v="Disano Peanut Butter"/>
    <s v="Flavouring"/>
    <d v="2022-03-01T00:00:00"/>
    <d v="2023-03-01T00:00:00"/>
    <n v="7"/>
    <n v="1.21"/>
    <x v="17"/>
  </r>
  <r>
    <s v="Apis Fruit Jam"/>
    <s v="Flavouring"/>
    <d v="2022-04-01T00:00:00"/>
    <d v="2023-03-01T00:00:00"/>
    <n v="4"/>
    <n v="1.1200000000000001"/>
    <x v="17"/>
  </r>
  <r>
    <s v="Rama Ajwain Water"/>
    <s v="Health Care"/>
    <d v="2022-09-01T00:00:00"/>
    <d v="2023-08-01T00:00:00"/>
    <n v="4"/>
    <n v="0.7"/>
    <x v="15"/>
  </r>
  <r>
    <s v="KTR Dhaniya Powder"/>
    <s v="Kitchen supplies"/>
    <d v="2022-08-01T00:00:00"/>
    <d v="2023-07-01T00:00:00"/>
    <n v="4"/>
    <n v="0.78"/>
    <x v="7"/>
  </r>
  <r>
    <s v="Surya Chilli Powder"/>
    <s v="Kitchen supplies"/>
    <d v="2022-01-01T00:00:00"/>
    <d v="2022-12-01T00:00:00"/>
    <n v="20"/>
    <n v="1.37"/>
    <x v="23"/>
  </r>
  <r>
    <s v="Rala Spices"/>
    <s v="Spices"/>
    <d v="2023-02-01T00:00:00"/>
    <d v="2024-01-01T00:00:00"/>
    <n v="30"/>
    <n v="0.27"/>
    <x v="32"/>
  </r>
  <r>
    <s v="3 Mango Rai Powder"/>
    <s v="Kitchen supplies"/>
    <d v="2023-04-01T00:00:00"/>
    <d v="2024-03-01T00:00:00"/>
    <n v="1"/>
    <n v="0.11"/>
    <x v="26"/>
  </r>
  <r>
    <s v="Swastik Kebab Masala"/>
    <s v="Flavouring"/>
    <d v="2021-09-01T00:00:00"/>
    <d v="2022-08-01T00:00:00"/>
    <n v="3"/>
    <n v="1.71"/>
    <x v="16"/>
  </r>
  <r>
    <s v="3 Mango Chilli Powder"/>
    <s v="Kitchen supplies"/>
    <d v="2023-04-01T00:00:00"/>
    <d v="2024-01-01T00:00:00"/>
    <n v="2"/>
    <n v="0.11"/>
    <x v="32"/>
  </r>
  <r>
    <m/>
    <m/>
    <m/>
    <m/>
    <m/>
    <m/>
    <x v="3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x v="0"/>
    <d v="2022-07-01T00:00:00"/>
    <d v="2025-06-01T00:00:00"/>
    <n v="5"/>
    <n v="0.87"/>
    <x v="0"/>
  </r>
  <r>
    <x v="0"/>
    <d v="2022-08-01T00:00:00"/>
    <d v="2025-07-01T00:00:00"/>
    <n v="2"/>
    <n v="0.78"/>
    <x v="1"/>
  </r>
  <r>
    <x v="0"/>
    <d v="2021-02-01T00:00:00"/>
    <d v="2023-01-01T00:00:00"/>
    <n v="4"/>
    <n v="2.2999999999999998"/>
    <x v="2"/>
  </r>
  <r>
    <x v="0"/>
    <d v="2022-10-01T00:00:00"/>
    <d v="2024-09-01T00:00:00"/>
    <n v="1"/>
    <n v="0.61"/>
    <x v="3"/>
  </r>
  <r>
    <x v="0"/>
    <d v="2022-10-01T00:00:00"/>
    <d v="2024-09-01T00:00:00"/>
    <n v="1"/>
    <n v="0.61"/>
    <x v="3"/>
  </r>
  <r>
    <x v="1"/>
    <d v="2022-10-01T00:00:00"/>
    <d v="2025-09-01T00:00:00"/>
    <n v="2"/>
    <n v="0.61"/>
    <x v="4"/>
  </r>
  <r>
    <x v="1"/>
    <d v="2022-09-01T00:00:00"/>
    <d v="2025-08-01T00:00:00"/>
    <n v="1"/>
    <n v="0.7"/>
    <x v="5"/>
  </r>
  <r>
    <x v="2"/>
    <d v="2020-08-01T00:00:00"/>
    <d v="2022-07-01T00:00:00"/>
    <n v="6"/>
    <n v="2.81"/>
    <x v="6"/>
  </r>
  <r>
    <x v="3"/>
    <d v="2022-10-01T00:00:00"/>
    <d v="2025-09-01T00:00:00"/>
    <n v="6"/>
    <n v="0.61"/>
    <x v="4"/>
  </r>
  <r>
    <x v="0"/>
    <d v="2021-08-01T00:00:00"/>
    <d v="2023-07-01T00:00:00"/>
    <n v="4"/>
    <n v="1.8"/>
    <x v="7"/>
  </r>
  <r>
    <x v="4"/>
    <d v="2022-06-01T00:00:00"/>
    <d v="2023-11-01T00:00:00"/>
    <n v="4"/>
    <n v="0.95"/>
    <x v="8"/>
  </r>
  <r>
    <x v="5"/>
    <d v="2022-12-01T00:00:00"/>
    <d v="2023-06-01T00:00:00"/>
    <n v="7"/>
    <n v="0.44"/>
    <x v="9"/>
  </r>
  <r>
    <x v="6"/>
    <d v="2023-01-01T00:00:00"/>
    <d v="2023-07-01T00:00:00"/>
    <n v="5"/>
    <n v="0.36"/>
    <x v="7"/>
  </r>
  <r>
    <x v="7"/>
    <d v="2023-03-01T00:00:00"/>
    <d v="2023-07-01T00:00:00"/>
    <n v="6"/>
    <n v="0.19"/>
    <x v="7"/>
  </r>
  <r>
    <x v="7"/>
    <d v="2023-03-01T00:00:00"/>
    <d v="2023-07-01T00:00:00"/>
    <n v="5"/>
    <n v="0.19"/>
    <x v="7"/>
  </r>
  <r>
    <x v="6"/>
    <d v="2023-04-01T00:00:00"/>
    <d v="2023-09-01T00:00:00"/>
    <n v="25"/>
    <n v="0.11"/>
    <x v="10"/>
  </r>
  <r>
    <x v="8"/>
    <d v="2023-03-01T00:00:00"/>
    <d v="2023-07-01T00:00:00"/>
    <n v="10"/>
    <n v="0.19"/>
    <x v="7"/>
  </r>
  <r>
    <x v="9"/>
    <d v="2022-01-01T00:00:00"/>
    <d v="2022-10-01T00:00:00"/>
    <n v="1"/>
    <n v="1.37"/>
    <x v="11"/>
  </r>
  <r>
    <x v="6"/>
    <d v="2022-10-01T00:00:00"/>
    <d v="2023-04-01T00:00:00"/>
    <n v="12"/>
    <n v="0.61"/>
    <x v="12"/>
  </r>
  <r>
    <x v="10"/>
    <d v="2022-06-01T00:00:00"/>
    <d v="2022-10-01T00:00:00"/>
    <n v="7"/>
    <n v="0.95"/>
    <x v="11"/>
  </r>
  <r>
    <x v="11"/>
    <d v="2021-05-01T00:00:00"/>
    <d v="2022-11-01T00:00:00"/>
    <n v="1"/>
    <n v="2.0499999999999998"/>
    <x v="13"/>
  </r>
  <r>
    <x v="5"/>
    <d v="2021-07-01T00:00:00"/>
    <d v="2022-01-01T00:00:00"/>
    <n v="3"/>
    <n v="1.88"/>
    <x v="14"/>
  </r>
  <r>
    <x v="6"/>
    <d v="2022-01-01T00:00:00"/>
    <d v="2023-01-01T00:00:00"/>
    <n v="2"/>
    <n v="1.37"/>
    <x v="2"/>
  </r>
  <r>
    <x v="12"/>
    <d v="2021-10-01T00:00:00"/>
    <d v="2022-10-01T00:00:00"/>
    <n v="2"/>
    <n v="1.63"/>
    <x v="11"/>
  </r>
  <r>
    <x v="6"/>
    <d v="2023-02-01T00:00:00"/>
    <d v="2023-08-01T00:00:00"/>
    <n v="1"/>
    <n v="0.27"/>
    <x v="15"/>
  </r>
  <r>
    <x v="13"/>
    <d v="2021-09-01T00:00:00"/>
    <d v="2022-08-01T00:00:00"/>
    <n v="2"/>
    <n v="1.71"/>
    <x v="16"/>
  </r>
  <r>
    <x v="6"/>
    <d v="2022-06-01T00:00:00"/>
    <d v="2023-03-01T00:00:00"/>
    <n v="1"/>
    <n v="0.95"/>
    <x v="17"/>
  </r>
  <r>
    <x v="6"/>
    <d v="2021-03-01T00:00:00"/>
    <d v="2022-02-01T00:00:00"/>
    <n v="1"/>
    <n v="2.2200000000000002"/>
    <x v="18"/>
  </r>
  <r>
    <x v="14"/>
    <d v="2022-01-01T00:00:00"/>
    <d v="2022-07-01T00:00:00"/>
    <n v="10"/>
    <n v="1.37"/>
    <x v="6"/>
  </r>
  <r>
    <x v="6"/>
    <d v="2021-12-01T00:00:00"/>
    <d v="2022-11-01T00:00:00"/>
    <n v="7"/>
    <n v="1.46"/>
    <x v="13"/>
  </r>
  <r>
    <x v="8"/>
    <d v="2022-07-01T00:00:00"/>
    <d v="2022-10-01T00:00:00"/>
    <n v="3"/>
    <n v="0.87"/>
    <x v="11"/>
  </r>
  <r>
    <x v="6"/>
    <d v="2023-01-01T00:00:00"/>
    <d v="2023-10-01T00:00:00"/>
    <n v="2"/>
    <n v="0.36"/>
    <x v="19"/>
  </r>
  <r>
    <x v="15"/>
    <d v="2022-09-01T00:00:00"/>
    <d v="2023-02-01T00:00:00"/>
    <n v="5"/>
    <n v="0.7"/>
    <x v="20"/>
  </r>
  <r>
    <x v="12"/>
    <d v="2022-09-01T00:00:00"/>
    <d v="2023-06-01T00:00:00"/>
    <n v="15"/>
    <n v="0.7"/>
    <x v="9"/>
  </r>
  <r>
    <x v="12"/>
    <d v="2021-12-01T00:00:00"/>
    <d v="2022-09-01T00:00:00"/>
    <n v="16"/>
    <n v="1.46"/>
    <x v="21"/>
  </r>
  <r>
    <x v="5"/>
    <d v="2023-02-01T00:00:00"/>
    <d v="2023-06-01T00:00:00"/>
    <n v="20"/>
    <n v="0.27"/>
    <x v="9"/>
  </r>
  <r>
    <x v="12"/>
    <d v="2021-07-01T00:00:00"/>
    <d v="2022-06-01T00:00:00"/>
    <n v="5"/>
    <n v="1.88"/>
    <x v="22"/>
  </r>
  <r>
    <x v="12"/>
    <d v="2022-07-01T00:00:00"/>
    <d v="2023-06-01T00:00:00"/>
    <n v="20"/>
    <n v="0.87"/>
    <x v="9"/>
  </r>
  <r>
    <x v="13"/>
    <d v="2022-02-01T00:00:00"/>
    <d v="2022-11-01T00:00:00"/>
    <n v="1"/>
    <n v="1.28"/>
    <x v="13"/>
  </r>
  <r>
    <x v="5"/>
    <d v="2022-06-01T00:00:00"/>
    <d v="2022-12-01T00:00:00"/>
    <n v="15"/>
    <n v="0.95"/>
    <x v="23"/>
  </r>
  <r>
    <x v="6"/>
    <d v="2023-04-01T00:00:00"/>
    <d v="2023-08-01T00:00:00"/>
    <n v="10"/>
    <n v="0.11"/>
    <x v="15"/>
  </r>
  <r>
    <x v="6"/>
    <d v="2023-04-01T00:00:00"/>
    <d v="2023-11-01T00:00:00"/>
    <n v="8"/>
    <n v="0.11"/>
    <x v="8"/>
  </r>
  <r>
    <x v="6"/>
    <d v="2023-04-01T00:00:00"/>
    <d v="2023-10-01T00:00:00"/>
    <n v="10"/>
    <n v="0.11"/>
    <x v="19"/>
  </r>
  <r>
    <x v="8"/>
    <d v="2023-01-01T00:00:00"/>
    <d v="2023-05-01T00:00:00"/>
    <n v="10"/>
    <n v="0.36"/>
    <x v="24"/>
  </r>
  <r>
    <x v="9"/>
    <d v="2023-02-01T00:00:00"/>
    <d v="2023-11-01T00:00:00"/>
    <n v="5"/>
    <n v="0.27"/>
    <x v="8"/>
  </r>
  <r>
    <x v="9"/>
    <d v="2022-01-01T00:00:00"/>
    <d v="2022-10-01T00:00:00"/>
    <n v="8"/>
    <n v="1.37"/>
    <x v="11"/>
  </r>
  <r>
    <x v="9"/>
    <d v="2022-01-01T00:00:00"/>
    <d v="2023-01-01T00:00:00"/>
    <n v="2"/>
    <n v="1.37"/>
    <x v="2"/>
  </r>
  <r>
    <x v="13"/>
    <d v="2023-02-01T00:00:00"/>
    <d v="2024-02-01T00:00:00"/>
    <n v="5"/>
    <n v="0.27"/>
    <x v="25"/>
  </r>
  <r>
    <x v="13"/>
    <d v="2023-03-01T00:00:00"/>
    <d v="2024-03-01T00:00:00"/>
    <n v="10"/>
    <n v="0.19"/>
    <x v="26"/>
  </r>
  <r>
    <x v="13"/>
    <d v="2023-02-01T00:00:00"/>
    <d v="2024-02-01T00:00:00"/>
    <n v="10"/>
    <n v="0.27"/>
    <x v="25"/>
  </r>
  <r>
    <x v="16"/>
    <d v="2021-06-01T00:00:00"/>
    <d v="2024-06-01T00:00:00"/>
    <n v="3"/>
    <n v="1.96"/>
    <x v="27"/>
  </r>
  <r>
    <x v="6"/>
    <d v="2021-08-01T00:00:00"/>
    <d v="2022-02-01T00:00:00"/>
    <n v="1"/>
    <n v="1.8"/>
    <x v="18"/>
  </r>
  <r>
    <x v="6"/>
    <d v="2023-03-01T00:00:00"/>
    <d v="2023-09-01T00:00:00"/>
    <n v="10"/>
    <n v="0.19"/>
    <x v="10"/>
  </r>
  <r>
    <x v="16"/>
    <d v="2023-02-01T00:00:00"/>
    <d v="2025-02-01T00:00:00"/>
    <n v="4"/>
    <n v="0.27"/>
    <x v="28"/>
  </r>
  <r>
    <x v="10"/>
    <d v="2022-04-01T00:00:00"/>
    <d v="2023-07-01T00:00:00"/>
    <n v="2"/>
    <n v="1.1200000000000001"/>
    <x v="7"/>
  </r>
  <r>
    <x v="6"/>
    <d v="2023-04-01T00:00:00"/>
    <d v="2023-10-01T00:00:00"/>
    <n v="11"/>
    <n v="0.11"/>
    <x v="19"/>
  </r>
  <r>
    <x v="6"/>
    <d v="2023-03-01T00:00:00"/>
    <d v="2023-08-01T00:00:00"/>
    <n v="15"/>
    <n v="0.19"/>
    <x v="15"/>
  </r>
  <r>
    <x v="6"/>
    <d v="2023-01-01T00:00:00"/>
    <d v="2023-07-01T00:00:00"/>
    <n v="3"/>
    <n v="0.36"/>
    <x v="7"/>
  </r>
  <r>
    <x v="6"/>
    <d v="2023-02-01T00:00:00"/>
    <d v="2023-08-01T00:00:00"/>
    <n v="6"/>
    <n v="0.27"/>
    <x v="15"/>
  </r>
  <r>
    <x v="6"/>
    <d v="2022-12-01T00:00:00"/>
    <d v="2023-06-01T00:00:00"/>
    <n v="10"/>
    <n v="0.44"/>
    <x v="9"/>
  </r>
  <r>
    <x v="17"/>
    <d v="2023-01-01T00:00:00"/>
    <d v="2023-10-01T00:00:00"/>
    <n v="6"/>
    <n v="0.36"/>
    <x v="19"/>
  </r>
  <r>
    <x v="6"/>
    <d v="2022-06-01T00:00:00"/>
    <d v="2023-03-01T00:00:00"/>
    <n v="2"/>
    <n v="0.95"/>
    <x v="17"/>
  </r>
  <r>
    <x v="6"/>
    <d v="2021-08-01T00:00:00"/>
    <d v="2022-02-01T00:00:00"/>
    <n v="4"/>
    <n v="1.8"/>
    <x v="18"/>
  </r>
  <r>
    <x v="16"/>
    <d v="2021-11-01T00:00:00"/>
    <d v="2024-11-01T00:00:00"/>
    <n v="1"/>
    <n v="1.54"/>
    <x v="29"/>
  </r>
  <r>
    <x v="16"/>
    <d v="2020-11-01T00:00:00"/>
    <d v="2023-11-01T00:00:00"/>
    <n v="20"/>
    <n v="2.5499999999999998"/>
    <x v="8"/>
  </r>
  <r>
    <x v="16"/>
    <d v="2021-08-01T00:00:00"/>
    <d v="2023-08-01T00:00:00"/>
    <n v="4"/>
    <n v="1.8"/>
    <x v="15"/>
  </r>
  <r>
    <x v="16"/>
    <d v="2022-07-01T00:00:00"/>
    <d v="2025-07-01T00:00:00"/>
    <n v="1"/>
    <n v="0.87"/>
    <x v="1"/>
  </r>
  <r>
    <x v="16"/>
    <d v="2023-03-01T00:00:00"/>
    <d v="2024-09-01T00:00:00"/>
    <n v="4"/>
    <n v="0.19"/>
    <x v="3"/>
  </r>
  <r>
    <x v="16"/>
    <d v="2021-04-01T00:00:00"/>
    <d v="2024-04-01T00:00:00"/>
    <n v="12"/>
    <n v="2.13"/>
    <x v="30"/>
  </r>
  <r>
    <x v="16"/>
    <d v="2022-02-01T00:00:00"/>
    <d v="2024-02-01T00:00:00"/>
    <n v="2"/>
    <n v="1.28"/>
    <x v="25"/>
  </r>
  <r>
    <x v="16"/>
    <d v="2020-01-01T00:00:00"/>
    <d v="2023-01-01T00:00:00"/>
    <n v="2"/>
    <n v="3.4"/>
    <x v="2"/>
  </r>
  <r>
    <x v="18"/>
    <d v="2021-05-01T00:00:00"/>
    <d v="2023-05-01T00:00:00"/>
    <n v="4"/>
    <n v="2.0499999999999998"/>
    <x v="24"/>
  </r>
  <r>
    <x v="18"/>
    <d v="2020-12-01T00:00:00"/>
    <d v="2022-12-01T00:00:00"/>
    <n v="1"/>
    <n v="2.4700000000000002"/>
    <x v="23"/>
  </r>
  <r>
    <x v="18"/>
    <d v="2022-06-01T00:00:00"/>
    <d v="2025-06-01T00:00:00"/>
    <n v="6"/>
    <n v="0.95"/>
    <x v="0"/>
  </r>
  <r>
    <x v="12"/>
    <d v="2023-03-01T00:00:00"/>
    <d v="2023-11-01T00:00:00"/>
    <n v="5"/>
    <n v="0.19"/>
    <x v="8"/>
  </r>
  <r>
    <x v="12"/>
    <d v="2022-07-01T00:00:00"/>
    <d v="2023-07-01T00:00:00"/>
    <n v="20"/>
    <n v="0.87"/>
    <x v="7"/>
  </r>
  <r>
    <x v="19"/>
    <d v="2020-10-01T00:00:00"/>
    <d v="2022-10-01T00:00:00"/>
    <n v="3"/>
    <n v="2.64"/>
    <x v="11"/>
  </r>
  <r>
    <x v="20"/>
    <d v="2021-09-01T00:00:00"/>
    <d v="2022-08-01T00:00:00"/>
    <n v="25"/>
    <n v="1.71"/>
    <x v="16"/>
  </r>
  <r>
    <x v="20"/>
    <d v="2021-12-01T00:00:00"/>
    <d v="2022-12-01T00:00:00"/>
    <n v="4"/>
    <n v="1.46"/>
    <x v="23"/>
  </r>
  <r>
    <x v="19"/>
    <d v="2021-06-01T00:00:00"/>
    <d v="2022-12-01T00:00:00"/>
    <n v="6"/>
    <n v="1.96"/>
    <x v="23"/>
  </r>
  <r>
    <x v="1"/>
    <d v="2021-10-01T00:00:00"/>
    <d v="2024-10-01T00:00:00"/>
    <n v="1"/>
    <n v="1.63"/>
    <x v="31"/>
  </r>
  <r>
    <x v="13"/>
    <d v="2022-03-01T00:00:00"/>
    <d v="2023-03-01T00:00:00"/>
    <n v="7"/>
    <n v="1.21"/>
    <x v="17"/>
  </r>
  <r>
    <x v="13"/>
    <d v="2022-04-01T00:00:00"/>
    <d v="2023-03-01T00:00:00"/>
    <n v="4"/>
    <n v="1.1200000000000001"/>
    <x v="17"/>
  </r>
  <r>
    <x v="1"/>
    <d v="2022-09-01T00:00:00"/>
    <d v="2023-08-01T00:00:00"/>
    <n v="4"/>
    <n v="0.7"/>
    <x v="15"/>
  </r>
  <r>
    <x v="19"/>
    <d v="2022-08-01T00:00:00"/>
    <d v="2023-07-01T00:00:00"/>
    <n v="4"/>
    <n v="0.78"/>
    <x v="7"/>
  </r>
  <r>
    <x v="19"/>
    <d v="2022-01-01T00:00:00"/>
    <d v="2022-12-01T00:00:00"/>
    <n v="20"/>
    <n v="1.37"/>
    <x v="23"/>
  </r>
  <r>
    <x v="14"/>
    <d v="2023-02-01T00:00:00"/>
    <d v="2024-01-01T00:00:00"/>
    <n v="30"/>
    <n v="0.27"/>
    <x v="32"/>
  </r>
  <r>
    <x v="19"/>
    <d v="2023-04-01T00:00:00"/>
    <d v="2024-03-01T00:00:00"/>
    <n v="1"/>
    <n v="0.11"/>
    <x v="26"/>
  </r>
  <r>
    <x v="13"/>
    <d v="2021-09-01T00:00:00"/>
    <d v="2022-08-01T00:00:00"/>
    <n v="3"/>
    <n v="1.71"/>
    <x v="16"/>
  </r>
  <r>
    <x v="19"/>
    <d v="2023-04-01T00:00:00"/>
    <d v="2024-01-01T00:00:00"/>
    <n v="2"/>
    <n v="0.11"/>
    <x v="32"/>
  </r>
  <r>
    <x v="21"/>
    <m/>
    <m/>
    <m/>
    <m/>
    <x v="3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n v="0"/>
    <n v="0"/>
  </r>
  <r>
    <x v="1"/>
    <n v="8"/>
    <n v="8743"/>
  </r>
  <r>
    <x v="2"/>
    <n v="8"/>
    <n v="8501"/>
  </r>
  <r>
    <x v="3"/>
    <n v="11"/>
    <n v="10892"/>
  </r>
  <r>
    <x v="4"/>
    <n v="12"/>
    <n v="10219"/>
  </r>
  <r>
    <x v="5"/>
    <n v="10"/>
    <n v="10331"/>
  </r>
  <r>
    <x v="6"/>
    <n v="11"/>
    <n v="5368"/>
  </r>
  <r>
    <x v="0"/>
    <n v="12"/>
    <n v="6936"/>
  </r>
  <r>
    <x v="1"/>
    <n v="10"/>
    <n v="6674"/>
  </r>
  <r>
    <x v="2"/>
    <n v="8"/>
    <n v="10268"/>
  </r>
  <r>
    <x v="3"/>
    <n v="6"/>
    <n v="7602"/>
  </r>
  <r>
    <x v="4"/>
    <n v="6"/>
    <n v="9097"/>
  </r>
  <r>
    <x v="5"/>
    <n v="9"/>
    <n v="10344"/>
  </r>
  <r>
    <x v="6"/>
    <n v="0"/>
    <n v="0"/>
  </r>
  <r>
    <x v="0"/>
    <n v="8"/>
    <n v="7274"/>
  </r>
  <r>
    <x v="1"/>
    <n v="11"/>
    <n v="6783"/>
  </r>
  <r>
    <x v="2"/>
    <n v="11"/>
    <n v="10869"/>
  </r>
  <r>
    <x v="3"/>
    <n v="13"/>
    <n v="7578"/>
  </r>
  <r>
    <x v="4"/>
    <n v="8"/>
    <n v="7437"/>
  </r>
  <r>
    <x v="5"/>
    <n v="12"/>
    <n v="9810"/>
  </r>
  <r>
    <x v="6"/>
    <n v="13"/>
    <n v="5121"/>
  </r>
  <r>
    <x v="0"/>
    <n v="7"/>
    <n v="5012"/>
  </r>
  <r>
    <x v="1"/>
    <n v="0"/>
    <n v="0"/>
  </r>
  <r>
    <x v="2"/>
    <n v="7"/>
    <n v="8191"/>
  </r>
  <r>
    <x v="3"/>
    <n v="8"/>
    <n v="6242"/>
  </r>
  <r>
    <x v="4"/>
    <n v="10"/>
    <n v="9290"/>
  </r>
  <r>
    <x v="5"/>
    <n v="6"/>
    <n v="8600"/>
  </r>
  <r>
    <x v="6"/>
    <n v="10"/>
    <n v="8041"/>
  </r>
  <r>
    <x v="0"/>
    <n v="8"/>
    <n v="7484"/>
  </r>
  <r>
    <x v="1"/>
    <n v="0"/>
    <n v="0"/>
  </r>
  <r>
    <x v="2"/>
    <n v="13"/>
    <n v="10880"/>
  </r>
  <r>
    <x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2CC43E-3544-4EED-9745-5FDBE941D069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2" rowHeaderCaption="Weekday">
  <location ref="I1:K9" firstHeaderRow="0" firstDataRow="1" firstDataCol="1"/>
  <pivotFields count="3">
    <pivotField axis="axisRow" showAll="0">
      <items count="9">
        <item x="6"/>
        <item x="0"/>
        <item x="1"/>
        <item x="2"/>
        <item x="3"/>
        <item x="4"/>
        <item x="5"/>
        <item h="1" x="7"/>
        <item t="default"/>
      </items>
    </pivotField>
    <pivotField dataField="1"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Footfall" fld="1" baseField="0" baseItem="0"/>
    <dataField name="Revenue" fld="2" baseField="0" baseItem="0"/>
  </dataFields>
  <formats count="10">
    <format dxfId="15">
      <pivotArea collapsedLevelsAreSubtotals="1" fieldPosition="0">
        <references count="1">
          <reference field="0" count="0"/>
        </references>
      </pivotArea>
    </format>
    <format dxfId="14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">
      <pivotArea collapsedLevelsAreSubtotals="1" fieldPosition="0">
        <references count="1">
          <reference field="0" count="0"/>
        </references>
      </pivotArea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  <format dxfId="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">
      <pivotArea grandRow="1" outline="0" collapsedLevelsAreSubtotals="1" fieldPosition="0"/>
    </format>
    <format dxfId="6">
      <pivotArea dataOnly="0" labelOnly="1" grandRow="1" outline="0" fieldPosition="0"/>
    </format>
  </formats>
  <chartFormats count="10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1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6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18" format="7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5F9CC8-D8ED-4A32-AA35-46DCA7419DD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Months to expire">
  <location ref="H1:I6" firstHeaderRow="1" firstDataRow="1" firstDataCol="1"/>
  <pivotFields count="7">
    <pivotField showAll="0"/>
    <pivotField showAll="0"/>
    <pivotField showAll="0"/>
    <pivotField showAll="0"/>
    <pivotField dataField="1" showAll="0"/>
    <pivotField showAll="0"/>
    <pivotField axis="axisRow" showAll="0">
      <items count="5">
        <item n="Expired" x="0"/>
        <item n="0-6 months" x="1"/>
        <item n="6-12 months" x="2"/>
        <item n="&gt;1 year" x="3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o. of items" fld="4" baseField="0" baseItem="0"/>
  </dataFields>
  <formats count="2">
    <format dxfId="3">
      <pivotArea field="6" type="button" dataOnly="0" labelOnly="1" outline="0" axis="axisRow" fieldPosition="0"/>
    </format>
    <format dxfId="2">
      <pivotArea dataOnly="0" labelOnly="1" outline="0" axis="axisValues" fieldPosition="0"/>
    </format>
  </formats>
  <chartFormats count="5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C30E02-49B9-4219-9FAD-38ACBDF4E96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Months to expire">
  <location ref="D1:E6" firstHeaderRow="1" firstDataRow="1" firstDataCol="1"/>
  <pivotFields count="7">
    <pivotField dataField="1" showAll="0"/>
    <pivotField showAll="0"/>
    <pivotField showAll="0"/>
    <pivotField showAll="0"/>
    <pivotField showAll="0"/>
    <pivotField showAll="0"/>
    <pivotField axis="axisRow" showAll="0">
      <items count="5">
        <item n="Expired" x="0"/>
        <item n="0-6 months" x="1"/>
        <item n="6-12 months" x="2"/>
        <item n="&gt;1 year" x="3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o. of SKUs" fld="0" subtotal="count" baseField="0" baseItem="0"/>
  </dataFields>
  <formats count="2">
    <format dxfId="5">
      <pivotArea field="6" type="button" dataOnly="0" labelOnly="1" outline="0" axis="axisRow" fieldPosition="0"/>
    </format>
    <format dxfId="4">
      <pivotArea dataOnly="0" labelOnly="1" outline="0" axis="axisValues" fieldPosition="0"/>
    </format>
  </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3A2621-E06D-45FC-9905-DFDED87D9C3F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3" rowHeaderCaption="Category" fieldListSortAscending="1">
  <location ref="Q3:R19" firstHeaderRow="1" firstDataRow="1" firstDataCol="1" rowPageCount="1" colPageCount="1"/>
  <pivotFields count="6">
    <pivotField axis="axisRow" showAll="0" sortType="descending">
      <items count="23">
        <item x="8"/>
        <item x="5"/>
        <item x="9"/>
        <item x="6"/>
        <item x="17"/>
        <item x="13"/>
        <item x="4"/>
        <item x="1"/>
        <item x="0"/>
        <item x="10"/>
        <item x="12"/>
        <item x="19"/>
        <item x="16"/>
        <item x="3"/>
        <item x="2"/>
        <item x="20"/>
        <item x="11"/>
        <item x="14"/>
        <item x="15"/>
        <item x="18"/>
        <item x="7"/>
        <item h="1"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axis="axisPage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16">
    <i>
      <x v="3"/>
    </i>
    <i>
      <x v="11"/>
    </i>
    <i>
      <x v="15"/>
    </i>
    <i>
      <x v="10"/>
    </i>
    <i>
      <x v="1"/>
    </i>
    <i>
      <x v="5"/>
    </i>
    <i>
      <x/>
    </i>
    <i>
      <x v="2"/>
    </i>
    <i>
      <x v="17"/>
    </i>
    <i>
      <x v="9"/>
    </i>
    <i>
      <x v="14"/>
    </i>
    <i>
      <x v="18"/>
    </i>
    <i>
      <x v="19"/>
    </i>
    <i>
      <x v="8"/>
    </i>
    <i>
      <x v="12"/>
    </i>
    <i>
      <x v="16"/>
    </i>
  </rowItems>
  <colItems count="1">
    <i/>
  </colItems>
  <pageFields count="1">
    <pageField fld="5" item="0" hier="-1"/>
  </pageFields>
  <dataFields count="1">
    <dataField name="Sum of Quant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DE10AC-7EB2-45E2-A849-EADC082DEBF5}" name="PivotTable7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3" fieldListSortAscending="1">
  <location ref="F3:G16" firstHeaderRow="1" firstDataRow="1" firstDataCol="1" rowPageCount="1" colPageCount="1"/>
  <pivotFields count="6">
    <pivotField axis="axisRow" showAll="0" sortType="descending">
      <items count="23">
        <item x="8"/>
        <item x="5"/>
        <item x="9"/>
        <item x="6"/>
        <item x="17"/>
        <item x="13"/>
        <item x="4"/>
        <item x="1"/>
        <item x="0"/>
        <item x="10"/>
        <item x="12"/>
        <item x="19"/>
        <item x="16"/>
        <item x="3"/>
        <item x="2"/>
        <item x="20"/>
        <item x="11"/>
        <item x="14"/>
        <item x="15"/>
        <item x="18"/>
        <item x="7"/>
        <item h="1"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axis="axisPage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13">
    <i>
      <x v="3"/>
    </i>
    <i>
      <x v="10"/>
    </i>
    <i>
      <x v="1"/>
    </i>
    <i>
      <x v="12"/>
    </i>
    <i>
      <x v="20"/>
    </i>
    <i>
      <x/>
    </i>
    <i>
      <x v="4"/>
    </i>
    <i>
      <x v="2"/>
    </i>
    <i>
      <x v="11"/>
    </i>
    <i>
      <x v="8"/>
    </i>
    <i>
      <x v="6"/>
    </i>
    <i>
      <x v="7"/>
    </i>
    <i>
      <x v="9"/>
    </i>
  </rowItems>
  <colItems count="1">
    <i/>
  </colItems>
  <pageFields count="1">
    <pageField fld="5" item="1" hier="-1"/>
  </pageFields>
  <dataFields count="1">
    <dataField name="Sum of Quant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9F6F58-6E21-47C0-B682-03E514948063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Months to expire">
  <location ref="C1:D6" firstHeaderRow="1" firstDataRow="1" firstDataCol="1"/>
  <pivotFields count="7">
    <pivotField showAll="0"/>
    <pivotField showAll="0"/>
    <pivotField showAll="0"/>
    <pivotField showAll="0"/>
    <pivotField dataField="1" showAll="0"/>
    <pivotField showAll="0"/>
    <pivotField axis="axisRow" showAll="0">
      <items count="5">
        <item n="Expired" x="0"/>
        <item n="0-6 months" x="1"/>
        <item n="6-12 months" x="2"/>
        <item n="&gt;1 year" x="3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o. of items" fld="4" baseField="0" baseItem="0"/>
  </dataFields>
  <formats count="2">
    <format dxfId="1">
      <pivotArea field="6" type="button" dataOnly="0" labelOnly="1" outline="0" axis="axisRow" fieldPosition="0"/>
    </format>
    <format dxfId="0">
      <pivotArea dataOnly="0" labelOnly="1" outline="0" axis="axisValues" fieldPosition="0"/>
    </format>
  </formats>
  <chartFormats count="5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06AA-B7E6-48FC-9A4A-A27A7294A7E9}">
  <dimension ref="A1:Q40"/>
  <sheetViews>
    <sheetView workbookViewId="0">
      <selection activeCell="P21" sqref="P21"/>
    </sheetView>
  </sheetViews>
  <sheetFormatPr defaultRowHeight="14.4" x14ac:dyDescent="0.3"/>
  <cols>
    <col min="1" max="1" width="10.109375" style="3" customWidth="1"/>
    <col min="2" max="2" width="16.44140625" customWidth="1"/>
    <col min="4" max="4" width="11.33203125" bestFit="1" customWidth="1"/>
    <col min="16" max="16" width="16.5546875" bestFit="1" customWidth="1"/>
    <col min="17" max="17" width="12.77734375" bestFit="1" customWidth="1"/>
  </cols>
  <sheetData>
    <row r="1" spans="1:17" x14ac:dyDescent="0.3">
      <c r="A1" s="13" t="s">
        <v>141</v>
      </c>
      <c r="B1" s="39" t="s">
        <v>243</v>
      </c>
      <c r="D1" s="14"/>
    </row>
    <row r="2" spans="1:17" x14ac:dyDescent="0.3">
      <c r="A2" s="3">
        <v>43831</v>
      </c>
      <c r="B2">
        <v>1784826</v>
      </c>
      <c r="P2" t="s">
        <v>223</v>
      </c>
      <c r="Q2">
        <f>COUNTIF(B:B,"&gt;"&amp;AVERAGE(B:B))</f>
        <v>17</v>
      </c>
    </row>
    <row r="3" spans="1:17" x14ac:dyDescent="0.3">
      <c r="A3" s="3">
        <v>43862</v>
      </c>
      <c r="B3">
        <v>1604462</v>
      </c>
      <c r="P3" t="s">
        <v>224</v>
      </c>
      <c r="Q3">
        <f>COUNTIF(B:B,"&lt;"&amp;AVERAGE(B:B))</f>
        <v>22</v>
      </c>
    </row>
    <row r="4" spans="1:17" x14ac:dyDescent="0.3">
      <c r="A4" s="3">
        <v>43891</v>
      </c>
      <c r="B4">
        <v>1816343</v>
      </c>
    </row>
    <row r="5" spans="1:17" x14ac:dyDescent="0.3">
      <c r="A5" s="3">
        <v>43922</v>
      </c>
      <c r="B5">
        <v>2149219</v>
      </c>
    </row>
    <row r="6" spans="1:17" x14ac:dyDescent="0.3">
      <c r="A6" s="3">
        <v>43952</v>
      </c>
      <c r="B6">
        <v>1731429</v>
      </c>
      <c r="P6" t="s">
        <v>225</v>
      </c>
      <c r="Q6">
        <f>_xlfn.STDEV.P(B:B)</f>
        <v>493764.68490264792</v>
      </c>
    </row>
    <row r="7" spans="1:17" x14ac:dyDescent="0.3">
      <c r="A7" s="3">
        <v>43983</v>
      </c>
      <c r="B7">
        <v>1509507</v>
      </c>
    </row>
    <row r="8" spans="1:17" x14ac:dyDescent="0.3">
      <c r="A8" s="3">
        <v>44013</v>
      </c>
      <c r="B8">
        <v>1676811</v>
      </c>
      <c r="P8" s="1" t="s">
        <v>227</v>
      </c>
      <c r="Q8" s="1" t="s">
        <v>226</v>
      </c>
    </row>
    <row r="9" spans="1:17" x14ac:dyDescent="0.3">
      <c r="A9" s="3">
        <v>44044</v>
      </c>
      <c r="B9">
        <v>1596383</v>
      </c>
      <c r="P9" s="14">
        <v>500000</v>
      </c>
      <c r="Q9" cm="1">
        <f t="array" ref="Q9:Q13">FREQUENCY(B:B,P9:P12)</f>
        <v>6</v>
      </c>
    </row>
    <row r="10" spans="1:17" x14ac:dyDescent="0.3">
      <c r="A10" s="3">
        <v>44075</v>
      </c>
      <c r="B10">
        <v>1708736</v>
      </c>
      <c r="P10" s="14">
        <v>1000000</v>
      </c>
      <c r="Q10">
        <v>14</v>
      </c>
    </row>
    <row r="11" spans="1:17" x14ac:dyDescent="0.3">
      <c r="A11" s="3">
        <v>44105</v>
      </c>
      <c r="B11">
        <v>1773533</v>
      </c>
      <c r="P11" s="14">
        <v>1500000</v>
      </c>
      <c r="Q11">
        <v>8</v>
      </c>
    </row>
    <row r="12" spans="1:17" x14ac:dyDescent="0.3">
      <c r="A12" s="3">
        <v>44136</v>
      </c>
      <c r="B12">
        <v>1441823</v>
      </c>
      <c r="P12" s="14">
        <v>2000000</v>
      </c>
      <c r="Q12">
        <v>10</v>
      </c>
    </row>
    <row r="13" spans="1:17" x14ac:dyDescent="0.3">
      <c r="A13" s="3">
        <v>44166</v>
      </c>
      <c r="B13">
        <v>1539375</v>
      </c>
      <c r="P13" s="14">
        <v>2500000</v>
      </c>
      <c r="Q13">
        <v>1</v>
      </c>
    </row>
    <row r="14" spans="1:17" x14ac:dyDescent="0.3">
      <c r="A14" s="3">
        <v>44197</v>
      </c>
      <c r="B14">
        <v>1196405</v>
      </c>
    </row>
    <row r="15" spans="1:17" x14ac:dyDescent="0.3">
      <c r="A15" s="3">
        <v>44228</v>
      </c>
      <c r="B15">
        <v>1223886</v>
      </c>
      <c r="P15" t="s">
        <v>228</v>
      </c>
      <c r="Q15" s="14">
        <f>_xlfn.QUARTILE.EXC(B:B,1)</f>
        <v>683486</v>
      </c>
    </row>
    <row r="16" spans="1:17" x14ac:dyDescent="0.3">
      <c r="A16" s="3">
        <v>44256</v>
      </c>
      <c r="B16">
        <v>1141926</v>
      </c>
      <c r="P16" t="s">
        <v>229</v>
      </c>
      <c r="Q16" s="14">
        <f>_xlfn.QUARTILE.EXC(B:B,2)</f>
        <v>986826</v>
      </c>
    </row>
    <row r="17" spans="1:17" x14ac:dyDescent="0.3">
      <c r="A17" s="3">
        <v>44287</v>
      </c>
      <c r="B17">
        <v>1288407</v>
      </c>
      <c r="P17" t="s">
        <v>230</v>
      </c>
      <c r="Q17" s="14">
        <f>_xlfn.QUARTILE.EXC(B:B,3)</f>
        <v>1539375</v>
      </c>
    </row>
    <row r="18" spans="1:17" x14ac:dyDescent="0.3">
      <c r="A18" s="3">
        <v>44317</v>
      </c>
      <c r="B18">
        <v>979948</v>
      </c>
      <c r="P18" t="s">
        <v>231</v>
      </c>
      <c r="Q18" s="14">
        <f>Q17-Q15</f>
        <v>855889</v>
      </c>
    </row>
    <row r="19" spans="1:17" x14ac:dyDescent="0.3">
      <c r="A19" s="3">
        <v>44348</v>
      </c>
      <c r="B19">
        <v>806348</v>
      </c>
    </row>
    <row r="20" spans="1:17" x14ac:dyDescent="0.3">
      <c r="A20" s="3">
        <v>44378</v>
      </c>
      <c r="B20">
        <v>986826</v>
      </c>
    </row>
    <row r="21" spans="1:17" x14ac:dyDescent="0.3">
      <c r="A21" s="3">
        <v>44409</v>
      </c>
      <c r="B21">
        <v>1040577</v>
      </c>
    </row>
    <row r="22" spans="1:17" x14ac:dyDescent="0.3">
      <c r="A22" s="3">
        <v>44440</v>
      </c>
      <c r="B22">
        <v>979577</v>
      </c>
    </row>
    <row r="23" spans="1:17" x14ac:dyDescent="0.3">
      <c r="A23" s="3">
        <v>44470</v>
      </c>
      <c r="B23">
        <v>734430</v>
      </c>
    </row>
    <row r="24" spans="1:17" x14ac:dyDescent="0.3">
      <c r="A24" s="3">
        <v>44501</v>
      </c>
      <c r="B24">
        <v>1082485</v>
      </c>
    </row>
    <row r="25" spans="1:17" x14ac:dyDescent="0.3">
      <c r="A25" s="3">
        <v>44531</v>
      </c>
      <c r="B25">
        <v>1019253</v>
      </c>
    </row>
    <row r="26" spans="1:17" x14ac:dyDescent="0.3">
      <c r="A26" s="3">
        <v>44562</v>
      </c>
      <c r="B26">
        <v>894073</v>
      </c>
    </row>
    <row r="27" spans="1:17" x14ac:dyDescent="0.3">
      <c r="A27" s="3">
        <v>44593</v>
      </c>
      <c r="B27">
        <v>750882</v>
      </c>
    </row>
    <row r="28" spans="1:17" x14ac:dyDescent="0.3">
      <c r="A28" s="3">
        <v>44621</v>
      </c>
      <c r="B28">
        <v>683486</v>
      </c>
    </row>
    <row r="29" spans="1:17" x14ac:dyDescent="0.3">
      <c r="A29" s="3">
        <v>44652</v>
      </c>
      <c r="B29">
        <v>754943</v>
      </c>
    </row>
    <row r="30" spans="1:17" x14ac:dyDescent="0.3">
      <c r="A30" s="3">
        <v>44682</v>
      </c>
      <c r="B30">
        <v>806931</v>
      </c>
    </row>
    <row r="31" spans="1:17" x14ac:dyDescent="0.3">
      <c r="A31" s="3">
        <v>44713</v>
      </c>
      <c r="B31">
        <v>682057</v>
      </c>
    </row>
    <row r="32" spans="1:17" x14ac:dyDescent="0.3">
      <c r="A32" s="3">
        <v>44743</v>
      </c>
      <c r="B32">
        <v>752736</v>
      </c>
    </row>
    <row r="33" spans="1:2" x14ac:dyDescent="0.3">
      <c r="A33" s="3">
        <v>44774</v>
      </c>
      <c r="B33">
        <v>642871</v>
      </c>
    </row>
    <row r="34" spans="1:2" x14ac:dyDescent="0.3">
      <c r="A34" s="3">
        <v>44805</v>
      </c>
      <c r="B34">
        <v>549565</v>
      </c>
    </row>
    <row r="35" spans="1:2" x14ac:dyDescent="0.3">
      <c r="A35" s="3">
        <v>44835</v>
      </c>
      <c r="B35">
        <v>322573</v>
      </c>
    </row>
    <row r="36" spans="1:2" x14ac:dyDescent="0.3">
      <c r="A36" s="3">
        <v>44866</v>
      </c>
      <c r="B36">
        <v>453465</v>
      </c>
    </row>
    <row r="37" spans="1:2" x14ac:dyDescent="0.3">
      <c r="A37" s="3">
        <v>44896</v>
      </c>
      <c r="B37">
        <v>461211</v>
      </c>
    </row>
    <row r="38" spans="1:2" x14ac:dyDescent="0.3">
      <c r="A38" s="3">
        <v>44927</v>
      </c>
      <c r="B38">
        <v>402599</v>
      </c>
    </row>
    <row r="39" spans="1:2" x14ac:dyDescent="0.3">
      <c r="A39" s="3">
        <v>44958</v>
      </c>
      <c r="B39">
        <v>277914</v>
      </c>
    </row>
    <row r="40" spans="1:2" x14ac:dyDescent="0.3">
      <c r="A40" s="3">
        <v>44986</v>
      </c>
      <c r="B40">
        <v>285947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0C2F-FC4C-43A8-A452-312C05345C66}">
  <dimension ref="A1:R46"/>
  <sheetViews>
    <sheetView topLeftCell="A19" workbookViewId="0">
      <selection activeCell="L42" sqref="L42"/>
    </sheetView>
  </sheetViews>
  <sheetFormatPr defaultRowHeight="14.4" x14ac:dyDescent="0.3"/>
  <cols>
    <col min="1" max="1" width="10.109375" style="16" customWidth="1"/>
    <col min="2" max="2" width="13.88671875" style="14" customWidth="1"/>
    <col min="3" max="3" width="11.88671875" customWidth="1"/>
    <col min="4" max="4" width="12" customWidth="1"/>
    <col min="16" max="16" width="13.88671875" bestFit="1" customWidth="1"/>
  </cols>
  <sheetData>
    <row r="1" spans="1:18" x14ac:dyDescent="0.3">
      <c r="A1" s="15" t="s">
        <v>141</v>
      </c>
      <c r="B1" s="15">
        <v>2020</v>
      </c>
      <c r="C1" s="15">
        <v>2021</v>
      </c>
      <c r="D1" s="15">
        <v>2022</v>
      </c>
    </row>
    <row r="2" spans="1:18" x14ac:dyDescent="0.3">
      <c r="A2" s="16" t="s">
        <v>143</v>
      </c>
      <c r="B2">
        <v>1784826</v>
      </c>
      <c r="C2">
        <v>1196405</v>
      </c>
      <c r="D2">
        <v>894073</v>
      </c>
    </row>
    <row r="3" spans="1:18" x14ac:dyDescent="0.3">
      <c r="A3" s="16" t="s">
        <v>144</v>
      </c>
      <c r="B3">
        <v>1604462</v>
      </c>
      <c r="C3">
        <v>1223886</v>
      </c>
      <c r="D3">
        <v>750882</v>
      </c>
      <c r="P3" t="s">
        <v>232</v>
      </c>
      <c r="Q3">
        <f>_xlfn.STDEV.P(B2:B13)</f>
        <v>177427.17533890647</v>
      </c>
      <c r="R3" s="37">
        <f>Q3/B14</f>
        <v>0.10471568444599304</v>
      </c>
    </row>
    <row r="4" spans="1:18" x14ac:dyDescent="0.3">
      <c r="A4" s="16" t="s">
        <v>145</v>
      </c>
      <c r="B4">
        <v>1816343</v>
      </c>
      <c r="C4">
        <v>1141926</v>
      </c>
      <c r="D4">
        <v>683486</v>
      </c>
      <c r="P4" t="s">
        <v>233</v>
      </c>
      <c r="Q4">
        <f>_xlfn.STDEV.P(C2:C13)</f>
        <v>155632.63792144915</v>
      </c>
      <c r="R4" s="37">
        <f>Q4/C14</f>
        <v>0.14964595185357882</v>
      </c>
    </row>
    <row r="5" spans="1:18" x14ac:dyDescent="0.3">
      <c r="A5" s="16" t="s">
        <v>146</v>
      </c>
      <c r="B5">
        <v>2149219</v>
      </c>
      <c r="C5">
        <v>1288407</v>
      </c>
      <c r="D5">
        <v>754943</v>
      </c>
      <c r="P5" t="s">
        <v>234</v>
      </c>
      <c r="Q5">
        <f>_xlfn.STDEV.P(D2:D13)</f>
        <v>160607.25058203578</v>
      </c>
      <c r="R5" s="37">
        <f>Q5/D14</f>
        <v>0.24852849160311943</v>
      </c>
    </row>
    <row r="6" spans="1:18" x14ac:dyDescent="0.3">
      <c r="A6" s="16" t="s">
        <v>147</v>
      </c>
      <c r="B6">
        <v>1731429</v>
      </c>
      <c r="C6">
        <v>979948</v>
      </c>
      <c r="D6">
        <v>806931</v>
      </c>
    </row>
    <row r="7" spans="1:18" x14ac:dyDescent="0.3">
      <c r="A7" s="16" t="s">
        <v>148</v>
      </c>
      <c r="B7">
        <v>1509507</v>
      </c>
      <c r="C7">
        <v>806348</v>
      </c>
      <c r="D7">
        <v>682057</v>
      </c>
    </row>
    <row r="8" spans="1:18" x14ac:dyDescent="0.3">
      <c r="A8" s="16" t="s">
        <v>149</v>
      </c>
      <c r="B8">
        <v>1676811</v>
      </c>
      <c r="C8">
        <v>986826</v>
      </c>
      <c r="D8">
        <v>752736</v>
      </c>
    </row>
    <row r="9" spans="1:18" x14ac:dyDescent="0.3">
      <c r="A9" s="16" t="s">
        <v>150</v>
      </c>
      <c r="B9">
        <v>1596383</v>
      </c>
      <c r="C9">
        <v>1040577</v>
      </c>
      <c r="D9">
        <v>642871</v>
      </c>
    </row>
    <row r="10" spans="1:18" x14ac:dyDescent="0.3">
      <c r="A10" s="16" t="s">
        <v>151</v>
      </c>
      <c r="B10">
        <v>1708736</v>
      </c>
      <c r="C10">
        <v>979577</v>
      </c>
      <c r="D10">
        <v>549565</v>
      </c>
    </row>
    <row r="11" spans="1:18" x14ac:dyDescent="0.3">
      <c r="A11" s="16" t="s">
        <v>152</v>
      </c>
      <c r="B11">
        <v>1773533</v>
      </c>
      <c r="C11">
        <v>734430</v>
      </c>
      <c r="D11">
        <v>322573</v>
      </c>
    </row>
    <row r="12" spans="1:18" x14ac:dyDescent="0.3">
      <c r="A12" s="16" t="s">
        <v>153</v>
      </c>
      <c r="B12">
        <v>1441823</v>
      </c>
      <c r="C12">
        <v>1082485</v>
      </c>
      <c r="D12">
        <v>453465</v>
      </c>
    </row>
    <row r="13" spans="1:18" x14ac:dyDescent="0.3">
      <c r="A13" s="16" t="s">
        <v>154</v>
      </c>
      <c r="B13">
        <v>1539375</v>
      </c>
      <c r="C13">
        <v>1019253</v>
      </c>
      <c r="D13">
        <v>461211</v>
      </c>
    </row>
    <row r="14" spans="1:18" x14ac:dyDescent="0.3">
      <c r="A14" s="17" t="s">
        <v>155</v>
      </c>
      <c r="B14" s="18">
        <f>AVERAGE(B2:B13)</f>
        <v>1694370.5833333333</v>
      </c>
      <c r="C14" s="18">
        <f>AVERAGE(C2:C13)</f>
        <v>1040005.6666666666</v>
      </c>
      <c r="D14" s="18">
        <f>AVERAGE(D2:D13)</f>
        <v>646232.75</v>
      </c>
    </row>
    <row r="15" spans="1:18" x14ac:dyDescent="0.3">
      <c r="A15" s="17" t="s">
        <v>158</v>
      </c>
      <c r="B15" s="18">
        <f>SUM(B2:B13)</f>
        <v>20332447</v>
      </c>
      <c r="C15" s="18">
        <f>SUM(C2:C13)</f>
        <v>12480068</v>
      </c>
      <c r="D15" s="18">
        <f>SUM(D2:D13)</f>
        <v>7754793</v>
      </c>
    </row>
    <row r="20" spans="1:3" x14ac:dyDescent="0.3">
      <c r="B20" s="14" t="s">
        <v>222</v>
      </c>
      <c r="C20" t="s">
        <v>242</v>
      </c>
    </row>
    <row r="21" spans="1:3" x14ac:dyDescent="0.3">
      <c r="A21" s="16" t="s">
        <v>209</v>
      </c>
      <c r="B21">
        <f>SUM(B2:B4)</f>
        <v>5205631</v>
      </c>
      <c r="C21" s="33">
        <v>0</v>
      </c>
    </row>
    <row r="22" spans="1:3" x14ac:dyDescent="0.3">
      <c r="A22" s="16" t="s">
        <v>210</v>
      </c>
      <c r="B22">
        <f>SUM(B5:B7)</f>
        <v>5390155</v>
      </c>
      <c r="C22" s="33">
        <f>B22/B21-1</f>
        <v>3.5446999604850982E-2</v>
      </c>
    </row>
    <row r="23" spans="1:3" x14ac:dyDescent="0.3">
      <c r="A23" s="16" t="s">
        <v>211</v>
      </c>
      <c r="B23">
        <f>SUM(B8:B10)</f>
        <v>4981930</v>
      </c>
      <c r="C23" s="33">
        <f t="shared" ref="C23:C31" si="0">B23/B22-1</f>
        <v>-7.5735298892146918E-2</v>
      </c>
    </row>
    <row r="24" spans="1:3" x14ac:dyDescent="0.3">
      <c r="A24" s="16" t="s">
        <v>212</v>
      </c>
      <c r="B24">
        <f>SUM(B11:B13)</f>
        <v>4754731</v>
      </c>
      <c r="C24" s="33">
        <f t="shared" si="0"/>
        <v>-4.5604615078895128E-2</v>
      </c>
    </row>
    <row r="25" spans="1:3" x14ac:dyDescent="0.3">
      <c r="A25" s="16" t="s">
        <v>213</v>
      </c>
      <c r="B25">
        <f>SUM(C2:C4)</f>
        <v>3562217</v>
      </c>
      <c r="C25" s="33">
        <f t="shared" si="0"/>
        <v>-0.25080577639407997</v>
      </c>
    </row>
    <row r="26" spans="1:3" x14ac:dyDescent="0.3">
      <c r="A26" s="16" t="s">
        <v>214</v>
      </c>
      <c r="B26">
        <f>SUM(C5:C7)</f>
        <v>3074703</v>
      </c>
      <c r="C26" s="33">
        <f t="shared" si="0"/>
        <v>-0.1368569068083163</v>
      </c>
    </row>
    <row r="27" spans="1:3" x14ac:dyDescent="0.3">
      <c r="A27" s="16" t="s">
        <v>215</v>
      </c>
      <c r="B27">
        <f>SUM(C8:C10)</f>
        <v>3006980</v>
      </c>
      <c r="C27" s="33">
        <f t="shared" si="0"/>
        <v>-2.2025867213841477E-2</v>
      </c>
    </row>
    <row r="28" spans="1:3" x14ac:dyDescent="0.3">
      <c r="A28" s="16" t="s">
        <v>216</v>
      </c>
      <c r="B28">
        <f>SUM(C11:C13)</f>
        <v>2836168</v>
      </c>
      <c r="C28" s="33">
        <f t="shared" si="0"/>
        <v>-5.6805166645604532E-2</v>
      </c>
    </row>
    <row r="29" spans="1:3" x14ac:dyDescent="0.3">
      <c r="A29" s="16" t="s">
        <v>217</v>
      </c>
      <c r="B29">
        <f>SUM(D2:D4)</f>
        <v>2328441</v>
      </c>
      <c r="C29" s="33">
        <f t="shared" si="0"/>
        <v>-0.17901866180000625</v>
      </c>
    </row>
    <row r="30" spans="1:3" x14ac:dyDescent="0.3">
      <c r="A30" s="16" t="s">
        <v>218</v>
      </c>
      <c r="B30">
        <f>SUM(D5:D7)</f>
        <v>2243931</v>
      </c>
      <c r="C30" s="33">
        <f t="shared" si="0"/>
        <v>-3.6294670983718302E-2</v>
      </c>
    </row>
    <row r="31" spans="1:3" x14ac:dyDescent="0.3">
      <c r="A31" s="16" t="s">
        <v>219</v>
      </c>
      <c r="B31">
        <f>SUM(D8:D10)</f>
        <v>1945172</v>
      </c>
      <c r="C31" s="33">
        <f t="shared" si="0"/>
        <v>-0.1331409031739389</v>
      </c>
    </row>
    <row r="32" spans="1:3" x14ac:dyDescent="0.3">
      <c r="A32" s="16" t="s">
        <v>220</v>
      </c>
      <c r="B32">
        <f>SUM(D11:D13)</f>
        <v>1237249</v>
      </c>
      <c r="C32" s="33">
        <f>B32/B31-1</f>
        <v>-0.36393851032196634</v>
      </c>
    </row>
    <row r="41" spans="3:3" x14ac:dyDescent="0.3">
      <c r="C41" s="33"/>
    </row>
    <row r="42" spans="3:3" x14ac:dyDescent="0.3">
      <c r="C42" s="33"/>
    </row>
    <row r="43" spans="3:3" x14ac:dyDescent="0.3">
      <c r="C43" s="33"/>
    </row>
    <row r="44" spans="3:3" x14ac:dyDescent="0.3">
      <c r="C44" s="33"/>
    </row>
    <row r="45" spans="3:3" x14ac:dyDescent="0.3">
      <c r="C45" s="33"/>
    </row>
    <row r="46" spans="3:3" x14ac:dyDescent="0.3">
      <c r="C46" s="33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F972-0E93-40A7-A829-955AD5CE19A4}">
  <dimension ref="A1:N32"/>
  <sheetViews>
    <sheetView tabSelected="1" topLeftCell="D1" workbookViewId="0">
      <selection activeCell="N5" sqref="N5"/>
    </sheetView>
  </sheetViews>
  <sheetFormatPr defaultRowHeight="14.4" x14ac:dyDescent="0.3"/>
  <cols>
    <col min="1" max="1" width="17.21875" customWidth="1"/>
    <col min="2" max="2" width="10.44140625" bestFit="1" customWidth="1"/>
    <col min="3" max="3" width="19.44140625" customWidth="1"/>
    <col min="4" max="4" width="18.6640625" customWidth="1"/>
    <col min="5" max="5" width="21" customWidth="1"/>
    <col min="6" max="6" width="27.5546875" customWidth="1"/>
    <col min="8" max="8" width="11.109375" bestFit="1" customWidth="1"/>
    <col min="9" max="9" width="12.5546875" bestFit="1" customWidth="1"/>
    <col min="10" max="10" width="17.5546875" customWidth="1"/>
    <col min="11" max="11" width="18.21875" bestFit="1" customWidth="1"/>
    <col min="12" max="12" width="7.6640625" customWidth="1"/>
    <col min="13" max="13" width="17.21875" bestFit="1" customWidth="1"/>
    <col min="14" max="14" width="11.109375" bestFit="1" customWidth="1"/>
    <col min="15" max="15" width="11.109375" customWidth="1"/>
    <col min="16" max="16" width="14.33203125" customWidth="1"/>
  </cols>
  <sheetData>
    <row r="1" spans="1:14" ht="28.8" x14ac:dyDescent="0.3">
      <c r="A1" s="32" t="s">
        <v>191</v>
      </c>
      <c r="B1" s="32" t="s">
        <v>192</v>
      </c>
      <c r="C1" s="32" t="s">
        <v>193</v>
      </c>
      <c r="D1" s="32" t="s">
        <v>142</v>
      </c>
      <c r="E1" s="32" t="s">
        <v>194</v>
      </c>
      <c r="F1" s="32" t="s">
        <v>195</v>
      </c>
      <c r="I1" s="34" t="s">
        <v>192</v>
      </c>
      <c r="J1" s="35" t="s">
        <v>221</v>
      </c>
      <c r="K1" s="35" t="s">
        <v>222</v>
      </c>
    </row>
    <row r="2" spans="1:14" x14ac:dyDescent="0.3">
      <c r="A2" s="21">
        <v>45047</v>
      </c>
      <c r="B2" s="22" t="str">
        <f>TEXT(A2,"dddd")</f>
        <v>Monday</v>
      </c>
      <c r="C2" s="23">
        <v>0</v>
      </c>
      <c r="D2" s="23">
        <v>0</v>
      </c>
      <c r="E2" s="23">
        <v>0</v>
      </c>
      <c r="F2" s="24" t="s">
        <v>7</v>
      </c>
      <c r="I2" s="35" t="s">
        <v>202</v>
      </c>
      <c r="J2" s="35">
        <v>34</v>
      </c>
      <c r="K2" s="35">
        <v>18530</v>
      </c>
    </row>
    <row r="3" spans="1:14" x14ac:dyDescent="0.3">
      <c r="A3" s="25">
        <v>45048</v>
      </c>
      <c r="B3" s="26" t="str">
        <f t="shared" ref="B3:B32" si="0">TEXT(A3,"dddd")</f>
        <v>Tuesday</v>
      </c>
      <c r="C3" s="28">
        <v>8</v>
      </c>
      <c r="D3" s="28">
        <v>8743</v>
      </c>
      <c r="E3" s="28">
        <v>0</v>
      </c>
      <c r="F3" s="27" t="s">
        <v>7</v>
      </c>
      <c r="I3" s="35" t="s">
        <v>203</v>
      </c>
      <c r="J3" s="35">
        <v>35</v>
      </c>
      <c r="K3" s="35">
        <v>26706</v>
      </c>
      <c r="M3" t="s">
        <v>244</v>
      </c>
      <c r="N3">
        <f>GETPIVOTDATA("Footfall",$I$1,"Weekday","Wednesday")/GETPIVOTDATA("Footfall",$I$1)</f>
        <v>0.18359375</v>
      </c>
    </row>
    <row r="4" spans="1:14" x14ac:dyDescent="0.3">
      <c r="A4" s="25">
        <v>45049</v>
      </c>
      <c r="B4" s="26" t="str">
        <f t="shared" si="0"/>
        <v>Wednesday</v>
      </c>
      <c r="C4" s="28">
        <v>8</v>
      </c>
      <c r="D4" s="28">
        <v>8501</v>
      </c>
      <c r="E4" s="28">
        <v>0</v>
      </c>
      <c r="F4" s="27" t="s">
        <v>7</v>
      </c>
      <c r="I4" s="35" t="s">
        <v>204</v>
      </c>
      <c r="J4" s="35">
        <v>29</v>
      </c>
      <c r="K4" s="35">
        <v>22200</v>
      </c>
      <c r="M4" s="38" t="s">
        <v>245</v>
      </c>
      <c r="N4">
        <f>GETPIVOTDATA("Revenue",$I$1,"Weekday","Wednesday")/GETPIVOTDATA("Revenue",$I$1)</f>
        <v>0.21785255851189916</v>
      </c>
    </row>
    <row r="5" spans="1:14" x14ac:dyDescent="0.3">
      <c r="A5" s="25">
        <v>45050</v>
      </c>
      <c r="B5" s="26" t="str">
        <f t="shared" si="0"/>
        <v>Thursday</v>
      </c>
      <c r="C5" s="28">
        <v>11</v>
      </c>
      <c r="D5" s="28">
        <v>10892</v>
      </c>
      <c r="E5" s="28">
        <v>0</v>
      </c>
      <c r="F5" s="27" t="s">
        <v>7</v>
      </c>
      <c r="I5" s="35" t="s">
        <v>205</v>
      </c>
      <c r="J5" s="35">
        <v>47</v>
      </c>
      <c r="K5" s="35">
        <v>48709</v>
      </c>
    </row>
    <row r="6" spans="1:14" x14ac:dyDescent="0.3">
      <c r="A6" s="25">
        <v>45051</v>
      </c>
      <c r="B6" s="26" t="str">
        <f t="shared" si="0"/>
        <v>Friday</v>
      </c>
      <c r="C6" s="29">
        <v>12</v>
      </c>
      <c r="D6" s="29">
        <v>10219</v>
      </c>
      <c r="E6" s="29">
        <v>2</v>
      </c>
      <c r="F6" s="30" t="s">
        <v>196</v>
      </c>
      <c r="I6" s="35" t="s">
        <v>206</v>
      </c>
      <c r="J6" s="35">
        <v>38</v>
      </c>
      <c r="K6" s="35">
        <v>32314</v>
      </c>
    </row>
    <row r="7" spans="1:14" x14ac:dyDescent="0.3">
      <c r="A7" s="25">
        <v>45052</v>
      </c>
      <c r="B7" s="26" t="str">
        <f t="shared" si="0"/>
        <v>Saturday</v>
      </c>
      <c r="C7" s="29">
        <v>10</v>
      </c>
      <c r="D7" s="29">
        <v>10331</v>
      </c>
      <c r="E7" s="29">
        <v>1</v>
      </c>
      <c r="F7" s="30" t="s">
        <v>197</v>
      </c>
      <c r="I7" s="35" t="s">
        <v>207</v>
      </c>
      <c r="J7" s="35">
        <v>36</v>
      </c>
      <c r="K7" s="35">
        <v>36043</v>
      </c>
    </row>
    <row r="8" spans="1:14" x14ac:dyDescent="0.3">
      <c r="A8" s="25">
        <v>45053</v>
      </c>
      <c r="B8" s="26" t="str">
        <f t="shared" si="0"/>
        <v>Sunday</v>
      </c>
      <c r="C8" s="29">
        <v>11</v>
      </c>
      <c r="D8" s="29">
        <v>5368</v>
      </c>
      <c r="E8" s="29">
        <v>1</v>
      </c>
      <c r="F8" s="29" t="s">
        <v>198</v>
      </c>
      <c r="I8" s="35" t="s">
        <v>208</v>
      </c>
      <c r="J8" s="35">
        <v>37</v>
      </c>
      <c r="K8" s="35">
        <v>39085</v>
      </c>
    </row>
    <row r="9" spans="1:14" x14ac:dyDescent="0.3">
      <c r="A9" s="25">
        <v>45054</v>
      </c>
      <c r="B9" s="26" t="str">
        <f t="shared" si="0"/>
        <v>Monday</v>
      </c>
      <c r="C9" s="29">
        <v>12</v>
      </c>
      <c r="D9" s="29">
        <v>6936</v>
      </c>
      <c r="E9" s="29">
        <v>0</v>
      </c>
      <c r="F9" s="27" t="s">
        <v>7</v>
      </c>
      <c r="I9" s="36" t="s">
        <v>122</v>
      </c>
      <c r="J9" s="29">
        <v>256</v>
      </c>
      <c r="K9" s="29">
        <v>223587</v>
      </c>
    </row>
    <row r="10" spans="1:14" x14ac:dyDescent="0.3">
      <c r="A10" s="25">
        <v>45055</v>
      </c>
      <c r="B10" s="26" t="str">
        <f t="shared" si="0"/>
        <v>Tuesday</v>
      </c>
      <c r="C10" s="29">
        <v>10</v>
      </c>
      <c r="D10" s="29">
        <v>6674</v>
      </c>
      <c r="E10" s="29">
        <v>0</v>
      </c>
      <c r="F10" s="27" t="s">
        <v>7</v>
      </c>
    </row>
    <row r="11" spans="1:14" x14ac:dyDescent="0.3">
      <c r="A11" s="25">
        <v>45056</v>
      </c>
      <c r="B11" s="26" t="str">
        <f t="shared" si="0"/>
        <v>Wednesday</v>
      </c>
      <c r="C11" s="29">
        <v>8</v>
      </c>
      <c r="D11" s="29">
        <v>10268</v>
      </c>
      <c r="E11" s="29">
        <v>0</v>
      </c>
      <c r="F11" s="27" t="s">
        <v>7</v>
      </c>
    </row>
    <row r="12" spans="1:14" x14ac:dyDescent="0.3">
      <c r="A12" s="25">
        <v>45057</v>
      </c>
      <c r="B12" s="26" t="str">
        <f t="shared" si="0"/>
        <v>Thursday</v>
      </c>
      <c r="C12" s="29">
        <v>6</v>
      </c>
      <c r="D12" s="29">
        <v>7602</v>
      </c>
      <c r="E12" s="29">
        <v>0</v>
      </c>
      <c r="F12" s="27" t="s">
        <v>7</v>
      </c>
    </row>
    <row r="13" spans="1:14" x14ac:dyDescent="0.3">
      <c r="A13" s="25">
        <v>45058</v>
      </c>
      <c r="B13" s="26" t="str">
        <f t="shared" si="0"/>
        <v>Friday</v>
      </c>
      <c r="C13" s="29">
        <v>6</v>
      </c>
      <c r="D13" s="29">
        <v>9097</v>
      </c>
      <c r="E13" s="29">
        <v>0</v>
      </c>
      <c r="F13" s="27" t="s">
        <v>7</v>
      </c>
    </row>
    <row r="14" spans="1:14" x14ac:dyDescent="0.3">
      <c r="A14" s="25">
        <v>45059</v>
      </c>
      <c r="B14" s="26" t="str">
        <f t="shared" si="0"/>
        <v>Saturday</v>
      </c>
      <c r="C14" s="29">
        <v>9</v>
      </c>
      <c r="D14" s="29">
        <v>10344</v>
      </c>
      <c r="E14" s="29">
        <v>0</v>
      </c>
      <c r="F14" s="27" t="s">
        <v>7</v>
      </c>
    </row>
    <row r="15" spans="1:14" x14ac:dyDescent="0.3">
      <c r="A15" s="21">
        <v>45060</v>
      </c>
      <c r="B15" s="22" t="str">
        <f t="shared" si="0"/>
        <v>Sunday</v>
      </c>
      <c r="C15" s="31">
        <v>0</v>
      </c>
      <c r="D15" s="31">
        <v>0</v>
      </c>
      <c r="E15" s="31">
        <v>0</v>
      </c>
      <c r="F15" s="24" t="s">
        <v>7</v>
      </c>
    </row>
    <row r="16" spans="1:14" x14ac:dyDescent="0.3">
      <c r="A16" s="25">
        <v>45061</v>
      </c>
      <c r="B16" s="26" t="str">
        <f t="shared" si="0"/>
        <v>Monday</v>
      </c>
      <c r="C16" s="29">
        <v>8</v>
      </c>
      <c r="D16" s="29">
        <v>7274</v>
      </c>
      <c r="E16" s="29">
        <v>0</v>
      </c>
      <c r="F16" s="27" t="s">
        <v>7</v>
      </c>
    </row>
    <row r="17" spans="1:6" x14ac:dyDescent="0.3">
      <c r="A17" s="25">
        <v>45062</v>
      </c>
      <c r="B17" s="26" t="str">
        <f t="shared" si="0"/>
        <v>Tuesday</v>
      </c>
      <c r="C17" s="29">
        <v>11</v>
      </c>
      <c r="D17" s="29">
        <v>6783</v>
      </c>
      <c r="E17" s="29">
        <v>2</v>
      </c>
      <c r="F17" s="29" t="s">
        <v>199</v>
      </c>
    </row>
    <row r="18" spans="1:6" x14ac:dyDescent="0.3">
      <c r="A18" s="25">
        <v>45063</v>
      </c>
      <c r="B18" s="26" t="str">
        <f t="shared" si="0"/>
        <v>Wednesday</v>
      </c>
      <c r="C18" s="29">
        <v>11</v>
      </c>
      <c r="D18" s="29">
        <v>10869</v>
      </c>
      <c r="E18" s="29">
        <v>0</v>
      </c>
      <c r="F18" s="27" t="s">
        <v>7</v>
      </c>
    </row>
    <row r="19" spans="1:6" x14ac:dyDescent="0.3">
      <c r="A19" s="25">
        <v>45064</v>
      </c>
      <c r="B19" s="26" t="str">
        <f t="shared" si="0"/>
        <v>Thursday</v>
      </c>
      <c r="C19" s="29">
        <v>13</v>
      </c>
      <c r="D19" s="29">
        <v>7578</v>
      </c>
      <c r="E19" s="29">
        <v>1</v>
      </c>
      <c r="F19" s="29" t="s">
        <v>200</v>
      </c>
    </row>
    <row r="20" spans="1:6" x14ac:dyDescent="0.3">
      <c r="A20" s="25">
        <v>45065</v>
      </c>
      <c r="B20" s="26" t="str">
        <f t="shared" si="0"/>
        <v>Friday</v>
      </c>
      <c r="C20" s="29">
        <v>8</v>
      </c>
      <c r="D20" s="29">
        <v>7437</v>
      </c>
      <c r="E20" s="29">
        <v>0</v>
      </c>
      <c r="F20" s="27" t="s">
        <v>7</v>
      </c>
    </row>
    <row r="21" spans="1:6" x14ac:dyDescent="0.3">
      <c r="A21" s="25">
        <v>45066</v>
      </c>
      <c r="B21" s="26" t="str">
        <f t="shared" si="0"/>
        <v>Saturday</v>
      </c>
      <c r="C21" s="29">
        <v>12</v>
      </c>
      <c r="D21" s="29">
        <v>9810</v>
      </c>
      <c r="E21" s="29">
        <v>0</v>
      </c>
      <c r="F21" s="27" t="s">
        <v>7</v>
      </c>
    </row>
    <row r="22" spans="1:6" x14ac:dyDescent="0.3">
      <c r="A22" s="25">
        <v>45067</v>
      </c>
      <c r="B22" s="26" t="str">
        <f t="shared" si="0"/>
        <v>Sunday</v>
      </c>
      <c r="C22" s="29">
        <v>13</v>
      </c>
      <c r="D22" s="29">
        <v>5121</v>
      </c>
      <c r="E22" s="29">
        <v>0</v>
      </c>
      <c r="F22" s="27" t="s">
        <v>7</v>
      </c>
    </row>
    <row r="23" spans="1:6" x14ac:dyDescent="0.3">
      <c r="A23" s="25">
        <v>45068</v>
      </c>
      <c r="B23" s="26" t="str">
        <f t="shared" si="0"/>
        <v>Monday</v>
      </c>
      <c r="C23" s="29">
        <v>7</v>
      </c>
      <c r="D23" s="29">
        <v>5012</v>
      </c>
      <c r="E23" s="29">
        <v>0</v>
      </c>
      <c r="F23" s="27" t="s">
        <v>7</v>
      </c>
    </row>
    <row r="24" spans="1:6" x14ac:dyDescent="0.3">
      <c r="A24" s="21">
        <v>45069</v>
      </c>
      <c r="B24" s="22" t="str">
        <f t="shared" si="0"/>
        <v>Tuesday</v>
      </c>
      <c r="C24" s="31">
        <v>0</v>
      </c>
      <c r="D24" s="31">
        <v>0</v>
      </c>
      <c r="E24" s="31">
        <v>0</v>
      </c>
      <c r="F24" s="24" t="s">
        <v>7</v>
      </c>
    </row>
    <row r="25" spans="1:6" x14ac:dyDescent="0.3">
      <c r="A25" s="25">
        <v>45070</v>
      </c>
      <c r="B25" s="26" t="str">
        <f t="shared" si="0"/>
        <v>Wednesday</v>
      </c>
      <c r="C25" s="29">
        <v>7</v>
      </c>
      <c r="D25" s="29">
        <v>8191</v>
      </c>
      <c r="E25" s="29">
        <v>0</v>
      </c>
      <c r="F25" s="27" t="s">
        <v>7</v>
      </c>
    </row>
    <row r="26" spans="1:6" x14ac:dyDescent="0.3">
      <c r="A26" s="25">
        <v>45071</v>
      </c>
      <c r="B26" s="26" t="str">
        <f t="shared" si="0"/>
        <v>Thursday</v>
      </c>
      <c r="C26" s="29">
        <v>8</v>
      </c>
      <c r="D26" s="29">
        <v>6242</v>
      </c>
      <c r="E26" s="29">
        <v>0</v>
      </c>
      <c r="F26" s="27" t="s">
        <v>7</v>
      </c>
    </row>
    <row r="27" spans="1:6" x14ac:dyDescent="0.3">
      <c r="A27" s="25">
        <v>45072</v>
      </c>
      <c r="B27" s="26" t="str">
        <f t="shared" si="0"/>
        <v>Friday</v>
      </c>
      <c r="C27" s="29">
        <v>10</v>
      </c>
      <c r="D27" s="29">
        <v>9290</v>
      </c>
      <c r="E27" s="29">
        <v>0</v>
      </c>
      <c r="F27" s="27" t="s">
        <v>7</v>
      </c>
    </row>
    <row r="28" spans="1:6" x14ac:dyDescent="0.3">
      <c r="A28" s="25">
        <v>45073</v>
      </c>
      <c r="B28" s="26" t="str">
        <f t="shared" si="0"/>
        <v>Saturday</v>
      </c>
      <c r="C28" s="29">
        <v>6</v>
      </c>
      <c r="D28" s="29">
        <v>8600</v>
      </c>
      <c r="E28" s="29">
        <v>0</v>
      </c>
      <c r="F28" s="27" t="s">
        <v>7</v>
      </c>
    </row>
    <row r="29" spans="1:6" x14ac:dyDescent="0.3">
      <c r="A29" s="25">
        <v>45074</v>
      </c>
      <c r="B29" s="26" t="str">
        <f t="shared" si="0"/>
        <v>Sunday</v>
      </c>
      <c r="C29" s="29">
        <v>10</v>
      </c>
      <c r="D29" s="29">
        <v>8041</v>
      </c>
      <c r="E29" s="29">
        <v>1</v>
      </c>
      <c r="F29" s="29" t="s">
        <v>201</v>
      </c>
    </row>
    <row r="30" spans="1:6" x14ac:dyDescent="0.3">
      <c r="A30" s="25">
        <v>45075</v>
      </c>
      <c r="B30" s="26" t="str">
        <f t="shared" si="0"/>
        <v>Monday</v>
      </c>
      <c r="C30" s="29">
        <v>8</v>
      </c>
      <c r="D30" s="29">
        <v>7484</v>
      </c>
      <c r="E30" s="29">
        <v>0</v>
      </c>
      <c r="F30" s="27" t="s">
        <v>7</v>
      </c>
    </row>
    <row r="31" spans="1:6" x14ac:dyDescent="0.3">
      <c r="A31" s="21">
        <v>45076</v>
      </c>
      <c r="B31" s="22" t="str">
        <f t="shared" si="0"/>
        <v>Tuesday</v>
      </c>
      <c r="C31" s="31">
        <v>0</v>
      </c>
      <c r="D31" s="31">
        <v>0</v>
      </c>
      <c r="E31" s="31">
        <v>0</v>
      </c>
      <c r="F31" s="24" t="s">
        <v>7</v>
      </c>
    </row>
    <row r="32" spans="1:6" x14ac:dyDescent="0.3">
      <c r="A32" s="25">
        <v>45077</v>
      </c>
      <c r="B32" s="26" t="str">
        <f t="shared" si="0"/>
        <v>Wednesday</v>
      </c>
      <c r="C32" s="29">
        <v>13</v>
      </c>
      <c r="D32" s="29">
        <v>10880</v>
      </c>
      <c r="E32" s="29">
        <v>0</v>
      </c>
      <c r="F32" s="27" t="s">
        <v>7</v>
      </c>
    </row>
  </sheetData>
  <autoFilter ref="B1:B32" xr:uid="{2068F972-0E93-40A7-A829-955AD5CE19A4}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9D09-D351-4497-B824-B05826D140DD}">
  <dimension ref="A1:N43"/>
  <sheetViews>
    <sheetView zoomScaleNormal="100" workbookViewId="0">
      <selection activeCell="L22" sqref="L22"/>
    </sheetView>
  </sheetViews>
  <sheetFormatPr defaultRowHeight="14.4" x14ac:dyDescent="0.3"/>
  <cols>
    <col min="1" max="1" width="15.77734375" customWidth="1"/>
    <col min="2" max="2" width="20.44140625" customWidth="1"/>
    <col min="3" max="3" width="21.33203125" bestFit="1" customWidth="1"/>
    <col min="4" max="4" width="10.88671875" bestFit="1" customWidth="1"/>
    <col min="6" max="6" width="15.33203125" customWidth="1"/>
    <col min="7" max="7" width="11.5546875" customWidth="1"/>
    <col min="8" max="8" width="15.77734375" bestFit="1" customWidth="1"/>
    <col min="11" max="11" width="14.6640625" customWidth="1"/>
    <col min="12" max="12" width="15" style="9" customWidth="1"/>
    <col min="14" max="14" width="14.21875" style="9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30</v>
      </c>
      <c r="F1" s="2" t="s">
        <v>30</v>
      </c>
      <c r="G1" s="2" t="s">
        <v>124</v>
      </c>
      <c r="H1" s="2" t="s">
        <v>126</v>
      </c>
      <c r="K1" s="2" t="s">
        <v>30</v>
      </c>
      <c r="L1" s="2" t="s">
        <v>164</v>
      </c>
      <c r="N1" s="2" t="s">
        <v>165</v>
      </c>
    </row>
    <row r="2" spans="1:14" x14ac:dyDescent="0.3">
      <c r="A2" t="s">
        <v>3</v>
      </c>
      <c r="B2">
        <v>1</v>
      </c>
      <c r="C2">
        <v>0.5</v>
      </c>
      <c r="D2">
        <f>(C2/B2)*100</f>
        <v>50</v>
      </c>
      <c r="F2" t="s">
        <v>135</v>
      </c>
      <c r="G2">
        <v>25</v>
      </c>
      <c r="H2" cm="1">
        <f t="array" ref="H2:H5">FREQUENCY(D:D,G2:G4)</f>
        <v>23</v>
      </c>
      <c r="K2" t="s">
        <v>159</v>
      </c>
      <c r="L2" s="9">
        <f>B41/B42</f>
        <v>0.31578947368421051</v>
      </c>
    </row>
    <row r="3" spans="1:14" x14ac:dyDescent="0.3">
      <c r="A3" t="s">
        <v>4</v>
      </c>
      <c r="B3">
        <v>1</v>
      </c>
      <c r="C3">
        <v>1</v>
      </c>
      <c r="D3">
        <f t="shared" ref="D3:D39" si="0">(C3/B3)*100</f>
        <v>100</v>
      </c>
      <c r="F3" t="s">
        <v>136</v>
      </c>
      <c r="G3">
        <v>50</v>
      </c>
      <c r="H3">
        <v>8</v>
      </c>
      <c r="K3" t="s">
        <v>138</v>
      </c>
      <c r="L3" s="9">
        <f>(H5/B43)*M3</f>
        <v>0.13157894736842107</v>
      </c>
      <c r="M3" s="40">
        <f>(B42-COUNTIF(C:C,0))/B42</f>
        <v>0.68421052631578949</v>
      </c>
      <c r="N3" s="9">
        <f>L3/M3</f>
        <v>0.19230769230769235</v>
      </c>
    </row>
    <row r="4" spans="1:14" x14ac:dyDescent="0.3">
      <c r="A4" t="s">
        <v>5</v>
      </c>
      <c r="B4">
        <v>0.25</v>
      </c>
      <c r="C4">
        <v>0.2</v>
      </c>
      <c r="D4">
        <f t="shared" si="0"/>
        <v>80</v>
      </c>
      <c r="F4" t="s">
        <v>137</v>
      </c>
      <c r="G4">
        <v>75</v>
      </c>
      <c r="H4">
        <v>2</v>
      </c>
      <c r="K4" t="s">
        <v>137</v>
      </c>
      <c r="L4" s="9">
        <f>(H4/B43)*M3</f>
        <v>5.2631578947368425E-2</v>
      </c>
      <c r="M4" s="40"/>
      <c r="N4" s="9">
        <f>L4/M3</f>
        <v>7.6923076923076927E-2</v>
      </c>
    </row>
    <row r="5" spans="1:14" x14ac:dyDescent="0.3">
      <c r="A5" t="s">
        <v>6</v>
      </c>
      <c r="B5">
        <v>1</v>
      </c>
      <c r="C5">
        <v>0.1</v>
      </c>
      <c r="D5">
        <f t="shared" si="0"/>
        <v>10</v>
      </c>
      <c r="F5" t="s">
        <v>138</v>
      </c>
      <c r="G5">
        <v>100</v>
      </c>
      <c r="H5">
        <v>5</v>
      </c>
      <c r="K5" t="s">
        <v>136</v>
      </c>
      <c r="L5" s="9">
        <f>(H3/B43)*M3</f>
        <v>0.2105263157894737</v>
      </c>
      <c r="M5" s="40"/>
      <c r="N5" s="9">
        <f>L5/M3</f>
        <v>0.30769230769230771</v>
      </c>
    </row>
    <row r="6" spans="1:14" x14ac:dyDescent="0.3">
      <c r="A6" t="s">
        <v>7</v>
      </c>
      <c r="B6">
        <v>0.5</v>
      </c>
      <c r="C6">
        <v>0</v>
      </c>
      <c r="D6">
        <f t="shared" si="0"/>
        <v>0</v>
      </c>
      <c r="K6" t="s">
        <v>163</v>
      </c>
      <c r="L6" s="9">
        <f>((H2-B41)/B43)*M3</f>
        <v>0.28947368421052633</v>
      </c>
      <c r="M6" s="40"/>
      <c r="N6" s="9">
        <f>L6/M3</f>
        <v>0.42307692307692307</v>
      </c>
    </row>
    <row r="7" spans="1:14" x14ac:dyDescent="0.3">
      <c r="A7" t="s">
        <v>8</v>
      </c>
      <c r="B7">
        <v>1</v>
      </c>
      <c r="C7">
        <v>0.5</v>
      </c>
      <c r="D7">
        <f t="shared" si="0"/>
        <v>50</v>
      </c>
    </row>
    <row r="8" spans="1:14" x14ac:dyDescent="0.3">
      <c r="A8" t="s">
        <v>7</v>
      </c>
      <c r="B8">
        <v>0.25</v>
      </c>
      <c r="C8">
        <v>0</v>
      </c>
      <c r="D8">
        <f t="shared" si="0"/>
        <v>0</v>
      </c>
    </row>
    <row r="9" spans="1:14" x14ac:dyDescent="0.3">
      <c r="A9" t="s">
        <v>7</v>
      </c>
      <c r="B9">
        <v>1</v>
      </c>
      <c r="C9">
        <v>0</v>
      </c>
      <c r="D9">
        <f t="shared" si="0"/>
        <v>0</v>
      </c>
    </row>
    <row r="10" spans="1:14" x14ac:dyDescent="0.3">
      <c r="A10" t="s">
        <v>9</v>
      </c>
      <c r="B10">
        <v>1</v>
      </c>
      <c r="C10">
        <v>0.05</v>
      </c>
      <c r="D10">
        <f t="shared" si="0"/>
        <v>5</v>
      </c>
    </row>
    <row r="11" spans="1:14" x14ac:dyDescent="0.3">
      <c r="A11" t="s">
        <v>7</v>
      </c>
      <c r="B11">
        <v>0.25</v>
      </c>
      <c r="C11">
        <v>0</v>
      </c>
      <c r="D11">
        <f t="shared" si="0"/>
        <v>0</v>
      </c>
    </row>
    <row r="12" spans="1:14" x14ac:dyDescent="0.3">
      <c r="A12" t="s">
        <v>10</v>
      </c>
      <c r="B12">
        <v>5</v>
      </c>
      <c r="C12">
        <v>2</v>
      </c>
      <c r="D12">
        <f t="shared" si="0"/>
        <v>40</v>
      </c>
    </row>
    <row r="13" spans="1:14" x14ac:dyDescent="0.3">
      <c r="A13" t="s">
        <v>11</v>
      </c>
      <c r="B13">
        <v>5</v>
      </c>
      <c r="C13">
        <v>0.25</v>
      </c>
      <c r="D13">
        <f t="shared" si="0"/>
        <v>5</v>
      </c>
    </row>
    <row r="14" spans="1:14" x14ac:dyDescent="0.3">
      <c r="A14" t="s">
        <v>12</v>
      </c>
      <c r="B14">
        <v>2</v>
      </c>
      <c r="C14">
        <v>1</v>
      </c>
      <c r="D14">
        <f t="shared" si="0"/>
        <v>50</v>
      </c>
    </row>
    <row r="15" spans="1:14" x14ac:dyDescent="0.3">
      <c r="A15" t="s">
        <v>13</v>
      </c>
      <c r="B15">
        <v>5</v>
      </c>
      <c r="C15">
        <v>1.5</v>
      </c>
      <c r="D15">
        <f t="shared" si="0"/>
        <v>30</v>
      </c>
    </row>
    <row r="16" spans="1:14" x14ac:dyDescent="0.3">
      <c r="A16" t="s">
        <v>14</v>
      </c>
      <c r="B16">
        <v>3</v>
      </c>
      <c r="C16">
        <v>1</v>
      </c>
      <c r="D16">
        <f t="shared" si="0"/>
        <v>33.333333333333329</v>
      </c>
    </row>
    <row r="17" spans="1:4" x14ac:dyDescent="0.3">
      <c r="A17" t="s">
        <v>15</v>
      </c>
      <c r="B17">
        <v>5</v>
      </c>
      <c r="C17">
        <v>4.5</v>
      </c>
      <c r="D17">
        <f t="shared" si="0"/>
        <v>90</v>
      </c>
    </row>
    <row r="18" spans="1:4" x14ac:dyDescent="0.3">
      <c r="A18" t="s">
        <v>16</v>
      </c>
      <c r="B18">
        <v>5</v>
      </c>
      <c r="C18">
        <v>3</v>
      </c>
      <c r="D18">
        <f t="shared" si="0"/>
        <v>60</v>
      </c>
    </row>
    <row r="19" spans="1:4" x14ac:dyDescent="0.3">
      <c r="A19" t="s">
        <v>17</v>
      </c>
      <c r="B19">
        <v>5</v>
      </c>
      <c r="C19">
        <v>2</v>
      </c>
      <c r="D19">
        <f t="shared" si="0"/>
        <v>40</v>
      </c>
    </row>
    <row r="20" spans="1:4" x14ac:dyDescent="0.3">
      <c r="A20" t="s">
        <v>7</v>
      </c>
      <c r="B20">
        <v>5</v>
      </c>
      <c r="C20">
        <v>0</v>
      </c>
      <c r="D20">
        <f t="shared" si="0"/>
        <v>0</v>
      </c>
    </row>
    <row r="21" spans="1:4" x14ac:dyDescent="0.3">
      <c r="A21" t="s">
        <v>7</v>
      </c>
      <c r="B21">
        <v>5</v>
      </c>
      <c r="C21">
        <v>0</v>
      </c>
      <c r="D21">
        <f t="shared" si="0"/>
        <v>0</v>
      </c>
    </row>
    <row r="22" spans="1:4" x14ac:dyDescent="0.3">
      <c r="A22" t="s">
        <v>18</v>
      </c>
      <c r="B22">
        <v>2</v>
      </c>
      <c r="C22">
        <v>0.25</v>
      </c>
      <c r="D22">
        <f t="shared" si="0"/>
        <v>12.5</v>
      </c>
    </row>
    <row r="23" spans="1:4" x14ac:dyDescent="0.3">
      <c r="A23" t="s">
        <v>19</v>
      </c>
      <c r="B23">
        <v>5</v>
      </c>
      <c r="C23">
        <v>0.1</v>
      </c>
      <c r="D23">
        <f t="shared" si="0"/>
        <v>2</v>
      </c>
    </row>
    <row r="24" spans="1:4" x14ac:dyDescent="0.3">
      <c r="A24" t="s">
        <v>20</v>
      </c>
      <c r="B24">
        <v>5</v>
      </c>
      <c r="C24">
        <v>0.5</v>
      </c>
      <c r="D24">
        <f t="shared" si="0"/>
        <v>10</v>
      </c>
    </row>
    <row r="25" spans="1:4" x14ac:dyDescent="0.3">
      <c r="A25" t="s">
        <v>21</v>
      </c>
      <c r="B25">
        <v>5</v>
      </c>
      <c r="C25">
        <v>4</v>
      </c>
      <c r="D25">
        <f t="shared" si="0"/>
        <v>80</v>
      </c>
    </row>
    <row r="26" spans="1:4" x14ac:dyDescent="0.3">
      <c r="A26" t="s">
        <v>22</v>
      </c>
      <c r="B26">
        <v>5</v>
      </c>
      <c r="C26">
        <v>5</v>
      </c>
      <c r="D26">
        <f t="shared" si="0"/>
        <v>100</v>
      </c>
    </row>
    <row r="27" spans="1:4" x14ac:dyDescent="0.3">
      <c r="A27" t="s">
        <v>23</v>
      </c>
      <c r="B27">
        <v>5</v>
      </c>
      <c r="C27">
        <v>0.25</v>
      </c>
      <c r="D27">
        <f t="shared" si="0"/>
        <v>5</v>
      </c>
    </row>
    <row r="28" spans="1:4" x14ac:dyDescent="0.3">
      <c r="A28" t="s">
        <v>24</v>
      </c>
      <c r="B28">
        <v>5</v>
      </c>
      <c r="C28">
        <v>1</v>
      </c>
      <c r="D28">
        <f t="shared" si="0"/>
        <v>20</v>
      </c>
    </row>
    <row r="29" spans="1:4" x14ac:dyDescent="0.3">
      <c r="A29" t="s">
        <v>25</v>
      </c>
      <c r="B29">
        <v>5</v>
      </c>
      <c r="C29">
        <v>1</v>
      </c>
      <c r="D29">
        <f t="shared" si="0"/>
        <v>20</v>
      </c>
    </row>
    <row r="30" spans="1:4" x14ac:dyDescent="0.3">
      <c r="A30" t="s">
        <v>7</v>
      </c>
      <c r="B30">
        <v>5</v>
      </c>
      <c r="C30">
        <v>0</v>
      </c>
      <c r="D30">
        <f t="shared" si="0"/>
        <v>0</v>
      </c>
    </row>
    <row r="31" spans="1:4" x14ac:dyDescent="0.3">
      <c r="A31" t="s">
        <v>26</v>
      </c>
      <c r="B31">
        <v>5</v>
      </c>
      <c r="C31">
        <v>0.5</v>
      </c>
      <c r="D31">
        <f t="shared" si="0"/>
        <v>10</v>
      </c>
    </row>
    <row r="32" spans="1:4" x14ac:dyDescent="0.3">
      <c r="A32" t="s">
        <v>27</v>
      </c>
      <c r="B32">
        <v>5</v>
      </c>
      <c r="C32">
        <v>0.1</v>
      </c>
      <c r="D32">
        <f t="shared" si="0"/>
        <v>2</v>
      </c>
    </row>
    <row r="33" spans="1:4" x14ac:dyDescent="0.3">
      <c r="A33" t="s">
        <v>13</v>
      </c>
      <c r="B33">
        <v>5</v>
      </c>
      <c r="C33">
        <v>3</v>
      </c>
      <c r="D33">
        <f t="shared" si="0"/>
        <v>60</v>
      </c>
    </row>
    <row r="34" spans="1:4" x14ac:dyDescent="0.3">
      <c r="A34" t="s">
        <v>7</v>
      </c>
      <c r="B34">
        <v>5</v>
      </c>
      <c r="C34">
        <v>0</v>
      </c>
      <c r="D34">
        <f t="shared" si="0"/>
        <v>0</v>
      </c>
    </row>
    <row r="35" spans="1:4" x14ac:dyDescent="0.3">
      <c r="A35" t="s">
        <v>28</v>
      </c>
      <c r="B35">
        <v>3</v>
      </c>
      <c r="C35">
        <v>0</v>
      </c>
      <c r="D35">
        <f t="shared" si="0"/>
        <v>0</v>
      </c>
    </row>
    <row r="36" spans="1:4" x14ac:dyDescent="0.3">
      <c r="A36" t="s">
        <v>29</v>
      </c>
      <c r="B36">
        <v>3</v>
      </c>
      <c r="C36">
        <v>1</v>
      </c>
      <c r="D36">
        <f t="shared" si="0"/>
        <v>33.333333333333329</v>
      </c>
    </row>
    <row r="37" spans="1:4" x14ac:dyDescent="0.3">
      <c r="A37" t="s">
        <v>7</v>
      </c>
      <c r="B37">
        <v>5</v>
      </c>
      <c r="C37">
        <v>0</v>
      </c>
      <c r="D37">
        <f t="shared" si="0"/>
        <v>0</v>
      </c>
    </row>
    <row r="38" spans="1:4" x14ac:dyDescent="0.3">
      <c r="A38" t="s">
        <v>7</v>
      </c>
      <c r="B38">
        <v>5</v>
      </c>
      <c r="C38">
        <v>0</v>
      </c>
      <c r="D38">
        <f t="shared" si="0"/>
        <v>0</v>
      </c>
    </row>
    <row r="39" spans="1:4" x14ac:dyDescent="0.3">
      <c r="A39" t="s">
        <v>7</v>
      </c>
      <c r="B39">
        <v>5</v>
      </c>
      <c r="C39">
        <v>0</v>
      </c>
      <c r="D39">
        <f t="shared" si="0"/>
        <v>0</v>
      </c>
    </row>
    <row r="41" spans="1:4" x14ac:dyDescent="0.3">
      <c r="A41" s="19" t="s">
        <v>161</v>
      </c>
      <c r="B41" s="19">
        <f>COUNTIF(C:C,0)</f>
        <v>12</v>
      </c>
    </row>
    <row r="42" spans="1:4" x14ac:dyDescent="0.3">
      <c r="A42" s="19" t="s">
        <v>160</v>
      </c>
      <c r="B42" s="19">
        <f>COUNT(C:C)</f>
        <v>38</v>
      </c>
    </row>
    <row r="43" spans="1:4" x14ac:dyDescent="0.3">
      <c r="A43" s="19" t="s">
        <v>162</v>
      </c>
      <c r="B43" s="19">
        <f>B42-B41</f>
        <v>26</v>
      </c>
    </row>
  </sheetData>
  <mergeCells count="1">
    <mergeCell ref="M3:M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C02C-77F7-4BF2-B563-EA87556FB4BD}">
  <dimension ref="A1:I91"/>
  <sheetViews>
    <sheetView workbookViewId="0">
      <selection activeCell="A35" sqref="A35"/>
    </sheetView>
  </sheetViews>
  <sheetFormatPr defaultRowHeight="14.4" x14ac:dyDescent="0.3"/>
  <cols>
    <col min="1" max="2" width="25.109375" customWidth="1"/>
    <col min="3" max="3" width="9.21875" style="3" bestFit="1" customWidth="1"/>
    <col min="4" max="4" width="10.44140625" style="3" bestFit="1" customWidth="1"/>
    <col min="5" max="5" width="8.88671875" style="4"/>
    <col min="6" max="6" width="13.6640625" customWidth="1"/>
    <col min="7" max="7" width="18.77734375" style="9" bestFit="1" customWidth="1"/>
  </cols>
  <sheetData>
    <row r="1" spans="1:9" s="1" customFormat="1" x14ac:dyDescent="0.3">
      <c r="A1" s="6" t="s">
        <v>123</v>
      </c>
      <c r="B1" s="6" t="s">
        <v>188</v>
      </c>
      <c r="C1" s="7" t="s">
        <v>31</v>
      </c>
      <c r="D1" s="7" t="s">
        <v>32</v>
      </c>
      <c r="E1" s="8" t="s">
        <v>33</v>
      </c>
      <c r="F1" s="8" t="s">
        <v>132</v>
      </c>
      <c r="G1" s="10" t="s">
        <v>125</v>
      </c>
      <c r="H1"/>
      <c r="I1"/>
    </row>
    <row r="2" spans="1:9" x14ac:dyDescent="0.3">
      <c r="A2" t="s">
        <v>34</v>
      </c>
      <c r="B2" t="s">
        <v>166</v>
      </c>
      <c r="C2" s="3">
        <v>44743</v>
      </c>
      <c r="D2" s="3">
        <v>45809</v>
      </c>
      <c r="E2" s="4">
        <v>5</v>
      </c>
      <c r="F2" s="9">
        <f ca="1">TRUNC((TODAY()-C2)/(30*12),2)</f>
        <v>1.08</v>
      </c>
      <c r="G2" s="9">
        <f ca="1">TRUNC((D2-TODAY())/30,2)</f>
        <v>22.53</v>
      </c>
    </row>
    <row r="3" spans="1:9" x14ac:dyDescent="0.3">
      <c r="A3" t="s">
        <v>35</v>
      </c>
      <c r="B3" t="s">
        <v>166</v>
      </c>
      <c r="C3" s="3">
        <v>44774</v>
      </c>
      <c r="D3" s="3">
        <v>45839</v>
      </c>
      <c r="E3" s="4">
        <v>2</v>
      </c>
      <c r="F3" s="9">
        <f t="shared" ref="F3:F66" ca="1" si="0">TRUNC((TODAY()-C3)/(30*12),2)</f>
        <v>0.99</v>
      </c>
      <c r="G3" s="9">
        <f t="shared" ref="G3:G66" ca="1" si="1">TRUNC((D3-TODAY())/30,2)</f>
        <v>23.53</v>
      </c>
    </row>
    <row r="4" spans="1:9" x14ac:dyDescent="0.3">
      <c r="A4" t="s">
        <v>36</v>
      </c>
      <c r="B4" t="s">
        <v>166</v>
      </c>
      <c r="C4" s="3">
        <v>44228</v>
      </c>
      <c r="D4" s="3">
        <v>44927</v>
      </c>
      <c r="E4" s="4">
        <v>4</v>
      </c>
      <c r="F4" s="9">
        <f t="shared" ca="1" si="0"/>
        <v>2.5099999999999998</v>
      </c>
      <c r="G4" s="9">
        <f t="shared" ca="1" si="1"/>
        <v>-6.86</v>
      </c>
    </row>
    <row r="5" spans="1:9" x14ac:dyDescent="0.3">
      <c r="A5" t="s">
        <v>37</v>
      </c>
      <c r="B5" t="s">
        <v>166</v>
      </c>
      <c r="C5" s="3">
        <v>44835</v>
      </c>
      <c r="D5" s="3">
        <v>45536</v>
      </c>
      <c r="E5" s="4">
        <v>1</v>
      </c>
      <c r="F5" s="9">
        <f t="shared" ca="1" si="0"/>
        <v>0.82</v>
      </c>
      <c r="G5" s="9">
        <f t="shared" ca="1" si="1"/>
        <v>13.43</v>
      </c>
    </row>
    <row r="6" spans="1:9" x14ac:dyDescent="0.3">
      <c r="A6" t="s">
        <v>38</v>
      </c>
      <c r="B6" t="s">
        <v>166</v>
      </c>
      <c r="C6" s="3">
        <v>44835</v>
      </c>
      <c r="D6" s="3">
        <v>45536</v>
      </c>
      <c r="E6" s="4">
        <v>1</v>
      </c>
      <c r="F6" s="9">
        <f t="shared" ca="1" si="0"/>
        <v>0.82</v>
      </c>
      <c r="G6" s="9">
        <f t="shared" ca="1" si="1"/>
        <v>13.43</v>
      </c>
    </row>
    <row r="7" spans="1:9" x14ac:dyDescent="0.3">
      <c r="A7" t="s">
        <v>39</v>
      </c>
      <c r="B7" t="s">
        <v>167</v>
      </c>
      <c r="C7" s="3">
        <v>44835</v>
      </c>
      <c r="D7" s="3">
        <v>45901</v>
      </c>
      <c r="E7" s="4">
        <v>2</v>
      </c>
      <c r="F7" s="9">
        <f t="shared" ca="1" si="0"/>
        <v>0.82</v>
      </c>
      <c r="G7" s="9">
        <f t="shared" ca="1" si="1"/>
        <v>25.6</v>
      </c>
    </row>
    <row r="8" spans="1:9" x14ac:dyDescent="0.3">
      <c r="A8" t="s">
        <v>40</v>
      </c>
      <c r="B8" t="s">
        <v>167</v>
      </c>
      <c r="C8" s="3">
        <v>44805</v>
      </c>
      <c r="D8" s="3">
        <v>45870</v>
      </c>
      <c r="E8" s="4">
        <v>1</v>
      </c>
      <c r="F8" s="9">
        <f t="shared" ca="1" si="0"/>
        <v>0.91</v>
      </c>
      <c r="G8" s="9">
        <f t="shared" ca="1" si="1"/>
        <v>24.56</v>
      </c>
    </row>
    <row r="9" spans="1:9" x14ac:dyDescent="0.3">
      <c r="A9" t="s">
        <v>41</v>
      </c>
      <c r="B9" t="s">
        <v>169</v>
      </c>
      <c r="C9" s="3">
        <v>44044</v>
      </c>
      <c r="D9" s="3">
        <v>44743</v>
      </c>
      <c r="E9" s="4">
        <v>6</v>
      </c>
      <c r="F9" s="9">
        <f t="shared" ca="1" si="0"/>
        <v>3.02</v>
      </c>
      <c r="G9" s="9">
        <f t="shared" ca="1" si="1"/>
        <v>-13</v>
      </c>
    </row>
    <row r="10" spans="1:9" x14ac:dyDescent="0.3">
      <c r="A10" t="s">
        <v>42</v>
      </c>
      <c r="B10" t="s">
        <v>168</v>
      </c>
      <c r="C10" s="3">
        <v>44835</v>
      </c>
      <c r="D10" s="3">
        <v>45901</v>
      </c>
      <c r="E10" s="4">
        <v>6</v>
      </c>
      <c r="F10" s="9">
        <f t="shared" ca="1" si="0"/>
        <v>0.82</v>
      </c>
      <c r="G10" s="9">
        <f t="shared" ca="1" si="1"/>
        <v>25.6</v>
      </c>
    </row>
    <row r="11" spans="1:9" x14ac:dyDescent="0.3">
      <c r="A11" t="s">
        <v>43</v>
      </c>
      <c r="B11" t="s">
        <v>166</v>
      </c>
      <c r="C11" s="3">
        <v>44409</v>
      </c>
      <c r="D11" s="3">
        <v>45108</v>
      </c>
      <c r="E11" s="4">
        <v>4</v>
      </c>
      <c r="F11" s="9">
        <f t="shared" ca="1" si="0"/>
        <v>2.0099999999999998</v>
      </c>
      <c r="G11" s="9">
        <f t="shared" ca="1" si="1"/>
        <v>-0.83</v>
      </c>
    </row>
    <row r="12" spans="1:9" x14ac:dyDescent="0.3">
      <c r="A12" t="s">
        <v>44</v>
      </c>
      <c r="B12" t="s">
        <v>173</v>
      </c>
      <c r="C12" s="3">
        <v>44713</v>
      </c>
      <c r="D12" s="3">
        <v>45231</v>
      </c>
      <c r="E12" s="4">
        <v>4</v>
      </c>
      <c r="F12" s="9">
        <f t="shared" ca="1" si="0"/>
        <v>1.1599999999999999</v>
      </c>
      <c r="G12" s="9">
        <f t="shared" ca="1" si="1"/>
        <v>3.26</v>
      </c>
    </row>
    <row r="13" spans="1:9" x14ac:dyDescent="0.3">
      <c r="A13" t="s">
        <v>45</v>
      </c>
      <c r="B13" t="s">
        <v>170</v>
      </c>
      <c r="C13" s="3">
        <v>44896</v>
      </c>
      <c r="D13" s="3">
        <v>45078</v>
      </c>
      <c r="E13" s="4">
        <v>7</v>
      </c>
      <c r="F13" s="9">
        <f t="shared" ca="1" si="0"/>
        <v>0.65</v>
      </c>
      <c r="G13" s="9">
        <f t="shared" ca="1" si="1"/>
        <v>-1.83</v>
      </c>
    </row>
    <row r="14" spans="1:9" x14ac:dyDescent="0.3">
      <c r="A14" t="s">
        <v>46</v>
      </c>
      <c r="B14" t="s">
        <v>171</v>
      </c>
      <c r="C14" s="3">
        <v>44927</v>
      </c>
      <c r="D14" s="3">
        <v>45108</v>
      </c>
      <c r="E14" s="4">
        <v>5</v>
      </c>
      <c r="F14" s="9">
        <f t="shared" ca="1" si="0"/>
        <v>0.56999999999999995</v>
      </c>
      <c r="G14" s="9">
        <f t="shared" ca="1" si="1"/>
        <v>-0.83</v>
      </c>
    </row>
    <row r="15" spans="1:9" x14ac:dyDescent="0.3">
      <c r="A15" t="s">
        <v>47</v>
      </c>
      <c r="B15" t="s">
        <v>172</v>
      </c>
      <c r="C15" s="3">
        <v>44986</v>
      </c>
      <c r="D15" s="3">
        <v>45108</v>
      </c>
      <c r="E15" s="4">
        <v>6</v>
      </c>
      <c r="F15" s="9">
        <f t="shared" ca="1" si="0"/>
        <v>0.4</v>
      </c>
      <c r="G15" s="9">
        <f t="shared" ca="1" si="1"/>
        <v>-0.83</v>
      </c>
    </row>
    <row r="16" spans="1:9" x14ac:dyDescent="0.3">
      <c r="A16" t="s">
        <v>48</v>
      </c>
      <c r="B16" t="s">
        <v>172</v>
      </c>
      <c r="C16" s="3">
        <v>44986</v>
      </c>
      <c r="D16" s="3">
        <v>45108</v>
      </c>
      <c r="E16" s="4">
        <v>5</v>
      </c>
      <c r="F16" s="9">
        <f t="shared" ca="1" si="0"/>
        <v>0.4</v>
      </c>
      <c r="G16" s="9">
        <f t="shared" ca="1" si="1"/>
        <v>-0.83</v>
      </c>
    </row>
    <row r="17" spans="1:7" x14ac:dyDescent="0.3">
      <c r="A17" t="s">
        <v>49</v>
      </c>
      <c r="B17" t="s">
        <v>171</v>
      </c>
      <c r="C17" s="3">
        <v>45017</v>
      </c>
      <c r="D17" s="3">
        <v>45170</v>
      </c>
      <c r="E17" s="4">
        <v>25</v>
      </c>
      <c r="F17" s="9">
        <f t="shared" ca="1" si="0"/>
        <v>0.32</v>
      </c>
      <c r="G17" s="9">
        <f t="shared" ca="1" si="1"/>
        <v>1.23</v>
      </c>
    </row>
    <row r="18" spans="1:7" x14ac:dyDescent="0.3">
      <c r="A18" t="s">
        <v>50</v>
      </c>
      <c r="B18" t="s">
        <v>174</v>
      </c>
      <c r="C18" s="3">
        <v>44986</v>
      </c>
      <c r="D18" s="3">
        <v>45108</v>
      </c>
      <c r="E18" s="4">
        <v>10</v>
      </c>
      <c r="F18" s="9">
        <f t="shared" ca="1" si="0"/>
        <v>0.4</v>
      </c>
      <c r="G18" s="9">
        <f t="shared" ca="1" si="1"/>
        <v>-0.83</v>
      </c>
    </row>
    <row r="19" spans="1:7" x14ac:dyDescent="0.3">
      <c r="A19" t="s">
        <v>51</v>
      </c>
      <c r="B19" t="s">
        <v>175</v>
      </c>
      <c r="C19" s="3">
        <v>44562</v>
      </c>
      <c r="D19" s="3">
        <v>44835</v>
      </c>
      <c r="E19" s="4">
        <v>1</v>
      </c>
      <c r="F19" s="9">
        <f t="shared" ca="1" si="0"/>
        <v>1.58</v>
      </c>
      <c r="G19" s="9">
        <f t="shared" ca="1" si="1"/>
        <v>-9.93</v>
      </c>
    </row>
    <row r="20" spans="1:7" x14ac:dyDescent="0.3">
      <c r="A20" t="s">
        <v>52</v>
      </c>
      <c r="B20" t="s">
        <v>171</v>
      </c>
      <c r="C20" s="3">
        <v>44835</v>
      </c>
      <c r="D20" s="3">
        <v>45017</v>
      </c>
      <c r="E20" s="4">
        <v>12</v>
      </c>
      <c r="F20" s="9">
        <f t="shared" ca="1" si="0"/>
        <v>0.82</v>
      </c>
      <c r="G20" s="9">
        <f t="shared" ca="1" si="1"/>
        <v>-3.86</v>
      </c>
    </row>
    <row r="21" spans="1:7" x14ac:dyDescent="0.3">
      <c r="A21" t="s">
        <v>53</v>
      </c>
      <c r="B21" t="s">
        <v>176</v>
      </c>
      <c r="C21" s="3">
        <v>44713</v>
      </c>
      <c r="D21" s="3">
        <v>44835</v>
      </c>
      <c r="E21" s="4">
        <v>7</v>
      </c>
      <c r="F21" s="9">
        <f t="shared" ca="1" si="0"/>
        <v>1.1599999999999999</v>
      </c>
      <c r="G21" s="9">
        <f t="shared" ca="1" si="1"/>
        <v>-9.93</v>
      </c>
    </row>
    <row r="22" spans="1:7" x14ac:dyDescent="0.3">
      <c r="A22" t="s">
        <v>54</v>
      </c>
      <c r="B22" t="s">
        <v>177</v>
      </c>
      <c r="C22" s="3">
        <v>44317</v>
      </c>
      <c r="D22" s="3">
        <v>44866</v>
      </c>
      <c r="E22" s="4">
        <v>1</v>
      </c>
      <c r="F22" s="9">
        <f t="shared" ca="1" si="0"/>
        <v>2.2599999999999998</v>
      </c>
      <c r="G22" s="9">
        <f t="shared" ca="1" si="1"/>
        <v>-8.9</v>
      </c>
    </row>
    <row r="23" spans="1:7" x14ac:dyDescent="0.3">
      <c r="A23" t="s">
        <v>55</v>
      </c>
      <c r="B23" t="s">
        <v>170</v>
      </c>
      <c r="C23" s="3">
        <v>44378</v>
      </c>
      <c r="D23" s="3">
        <v>44562</v>
      </c>
      <c r="E23" s="4">
        <v>3</v>
      </c>
      <c r="F23" s="9">
        <f t="shared" ca="1" si="0"/>
        <v>2.09</v>
      </c>
      <c r="G23" s="9">
        <f t="shared" ca="1" si="1"/>
        <v>-19.03</v>
      </c>
    </row>
    <row r="24" spans="1:7" x14ac:dyDescent="0.3">
      <c r="A24" t="s">
        <v>56</v>
      </c>
      <c r="B24" t="s">
        <v>171</v>
      </c>
      <c r="C24" s="3">
        <v>44562</v>
      </c>
      <c r="D24" s="3">
        <v>44927</v>
      </c>
      <c r="E24" s="4">
        <v>2</v>
      </c>
      <c r="F24" s="9">
        <f t="shared" ca="1" si="0"/>
        <v>1.58</v>
      </c>
      <c r="G24" s="9">
        <f t="shared" ca="1" si="1"/>
        <v>-6.86</v>
      </c>
    </row>
    <row r="25" spans="1:7" x14ac:dyDescent="0.3">
      <c r="A25" t="s">
        <v>57</v>
      </c>
      <c r="B25" t="s">
        <v>178</v>
      </c>
      <c r="C25" s="3">
        <v>44470</v>
      </c>
      <c r="D25" s="3">
        <v>44835</v>
      </c>
      <c r="E25" s="4">
        <v>2</v>
      </c>
      <c r="F25" s="9">
        <f t="shared" ca="1" si="0"/>
        <v>1.84</v>
      </c>
      <c r="G25" s="9">
        <f t="shared" ca="1" si="1"/>
        <v>-9.93</v>
      </c>
    </row>
    <row r="26" spans="1:7" x14ac:dyDescent="0.3">
      <c r="A26" t="s">
        <v>58</v>
      </c>
      <c r="B26" t="s">
        <v>171</v>
      </c>
      <c r="C26" s="3">
        <v>44958</v>
      </c>
      <c r="D26" s="3">
        <v>45139</v>
      </c>
      <c r="E26" s="4">
        <v>1</v>
      </c>
      <c r="F26" s="9">
        <f t="shared" ca="1" si="0"/>
        <v>0.48</v>
      </c>
      <c r="G26" s="9">
        <f t="shared" ca="1" si="1"/>
        <v>0.2</v>
      </c>
    </row>
    <row r="27" spans="1:7" x14ac:dyDescent="0.3">
      <c r="A27" t="s">
        <v>59</v>
      </c>
      <c r="B27" t="s">
        <v>181</v>
      </c>
      <c r="C27" s="3">
        <v>44440</v>
      </c>
      <c r="D27" s="3">
        <v>44774</v>
      </c>
      <c r="E27" s="4">
        <v>2</v>
      </c>
      <c r="F27" s="9">
        <f t="shared" ca="1" si="0"/>
        <v>1.92</v>
      </c>
      <c r="G27" s="9">
        <f t="shared" ca="1" si="1"/>
        <v>-11.96</v>
      </c>
    </row>
    <row r="28" spans="1:7" x14ac:dyDescent="0.3">
      <c r="A28" t="s">
        <v>60</v>
      </c>
      <c r="B28" t="s">
        <v>171</v>
      </c>
      <c r="C28" s="3">
        <v>44713</v>
      </c>
      <c r="D28" s="3">
        <v>44986</v>
      </c>
      <c r="E28" s="4">
        <v>1</v>
      </c>
      <c r="F28" s="9">
        <f t="shared" ca="1" si="0"/>
        <v>1.1599999999999999</v>
      </c>
      <c r="G28" s="9">
        <f t="shared" ca="1" si="1"/>
        <v>-4.9000000000000004</v>
      </c>
    </row>
    <row r="29" spans="1:7" x14ac:dyDescent="0.3">
      <c r="A29" t="s">
        <v>61</v>
      </c>
      <c r="B29" t="s">
        <v>171</v>
      </c>
      <c r="C29" s="3">
        <v>44256</v>
      </c>
      <c r="D29" s="3">
        <v>44593</v>
      </c>
      <c r="E29" s="4">
        <v>1</v>
      </c>
      <c r="F29" s="9">
        <f t="shared" ca="1" si="0"/>
        <v>2.4300000000000002</v>
      </c>
      <c r="G29" s="9">
        <f t="shared" ca="1" si="1"/>
        <v>-18</v>
      </c>
    </row>
    <row r="30" spans="1:7" x14ac:dyDescent="0.3">
      <c r="A30" t="s">
        <v>62</v>
      </c>
      <c r="B30" t="s">
        <v>179</v>
      </c>
      <c r="C30" s="3">
        <v>44562</v>
      </c>
      <c r="D30" s="3">
        <v>44743</v>
      </c>
      <c r="E30" s="4">
        <v>10</v>
      </c>
      <c r="F30" s="9">
        <f t="shared" ca="1" si="0"/>
        <v>1.58</v>
      </c>
      <c r="G30" s="9">
        <f t="shared" ca="1" si="1"/>
        <v>-13</v>
      </c>
    </row>
    <row r="31" spans="1:7" x14ac:dyDescent="0.3">
      <c r="A31" t="s">
        <v>63</v>
      </c>
      <c r="B31" t="s">
        <v>171</v>
      </c>
      <c r="C31" s="3">
        <v>44531</v>
      </c>
      <c r="D31" s="3">
        <v>44866</v>
      </c>
      <c r="E31" s="4">
        <v>7</v>
      </c>
      <c r="F31" s="9">
        <f t="shared" ca="1" si="0"/>
        <v>1.67</v>
      </c>
      <c r="G31" s="9">
        <f t="shared" ca="1" si="1"/>
        <v>-8.9</v>
      </c>
    </row>
    <row r="32" spans="1:7" x14ac:dyDescent="0.3">
      <c r="A32" t="s">
        <v>64</v>
      </c>
      <c r="B32" t="s">
        <v>174</v>
      </c>
      <c r="C32" s="3">
        <v>44743</v>
      </c>
      <c r="D32" s="3">
        <v>44835</v>
      </c>
      <c r="E32" s="4">
        <v>3</v>
      </c>
      <c r="F32" s="9">
        <f t="shared" ca="1" si="0"/>
        <v>1.08</v>
      </c>
      <c r="G32" s="9">
        <f t="shared" ca="1" si="1"/>
        <v>-9.93</v>
      </c>
    </row>
    <row r="33" spans="1:7" x14ac:dyDescent="0.3">
      <c r="A33" t="s">
        <v>65</v>
      </c>
      <c r="B33" t="s">
        <v>171</v>
      </c>
      <c r="C33" s="3">
        <v>44927</v>
      </c>
      <c r="D33" s="3">
        <v>45200</v>
      </c>
      <c r="E33" s="4">
        <v>2</v>
      </c>
      <c r="F33" s="9">
        <f t="shared" ca="1" si="0"/>
        <v>0.56999999999999995</v>
      </c>
      <c r="G33" s="9">
        <f t="shared" ca="1" si="1"/>
        <v>2.23</v>
      </c>
    </row>
    <row r="34" spans="1:7" x14ac:dyDescent="0.3">
      <c r="A34" t="s">
        <v>66</v>
      </c>
      <c r="B34" t="s">
        <v>180</v>
      </c>
      <c r="C34" s="3">
        <v>44805</v>
      </c>
      <c r="D34" s="3">
        <v>44958</v>
      </c>
      <c r="E34" s="4">
        <v>5</v>
      </c>
      <c r="F34" s="9">
        <f t="shared" ca="1" si="0"/>
        <v>0.91</v>
      </c>
      <c r="G34" s="9">
        <f t="shared" ca="1" si="1"/>
        <v>-5.83</v>
      </c>
    </row>
    <row r="35" spans="1:7" x14ac:dyDescent="0.3">
      <c r="A35" t="s">
        <v>67</v>
      </c>
      <c r="B35" t="s">
        <v>178</v>
      </c>
      <c r="C35" s="3">
        <v>44805</v>
      </c>
      <c r="D35" s="3">
        <v>45078</v>
      </c>
      <c r="E35" s="4">
        <v>15</v>
      </c>
      <c r="F35" s="9">
        <f t="shared" ca="1" si="0"/>
        <v>0.91</v>
      </c>
      <c r="G35" s="9">
        <f t="shared" ca="1" si="1"/>
        <v>-1.83</v>
      </c>
    </row>
    <row r="36" spans="1:7" x14ac:dyDescent="0.3">
      <c r="A36" t="s">
        <v>68</v>
      </c>
      <c r="B36" t="s">
        <v>178</v>
      </c>
      <c r="C36" s="3">
        <v>44531</v>
      </c>
      <c r="D36" s="3">
        <v>44805</v>
      </c>
      <c r="E36" s="4">
        <v>16</v>
      </c>
      <c r="F36" s="9">
        <f t="shared" ca="1" si="0"/>
        <v>1.67</v>
      </c>
      <c r="G36" s="9">
        <f t="shared" ca="1" si="1"/>
        <v>-10.93</v>
      </c>
    </row>
    <row r="37" spans="1:7" x14ac:dyDescent="0.3">
      <c r="A37" t="s">
        <v>69</v>
      </c>
      <c r="B37" t="s">
        <v>170</v>
      </c>
      <c r="C37" s="3">
        <v>44958</v>
      </c>
      <c r="D37" s="3">
        <v>45078</v>
      </c>
      <c r="E37" s="4">
        <v>20</v>
      </c>
      <c r="F37" s="9">
        <f t="shared" ca="1" si="0"/>
        <v>0.48</v>
      </c>
      <c r="G37" s="9">
        <f t="shared" ca="1" si="1"/>
        <v>-1.83</v>
      </c>
    </row>
    <row r="38" spans="1:7" x14ac:dyDescent="0.3">
      <c r="A38" t="s">
        <v>70</v>
      </c>
      <c r="B38" t="s">
        <v>178</v>
      </c>
      <c r="C38" s="3">
        <v>44378</v>
      </c>
      <c r="D38" s="3">
        <v>44713</v>
      </c>
      <c r="E38" s="4">
        <v>5</v>
      </c>
      <c r="F38" s="9">
        <f t="shared" ca="1" si="0"/>
        <v>2.09</v>
      </c>
      <c r="G38" s="9">
        <f t="shared" ca="1" si="1"/>
        <v>-14</v>
      </c>
    </row>
    <row r="39" spans="1:7" x14ac:dyDescent="0.3">
      <c r="A39" t="s">
        <v>71</v>
      </c>
      <c r="B39" t="s">
        <v>178</v>
      </c>
      <c r="C39" s="3">
        <v>44743</v>
      </c>
      <c r="D39" s="3">
        <v>45078</v>
      </c>
      <c r="E39" s="4">
        <v>20</v>
      </c>
      <c r="F39" s="9">
        <f t="shared" ca="1" si="0"/>
        <v>1.08</v>
      </c>
      <c r="G39" s="9">
        <f t="shared" ca="1" si="1"/>
        <v>-1.83</v>
      </c>
    </row>
    <row r="40" spans="1:7" x14ac:dyDescent="0.3">
      <c r="A40" t="s">
        <v>72</v>
      </c>
      <c r="B40" t="s">
        <v>181</v>
      </c>
      <c r="C40" s="3">
        <v>44593</v>
      </c>
      <c r="D40" s="3">
        <v>44866</v>
      </c>
      <c r="E40" s="4">
        <v>1</v>
      </c>
      <c r="F40" s="9">
        <f t="shared" ca="1" si="0"/>
        <v>1.5</v>
      </c>
      <c r="G40" s="9">
        <f t="shared" ca="1" si="1"/>
        <v>-8.9</v>
      </c>
    </row>
    <row r="41" spans="1:7" x14ac:dyDescent="0.3">
      <c r="A41" t="s">
        <v>73</v>
      </c>
      <c r="B41" t="s">
        <v>170</v>
      </c>
      <c r="C41" s="3">
        <v>44713</v>
      </c>
      <c r="D41" s="3">
        <v>44896</v>
      </c>
      <c r="E41" s="4">
        <v>15</v>
      </c>
      <c r="F41" s="9">
        <f t="shared" ca="1" si="0"/>
        <v>1.1599999999999999</v>
      </c>
      <c r="G41" s="9">
        <f t="shared" ca="1" si="1"/>
        <v>-7.9</v>
      </c>
    </row>
    <row r="42" spans="1:7" x14ac:dyDescent="0.3">
      <c r="A42" t="s">
        <v>74</v>
      </c>
      <c r="B42" t="s">
        <v>171</v>
      </c>
      <c r="C42" s="3">
        <v>45017</v>
      </c>
      <c r="D42" s="3">
        <v>45139</v>
      </c>
      <c r="E42" s="4">
        <v>10</v>
      </c>
      <c r="F42" s="9">
        <f t="shared" ca="1" si="0"/>
        <v>0.32</v>
      </c>
      <c r="G42" s="9">
        <f t="shared" ca="1" si="1"/>
        <v>0.2</v>
      </c>
    </row>
    <row r="43" spans="1:7" x14ac:dyDescent="0.3">
      <c r="A43" t="s">
        <v>75</v>
      </c>
      <c r="B43" t="s">
        <v>171</v>
      </c>
      <c r="C43" s="3">
        <v>45017</v>
      </c>
      <c r="D43" s="3">
        <v>45231</v>
      </c>
      <c r="E43" s="4">
        <v>8</v>
      </c>
      <c r="F43" s="9">
        <f t="shared" ca="1" si="0"/>
        <v>0.32</v>
      </c>
      <c r="G43" s="9">
        <f t="shared" ca="1" si="1"/>
        <v>3.26</v>
      </c>
    </row>
    <row r="44" spans="1:7" x14ac:dyDescent="0.3">
      <c r="A44" t="s">
        <v>76</v>
      </c>
      <c r="B44" t="s">
        <v>171</v>
      </c>
      <c r="C44" s="3">
        <v>45017</v>
      </c>
      <c r="D44" s="3">
        <v>45200</v>
      </c>
      <c r="E44" s="4">
        <v>10</v>
      </c>
      <c r="F44" s="9">
        <f t="shared" ca="1" si="0"/>
        <v>0.32</v>
      </c>
      <c r="G44" s="9">
        <f t="shared" ca="1" si="1"/>
        <v>2.23</v>
      </c>
    </row>
    <row r="45" spans="1:7" x14ac:dyDescent="0.3">
      <c r="A45" t="s">
        <v>77</v>
      </c>
      <c r="B45" t="s">
        <v>174</v>
      </c>
      <c r="C45" s="3">
        <v>44927</v>
      </c>
      <c r="D45" s="3">
        <v>45047</v>
      </c>
      <c r="E45" s="4">
        <v>10</v>
      </c>
      <c r="F45" s="9">
        <f t="shared" ca="1" si="0"/>
        <v>0.56999999999999995</v>
      </c>
      <c r="G45" s="9">
        <f t="shared" ca="1" si="1"/>
        <v>-2.86</v>
      </c>
    </row>
    <row r="46" spans="1:7" x14ac:dyDescent="0.3">
      <c r="A46" t="s">
        <v>78</v>
      </c>
      <c r="B46" t="s">
        <v>175</v>
      </c>
      <c r="C46" s="3">
        <v>44958</v>
      </c>
      <c r="D46" s="3">
        <v>45231</v>
      </c>
      <c r="E46" s="4">
        <v>5</v>
      </c>
      <c r="F46" s="9">
        <f t="shared" ca="1" si="0"/>
        <v>0.48</v>
      </c>
      <c r="G46" s="9">
        <f t="shared" ca="1" si="1"/>
        <v>3.26</v>
      </c>
    </row>
    <row r="47" spans="1:7" x14ac:dyDescent="0.3">
      <c r="A47" t="s">
        <v>79</v>
      </c>
      <c r="B47" t="s">
        <v>175</v>
      </c>
      <c r="C47" s="3">
        <v>44562</v>
      </c>
      <c r="D47" s="3">
        <v>44835</v>
      </c>
      <c r="E47" s="4">
        <v>8</v>
      </c>
      <c r="F47" s="9">
        <f t="shared" ca="1" si="0"/>
        <v>1.58</v>
      </c>
      <c r="G47" s="9">
        <f t="shared" ca="1" si="1"/>
        <v>-9.93</v>
      </c>
    </row>
    <row r="48" spans="1:7" x14ac:dyDescent="0.3">
      <c r="A48" t="s">
        <v>80</v>
      </c>
      <c r="B48" t="s">
        <v>175</v>
      </c>
      <c r="C48" s="3">
        <v>44562</v>
      </c>
      <c r="D48" s="3">
        <v>44927</v>
      </c>
      <c r="E48" s="4">
        <v>2</v>
      </c>
      <c r="F48" s="9">
        <f t="shared" ca="1" si="0"/>
        <v>1.58</v>
      </c>
      <c r="G48" s="9">
        <f t="shared" ca="1" si="1"/>
        <v>-6.86</v>
      </c>
    </row>
    <row r="49" spans="1:7" x14ac:dyDescent="0.3">
      <c r="A49" t="s">
        <v>81</v>
      </c>
      <c r="B49" t="s">
        <v>181</v>
      </c>
      <c r="C49" s="3">
        <v>44958</v>
      </c>
      <c r="D49" s="3">
        <v>45323</v>
      </c>
      <c r="E49" s="4">
        <v>5</v>
      </c>
      <c r="F49" s="9">
        <f t="shared" ca="1" si="0"/>
        <v>0.48</v>
      </c>
      <c r="G49" s="9">
        <f t="shared" ca="1" si="1"/>
        <v>6.33</v>
      </c>
    </row>
    <row r="50" spans="1:7" x14ac:dyDescent="0.3">
      <c r="A50" t="s">
        <v>182</v>
      </c>
      <c r="B50" t="s">
        <v>181</v>
      </c>
      <c r="C50" s="3">
        <v>44986</v>
      </c>
      <c r="D50" s="3">
        <v>45352</v>
      </c>
      <c r="E50" s="4">
        <v>10</v>
      </c>
      <c r="F50" s="9">
        <f t="shared" ca="1" si="0"/>
        <v>0.4</v>
      </c>
      <c r="G50" s="9">
        <f t="shared" ca="1" si="1"/>
        <v>7.3</v>
      </c>
    </row>
    <row r="51" spans="1:7" x14ac:dyDescent="0.3">
      <c r="A51" t="s">
        <v>82</v>
      </c>
      <c r="B51" t="s">
        <v>181</v>
      </c>
      <c r="C51" s="3">
        <v>44958</v>
      </c>
      <c r="D51" s="3">
        <v>45323</v>
      </c>
      <c r="E51" s="4">
        <v>10</v>
      </c>
      <c r="F51" s="9">
        <f t="shared" ca="1" si="0"/>
        <v>0.48</v>
      </c>
      <c r="G51" s="9">
        <f t="shared" ca="1" si="1"/>
        <v>6.33</v>
      </c>
    </row>
    <row r="52" spans="1:7" x14ac:dyDescent="0.3">
      <c r="A52" t="s">
        <v>83</v>
      </c>
      <c r="B52" t="s">
        <v>183</v>
      </c>
      <c r="C52" s="3">
        <v>44348</v>
      </c>
      <c r="D52" s="3">
        <v>45444</v>
      </c>
      <c r="E52" s="4">
        <v>3</v>
      </c>
      <c r="F52" s="9">
        <f t="shared" ca="1" si="0"/>
        <v>2.1800000000000002</v>
      </c>
      <c r="G52" s="9">
        <f t="shared" ca="1" si="1"/>
        <v>10.36</v>
      </c>
    </row>
    <row r="53" spans="1:7" x14ac:dyDescent="0.3">
      <c r="A53" t="s">
        <v>84</v>
      </c>
      <c r="B53" t="s">
        <v>171</v>
      </c>
      <c r="C53" s="3">
        <v>44409</v>
      </c>
      <c r="D53" s="3">
        <v>44593</v>
      </c>
      <c r="E53" s="4">
        <v>1</v>
      </c>
      <c r="F53" s="9">
        <f t="shared" ca="1" si="0"/>
        <v>2.0099999999999998</v>
      </c>
      <c r="G53" s="9">
        <f t="shared" ca="1" si="1"/>
        <v>-18</v>
      </c>
    </row>
    <row r="54" spans="1:7" x14ac:dyDescent="0.3">
      <c r="A54" t="s">
        <v>85</v>
      </c>
      <c r="B54" t="s">
        <v>171</v>
      </c>
      <c r="C54" s="3">
        <v>44986</v>
      </c>
      <c r="D54" s="3">
        <v>45170</v>
      </c>
      <c r="E54" s="4">
        <v>10</v>
      </c>
      <c r="F54" s="9">
        <f t="shared" ca="1" si="0"/>
        <v>0.4</v>
      </c>
      <c r="G54" s="9">
        <f t="shared" ca="1" si="1"/>
        <v>1.23</v>
      </c>
    </row>
    <row r="55" spans="1:7" x14ac:dyDescent="0.3">
      <c r="A55" t="s">
        <v>86</v>
      </c>
      <c r="B55" t="s">
        <v>183</v>
      </c>
      <c r="C55" s="3">
        <v>44958</v>
      </c>
      <c r="D55" s="3">
        <v>45689</v>
      </c>
      <c r="E55" s="4">
        <v>4</v>
      </c>
      <c r="F55" s="9">
        <f t="shared" ca="1" si="0"/>
        <v>0.48</v>
      </c>
      <c r="G55" s="9">
        <f t="shared" ca="1" si="1"/>
        <v>18.53</v>
      </c>
    </row>
    <row r="56" spans="1:7" x14ac:dyDescent="0.3">
      <c r="A56" t="s">
        <v>87</v>
      </c>
      <c r="B56" t="s">
        <v>176</v>
      </c>
      <c r="C56" s="3">
        <v>44652</v>
      </c>
      <c r="D56" s="3">
        <v>45108</v>
      </c>
      <c r="E56" s="4">
        <v>2</v>
      </c>
      <c r="F56" s="9">
        <f t="shared" ca="1" si="0"/>
        <v>1.33</v>
      </c>
      <c r="G56" s="9">
        <f t="shared" ca="1" si="1"/>
        <v>-0.83</v>
      </c>
    </row>
    <row r="57" spans="1:7" x14ac:dyDescent="0.3">
      <c r="A57" t="s">
        <v>88</v>
      </c>
      <c r="B57" t="s">
        <v>171</v>
      </c>
      <c r="C57" s="3">
        <v>45017</v>
      </c>
      <c r="D57" s="3">
        <v>45200</v>
      </c>
      <c r="E57" s="4">
        <v>11</v>
      </c>
      <c r="F57" s="9">
        <f t="shared" ca="1" si="0"/>
        <v>0.32</v>
      </c>
      <c r="G57" s="9">
        <f t="shared" ca="1" si="1"/>
        <v>2.23</v>
      </c>
    </row>
    <row r="58" spans="1:7" x14ac:dyDescent="0.3">
      <c r="A58" t="s">
        <v>89</v>
      </c>
      <c r="B58" t="s">
        <v>171</v>
      </c>
      <c r="C58" s="3">
        <v>44986</v>
      </c>
      <c r="D58" s="3">
        <v>45139</v>
      </c>
      <c r="E58" s="4">
        <v>15</v>
      </c>
      <c r="F58" s="9">
        <f t="shared" ca="1" si="0"/>
        <v>0.4</v>
      </c>
      <c r="G58" s="9">
        <f t="shared" ca="1" si="1"/>
        <v>0.2</v>
      </c>
    </row>
    <row r="59" spans="1:7" x14ac:dyDescent="0.3">
      <c r="A59" t="s">
        <v>90</v>
      </c>
      <c r="B59" t="s">
        <v>171</v>
      </c>
      <c r="C59" s="3">
        <v>44927</v>
      </c>
      <c r="D59" s="3">
        <v>45108</v>
      </c>
      <c r="E59" s="4">
        <v>3</v>
      </c>
      <c r="F59" s="9">
        <f t="shared" ca="1" si="0"/>
        <v>0.56999999999999995</v>
      </c>
      <c r="G59" s="9">
        <f t="shared" ca="1" si="1"/>
        <v>-0.83</v>
      </c>
    </row>
    <row r="60" spans="1:7" x14ac:dyDescent="0.3">
      <c r="A60" t="s">
        <v>91</v>
      </c>
      <c r="B60" t="s">
        <v>171</v>
      </c>
      <c r="C60" s="3">
        <v>44958</v>
      </c>
      <c r="D60" s="3">
        <v>45139</v>
      </c>
      <c r="E60" s="4">
        <v>6</v>
      </c>
      <c r="F60" s="9">
        <f t="shared" ca="1" si="0"/>
        <v>0.48</v>
      </c>
      <c r="G60" s="9">
        <f t="shared" ca="1" si="1"/>
        <v>0.2</v>
      </c>
    </row>
    <row r="61" spans="1:7" x14ac:dyDescent="0.3">
      <c r="A61" t="s">
        <v>92</v>
      </c>
      <c r="B61" t="s">
        <v>171</v>
      </c>
      <c r="C61" s="3">
        <v>44896</v>
      </c>
      <c r="D61" s="3">
        <v>45078</v>
      </c>
      <c r="E61" s="4">
        <v>10</v>
      </c>
      <c r="F61" s="9">
        <f t="shared" ca="1" si="0"/>
        <v>0.65</v>
      </c>
      <c r="G61" s="9">
        <f t="shared" ca="1" si="1"/>
        <v>-1.83</v>
      </c>
    </row>
    <row r="62" spans="1:7" x14ac:dyDescent="0.3">
      <c r="A62" t="s">
        <v>93</v>
      </c>
      <c r="B62" t="s">
        <v>184</v>
      </c>
      <c r="C62" s="3">
        <v>44927</v>
      </c>
      <c r="D62" s="3">
        <v>45200</v>
      </c>
      <c r="E62" s="4">
        <v>6</v>
      </c>
      <c r="F62" s="9">
        <f t="shared" ca="1" si="0"/>
        <v>0.56999999999999995</v>
      </c>
      <c r="G62" s="9">
        <f t="shared" ca="1" si="1"/>
        <v>2.23</v>
      </c>
    </row>
    <row r="63" spans="1:7" x14ac:dyDescent="0.3">
      <c r="A63" t="s">
        <v>65</v>
      </c>
      <c r="B63" t="s">
        <v>171</v>
      </c>
      <c r="C63" s="3">
        <v>44713</v>
      </c>
      <c r="D63" s="3">
        <v>44986</v>
      </c>
      <c r="E63" s="4">
        <v>2</v>
      </c>
      <c r="F63" s="9">
        <f t="shared" ca="1" si="0"/>
        <v>1.1599999999999999</v>
      </c>
      <c r="G63" s="9">
        <f t="shared" ca="1" si="1"/>
        <v>-4.9000000000000004</v>
      </c>
    </row>
    <row r="64" spans="1:7" x14ac:dyDescent="0.3">
      <c r="A64" t="s">
        <v>94</v>
      </c>
      <c r="B64" t="s">
        <v>171</v>
      </c>
      <c r="C64" s="3">
        <v>44409</v>
      </c>
      <c r="D64" s="3">
        <v>44593</v>
      </c>
      <c r="E64" s="4">
        <v>4</v>
      </c>
      <c r="F64" s="9">
        <f t="shared" ca="1" si="0"/>
        <v>2.0099999999999998</v>
      </c>
      <c r="G64" s="9">
        <f t="shared" ca="1" si="1"/>
        <v>-18</v>
      </c>
    </row>
    <row r="65" spans="1:7" x14ac:dyDescent="0.3">
      <c r="A65" t="s">
        <v>95</v>
      </c>
      <c r="B65" t="s">
        <v>183</v>
      </c>
      <c r="C65" s="3">
        <v>44501</v>
      </c>
      <c r="D65" s="3">
        <v>45597</v>
      </c>
      <c r="E65" s="4">
        <v>1</v>
      </c>
      <c r="F65" s="9">
        <f t="shared" ca="1" si="0"/>
        <v>1.75</v>
      </c>
      <c r="G65" s="9">
        <f t="shared" ca="1" si="1"/>
        <v>15.46</v>
      </c>
    </row>
    <row r="66" spans="1:7" x14ac:dyDescent="0.3">
      <c r="A66" t="s">
        <v>96</v>
      </c>
      <c r="B66" t="s">
        <v>183</v>
      </c>
      <c r="C66" s="3">
        <v>44136</v>
      </c>
      <c r="D66" s="3">
        <v>45231</v>
      </c>
      <c r="E66" s="4">
        <v>20</v>
      </c>
      <c r="F66" s="9">
        <f t="shared" ca="1" si="0"/>
        <v>2.76</v>
      </c>
      <c r="G66" s="9">
        <f t="shared" ca="1" si="1"/>
        <v>3.26</v>
      </c>
    </row>
    <row r="67" spans="1:7" x14ac:dyDescent="0.3">
      <c r="A67" t="s">
        <v>97</v>
      </c>
      <c r="B67" t="s">
        <v>183</v>
      </c>
      <c r="C67" s="3">
        <v>44409</v>
      </c>
      <c r="D67" s="3">
        <v>45139</v>
      </c>
      <c r="E67" s="4">
        <v>4</v>
      </c>
      <c r="F67" s="9">
        <f t="shared" ref="F67:F91" ca="1" si="2">TRUNC((TODAY()-C67)/(30*12),2)</f>
        <v>2.0099999999999998</v>
      </c>
      <c r="G67" s="9">
        <f t="shared" ref="G67:G91" ca="1" si="3">TRUNC((D67-TODAY())/30,2)</f>
        <v>0.2</v>
      </c>
    </row>
    <row r="68" spans="1:7" x14ac:dyDescent="0.3">
      <c r="A68" t="s">
        <v>98</v>
      </c>
      <c r="B68" t="s">
        <v>183</v>
      </c>
      <c r="C68" s="3">
        <v>44743</v>
      </c>
      <c r="D68" s="3">
        <v>45839</v>
      </c>
      <c r="E68" s="4">
        <v>1</v>
      </c>
      <c r="F68" s="9">
        <f t="shared" ca="1" si="2"/>
        <v>1.08</v>
      </c>
      <c r="G68" s="9">
        <f t="shared" ca="1" si="3"/>
        <v>23.53</v>
      </c>
    </row>
    <row r="69" spans="1:7" x14ac:dyDescent="0.3">
      <c r="A69" t="s">
        <v>99</v>
      </c>
      <c r="B69" t="s">
        <v>183</v>
      </c>
      <c r="C69" s="3">
        <v>44986</v>
      </c>
      <c r="D69" s="3">
        <v>45536</v>
      </c>
      <c r="E69" s="4">
        <v>4</v>
      </c>
      <c r="F69" s="9">
        <f t="shared" ca="1" si="2"/>
        <v>0.4</v>
      </c>
      <c r="G69" s="9">
        <f t="shared" ca="1" si="3"/>
        <v>13.43</v>
      </c>
    </row>
    <row r="70" spans="1:7" x14ac:dyDescent="0.3">
      <c r="A70" t="s">
        <v>100</v>
      </c>
      <c r="B70" t="s">
        <v>183</v>
      </c>
      <c r="C70" s="3">
        <v>44287</v>
      </c>
      <c r="D70" s="3">
        <v>45383</v>
      </c>
      <c r="E70" s="4">
        <v>12</v>
      </c>
      <c r="F70" s="9">
        <f t="shared" ca="1" si="2"/>
        <v>2.35</v>
      </c>
      <c r="G70" s="9">
        <f t="shared" ca="1" si="3"/>
        <v>8.33</v>
      </c>
    </row>
    <row r="71" spans="1:7" x14ac:dyDescent="0.3">
      <c r="A71" t="s">
        <v>101</v>
      </c>
      <c r="B71" t="s">
        <v>183</v>
      </c>
      <c r="C71" s="3">
        <v>44593</v>
      </c>
      <c r="D71" s="3">
        <v>45323</v>
      </c>
      <c r="E71" s="4">
        <v>2</v>
      </c>
      <c r="F71" s="9">
        <f t="shared" ca="1" si="2"/>
        <v>1.5</v>
      </c>
      <c r="G71" s="9">
        <f t="shared" ca="1" si="3"/>
        <v>6.33</v>
      </c>
    </row>
    <row r="72" spans="1:7" x14ac:dyDescent="0.3">
      <c r="A72" t="s">
        <v>102</v>
      </c>
      <c r="B72" t="s">
        <v>183</v>
      </c>
      <c r="C72" s="3">
        <v>43831</v>
      </c>
      <c r="D72" s="3">
        <v>44927</v>
      </c>
      <c r="E72" s="4">
        <v>2</v>
      </c>
      <c r="F72" s="9">
        <f t="shared" ca="1" si="2"/>
        <v>3.61</v>
      </c>
      <c r="G72" s="9">
        <f t="shared" ca="1" si="3"/>
        <v>-6.86</v>
      </c>
    </row>
    <row r="73" spans="1:7" x14ac:dyDescent="0.3">
      <c r="A73" t="s">
        <v>103</v>
      </c>
      <c r="B73" t="s">
        <v>185</v>
      </c>
      <c r="C73" s="3">
        <v>44317</v>
      </c>
      <c r="D73" s="3">
        <v>45047</v>
      </c>
      <c r="E73" s="4">
        <v>4</v>
      </c>
      <c r="F73" s="9">
        <f t="shared" ca="1" si="2"/>
        <v>2.2599999999999998</v>
      </c>
      <c r="G73" s="9">
        <f t="shared" ca="1" si="3"/>
        <v>-2.86</v>
      </c>
    </row>
    <row r="74" spans="1:7" x14ac:dyDescent="0.3">
      <c r="A74" t="s">
        <v>104</v>
      </c>
      <c r="B74" t="s">
        <v>185</v>
      </c>
      <c r="C74" s="3">
        <v>44166</v>
      </c>
      <c r="D74" s="3">
        <v>44896</v>
      </c>
      <c r="E74" s="4">
        <v>1</v>
      </c>
      <c r="F74" s="9">
        <f t="shared" ca="1" si="2"/>
        <v>2.68</v>
      </c>
      <c r="G74" s="9">
        <f t="shared" ca="1" si="3"/>
        <v>-7.9</v>
      </c>
    </row>
    <row r="75" spans="1:7" x14ac:dyDescent="0.3">
      <c r="A75" t="s">
        <v>105</v>
      </c>
      <c r="B75" t="s">
        <v>185</v>
      </c>
      <c r="C75" s="3">
        <v>44713</v>
      </c>
      <c r="D75" s="3">
        <v>45809</v>
      </c>
      <c r="E75" s="4">
        <v>6</v>
      </c>
      <c r="F75" s="9">
        <f t="shared" ca="1" si="2"/>
        <v>1.1599999999999999</v>
      </c>
      <c r="G75" s="9">
        <f t="shared" ca="1" si="3"/>
        <v>22.53</v>
      </c>
    </row>
    <row r="76" spans="1:7" x14ac:dyDescent="0.3">
      <c r="A76" t="s">
        <v>106</v>
      </c>
      <c r="B76" t="s">
        <v>178</v>
      </c>
      <c r="C76" s="3">
        <v>44986</v>
      </c>
      <c r="D76" s="3">
        <v>45231</v>
      </c>
      <c r="E76" s="4">
        <v>5</v>
      </c>
      <c r="F76" s="9">
        <f t="shared" ca="1" si="2"/>
        <v>0.4</v>
      </c>
      <c r="G76" s="9">
        <f t="shared" ca="1" si="3"/>
        <v>3.26</v>
      </c>
    </row>
    <row r="77" spans="1:7" x14ac:dyDescent="0.3">
      <c r="A77" t="s">
        <v>107</v>
      </c>
      <c r="B77" t="s">
        <v>178</v>
      </c>
      <c r="C77" s="3">
        <v>44743</v>
      </c>
      <c r="D77" s="3">
        <v>45108</v>
      </c>
      <c r="E77" s="4">
        <v>20</v>
      </c>
      <c r="F77" s="9">
        <f t="shared" ca="1" si="2"/>
        <v>1.08</v>
      </c>
      <c r="G77" s="9">
        <f t="shared" ca="1" si="3"/>
        <v>-0.83</v>
      </c>
    </row>
    <row r="78" spans="1:7" x14ac:dyDescent="0.3">
      <c r="A78" t="s">
        <v>108</v>
      </c>
      <c r="B78" t="s">
        <v>186</v>
      </c>
      <c r="C78" s="3">
        <v>44105</v>
      </c>
      <c r="D78" s="3">
        <v>44835</v>
      </c>
      <c r="E78" s="4">
        <v>3</v>
      </c>
      <c r="F78" s="9">
        <f t="shared" ca="1" si="2"/>
        <v>2.85</v>
      </c>
      <c r="G78" s="9">
        <f t="shared" ca="1" si="3"/>
        <v>-9.93</v>
      </c>
    </row>
    <row r="79" spans="1:7" x14ac:dyDescent="0.3">
      <c r="A79" t="s">
        <v>109</v>
      </c>
      <c r="B79" t="s">
        <v>187</v>
      </c>
      <c r="C79" s="3">
        <v>44440</v>
      </c>
      <c r="D79" s="3">
        <v>44774</v>
      </c>
      <c r="E79" s="4">
        <v>25</v>
      </c>
      <c r="F79" s="9">
        <f t="shared" ca="1" si="2"/>
        <v>1.92</v>
      </c>
      <c r="G79" s="9">
        <f t="shared" ca="1" si="3"/>
        <v>-11.96</v>
      </c>
    </row>
    <row r="80" spans="1:7" x14ac:dyDescent="0.3">
      <c r="A80" t="s">
        <v>110</v>
      </c>
      <c r="B80" t="s">
        <v>187</v>
      </c>
      <c r="C80" s="3">
        <v>44531</v>
      </c>
      <c r="D80" s="3">
        <v>44896</v>
      </c>
      <c r="E80" s="4">
        <v>4</v>
      </c>
      <c r="F80" s="9">
        <f t="shared" ca="1" si="2"/>
        <v>1.67</v>
      </c>
      <c r="G80" s="9">
        <f t="shared" ca="1" si="3"/>
        <v>-7.9</v>
      </c>
    </row>
    <row r="81" spans="1:7" x14ac:dyDescent="0.3">
      <c r="A81" t="s">
        <v>111</v>
      </c>
      <c r="B81" t="s">
        <v>186</v>
      </c>
      <c r="C81" s="3">
        <v>44348</v>
      </c>
      <c r="D81" s="3">
        <v>44896</v>
      </c>
      <c r="E81" s="4">
        <v>6</v>
      </c>
      <c r="F81" s="9">
        <f t="shared" ca="1" si="2"/>
        <v>2.1800000000000002</v>
      </c>
      <c r="G81" s="9">
        <f t="shared" ca="1" si="3"/>
        <v>-7.9</v>
      </c>
    </row>
    <row r="82" spans="1:7" x14ac:dyDescent="0.3">
      <c r="A82" t="s">
        <v>112</v>
      </c>
      <c r="B82" t="s">
        <v>167</v>
      </c>
      <c r="C82" s="3">
        <v>44470</v>
      </c>
      <c r="D82" s="3">
        <v>45566</v>
      </c>
      <c r="E82" s="4">
        <v>1</v>
      </c>
      <c r="F82" s="9">
        <f t="shared" ca="1" si="2"/>
        <v>1.84</v>
      </c>
      <c r="G82" s="9">
        <f t="shared" ca="1" si="3"/>
        <v>14.43</v>
      </c>
    </row>
    <row r="83" spans="1:7" x14ac:dyDescent="0.3">
      <c r="A83" t="s">
        <v>113</v>
      </c>
      <c r="B83" t="s">
        <v>181</v>
      </c>
      <c r="C83" s="3">
        <v>44621</v>
      </c>
      <c r="D83" s="3">
        <v>44986</v>
      </c>
      <c r="E83" s="4">
        <v>7</v>
      </c>
      <c r="F83" s="9">
        <f t="shared" ca="1" si="2"/>
        <v>1.42</v>
      </c>
      <c r="G83" s="9">
        <f t="shared" ca="1" si="3"/>
        <v>-4.9000000000000004</v>
      </c>
    </row>
    <row r="84" spans="1:7" x14ac:dyDescent="0.3">
      <c r="A84" t="s">
        <v>114</v>
      </c>
      <c r="B84" t="s">
        <v>181</v>
      </c>
      <c r="C84" s="3">
        <v>44652</v>
      </c>
      <c r="D84" s="3">
        <v>44986</v>
      </c>
      <c r="E84" s="4">
        <v>4</v>
      </c>
      <c r="F84" s="9">
        <f t="shared" ca="1" si="2"/>
        <v>1.33</v>
      </c>
      <c r="G84" s="9">
        <f t="shared" ca="1" si="3"/>
        <v>-4.9000000000000004</v>
      </c>
    </row>
    <row r="85" spans="1:7" x14ac:dyDescent="0.3">
      <c r="A85" t="s">
        <v>115</v>
      </c>
      <c r="B85" t="s">
        <v>167</v>
      </c>
      <c r="C85" s="3">
        <v>44805</v>
      </c>
      <c r="D85" s="3">
        <v>45139</v>
      </c>
      <c r="E85" s="4">
        <v>4</v>
      </c>
      <c r="F85" s="9">
        <f t="shared" ca="1" si="2"/>
        <v>0.91</v>
      </c>
      <c r="G85" s="9">
        <f t="shared" ca="1" si="3"/>
        <v>0.2</v>
      </c>
    </row>
    <row r="86" spans="1:7" x14ac:dyDescent="0.3">
      <c r="A86" t="s">
        <v>116</v>
      </c>
      <c r="B86" t="s">
        <v>186</v>
      </c>
      <c r="C86" s="3">
        <v>44774</v>
      </c>
      <c r="D86" s="3">
        <v>45108</v>
      </c>
      <c r="E86" s="4">
        <v>4</v>
      </c>
      <c r="F86" s="9">
        <f t="shared" ca="1" si="2"/>
        <v>0.99</v>
      </c>
      <c r="G86" s="9">
        <f t="shared" ca="1" si="3"/>
        <v>-0.83</v>
      </c>
    </row>
    <row r="87" spans="1:7" x14ac:dyDescent="0.3">
      <c r="A87" t="s">
        <v>117</v>
      </c>
      <c r="B87" t="s">
        <v>186</v>
      </c>
      <c r="C87" s="3">
        <v>44562</v>
      </c>
      <c r="D87" s="3">
        <v>44896</v>
      </c>
      <c r="E87" s="4">
        <v>20</v>
      </c>
      <c r="F87" s="9">
        <f t="shared" ca="1" si="2"/>
        <v>1.58</v>
      </c>
      <c r="G87" s="9">
        <f t="shared" ca="1" si="3"/>
        <v>-7.9</v>
      </c>
    </row>
    <row r="88" spans="1:7" x14ac:dyDescent="0.3">
      <c r="A88" t="s">
        <v>118</v>
      </c>
      <c r="B88" t="s">
        <v>179</v>
      </c>
      <c r="C88" s="3">
        <v>44958</v>
      </c>
      <c r="D88" s="3">
        <v>45292</v>
      </c>
      <c r="E88" s="4">
        <v>30</v>
      </c>
      <c r="F88" s="9">
        <f t="shared" ca="1" si="2"/>
        <v>0.48</v>
      </c>
      <c r="G88" s="9">
        <f t="shared" ca="1" si="3"/>
        <v>5.3</v>
      </c>
    </row>
    <row r="89" spans="1:7" x14ac:dyDescent="0.3">
      <c r="A89" t="s">
        <v>119</v>
      </c>
      <c r="B89" t="s">
        <v>186</v>
      </c>
      <c r="C89" s="3">
        <v>45017</v>
      </c>
      <c r="D89" s="3">
        <v>45352</v>
      </c>
      <c r="E89" s="4">
        <v>1</v>
      </c>
      <c r="F89" s="9">
        <f t="shared" ca="1" si="2"/>
        <v>0.32</v>
      </c>
      <c r="G89" s="9">
        <f t="shared" ca="1" si="3"/>
        <v>7.3</v>
      </c>
    </row>
    <row r="90" spans="1:7" x14ac:dyDescent="0.3">
      <c r="A90" t="s">
        <v>120</v>
      </c>
      <c r="B90" t="s">
        <v>181</v>
      </c>
      <c r="C90" s="3">
        <v>44440</v>
      </c>
      <c r="D90" s="3">
        <v>44774</v>
      </c>
      <c r="E90" s="4">
        <v>3</v>
      </c>
      <c r="F90" s="9">
        <f t="shared" ca="1" si="2"/>
        <v>1.92</v>
      </c>
      <c r="G90" s="9">
        <f t="shared" ca="1" si="3"/>
        <v>-11.96</v>
      </c>
    </row>
    <row r="91" spans="1:7" x14ac:dyDescent="0.3">
      <c r="A91" t="s">
        <v>121</v>
      </c>
      <c r="B91" t="s">
        <v>186</v>
      </c>
      <c r="C91" s="3">
        <v>45017</v>
      </c>
      <c r="D91" s="3">
        <v>45292</v>
      </c>
      <c r="E91" s="4">
        <v>2</v>
      </c>
      <c r="F91" s="9">
        <f t="shared" ca="1" si="2"/>
        <v>0.32</v>
      </c>
      <c r="G91" s="9">
        <f t="shared" ca="1" si="3"/>
        <v>5.3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1A3B-5322-4059-B90D-9494964958D2}">
  <dimension ref="D1:R42"/>
  <sheetViews>
    <sheetView topLeftCell="B7" workbookViewId="0">
      <selection activeCell="P25" sqref="P25"/>
    </sheetView>
  </sheetViews>
  <sheetFormatPr defaultRowHeight="14.4" x14ac:dyDescent="0.3"/>
  <cols>
    <col min="4" max="4" width="19.88671875" bestFit="1" customWidth="1"/>
    <col min="5" max="5" width="10.88671875" bestFit="1" customWidth="1"/>
    <col min="8" max="8" width="19.88671875" bestFit="1" customWidth="1"/>
    <col min="9" max="9" width="11.21875" bestFit="1" customWidth="1"/>
    <col min="17" max="17" width="18.33203125" bestFit="1" customWidth="1"/>
    <col min="18" max="18" width="14.88671875" bestFit="1" customWidth="1"/>
  </cols>
  <sheetData>
    <row r="1" spans="4:18" x14ac:dyDescent="0.3">
      <c r="D1" s="11" t="s">
        <v>129</v>
      </c>
      <c r="E1" s="1" t="s">
        <v>127</v>
      </c>
      <c r="H1" s="11" t="s">
        <v>129</v>
      </c>
      <c r="I1" s="1" t="s">
        <v>128</v>
      </c>
      <c r="Q1" s="12" t="s">
        <v>125</v>
      </c>
      <c r="R1" t="s">
        <v>156</v>
      </c>
    </row>
    <row r="2" spans="4:18" x14ac:dyDescent="0.3">
      <c r="D2" s="5" t="s">
        <v>133</v>
      </c>
      <c r="E2">
        <v>37</v>
      </c>
      <c r="H2" s="5" t="s">
        <v>133</v>
      </c>
      <c r="I2">
        <v>210</v>
      </c>
    </row>
    <row r="3" spans="4:18" x14ac:dyDescent="0.3">
      <c r="D3" s="5" t="s">
        <v>130</v>
      </c>
      <c r="E3">
        <v>31</v>
      </c>
      <c r="H3" s="5" t="s">
        <v>130</v>
      </c>
      <c r="I3">
        <v>277</v>
      </c>
      <c r="Q3" s="12" t="s">
        <v>188</v>
      </c>
      <c r="R3" t="s">
        <v>140</v>
      </c>
    </row>
    <row r="4" spans="4:18" x14ac:dyDescent="0.3">
      <c r="D4" s="5" t="s">
        <v>131</v>
      </c>
      <c r="E4">
        <v>8</v>
      </c>
      <c r="H4" s="5" t="s">
        <v>131</v>
      </c>
      <c r="I4">
        <v>72</v>
      </c>
      <c r="Q4" s="5" t="s">
        <v>171</v>
      </c>
      <c r="R4">
        <v>30</v>
      </c>
    </row>
    <row r="5" spans="4:18" x14ac:dyDescent="0.3">
      <c r="D5" s="5" t="s">
        <v>134</v>
      </c>
      <c r="E5">
        <v>14</v>
      </c>
      <c r="H5" s="5" t="s">
        <v>134</v>
      </c>
      <c r="I5">
        <v>38</v>
      </c>
      <c r="Q5" s="5" t="s">
        <v>186</v>
      </c>
      <c r="R5">
        <v>29</v>
      </c>
    </row>
    <row r="6" spans="4:18" x14ac:dyDescent="0.3">
      <c r="D6" s="5" t="s">
        <v>122</v>
      </c>
      <c r="E6">
        <v>90</v>
      </c>
      <c r="H6" s="5" t="s">
        <v>122</v>
      </c>
      <c r="I6">
        <v>597</v>
      </c>
      <c r="Q6" s="5" t="s">
        <v>187</v>
      </c>
      <c r="R6">
        <v>29</v>
      </c>
    </row>
    <row r="7" spans="4:18" x14ac:dyDescent="0.3">
      <c r="Q7" s="5" t="s">
        <v>178</v>
      </c>
      <c r="R7">
        <v>23</v>
      </c>
    </row>
    <row r="8" spans="4:18" x14ac:dyDescent="0.3">
      <c r="Q8" s="5" t="s">
        <v>170</v>
      </c>
      <c r="R8">
        <v>18</v>
      </c>
    </row>
    <row r="9" spans="4:18" x14ac:dyDescent="0.3">
      <c r="Q9" s="5" t="s">
        <v>181</v>
      </c>
      <c r="R9">
        <v>17</v>
      </c>
    </row>
    <row r="10" spans="4:18" x14ac:dyDescent="0.3">
      <c r="Q10" s="5" t="s">
        <v>174</v>
      </c>
      <c r="R10">
        <v>13</v>
      </c>
    </row>
    <row r="11" spans="4:18" x14ac:dyDescent="0.3">
      <c r="Q11" s="5" t="s">
        <v>175</v>
      </c>
      <c r="R11">
        <v>11</v>
      </c>
    </row>
    <row r="12" spans="4:18" x14ac:dyDescent="0.3">
      <c r="Q12" s="5" t="s">
        <v>179</v>
      </c>
      <c r="R12">
        <v>10</v>
      </c>
    </row>
    <row r="13" spans="4:18" x14ac:dyDescent="0.3">
      <c r="Q13" s="5" t="s">
        <v>176</v>
      </c>
      <c r="R13">
        <v>7</v>
      </c>
    </row>
    <row r="14" spans="4:18" x14ac:dyDescent="0.3">
      <c r="Q14" s="5" t="s">
        <v>169</v>
      </c>
      <c r="R14">
        <v>6</v>
      </c>
    </row>
    <row r="15" spans="4:18" x14ac:dyDescent="0.3">
      <c r="Q15" s="5" t="s">
        <v>180</v>
      </c>
      <c r="R15">
        <v>5</v>
      </c>
    </row>
    <row r="16" spans="4:18" x14ac:dyDescent="0.3">
      <c r="Q16" s="5" t="s">
        <v>185</v>
      </c>
      <c r="R16">
        <v>5</v>
      </c>
    </row>
    <row r="17" spans="17:18" x14ac:dyDescent="0.3">
      <c r="Q17" s="5" t="s">
        <v>166</v>
      </c>
      <c r="R17">
        <v>4</v>
      </c>
    </row>
    <row r="18" spans="17:18" x14ac:dyDescent="0.3">
      <c r="Q18" s="5" t="s">
        <v>183</v>
      </c>
      <c r="R18">
        <v>2</v>
      </c>
    </row>
    <row r="19" spans="17:18" x14ac:dyDescent="0.3">
      <c r="Q19" s="5" t="s">
        <v>177</v>
      </c>
      <c r="R19">
        <v>1</v>
      </c>
    </row>
    <row r="20" spans="17:18" x14ac:dyDescent="0.3">
      <c r="Q20" s="20"/>
      <c r="R20" s="20"/>
    </row>
    <row r="24" spans="17:18" x14ac:dyDescent="0.3">
      <c r="Q24" s="5" t="s">
        <v>171</v>
      </c>
      <c r="R24">
        <f>GETPIVOTDATA("Quantity",$Q$3,"Category","Cookies")</f>
        <v>30</v>
      </c>
    </row>
    <row r="25" spans="17:18" x14ac:dyDescent="0.3">
      <c r="Q25" s="5" t="s">
        <v>186</v>
      </c>
      <c r="R25">
        <f>GETPIVOTDATA("Quantity",$Q$3,"Category","Kitchen supplies")</f>
        <v>29</v>
      </c>
    </row>
    <row r="26" spans="17:18" x14ac:dyDescent="0.3">
      <c r="Q26" s="5" t="s">
        <v>187</v>
      </c>
      <c r="R26">
        <f>GETPIVOTDATA("Quantity",$Q$3,"Category","Pickles")</f>
        <v>29</v>
      </c>
    </row>
    <row r="27" spans="17:18" x14ac:dyDescent="0.3">
      <c r="Q27" s="5" t="s">
        <v>178</v>
      </c>
      <c r="R27">
        <f>GETPIVOTDATA("Quantity",$Q$3,"Category","Instant foods")</f>
        <v>23</v>
      </c>
    </row>
    <row r="28" spans="17:18" x14ac:dyDescent="0.3">
      <c r="Q28" s="5" t="s">
        <v>170</v>
      </c>
      <c r="R28">
        <f>GETPIVOTDATA("Quantity",$Q$3,"Category","Chips")</f>
        <v>18</v>
      </c>
    </row>
    <row r="29" spans="17:18" x14ac:dyDescent="0.3">
      <c r="Q29" s="5" t="s">
        <v>181</v>
      </c>
      <c r="R29">
        <f>GETPIVOTDATA("Quantity",$Q$3,"Category","Flavouring")</f>
        <v>17</v>
      </c>
    </row>
    <row r="30" spans="17:18" x14ac:dyDescent="0.3">
      <c r="Q30" s="5" t="s">
        <v>174</v>
      </c>
      <c r="R30">
        <f>GETPIVOTDATA("Quantity",$Q$3,"Category","Bakery")</f>
        <v>13</v>
      </c>
    </row>
    <row r="31" spans="17:18" x14ac:dyDescent="0.3">
      <c r="Q31" s="5" t="s">
        <v>175</v>
      </c>
      <c r="R31">
        <f>GETPIVOTDATA("Quantity",$Q$3,"Category","Chocolates")</f>
        <v>11</v>
      </c>
    </row>
    <row r="32" spans="17:18" x14ac:dyDescent="0.3">
      <c r="Q32" s="5" t="s">
        <v>179</v>
      </c>
      <c r="R32">
        <f>GETPIVOTDATA("Quantity",$Q$3,"Category","Spices")</f>
        <v>10</v>
      </c>
    </row>
    <row r="33" spans="17:18" x14ac:dyDescent="0.3">
      <c r="Q33" s="5" t="s">
        <v>176</v>
      </c>
      <c r="R33">
        <f>GETPIVOTDATA("Quantity",$Q$3,"Category","Indian Snacks")</f>
        <v>7</v>
      </c>
    </row>
    <row r="34" spans="17:18" x14ac:dyDescent="0.3">
      <c r="Q34" s="5" t="s">
        <v>169</v>
      </c>
      <c r="R34">
        <f>GETPIVOTDATA("Quantity",$Q$3,"Category","Pest Control")</f>
        <v>6</v>
      </c>
    </row>
    <row r="35" spans="17:18" x14ac:dyDescent="0.3">
      <c r="Q35" s="5" t="s">
        <v>180</v>
      </c>
      <c r="R35">
        <f>GETPIVOTDATA("Quantity",$Q$3,"Category","Sweets")</f>
        <v>5</v>
      </c>
    </row>
    <row r="36" spans="17:18" x14ac:dyDescent="0.3">
      <c r="Q36" s="5" t="s">
        <v>185</v>
      </c>
      <c r="R36">
        <f>GETPIVOTDATA("Quantity",$Q$3,"Category","Toothcare")</f>
        <v>5</v>
      </c>
    </row>
    <row r="37" spans="17:18" x14ac:dyDescent="0.3">
      <c r="Q37" s="5" t="s">
        <v>166</v>
      </c>
      <c r="R37">
        <f>GETPIVOTDATA("Quantity",$Q$3,"Category","Household Supplies")</f>
        <v>4</v>
      </c>
    </row>
    <row r="38" spans="17:18" x14ac:dyDescent="0.3">
      <c r="Q38" s="5" t="s">
        <v>183</v>
      </c>
      <c r="R38">
        <f>GETPIVOTDATA("Quantity",$Q$3,"Category","Oils")</f>
        <v>2</v>
      </c>
    </row>
    <row r="39" spans="17:18" x14ac:dyDescent="0.3">
      <c r="Q39" s="5" t="s">
        <v>177</v>
      </c>
      <c r="R39">
        <f>GETPIVOTDATA("Quantity",$Q$3,"Category","Soft Drinks")</f>
        <v>1</v>
      </c>
    </row>
    <row r="40" spans="17:18" x14ac:dyDescent="0.3">
      <c r="Q40" t="s">
        <v>130</v>
      </c>
      <c r="R40">
        <f>GETPIVOTDATA("Quantity",$H$1,"Months left to expire","0-6 months")</f>
        <v>277</v>
      </c>
    </row>
    <row r="41" spans="17:18" x14ac:dyDescent="0.3">
      <c r="Q41" t="s">
        <v>131</v>
      </c>
      <c r="R41">
        <f>GETPIVOTDATA("Quantity",$H$1,"Months left to expire","6-12 months")</f>
        <v>72</v>
      </c>
    </row>
    <row r="42" spans="17:18" x14ac:dyDescent="0.3">
      <c r="Q42" t="s">
        <v>134</v>
      </c>
      <c r="R42">
        <f>GETPIVOTDATA("Quantity",$H$1,"Months left to expire","&gt;1 year")</f>
        <v>38</v>
      </c>
    </row>
  </sheetData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045E-73FB-4F86-BB07-2DD2FB241B71}">
  <dimension ref="C1:M17"/>
  <sheetViews>
    <sheetView workbookViewId="0">
      <selection activeCell="M35" sqref="M35"/>
    </sheetView>
  </sheetViews>
  <sheetFormatPr defaultRowHeight="14.4" x14ac:dyDescent="0.3"/>
  <cols>
    <col min="3" max="3" width="19.88671875" bestFit="1" customWidth="1"/>
    <col min="4" max="4" width="11.21875" bestFit="1" customWidth="1"/>
    <col min="6" max="6" width="18.33203125" bestFit="1" customWidth="1"/>
    <col min="7" max="7" width="14.88671875" bestFit="1" customWidth="1"/>
    <col min="9" max="9" width="11.21875" bestFit="1" customWidth="1"/>
    <col min="12" max="12" width="16.77734375" bestFit="1" customWidth="1"/>
  </cols>
  <sheetData>
    <row r="1" spans="3:13" x14ac:dyDescent="0.3">
      <c r="C1" s="11" t="s">
        <v>129</v>
      </c>
      <c r="D1" s="1" t="s">
        <v>128</v>
      </c>
      <c r="F1" s="12" t="s">
        <v>125</v>
      </c>
      <c r="G1" t="s">
        <v>157</v>
      </c>
      <c r="I1" s="41" t="s">
        <v>189</v>
      </c>
      <c r="J1" s="41"/>
      <c r="L1" s="41" t="s">
        <v>190</v>
      </c>
      <c r="M1" s="41"/>
    </row>
    <row r="2" spans="3:13" x14ac:dyDescent="0.3">
      <c r="C2" s="5" t="s">
        <v>133</v>
      </c>
      <c r="D2">
        <v>210</v>
      </c>
      <c r="I2" s="5" t="s">
        <v>130</v>
      </c>
      <c r="J2">
        <f>GETPIVOTDATA("Quantity",$C$1,"Months left to expire","0-6 months")</f>
        <v>277</v>
      </c>
      <c r="L2" s="5" t="s">
        <v>171</v>
      </c>
      <c r="M2">
        <f>GETPIVOTDATA("Quantity",$F$3,"Category","Cookies")</f>
        <v>116</v>
      </c>
    </row>
    <row r="3" spans="3:13" x14ac:dyDescent="0.3">
      <c r="C3" s="5" t="s">
        <v>130</v>
      </c>
      <c r="D3">
        <v>277</v>
      </c>
      <c r="F3" s="12" t="s">
        <v>139</v>
      </c>
      <c r="G3" t="s">
        <v>140</v>
      </c>
      <c r="I3" s="5" t="s">
        <v>131</v>
      </c>
      <c r="J3">
        <f>GETPIVOTDATA("Quantity",$C$1,"Months left to expire","6-12 months")</f>
        <v>72</v>
      </c>
      <c r="L3" s="5" t="s">
        <v>178</v>
      </c>
      <c r="M3">
        <f>GETPIVOTDATA("Quantity",$F$3,"Category","Instant foods")</f>
        <v>60</v>
      </c>
    </row>
    <row r="4" spans="3:13" x14ac:dyDescent="0.3">
      <c r="C4" s="5" t="s">
        <v>131</v>
      </c>
      <c r="D4">
        <v>72</v>
      </c>
      <c r="F4" s="5" t="s">
        <v>171</v>
      </c>
      <c r="G4">
        <v>116</v>
      </c>
      <c r="I4" s="5" t="s">
        <v>134</v>
      </c>
      <c r="J4">
        <f>GETPIVOTDATA("Quantity",$C$1,"Months left to expire","&gt;1 year")</f>
        <v>38</v>
      </c>
      <c r="L4" s="5" t="s">
        <v>170</v>
      </c>
      <c r="M4">
        <f>GETPIVOTDATA("Quantity",$F$3,"Category","Chips")</f>
        <v>27</v>
      </c>
    </row>
    <row r="5" spans="3:13" x14ac:dyDescent="0.3">
      <c r="C5" s="5" t="s">
        <v>134</v>
      </c>
      <c r="D5">
        <v>38</v>
      </c>
      <c r="F5" s="5" t="s">
        <v>178</v>
      </c>
      <c r="G5">
        <v>60</v>
      </c>
      <c r="I5" s="5" t="s">
        <v>133</v>
      </c>
      <c r="J5">
        <f>GETPIVOTDATA("Quantity",$C$1,"Months left to expire","Expired")</f>
        <v>210</v>
      </c>
      <c r="L5" s="5" t="s">
        <v>183</v>
      </c>
      <c r="M5">
        <f>GETPIVOTDATA("Quantity",$F$3,"Category","Oils")</f>
        <v>24</v>
      </c>
    </row>
    <row r="6" spans="3:13" x14ac:dyDescent="0.3">
      <c r="C6" s="5" t="s">
        <v>122</v>
      </c>
      <c r="D6">
        <v>597</v>
      </c>
      <c r="F6" s="5" t="s">
        <v>170</v>
      </c>
      <c r="G6">
        <v>27</v>
      </c>
      <c r="L6" s="5" t="s">
        <v>172</v>
      </c>
      <c r="M6">
        <f>GETPIVOTDATA("Quantity",$F$3,"Category","Wholegrain Snacks")</f>
        <v>11</v>
      </c>
    </row>
    <row r="7" spans="3:13" x14ac:dyDescent="0.3">
      <c r="F7" s="5" t="s">
        <v>183</v>
      </c>
      <c r="G7">
        <v>24</v>
      </c>
      <c r="L7" s="5" t="s">
        <v>174</v>
      </c>
      <c r="M7">
        <f>GETPIVOTDATA("Quantity",$F$3,"Category","Bakery")</f>
        <v>10</v>
      </c>
    </row>
    <row r="8" spans="3:13" x14ac:dyDescent="0.3">
      <c r="F8" s="5" t="s">
        <v>172</v>
      </c>
      <c r="G8">
        <v>11</v>
      </c>
      <c r="L8" s="5" t="s">
        <v>184</v>
      </c>
      <c r="M8">
        <f>GETPIVOTDATA("Quantity",$F$3,"Category","Dairy")</f>
        <v>6</v>
      </c>
    </row>
    <row r="9" spans="3:13" x14ac:dyDescent="0.3">
      <c r="F9" s="5" t="s">
        <v>174</v>
      </c>
      <c r="G9">
        <v>10</v>
      </c>
      <c r="L9" s="5" t="s">
        <v>175</v>
      </c>
      <c r="M9">
        <f>GETPIVOTDATA("Quantity",$F$3,"Category","Chocolates")</f>
        <v>5</v>
      </c>
    </row>
    <row r="10" spans="3:13" x14ac:dyDescent="0.3">
      <c r="F10" s="5" t="s">
        <v>184</v>
      </c>
      <c r="G10">
        <v>6</v>
      </c>
      <c r="L10" s="5" t="s">
        <v>186</v>
      </c>
      <c r="M10">
        <f>GETPIVOTDATA("Quantity",$F$3,"Category","Kitchen supplies")</f>
        <v>4</v>
      </c>
    </row>
    <row r="11" spans="3:13" x14ac:dyDescent="0.3">
      <c r="F11" s="5" t="s">
        <v>175</v>
      </c>
      <c r="G11">
        <v>5</v>
      </c>
      <c r="L11" s="5" t="s">
        <v>166</v>
      </c>
      <c r="M11">
        <f>GETPIVOTDATA("Quantity",$F$3,"Category","Household Supplies")</f>
        <v>4</v>
      </c>
    </row>
    <row r="12" spans="3:13" x14ac:dyDescent="0.3">
      <c r="F12" s="5" t="s">
        <v>186</v>
      </c>
      <c r="G12">
        <v>4</v>
      </c>
      <c r="L12" s="5" t="s">
        <v>173</v>
      </c>
      <c r="M12">
        <f>GETPIVOTDATA("Quantity",$F$3,"Category","Fruit Snacks")</f>
        <v>4</v>
      </c>
    </row>
    <row r="13" spans="3:13" x14ac:dyDescent="0.3">
      <c r="F13" s="5" t="s">
        <v>166</v>
      </c>
      <c r="G13">
        <v>4</v>
      </c>
      <c r="L13" s="5" t="s">
        <v>167</v>
      </c>
      <c r="M13">
        <f>GETPIVOTDATA("Quantity",$F$3,"Category","Health Care")</f>
        <v>4</v>
      </c>
    </row>
    <row r="14" spans="3:13" x14ac:dyDescent="0.3">
      <c r="F14" s="5" t="s">
        <v>173</v>
      </c>
      <c r="G14">
        <v>4</v>
      </c>
      <c r="L14" s="5" t="s">
        <v>176</v>
      </c>
      <c r="M14">
        <f>GETPIVOTDATA("Quantity",$F$3,"Category","Indian Snacks")</f>
        <v>2</v>
      </c>
    </row>
    <row r="15" spans="3:13" x14ac:dyDescent="0.3">
      <c r="F15" s="5" t="s">
        <v>167</v>
      </c>
      <c r="G15">
        <v>4</v>
      </c>
      <c r="L15" s="5" t="s">
        <v>131</v>
      </c>
      <c r="M15">
        <f>GETPIVOTDATA("Quantity",$C$1,"Months left to expire","6-12 months")</f>
        <v>72</v>
      </c>
    </row>
    <row r="16" spans="3:13" x14ac:dyDescent="0.3">
      <c r="F16" s="5" t="s">
        <v>176</v>
      </c>
      <c r="G16">
        <v>2</v>
      </c>
      <c r="L16" s="5" t="s">
        <v>134</v>
      </c>
      <c r="M16">
        <f>GETPIVOTDATA("Quantity",$C$1,"Months left to expire","&gt;1 year")</f>
        <v>38</v>
      </c>
    </row>
    <row r="17" spans="12:13" x14ac:dyDescent="0.3">
      <c r="L17" s="5" t="s">
        <v>133</v>
      </c>
      <c r="M17">
        <f>GETPIVOTDATA("Quantity",$C$1,"Months left to expire","Expired")</f>
        <v>210</v>
      </c>
    </row>
  </sheetData>
  <mergeCells count="2">
    <mergeCell ref="I1:J1"/>
    <mergeCell ref="L1:M1"/>
  </mergeCells>
  <pageMargins left="0.7" right="0.7" top="0.75" bottom="0.75" header="0.3" footer="0.3"/>
  <pageSetup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599A-0B34-4985-9F0D-22D81F6D2F55}">
  <sheetPr filterMode="1"/>
  <dimension ref="A1:I32"/>
  <sheetViews>
    <sheetView workbookViewId="0">
      <selection activeCell="L43" sqref="L43"/>
    </sheetView>
  </sheetViews>
  <sheetFormatPr defaultRowHeight="14.4" x14ac:dyDescent="0.3"/>
  <cols>
    <col min="1" max="1" width="10.44140625" bestFit="1" customWidth="1"/>
    <col min="2" max="2" width="30.33203125" customWidth="1"/>
    <col min="4" max="4" width="10.6640625" customWidth="1"/>
    <col min="8" max="8" width="11" customWidth="1"/>
  </cols>
  <sheetData>
    <row r="1" spans="1:9" ht="28.8" x14ac:dyDescent="0.3">
      <c r="A1" s="32" t="s">
        <v>192</v>
      </c>
      <c r="B1" s="32" t="s">
        <v>193</v>
      </c>
      <c r="D1" t="s">
        <v>203</v>
      </c>
      <c r="E1">
        <f>SUMIF(A2:A32,D1,B2:B32)</f>
        <v>35</v>
      </c>
      <c r="F1">
        <f>AVERAGEIF(A2:A32,D1,B2:B32)</f>
        <v>7</v>
      </c>
      <c r="H1" t="s">
        <v>235</v>
      </c>
      <c r="I1" t="s">
        <v>236</v>
      </c>
    </row>
    <row r="2" spans="1:9" hidden="1" x14ac:dyDescent="0.3">
      <c r="A2" s="22" t="s">
        <v>203</v>
      </c>
      <c r="B2" s="23">
        <v>0</v>
      </c>
      <c r="D2" t="s">
        <v>204</v>
      </c>
      <c r="E2">
        <f t="shared" ref="E2:E7" si="0">SUMIF(A3:A33,D2,B3:B33)</f>
        <v>29</v>
      </c>
      <c r="F2">
        <f t="shared" ref="F2:F7" si="1">AVERAGEIF(A3:A33,D2,B3:B33)</f>
        <v>5.8</v>
      </c>
    </row>
    <row r="3" spans="1:9" x14ac:dyDescent="0.3">
      <c r="A3" s="26" t="s">
        <v>204</v>
      </c>
      <c r="B3" s="28">
        <v>8</v>
      </c>
      <c r="D3" t="s">
        <v>205</v>
      </c>
      <c r="E3">
        <f t="shared" si="0"/>
        <v>47</v>
      </c>
      <c r="F3">
        <f t="shared" si="1"/>
        <v>9.4</v>
      </c>
      <c r="H3" s="16" t="s">
        <v>237</v>
      </c>
      <c r="I3">
        <v>6</v>
      </c>
    </row>
    <row r="4" spans="1:9" hidden="1" x14ac:dyDescent="0.3">
      <c r="A4" s="26" t="s">
        <v>205</v>
      </c>
      <c r="B4" s="28">
        <v>8</v>
      </c>
      <c r="D4" t="s">
        <v>206</v>
      </c>
      <c r="E4">
        <f t="shared" si="0"/>
        <v>38</v>
      </c>
      <c r="F4">
        <f t="shared" si="1"/>
        <v>9.5</v>
      </c>
    </row>
    <row r="5" spans="1:9" hidden="1" x14ac:dyDescent="0.3">
      <c r="A5" s="26" t="s">
        <v>206</v>
      </c>
      <c r="B5" s="28">
        <v>11</v>
      </c>
      <c r="D5" t="s">
        <v>207</v>
      </c>
      <c r="E5">
        <f t="shared" si="0"/>
        <v>36</v>
      </c>
      <c r="F5">
        <f t="shared" si="1"/>
        <v>9</v>
      </c>
    </row>
    <row r="6" spans="1:9" hidden="1" x14ac:dyDescent="0.3">
      <c r="A6" s="26" t="s">
        <v>207</v>
      </c>
      <c r="B6" s="29">
        <v>12</v>
      </c>
      <c r="D6" t="s">
        <v>208</v>
      </c>
      <c r="E6">
        <f t="shared" si="0"/>
        <v>37</v>
      </c>
      <c r="F6">
        <f t="shared" si="1"/>
        <v>9.25</v>
      </c>
    </row>
    <row r="7" spans="1:9" hidden="1" x14ac:dyDescent="0.3">
      <c r="A7" s="26" t="s">
        <v>208</v>
      </c>
      <c r="B7" s="29">
        <v>10</v>
      </c>
      <c r="D7" t="s">
        <v>202</v>
      </c>
      <c r="E7">
        <f t="shared" si="0"/>
        <v>34</v>
      </c>
      <c r="F7">
        <f t="shared" si="1"/>
        <v>8.5</v>
      </c>
    </row>
    <row r="8" spans="1:9" hidden="1" x14ac:dyDescent="0.3">
      <c r="A8" s="26" t="s">
        <v>202</v>
      </c>
      <c r="B8" s="29">
        <v>11</v>
      </c>
    </row>
    <row r="9" spans="1:9" hidden="1" x14ac:dyDescent="0.3">
      <c r="A9" s="26" t="s">
        <v>203</v>
      </c>
      <c r="B9" s="29">
        <v>12</v>
      </c>
    </row>
    <row r="10" spans="1:9" x14ac:dyDescent="0.3">
      <c r="A10" s="26" t="s">
        <v>204</v>
      </c>
      <c r="B10" s="29">
        <v>10</v>
      </c>
      <c r="H10" s="16" t="s">
        <v>238</v>
      </c>
      <c r="I10">
        <v>14</v>
      </c>
    </row>
    <row r="11" spans="1:9" hidden="1" x14ac:dyDescent="0.3">
      <c r="A11" s="26" t="s">
        <v>205</v>
      </c>
      <c r="B11" s="29">
        <v>8</v>
      </c>
    </row>
    <row r="12" spans="1:9" hidden="1" x14ac:dyDescent="0.3">
      <c r="A12" s="26" t="s">
        <v>206</v>
      </c>
      <c r="B12" s="29">
        <v>6</v>
      </c>
    </row>
    <row r="13" spans="1:9" hidden="1" x14ac:dyDescent="0.3">
      <c r="A13" s="26" t="s">
        <v>207</v>
      </c>
      <c r="B13" s="29">
        <v>6</v>
      </c>
    </row>
    <row r="14" spans="1:9" hidden="1" x14ac:dyDescent="0.3">
      <c r="A14" s="26" t="s">
        <v>208</v>
      </c>
      <c r="B14" s="29">
        <v>9</v>
      </c>
    </row>
    <row r="15" spans="1:9" hidden="1" x14ac:dyDescent="0.3">
      <c r="A15" s="22" t="s">
        <v>202</v>
      </c>
      <c r="B15" s="31">
        <v>0</v>
      </c>
    </row>
    <row r="16" spans="1:9" hidden="1" x14ac:dyDescent="0.3">
      <c r="A16" s="26" t="s">
        <v>203</v>
      </c>
      <c r="B16" s="29">
        <v>8</v>
      </c>
    </row>
    <row r="17" spans="1:9" x14ac:dyDescent="0.3">
      <c r="A17" s="26" t="s">
        <v>204</v>
      </c>
      <c r="B17" s="29">
        <v>11</v>
      </c>
      <c r="H17" s="16" t="s">
        <v>239</v>
      </c>
      <c r="I17">
        <v>8</v>
      </c>
    </row>
    <row r="18" spans="1:9" hidden="1" x14ac:dyDescent="0.3">
      <c r="A18" s="26" t="s">
        <v>205</v>
      </c>
      <c r="B18" s="29">
        <v>11</v>
      </c>
    </row>
    <row r="19" spans="1:9" hidden="1" x14ac:dyDescent="0.3">
      <c r="A19" s="26" t="s">
        <v>206</v>
      </c>
      <c r="B19" s="29">
        <v>13</v>
      </c>
    </row>
    <row r="20" spans="1:9" hidden="1" x14ac:dyDescent="0.3">
      <c r="A20" s="26" t="s">
        <v>207</v>
      </c>
      <c r="B20" s="29">
        <v>8</v>
      </c>
    </row>
    <row r="21" spans="1:9" hidden="1" x14ac:dyDescent="0.3">
      <c r="A21" s="26" t="s">
        <v>208</v>
      </c>
      <c r="B21" s="29">
        <v>12</v>
      </c>
    </row>
    <row r="22" spans="1:9" hidden="1" x14ac:dyDescent="0.3">
      <c r="A22" s="26" t="s">
        <v>202</v>
      </c>
      <c r="B22" s="29">
        <v>13</v>
      </c>
    </row>
    <row r="23" spans="1:9" hidden="1" x14ac:dyDescent="0.3">
      <c r="A23" s="26" t="s">
        <v>203</v>
      </c>
      <c r="B23" s="29">
        <v>7</v>
      </c>
    </row>
    <row r="24" spans="1:9" x14ac:dyDescent="0.3">
      <c r="A24" s="22" t="s">
        <v>204</v>
      </c>
      <c r="B24" s="31">
        <v>0</v>
      </c>
      <c r="H24" s="16" t="s">
        <v>240</v>
      </c>
      <c r="I24">
        <v>10</v>
      </c>
    </row>
    <row r="25" spans="1:9" hidden="1" x14ac:dyDescent="0.3">
      <c r="A25" s="26" t="s">
        <v>205</v>
      </c>
      <c r="B25" s="29">
        <v>7</v>
      </c>
    </row>
    <row r="26" spans="1:9" hidden="1" x14ac:dyDescent="0.3">
      <c r="A26" s="26" t="s">
        <v>206</v>
      </c>
      <c r="B26" s="29">
        <v>8</v>
      </c>
    </row>
    <row r="27" spans="1:9" hidden="1" x14ac:dyDescent="0.3">
      <c r="A27" s="26" t="s">
        <v>207</v>
      </c>
      <c r="B27" s="29">
        <v>10</v>
      </c>
    </row>
    <row r="28" spans="1:9" hidden="1" x14ac:dyDescent="0.3">
      <c r="A28" s="26" t="s">
        <v>208</v>
      </c>
      <c r="B28" s="29">
        <v>6</v>
      </c>
    </row>
    <row r="29" spans="1:9" hidden="1" x14ac:dyDescent="0.3">
      <c r="A29" s="26" t="s">
        <v>202</v>
      </c>
      <c r="B29" s="29">
        <v>10</v>
      </c>
    </row>
    <row r="30" spans="1:9" hidden="1" x14ac:dyDescent="0.3">
      <c r="A30" s="26" t="s">
        <v>203</v>
      </c>
      <c r="B30" s="29">
        <v>8</v>
      </c>
    </row>
    <row r="31" spans="1:9" x14ac:dyDescent="0.3">
      <c r="A31" s="22" t="s">
        <v>204</v>
      </c>
      <c r="B31" s="31">
        <v>0</v>
      </c>
      <c r="H31" s="16" t="s">
        <v>241</v>
      </c>
      <c r="I31">
        <v>1</v>
      </c>
    </row>
    <row r="32" spans="1:9" hidden="1" x14ac:dyDescent="0.3">
      <c r="A32" s="26" t="s">
        <v>205</v>
      </c>
      <c r="B32" s="29">
        <v>13</v>
      </c>
    </row>
  </sheetData>
  <autoFilter ref="A1:A32" xr:uid="{39D5599A-0B34-4985-9F0D-22D81F6D2F55}">
    <filterColumn colId="0">
      <filters>
        <filter val="Tuesday"/>
      </filters>
    </filterColumn>
  </autoFilter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 Data</vt:lpstr>
      <vt:lpstr>Month-wise</vt:lpstr>
      <vt:lpstr>Footfall</vt:lpstr>
      <vt:lpstr>Display Container Utilization</vt:lpstr>
      <vt:lpstr>Quality data</vt:lpstr>
      <vt:lpstr>Expired analysis</vt:lpstr>
      <vt:lpstr>Expiring soon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Rajya Lakshmi Jampani</dc:creator>
  <cp:lastModifiedBy>Rajya Lakshmi Jampani</cp:lastModifiedBy>
  <dcterms:created xsi:type="dcterms:W3CDTF">2023-05-06T11:57:49Z</dcterms:created>
  <dcterms:modified xsi:type="dcterms:W3CDTF">2023-07-26T15:03:39Z</dcterms:modified>
</cp:coreProperties>
</file>