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Volumes/IMP/Term 3/"/>
    </mc:Choice>
  </mc:AlternateContent>
  <bookViews>
    <workbookView xWindow="1060" yWindow="540" windowWidth="27760" windowHeight="15380" tabRatio="500"/>
  </bookViews>
  <sheets>
    <sheet name="19_23_24_25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9" i="1" l="1"/>
  <c r="B88" i="1"/>
  <c r="B76" i="1"/>
  <c r="B78" i="1"/>
  <c r="B77" i="1"/>
  <c r="B79" i="1"/>
  <c r="B80" i="1"/>
  <c r="B87" i="1"/>
  <c r="B83" i="1"/>
  <c r="B82" i="1"/>
  <c r="B84" i="1"/>
  <c r="B81" i="1"/>
  <c r="B85" i="1"/>
  <c r="D56" i="1"/>
  <c r="D58" i="1"/>
  <c r="D57" i="1"/>
  <c r="D59" i="1"/>
  <c r="D63" i="1"/>
  <c r="B38" i="1"/>
  <c r="D60" i="1"/>
  <c r="D61" i="1"/>
  <c r="D62" i="1"/>
  <c r="D65" i="1"/>
  <c r="C56" i="1"/>
  <c r="C58" i="1"/>
  <c r="C57" i="1"/>
  <c r="C59" i="1"/>
  <c r="C63" i="1"/>
  <c r="B37" i="1"/>
  <c r="C60" i="1"/>
  <c r="C61" i="1"/>
  <c r="C62" i="1"/>
  <c r="C65" i="1"/>
  <c r="C42" i="1"/>
  <c r="C44" i="1"/>
  <c r="C43" i="1"/>
  <c r="C45" i="1"/>
  <c r="C49" i="1"/>
  <c r="C46" i="1"/>
  <c r="C47" i="1"/>
  <c r="C48" i="1"/>
  <c r="C51" i="1"/>
  <c r="D38" i="1"/>
  <c r="C38" i="1"/>
  <c r="D37" i="1"/>
  <c r="C37" i="1"/>
  <c r="C4" i="1"/>
  <c r="E4" i="1"/>
  <c r="C5" i="1"/>
  <c r="E5" i="1"/>
  <c r="C6" i="1"/>
  <c r="E6" i="1"/>
  <c r="C7" i="1"/>
  <c r="E7" i="1"/>
  <c r="C8" i="1"/>
  <c r="E8" i="1"/>
  <c r="C9" i="1"/>
  <c r="E9" i="1"/>
  <c r="E11" i="1"/>
  <c r="D4" i="1"/>
  <c r="F4" i="1"/>
  <c r="D5" i="1"/>
  <c r="F5" i="1"/>
  <c r="D6" i="1"/>
  <c r="F6" i="1"/>
  <c r="D7" i="1"/>
  <c r="F7" i="1"/>
  <c r="D8" i="1"/>
  <c r="F8" i="1"/>
  <c r="D9" i="1"/>
  <c r="F9" i="1"/>
  <c r="F11" i="1"/>
  <c r="E12" i="1"/>
  <c r="H28" i="1"/>
  <c r="H20" i="1"/>
  <c r="H21" i="1"/>
  <c r="H22" i="1"/>
  <c r="H23" i="1"/>
  <c r="H24" i="1"/>
  <c r="H25" i="1"/>
  <c r="H27" i="1"/>
  <c r="H29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I11" i="1"/>
  <c r="E14" i="1"/>
  <c r="C20" i="1"/>
  <c r="B20" i="1"/>
  <c r="B21" i="1"/>
  <c r="B22" i="1"/>
  <c r="B23" i="1"/>
  <c r="B24" i="1"/>
  <c r="B25" i="1"/>
  <c r="C24" i="1"/>
  <c r="E25" i="1"/>
  <c r="C25" i="1"/>
  <c r="C23" i="1"/>
  <c r="E24" i="1"/>
  <c r="C22" i="1"/>
  <c r="E23" i="1"/>
  <c r="C21" i="1"/>
  <c r="E22" i="1"/>
  <c r="E21" i="1"/>
  <c r="E20" i="1"/>
  <c r="D16" i="1"/>
</calcChain>
</file>

<file path=xl/sharedStrings.xml><?xml version="1.0" encoding="utf-8"?>
<sst xmlns="http://schemas.openxmlformats.org/spreadsheetml/2006/main" count="89" uniqueCount="47">
  <si>
    <t>Problem 19_23</t>
  </si>
  <si>
    <t>4% yield</t>
  </si>
  <si>
    <t>5% yield</t>
  </si>
  <si>
    <t>rf = 0.04</t>
  </si>
  <si>
    <t>rf = 0.05</t>
  </si>
  <si>
    <t>Time</t>
  </si>
  <si>
    <t>Payoff</t>
  </si>
  <si>
    <t>D(T)</t>
  </si>
  <si>
    <t>PV</t>
  </si>
  <si>
    <t>Bond Price(semi annual)</t>
  </si>
  <si>
    <t>Loss</t>
  </si>
  <si>
    <t>PV_expected loss</t>
  </si>
  <si>
    <t>Bond Price</t>
  </si>
  <si>
    <t>Expected Loss</t>
  </si>
  <si>
    <t>Default_Prob</t>
  </si>
  <si>
    <t>Unconditional default probability</t>
  </si>
  <si>
    <t>Conditional Probability</t>
  </si>
  <si>
    <t>Probability_Survival</t>
  </si>
  <si>
    <t>Cumulative_Default_Prob</t>
  </si>
  <si>
    <t>Uncond_Default_Prob</t>
  </si>
  <si>
    <t>Exp_Loss</t>
  </si>
  <si>
    <t>Exp_Loss(price diff)</t>
  </si>
  <si>
    <t>Minimization</t>
  </si>
  <si>
    <t>Problem 19_24</t>
  </si>
  <si>
    <t>6% yield</t>
  </si>
  <si>
    <t>7% yield</t>
  </si>
  <si>
    <t>4.5% yield</t>
  </si>
  <si>
    <t xml:space="preserve">D(T) </t>
  </si>
  <si>
    <t>rf = 0.045</t>
  </si>
  <si>
    <t>rf = 0.06</t>
  </si>
  <si>
    <t>Problem 19_25</t>
  </si>
  <si>
    <t>Equity</t>
  </si>
  <si>
    <t>Debt</t>
  </si>
  <si>
    <t>Sigma_Equity</t>
  </si>
  <si>
    <t>rf</t>
  </si>
  <si>
    <t>V0</t>
  </si>
  <si>
    <t>Sigma</t>
  </si>
  <si>
    <t>d1</t>
  </si>
  <si>
    <t>d2</t>
  </si>
  <si>
    <t>N(d1)</t>
  </si>
  <si>
    <t>N(d2)</t>
  </si>
  <si>
    <t>E0</t>
  </si>
  <si>
    <t>MV_Debt</t>
  </si>
  <si>
    <t>PV_Promised</t>
  </si>
  <si>
    <t>Exp_loss_with_no_recovery</t>
  </si>
  <si>
    <t>Recovery rate</t>
  </si>
  <si>
    <t>Equity*Sigma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</si>
</sst>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0" fillId="4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topLeftCell="A52" workbookViewId="0">
      <selection activeCell="E58" sqref="E58"/>
    </sheetView>
  </sheetViews>
  <sheetFormatPr baseColWidth="10" defaultColWidth="15.796875" defaultRowHeight="15" x14ac:dyDescent="0.2"/>
  <cols>
    <col min="2" max="2" width="15.796875" customWidth="1"/>
    <col min="3" max="3" width="20" customWidth="1"/>
    <col min="5" max="5" width="16.796875" customWidth="1"/>
    <col min="6" max="6" width="15.59765625" customWidth="1"/>
    <col min="7" max="7" width="15.796875" customWidth="1"/>
  </cols>
  <sheetData>
    <row r="1" spans="1:9" x14ac:dyDescent="0.2">
      <c r="A1" s="1" t="s">
        <v>0</v>
      </c>
    </row>
    <row r="2" spans="1:9" x14ac:dyDescent="0.2">
      <c r="C2" t="s">
        <v>1</v>
      </c>
      <c r="D2" t="s">
        <v>2</v>
      </c>
      <c r="E2" t="s">
        <v>3</v>
      </c>
      <c r="F2" t="s">
        <v>4</v>
      </c>
    </row>
    <row r="3" spans="1:9" x14ac:dyDescent="0.2">
      <c r="A3" s="2" t="s">
        <v>5</v>
      </c>
      <c r="B3" s="2" t="s">
        <v>6</v>
      </c>
      <c r="C3" s="2" t="s">
        <v>7</v>
      </c>
      <c r="D3" s="2" t="s">
        <v>7</v>
      </c>
      <c r="E3" s="2" t="s">
        <v>8</v>
      </c>
      <c r="F3" s="2" t="s">
        <v>8</v>
      </c>
      <c r="G3" s="3" t="s">
        <v>9</v>
      </c>
      <c r="H3" s="2" t="s">
        <v>10</v>
      </c>
      <c r="I3" s="2" t="s">
        <v>11</v>
      </c>
    </row>
    <row r="4" spans="1:9" x14ac:dyDescent="0.2">
      <c r="A4">
        <v>0.5</v>
      </c>
      <c r="B4">
        <v>3.5</v>
      </c>
      <c r="C4">
        <f>(1+0.02)^-(2*A4)</f>
        <v>0.98039215686274506</v>
      </c>
      <c r="D4">
        <f>(1+0.025)^-(2*A4)</f>
        <v>0.97560975609756106</v>
      </c>
      <c r="E4">
        <f t="shared" ref="E4:E9" si="0">B4*C4</f>
        <v>3.4313725490196076</v>
      </c>
      <c r="F4">
        <f t="shared" ref="F4:F9" si="1">B4*D4</f>
        <v>3.4146341463414638</v>
      </c>
      <c r="G4" s="4">
        <f>B4+SUMPRODUCT(B5:$B$9,$C$4:C8)</f>
        <v>110.57018926275632</v>
      </c>
      <c r="H4">
        <f>G4*(1-0.45)</f>
        <v>60.813604094515981</v>
      </c>
      <c r="I4">
        <f>H4*C4</f>
        <v>59.62118048481959</v>
      </c>
    </row>
    <row r="5" spans="1:9" x14ac:dyDescent="0.2">
      <c r="A5">
        <v>1</v>
      </c>
      <c r="B5">
        <v>3.5</v>
      </c>
      <c r="C5">
        <f t="shared" ref="C5:C9" si="2">(1+0.02)^-(2*A5)</f>
        <v>0.96116878123798544</v>
      </c>
      <c r="D5">
        <f t="shared" ref="D5:D9" si="3">(1+0.025)^-(2*A5)</f>
        <v>0.95181439619274244</v>
      </c>
      <c r="E5">
        <f t="shared" si="0"/>
        <v>3.3640907343329491</v>
      </c>
      <c r="F5">
        <f t="shared" si="1"/>
        <v>3.3313503866745986</v>
      </c>
      <c r="G5" s="4">
        <f>B5+SUMPRODUCT(B6:$B$9,$C$4:C7)</f>
        <v>109.21159304801144</v>
      </c>
      <c r="H5">
        <f t="shared" ref="H5:H9" si="4">G5*(1-0.45)</f>
        <v>60.066376176406294</v>
      </c>
      <c r="I5">
        <f t="shared" ref="I5:I9" si="5">H5*C5</f>
        <v>57.733925582858802</v>
      </c>
    </row>
    <row r="6" spans="1:9" x14ac:dyDescent="0.2">
      <c r="A6">
        <v>1.5</v>
      </c>
      <c r="B6">
        <v>3.5</v>
      </c>
      <c r="C6">
        <f t="shared" si="2"/>
        <v>0.94232233454704462</v>
      </c>
      <c r="D6">
        <f t="shared" si="3"/>
        <v>0.92859941091974885</v>
      </c>
      <c r="E6">
        <f t="shared" si="0"/>
        <v>3.2981281709146559</v>
      </c>
      <c r="F6">
        <f t="shared" si="1"/>
        <v>3.2500979382191209</v>
      </c>
      <c r="G6" s="4">
        <f>B6+SUMPRODUCT(B7:$B$9,$C$4:C6)</f>
        <v>107.82582490897168</v>
      </c>
      <c r="H6">
        <f t="shared" si="4"/>
        <v>59.304203699934433</v>
      </c>
      <c r="I6">
        <f t="shared" si="5"/>
        <v>55.883675678975699</v>
      </c>
    </row>
    <row r="7" spans="1:9" x14ac:dyDescent="0.2">
      <c r="A7">
        <v>2</v>
      </c>
      <c r="B7">
        <v>3.5</v>
      </c>
      <c r="C7">
        <f t="shared" si="2"/>
        <v>0.9238454260265142</v>
      </c>
      <c r="D7">
        <f t="shared" si="3"/>
        <v>0.90595064479975507</v>
      </c>
      <c r="E7">
        <f t="shared" si="0"/>
        <v>3.2334589910927996</v>
      </c>
      <c r="F7">
        <f t="shared" si="1"/>
        <v>3.1708272567991429</v>
      </c>
      <c r="G7" s="4">
        <f>B7+SUMPRODUCT(B8:$B$9,$C$4:C5)</f>
        <v>106.4123414071511</v>
      </c>
      <c r="H7">
        <f t="shared" si="4"/>
        <v>58.526787773933108</v>
      </c>
      <c r="I7">
        <f t="shared" si="5"/>
        <v>54.069705184972612</v>
      </c>
    </row>
    <row r="8" spans="1:9" x14ac:dyDescent="0.2">
      <c r="A8">
        <v>2.5</v>
      </c>
      <c r="B8">
        <v>3.5</v>
      </c>
      <c r="C8">
        <f t="shared" si="2"/>
        <v>0.90573080982991594</v>
      </c>
      <c r="D8">
        <f t="shared" si="3"/>
        <v>0.88385428760951712</v>
      </c>
      <c r="E8">
        <f t="shared" si="0"/>
        <v>3.1700578344047057</v>
      </c>
      <c r="F8">
        <f t="shared" si="1"/>
        <v>3.09349000663331</v>
      </c>
      <c r="G8" s="4">
        <f>B8+SUMPRODUCT(B9:$B$9,$C$4:C4)</f>
        <v>104.97058823529412</v>
      </c>
      <c r="H8">
        <f t="shared" si="4"/>
        <v>57.733823529411765</v>
      </c>
      <c r="I8">
        <f t="shared" si="5"/>
        <v>52.291302739871576</v>
      </c>
    </row>
    <row r="9" spans="1:9" x14ac:dyDescent="0.2">
      <c r="A9">
        <v>3</v>
      </c>
      <c r="B9">
        <v>103.5</v>
      </c>
      <c r="C9">
        <f t="shared" si="2"/>
        <v>0.88797138218619198</v>
      </c>
      <c r="D9">
        <f t="shared" si="3"/>
        <v>0.86229686596050459</v>
      </c>
      <c r="E9">
        <f t="shared" si="0"/>
        <v>91.905038056270868</v>
      </c>
      <c r="F9">
        <f t="shared" si="1"/>
        <v>89.247725626912228</v>
      </c>
      <c r="G9" s="4">
        <f>B9</f>
        <v>103.5</v>
      </c>
      <c r="H9">
        <f t="shared" si="4"/>
        <v>56.925000000000004</v>
      </c>
      <c r="I9">
        <f t="shared" si="5"/>
        <v>50.547770930948985</v>
      </c>
    </row>
    <row r="10" spans="1:9" x14ac:dyDescent="0.2">
      <c r="G10" s="4"/>
    </row>
    <row r="11" spans="1:9" x14ac:dyDescent="0.2">
      <c r="D11" s="5" t="s">
        <v>12</v>
      </c>
      <c r="E11" s="5">
        <f>SUM(E4:E9)</f>
        <v>108.40214633603559</v>
      </c>
      <c r="F11">
        <f>SUM(F4:F9)</f>
        <v>105.50812536157986</v>
      </c>
      <c r="G11" s="4"/>
      <c r="I11" s="5">
        <f>SUM(I4:I9)</f>
        <v>330.14756060244724</v>
      </c>
    </row>
    <row r="12" spans="1:9" x14ac:dyDescent="0.2">
      <c r="D12" s="5" t="s">
        <v>13</v>
      </c>
      <c r="E12" s="5">
        <f>E11-F11</f>
        <v>2.8940209744557279</v>
      </c>
      <c r="G12" s="4"/>
    </row>
    <row r="14" spans="1:9" x14ac:dyDescent="0.2">
      <c r="D14" t="s">
        <v>14</v>
      </c>
      <c r="E14" s="5">
        <f>E12/I11</f>
        <v>8.7658408536315444E-3</v>
      </c>
    </row>
    <row r="16" spans="1:9" x14ac:dyDescent="0.2">
      <c r="B16" s="6" t="s">
        <v>15</v>
      </c>
      <c r="C16" s="6"/>
      <c r="D16" s="5">
        <f>E14</f>
        <v>8.7658408536315444E-3</v>
      </c>
      <c r="G16" s="4"/>
    </row>
    <row r="17" spans="1:11" x14ac:dyDescent="0.2">
      <c r="B17" s="6" t="s">
        <v>16</v>
      </c>
      <c r="C17" s="6"/>
      <c r="D17" s="5">
        <v>8.956426909185345E-3</v>
      </c>
      <c r="G17" s="4"/>
    </row>
    <row r="18" spans="1:11" x14ac:dyDescent="0.2">
      <c r="G18" t="s">
        <v>1</v>
      </c>
      <c r="K18" s="4"/>
    </row>
    <row r="19" spans="1:11" ht="30" x14ac:dyDescent="0.2">
      <c r="A19" s="5" t="s">
        <v>5</v>
      </c>
      <c r="B19" s="7" t="s">
        <v>17</v>
      </c>
      <c r="C19" s="2" t="s">
        <v>18</v>
      </c>
      <c r="D19" s="2" t="s">
        <v>5</v>
      </c>
      <c r="E19" s="2" t="s">
        <v>19</v>
      </c>
      <c r="F19" s="3" t="s">
        <v>9</v>
      </c>
      <c r="G19" s="2" t="s">
        <v>7</v>
      </c>
      <c r="H19" s="2" t="s">
        <v>20</v>
      </c>
    </row>
    <row r="20" spans="1:11" x14ac:dyDescent="0.2">
      <c r="A20">
        <v>0.5</v>
      </c>
      <c r="B20">
        <f>1-C20</f>
        <v>0.99123415914636848</v>
      </c>
      <c r="C20">
        <f>E14</f>
        <v>8.7658408536315444E-3</v>
      </c>
      <c r="D20">
        <v>0.5</v>
      </c>
      <c r="E20">
        <f>C20</f>
        <v>8.7658408536315444E-3</v>
      </c>
      <c r="F20" s="8">
        <v>110.57018926275632</v>
      </c>
      <c r="G20">
        <v>0.98039215686274506</v>
      </c>
      <c r="H20">
        <f>$D$17*F20*G20*(1-0.45)</f>
        <v>0.53399274525163432</v>
      </c>
    </row>
    <row r="21" spans="1:11" x14ac:dyDescent="0.2">
      <c r="A21">
        <v>1</v>
      </c>
      <c r="B21">
        <f>B20*$B$20</f>
        <v>0.98254515825860811</v>
      </c>
      <c r="C21">
        <f>1-B21</f>
        <v>1.7454841741391891E-2</v>
      </c>
      <c r="D21">
        <v>1</v>
      </c>
      <c r="E21">
        <f>1-B21-C20</f>
        <v>8.6890008877603467E-3</v>
      </c>
      <c r="F21">
        <v>109.21159304801144</v>
      </c>
      <c r="G21">
        <v>0.96116878123798544</v>
      </c>
      <c r="H21">
        <f>$D$17*(1-$D$17)*F21*G21*(1-0.45)</f>
        <v>0.51245840869704107</v>
      </c>
    </row>
    <row r="22" spans="1:11" x14ac:dyDescent="0.2">
      <c r="A22">
        <v>1.5</v>
      </c>
      <c r="B22">
        <f>B21*$B$20</f>
        <v>0.97393232376980698</v>
      </c>
      <c r="C22">
        <f t="shared" ref="C22:C25" si="6">1-B22</f>
        <v>2.6067676230193015E-2</v>
      </c>
      <c r="D22">
        <v>1.5</v>
      </c>
      <c r="E22">
        <f t="shared" ref="E22:E25" si="7">1-B22-C21</f>
        <v>8.6128344888011243E-3</v>
      </c>
      <c r="F22">
        <v>107.82582490897168</v>
      </c>
      <c r="G22">
        <v>0.94232233454704462</v>
      </c>
      <c r="H22">
        <f>$D$17*(1-$D$17)^2*F22*G22*(1-0.45)</f>
        <v>0.49159250020214118</v>
      </c>
    </row>
    <row r="23" spans="1:11" x14ac:dyDescent="0.2">
      <c r="A23">
        <v>2</v>
      </c>
      <c r="B23">
        <f>B22*$B$20</f>
        <v>0.96539498801743329</v>
      </c>
      <c r="C23">
        <f t="shared" si="6"/>
        <v>3.4605011982566714E-2</v>
      </c>
      <c r="D23">
        <v>2</v>
      </c>
      <c r="E23">
        <f t="shared" si="7"/>
        <v>8.5373357523736981E-3</v>
      </c>
      <c r="F23">
        <v>106.4123414071511</v>
      </c>
      <c r="G23">
        <v>0.9238454260265142</v>
      </c>
      <c r="H23">
        <f>$D$17*(1-$D$17)^3*F23*G23*(1-0.45)</f>
        <v>0.47137553260693543</v>
      </c>
    </row>
    <row r="24" spans="1:11" x14ac:dyDescent="0.2">
      <c r="A24">
        <v>2.5</v>
      </c>
      <c r="B24">
        <f>B23*$B$20</f>
        <v>0.95693248919157892</v>
      </c>
      <c r="C24">
        <f t="shared" si="6"/>
        <v>4.3067510808421083E-2</v>
      </c>
      <c r="D24">
        <v>2.5</v>
      </c>
      <c r="E24">
        <f t="shared" si="7"/>
        <v>8.4624988258543699E-3</v>
      </c>
      <c r="F24">
        <v>104.97058823529412</v>
      </c>
      <c r="G24">
        <v>0.90573080982991594</v>
      </c>
      <c r="H24">
        <f>$D$17*(1-$D$17)^4*F24*G24*(1-0.45)</f>
        <v>0.45178857654586629</v>
      </c>
    </row>
    <row r="25" spans="1:11" x14ac:dyDescent="0.2">
      <c r="A25">
        <v>3</v>
      </c>
      <c r="B25">
        <f>B24*$B$20</f>
        <v>0.94854417128365609</v>
      </c>
      <c r="C25">
        <f t="shared" si="6"/>
        <v>5.145582871634391E-2</v>
      </c>
      <c r="D25">
        <v>3</v>
      </c>
      <c r="E25">
        <f t="shared" si="7"/>
        <v>8.3883179079228265E-3</v>
      </c>
      <c r="F25">
        <v>103.5</v>
      </c>
      <c r="G25">
        <v>0.88797138218619198</v>
      </c>
      <c r="H25">
        <f>$D$17*(1-$D$17)^5*F25*G25*(1-0.45)</f>
        <v>0.43281324457176179</v>
      </c>
    </row>
    <row r="26" spans="1:11" x14ac:dyDescent="0.2">
      <c r="G26" s="4"/>
    </row>
    <row r="27" spans="1:11" x14ac:dyDescent="0.2">
      <c r="G27" s="4" t="s">
        <v>13</v>
      </c>
      <c r="H27">
        <f>SUM(H20:H25)</f>
        <v>2.8940210078753803</v>
      </c>
    </row>
    <row r="28" spans="1:11" x14ac:dyDescent="0.2">
      <c r="G28" s="4" t="s">
        <v>21</v>
      </c>
      <c r="H28">
        <f>E12</f>
        <v>2.8940209744557279</v>
      </c>
    </row>
    <row r="29" spans="1:11" x14ac:dyDescent="0.2">
      <c r="G29" s="4" t="s">
        <v>22</v>
      </c>
      <c r="H29">
        <f>H28-H27</f>
        <v>-3.3419652378796627E-8</v>
      </c>
    </row>
    <row r="30" spans="1:11" x14ac:dyDescent="0.2">
      <c r="G30" s="4"/>
    </row>
    <row r="31" spans="1:11" x14ac:dyDescent="0.2">
      <c r="G31" s="4"/>
    </row>
    <row r="32" spans="1:11" x14ac:dyDescent="0.2">
      <c r="G32" s="4"/>
    </row>
    <row r="33" spans="1:7" x14ac:dyDescent="0.2">
      <c r="A33" s="1" t="s">
        <v>23</v>
      </c>
      <c r="G33" s="9"/>
    </row>
    <row r="34" spans="1:7" x14ac:dyDescent="0.2">
      <c r="G34" s="4"/>
    </row>
    <row r="35" spans="1:7" x14ac:dyDescent="0.2">
      <c r="B35" s="5" t="s">
        <v>1</v>
      </c>
      <c r="C35" s="5" t="s">
        <v>24</v>
      </c>
      <c r="D35" s="5" t="s">
        <v>25</v>
      </c>
      <c r="G35" s="9"/>
    </row>
    <row r="36" spans="1:7" x14ac:dyDescent="0.2">
      <c r="B36" s="2" t="s">
        <v>7</v>
      </c>
      <c r="C36" s="2" t="s">
        <v>7</v>
      </c>
      <c r="D36" s="2" t="s">
        <v>7</v>
      </c>
    </row>
    <row r="37" spans="1:7" x14ac:dyDescent="0.2">
      <c r="A37">
        <v>1</v>
      </c>
      <c r="B37">
        <f>EXP(-0.045*A37)</f>
        <v>0.95599748183309996</v>
      </c>
      <c r="C37">
        <f>EXP(-0.06*A37)</f>
        <v>0.94176453358424872</v>
      </c>
      <c r="D37">
        <f>EXP(-0.066*A37)</f>
        <v>0.93613086429161885</v>
      </c>
    </row>
    <row r="38" spans="1:7" x14ac:dyDescent="0.2">
      <c r="A38">
        <v>2</v>
      </c>
      <c r="B38">
        <f>EXP(-0.045*A38)</f>
        <v>0.91393118527122819</v>
      </c>
      <c r="C38">
        <f>EXP(-0.06*A38)</f>
        <v>0.88692043671715748</v>
      </c>
      <c r="D38">
        <f>EXP(-0.066*A38)</f>
        <v>0.87634099507937324</v>
      </c>
    </row>
    <row r="40" spans="1:7" x14ac:dyDescent="0.2">
      <c r="B40" s="2" t="s">
        <v>5</v>
      </c>
      <c r="C40">
        <v>0.5</v>
      </c>
    </row>
    <row r="41" spans="1:7" x14ac:dyDescent="0.2">
      <c r="B41" s="2" t="s">
        <v>6</v>
      </c>
      <c r="C41">
        <v>108</v>
      </c>
    </row>
    <row r="42" spans="1:7" x14ac:dyDescent="0.2">
      <c r="A42" t="s">
        <v>26</v>
      </c>
      <c r="B42" s="2" t="s">
        <v>27</v>
      </c>
      <c r="C42">
        <f>EXP(-0.045*C40)</f>
        <v>0.97775123719333634</v>
      </c>
    </row>
    <row r="43" spans="1:7" x14ac:dyDescent="0.2">
      <c r="A43" t="s">
        <v>24</v>
      </c>
      <c r="B43" s="2" t="s">
        <v>7</v>
      </c>
      <c r="C43">
        <f>EXP(-0.06*C40)</f>
        <v>0.97044553354850815</v>
      </c>
    </row>
    <row r="44" spans="1:7" x14ac:dyDescent="0.2">
      <c r="A44" t="s">
        <v>28</v>
      </c>
      <c r="B44" s="2" t="s">
        <v>8</v>
      </c>
      <c r="C44">
        <f>C41*C42</f>
        <v>105.59713361688033</v>
      </c>
    </row>
    <row r="45" spans="1:7" x14ac:dyDescent="0.2">
      <c r="A45" t="s">
        <v>29</v>
      </c>
      <c r="B45" s="2" t="s">
        <v>8</v>
      </c>
      <c r="C45">
        <f>C41*C43</f>
        <v>104.80811762323889</v>
      </c>
    </row>
    <row r="46" spans="1:7" x14ac:dyDescent="0.2">
      <c r="B46" s="10" t="s">
        <v>12</v>
      </c>
      <c r="C46">
        <f>C41*B37/C42</f>
        <v>105.59713361688034</v>
      </c>
    </row>
    <row r="47" spans="1:7" x14ac:dyDescent="0.2">
      <c r="B47" s="2" t="s">
        <v>10</v>
      </c>
      <c r="C47">
        <f>C46*(1-0.35)</f>
        <v>68.638136850972231</v>
      </c>
    </row>
    <row r="48" spans="1:7" x14ac:dyDescent="0.2">
      <c r="B48" s="2" t="s">
        <v>11</v>
      </c>
      <c r="C48">
        <f>C47*C42</f>
        <v>67.111023224683635</v>
      </c>
    </row>
    <row r="49" spans="1:4" x14ac:dyDescent="0.2">
      <c r="B49" s="2" t="s">
        <v>20</v>
      </c>
      <c r="C49">
        <f>C44-C45</f>
        <v>0.78901599364144204</v>
      </c>
    </row>
    <row r="50" spans="1:4" x14ac:dyDescent="0.2">
      <c r="B50" s="5"/>
    </row>
    <row r="51" spans="1:4" x14ac:dyDescent="0.2">
      <c r="B51" s="2" t="s">
        <v>14</v>
      </c>
      <c r="C51">
        <f>C49/C48</f>
        <v>1.1756876228810643E-2</v>
      </c>
    </row>
    <row r="54" spans="1:4" x14ac:dyDescent="0.2">
      <c r="B54" s="2" t="s">
        <v>5</v>
      </c>
      <c r="C54">
        <v>0.5</v>
      </c>
      <c r="D54">
        <v>1.5</v>
      </c>
    </row>
    <row r="55" spans="1:4" x14ac:dyDescent="0.2">
      <c r="B55" s="2" t="s">
        <v>6</v>
      </c>
      <c r="C55">
        <v>8</v>
      </c>
      <c r="D55">
        <v>108</v>
      </c>
    </row>
    <row r="56" spans="1:4" x14ac:dyDescent="0.2">
      <c r="A56" t="s">
        <v>26</v>
      </c>
      <c r="B56" s="2" t="s">
        <v>27</v>
      </c>
      <c r="C56">
        <f>EXP(-0.045*C54)</f>
        <v>0.97775123719333634</v>
      </c>
      <c r="D56">
        <f>EXP(-0.045*D54)</f>
        <v>0.93472772061602749</v>
      </c>
    </row>
    <row r="57" spans="1:4" x14ac:dyDescent="0.2">
      <c r="A57" t="s">
        <v>24</v>
      </c>
      <c r="B57" s="2" t="s">
        <v>7</v>
      </c>
      <c r="C57">
        <f>EXP(-0.066*C54)</f>
        <v>0.96753855958903201</v>
      </c>
      <c r="D57">
        <f>EXP(-0.066*D54)</f>
        <v>0.9057427080235485</v>
      </c>
    </row>
    <row r="58" spans="1:4" x14ac:dyDescent="0.2">
      <c r="A58" t="s">
        <v>28</v>
      </c>
      <c r="B58" s="2" t="s">
        <v>8</v>
      </c>
      <c r="C58">
        <f>C55*C56</f>
        <v>7.8220098975466907</v>
      </c>
      <c r="D58">
        <f>D55*D56</f>
        <v>100.95059382653096</v>
      </c>
    </row>
    <row r="59" spans="1:4" x14ac:dyDescent="0.2">
      <c r="A59" t="s">
        <v>29</v>
      </c>
      <c r="B59" s="2" t="s">
        <v>8</v>
      </c>
      <c r="C59">
        <f>C55*C57</f>
        <v>7.7403084767122561</v>
      </c>
      <c r="D59">
        <f>D55*D57</f>
        <v>97.820212466543239</v>
      </c>
    </row>
    <row r="60" spans="1:4" x14ac:dyDescent="0.2">
      <c r="B60" s="10" t="s">
        <v>12</v>
      </c>
      <c r="C60">
        <f>C55*B37/C56 + D55*B38/D56</f>
        <v>113.41914351442702</v>
      </c>
      <c r="D60">
        <f>D55*B38/D56</f>
        <v>105.59713361688033</v>
      </c>
    </row>
    <row r="61" spans="1:4" x14ac:dyDescent="0.2">
      <c r="B61" s="2" t="s">
        <v>10</v>
      </c>
      <c r="C61">
        <f>C60*(1-0.35)</f>
        <v>73.722443284377562</v>
      </c>
      <c r="D61">
        <f>D60*(1-0.35)</f>
        <v>68.638136850972217</v>
      </c>
    </row>
    <row r="62" spans="1:4" x14ac:dyDescent="0.2">
      <c r="B62" s="2" t="s">
        <v>11</v>
      </c>
      <c r="C62">
        <f>C61*C56</f>
        <v>72.082210130215728</v>
      </c>
      <c r="D62">
        <f>D61*D56</f>
        <v>64.157969206040221</v>
      </c>
    </row>
    <row r="63" spans="1:4" x14ac:dyDescent="0.2">
      <c r="B63" s="2" t="s">
        <v>20</v>
      </c>
      <c r="C63">
        <f>C58-C59</f>
        <v>8.1701420834434657E-2</v>
      </c>
      <c r="D63">
        <f>D58-D59</f>
        <v>3.130381359987723</v>
      </c>
    </row>
    <row r="64" spans="1:4" x14ac:dyDescent="0.2">
      <c r="B64" s="5"/>
    </row>
    <row r="65" spans="1:4" x14ac:dyDescent="0.2">
      <c r="B65" s="2" t="s">
        <v>14</v>
      </c>
      <c r="C65">
        <f>C63/C62</f>
        <v>1.1334477770151878E-3</v>
      </c>
      <c r="D65">
        <f>D63/D62</f>
        <v>4.8791777525480182E-2</v>
      </c>
    </row>
    <row r="67" spans="1:4" x14ac:dyDescent="0.2">
      <c r="A67" s="1" t="s">
        <v>30</v>
      </c>
    </row>
    <row r="69" spans="1:4" x14ac:dyDescent="0.2">
      <c r="A69" s="5" t="s">
        <v>31</v>
      </c>
      <c r="B69">
        <v>4000000</v>
      </c>
    </row>
    <row r="70" spans="1:4" x14ac:dyDescent="0.2">
      <c r="A70" s="5" t="s">
        <v>32</v>
      </c>
      <c r="B70">
        <v>15000000</v>
      </c>
    </row>
    <row r="71" spans="1:4" x14ac:dyDescent="0.2">
      <c r="A71" s="5" t="s">
        <v>33</v>
      </c>
      <c r="B71">
        <v>0.6</v>
      </c>
    </row>
    <row r="72" spans="1:4" x14ac:dyDescent="0.2">
      <c r="A72" s="5" t="s">
        <v>34</v>
      </c>
      <c r="B72">
        <v>0.06</v>
      </c>
    </row>
    <row r="73" spans="1:4" x14ac:dyDescent="0.2">
      <c r="A73" s="5" t="s">
        <v>35</v>
      </c>
      <c r="B73" s="11">
        <v>17083946.649995316</v>
      </c>
    </row>
    <row r="74" spans="1:4" x14ac:dyDescent="0.2">
      <c r="A74" s="5" t="s">
        <v>36</v>
      </c>
      <c r="B74" s="11">
        <v>0.15761775194112942</v>
      </c>
    </row>
    <row r="75" spans="1:4" x14ac:dyDescent="0.2">
      <c r="A75" s="5" t="s">
        <v>5</v>
      </c>
      <c r="B75">
        <v>2</v>
      </c>
    </row>
    <row r="76" spans="1:4" x14ac:dyDescent="0.2">
      <c r="A76" s="5" t="s">
        <v>37</v>
      </c>
      <c r="B76">
        <f>(LN(B73/B70) + (B72+B74^2/2)*B75)/(B74*SQRT(B75))</f>
        <v>1.2334051923805329</v>
      </c>
    </row>
    <row r="77" spans="1:4" x14ac:dyDescent="0.2">
      <c r="A77" s="5" t="s">
        <v>38</v>
      </c>
      <c r="B77">
        <f>B76-B74*SQRT(B75)</f>
        <v>1.0105000299146294</v>
      </c>
    </row>
    <row r="78" spans="1:4" x14ac:dyDescent="0.2">
      <c r="A78" s="5" t="s">
        <v>39</v>
      </c>
      <c r="B78">
        <f>_xlfn.NORM.DIST(B76,0,1,TRUE)</f>
        <v>0.89128768562719529</v>
      </c>
    </row>
    <row r="79" spans="1:4" x14ac:dyDescent="0.2">
      <c r="A79" s="5" t="s">
        <v>40</v>
      </c>
      <c r="B79">
        <f>_xlfn.NORM.DIST(B77,0,1,TRUE)</f>
        <v>0.84387210744684826</v>
      </c>
    </row>
    <row r="80" spans="1:4" x14ac:dyDescent="0.2">
      <c r="A80" s="5" t="s">
        <v>41</v>
      </c>
      <c r="B80">
        <f>B73*B78-B70*EXP(-B72*B75)*B79</f>
        <v>4000000.0000000019</v>
      </c>
    </row>
    <row r="81" spans="1:2" x14ac:dyDescent="0.2">
      <c r="A81" s="5" t="s">
        <v>14</v>
      </c>
      <c r="B81">
        <f>1-B79</f>
        <v>0.15612789255315174</v>
      </c>
    </row>
    <row r="82" spans="1:2" x14ac:dyDescent="0.2">
      <c r="A82" s="5" t="s">
        <v>42</v>
      </c>
      <c r="B82">
        <f>B73-B69</f>
        <v>13083946.649995316</v>
      </c>
    </row>
    <row r="83" spans="1:2" x14ac:dyDescent="0.2">
      <c r="A83" s="5" t="s">
        <v>43</v>
      </c>
      <c r="B83">
        <f>B70*EXP(-B72*B75)</f>
        <v>13303806.550757362</v>
      </c>
    </row>
    <row r="84" spans="1:2" x14ac:dyDescent="0.2">
      <c r="A84" s="5" t="s">
        <v>44</v>
      </c>
      <c r="B84">
        <f>(B83-B82)/B83</f>
        <v>1.6526089726517371E-2</v>
      </c>
    </row>
    <row r="85" spans="1:2" x14ac:dyDescent="0.2">
      <c r="A85" s="5" t="s">
        <v>45</v>
      </c>
      <c r="B85">
        <f>1-B84/B81</f>
        <v>0.89415030552025621</v>
      </c>
    </row>
    <row r="87" spans="1:2" x14ac:dyDescent="0.2">
      <c r="A87" s="5" t="s">
        <v>22</v>
      </c>
      <c r="B87">
        <f>B69-B80</f>
        <v>0</v>
      </c>
    </row>
    <row r="88" spans="1:2" x14ac:dyDescent="0.2">
      <c r="A88" s="5" t="s">
        <v>46</v>
      </c>
      <c r="B88">
        <f>B69*B71</f>
        <v>2400000</v>
      </c>
    </row>
    <row r="89" spans="1:2" x14ac:dyDescent="0.2">
      <c r="A89" s="5" t="s">
        <v>46</v>
      </c>
      <c r="B89">
        <f>B70*B72</f>
        <v>900000</v>
      </c>
    </row>
  </sheetData>
  <mergeCells count="2">
    <mergeCell ref="B16:C16"/>
    <mergeCell ref="B17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19_23_24_25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2016-05-31T18:56:44Z</dcterms:created>
  <dcterms:modified xsi:type="dcterms:W3CDTF">2016-05-31T18:56:56Z</dcterms:modified>
</cp:coreProperties>
</file>